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Catalina\Desktop\"/>
    </mc:Choice>
  </mc:AlternateContent>
  <bookViews>
    <workbookView xWindow="0" yWindow="0" windowWidth="28365" windowHeight="17280" tabRatio="641" activeTab="1"/>
  </bookViews>
  <sheets>
    <sheet name="METADATA" sheetId="10" r:id="rId1"/>
    <sheet name="All Mammals (extinct&amp;extant)" sheetId="5" r:id="rId2"/>
    <sheet name="Extant Mammals W&amp;R93" sheetId="3" r:id="rId3"/>
    <sheet name="New Guinea" sheetId="8" r:id="rId4"/>
    <sheet name="REFERENCES" sheetId="11" r:id="rId5"/>
    <sheet name="Madagascar" sheetId="7" r:id="rId6"/>
    <sheet name="Tasmania" sheetId="9" r:id="rId7"/>
  </sheets>
  <definedNames>
    <definedName name="_xlnm.Print_Area" localSheetId="1">'All Mammals (extinct&amp;extant)'!$A$1:$R$5752</definedName>
  </definedName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L5" i="5" l="1"/>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3110" i="5"/>
  <c r="L3111" i="5"/>
  <c r="L3112" i="5"/>
  <c r="L3113" i="5"/>
  <c r="L3114" i="5"/>
  <c r="L3115" i="5"/>
  <c r="L3116" i="5"/>
  <c r="L3117" i="5"/>
  <c r="L3118" i="5"/>
  <c r="L3119" i="5"/>
  <c r="L3120" i="5"/>
  <c r="L3121" i="5"/>
  <c r="L3122" i="5"/>
  <c r="L3123" i="5"/>
  <c r="L3124" i="5"/>
  <c r="L3125" i="5"/>
  <c r="L3126" i="5"/>
  <c r="L3127" i="5"/>
  <c r="L3128" i="5"/>
  <c r="L3129" i="5"/>
  <c r="L3130" i="5"/>
  <c r="L3131" i="5"/>
  <c r="L3132" i="5"/>
  <c r="L3133" i="5"/>
  <c r="L3134" i="5"/>
  <c r="L3135" i="5"/>
  <c r="L3136" i="5"/>
  <c r="L3137" i="5"/>
  <c r="L3138" i="5"/>
  <c r="L3139" i="5"/>
  <c r="L3140" i="5"/>
  <c r="L3141" i="5"/>
  <c r="L3142" i="5"/>
  <c r="L3143" i="5"/>
  <c r="L3144" i="5"/>
  <c r="L3145" i="5"/>
  <c r="L3146" i="5"/>
  <c r="L3147" i="5"/>
  <c r="L3148" i="5"/>
  <c r="L3149" i="5"/>
  <c r="L3150" i="5"/>
  <c r="L3151" i="5"/>
  <c r="L3152" i="5"/>
  <c r="L3153" i="5"/>
  <c r="L3154" i="5"/>
  <c r="L3155" i="5"/>
  <c r="L3156" i="5"/>
  <c r="L3157" i="5"/>
  <c r="L3158" i="5"/>
  <c r="L3159" i="5"/>
  <c r="L3160" i="5"/>
  <c r="L3161" i="5"/>
  <c r="L3162" i="5"/>
  <c r="L3163" i="5"/>
  <c r="L3164" i="5"/>
  <c r="L3165" i="5"/>
  <c r="L3166" i="5"/>
  <c r="L3167" i="5"/>
  <c r="L3168" i="5"/>
  <c r="L3169" i="5"/>
  <c r="L3170" i="5"/>
  <c r="L3171" i="5"/>
  <c r="L3172" i="5"/>
  <c r="L3173" i="5"/>
  <c r="L3174" i="5"/>
  <c r="L3175" i="5"/>
  <c r="L3176" i="5"/>
  <c r="L3177" i="5"/>
  <c r="L3178" i="5"/>
  <c r="L3179" i="5"/>
  <c r="L3180" i="5"/>
  <c r="L3181" i="5"/>
  <c r="L3182" i="5"/>
  <c r="L3183" i="5"/>
  <c r="L3184" i="5"/>
  <c r="L3185" i="5"/>
  <c r="L3186" i="5"/>
  <c r="L3187" i="5"/>
  <c r="L3188" i="5"/>
  <c r="L3189" i="5"/>
  <c r="L3190" i="5"/>
  <c r="L3191" i="5"/>
  <c r="L3192" i="5"/>
  <c r="L3193" i="5"/>
  <c r="L3194" i="5"/>
  <c r="L3195" i="5"/>
  <c r="L3196" i="5"/>
  <c r="L3197" i="5"/>
  <c r="L3198" i="5"/>
  <c r="L3199" i="5"/>
  <c r="L3200" i="5"/>
  <c r="L3201" i="5"/>
  <c r="L3202" i="5"/>
  <c r="L3203" i="5"/>
  <c r="L3204" i="5"/>
  <c r="L3205" i="5"/>
  <c r="L3206" i="5"/>
  <c r="L3207" i="5"/>
  <c r="L3208" i="5"/>
  <c r="L3209" i="5"/>
  <c r="L3210" i="5"/>
  <c r="L3211" i="5"/>
  <c r="L3212" i="5"/>
  <c r="L3213" i="5"/>
  <c r="L3214" i="5"/>
  <c r="L3215" i="5"/>
  <c r="L3216" i="5"/>
  <c r="L3217" i="5"/>
  <c r="L3218" i="5"/>
  <c r="L3219" i="5"/>
  <c r="L3220" i="5"/>
  <c r="L3221" i="5"/>
  <c r="L3222" i="5"/>
  <c r="L3223" i="5"/>
  <c r="L3224" i="5"/>
  <c r="L3225" i="5"/>
  <c r="L3226" i="5"/>
  <c r="L3227" i="5"/>
  <c r="L3228" i="5"/>
  <c r="L3229" i="5"/>
  <c r="L3230" i="5"/>
  <c r="L3231" i="5"/>
  <c r="L3232" i="5"/>
  <c r="L3233" i="5"/>
  <c r="L3234" i="5"/>
  <c r="L3235" i="5"/>
  <c r="L3236" i="5"/>
  <c r="L3237" i="5"/>
  <c r="L3238" i="5"/>
  <c r="L3239" i="5"/>
  <c r="L3240" i="5"/>
  <c r="L3241" i="5"/>
  <c r="L3242" i="5"/>
  <c r="L3243" i="5"/>
  <c r="L3244" i="5"/>
  <c r="L3245" i="5"/>
  <c r="L3246" i="5"/>
  <c r="L3247" i="5"/>
  <c r="L3248" i="5"/>
  <c r="L3249" i="5"/>
  <c r="L3250" i="5"/>
  <c r="L3251" i="5"/>
  <c r="L3252" i="5"/>
  <c r="L3253" i="5"/>
  <c r="L3254" i="5"/>
  <c r="L3255" i="5"/>
  <c r="L3256" i="5"/>
  <c r="L3257" i="5"/>
  <c r="L3258" i="5"/>
  <c r="L3259" i="5"/>
  <c r="L3260" i="5"/>
  <c r="L3261" i="5"/>
  <c r="L3262" i="5"/>
  <c r="L3263" i="5"/>
  <c r="L3264" i="5"/>
  <c r="L3265" i="5"/>
  <c r="L3266" i="5"/>
  <c r="L3267" i="5"/>
  <c r="L3268" i="5"/>
  <c r="L3269" i="5"/>
  <c r="L3270" i="5"/>
  <c r="L3271" i="5"/>
  <c r="L3272" i="5"/>
  <c r="L3273" i="5"/>
  <c r="L3274" i="5"/>
  <c r="L3275" i="5"/>
  <c r="L3276" i="5"/>
  <c r="L3277" i="5"/>
  <c r="L3278" i="5"/>
  <c r="L3279" i="5"/>
  <c r="L3280" i="5"/>
  <c r="L3281" i="5"/>
  <c r="L3282" i="5"/>
  <c r="L3283" i="5"/>
  <c r="L3284" i="5"/>
  <c r="L3285" i="5"/>
  <c r="L3286" i="5"/>
  <c r="L3287" i="5"/>
  <c r="L3288" i="5"/>
  <c r="L3289" i="5"/>
  <c r="L3290" i="5"/>
  <c r="L3291" i="5"/>
  <c r="L3292" i="5"/>
  <c r="L3293" i="5"/>
  <c r="L3294" i="5"/>
  <c r="L3295" i="5"/>
  <c r="L3296" i="5"/>
  <c r="L3297" i="5"/>
  <c r="L3298" i="5"/>
  <c r="L3299" i="5"/>
  <c r="L3300" i="5"/>
  <c r="L3301" i="5"/>
  <c r="L3302" i="5"/>
  <c r="L3303" i="5"/>
  <c r="L3304" i="5"/>
  <c r="L3305" i="5"/>
  <c r="L3306" i="5"/>
  <c r="L3307" i="5"/>
  <c r="L3308" i="5"/>
  <c r="L3309" i="5"/>
  <c r="L3310" i="5"/>
  <c r="L3311" i="5"/>
  <c r="L3312" i="5"/>
  <c r="L3313" i="5"/>
  <c r="L3314" i="5"/>
  <c r="L3315" i="5"/>
  <c r="L3316" i="5"/>
  <c r="L3317" i="5"/>
  <c r="L3318" i="5"/>
  <c r="L3319" i="5"/>
  <c r="L3320" i="5"/>
  <c r="L3321" i="5"/>
  <c r="L3322" i="5"/>
  <c r="L3323" i="5"/>
  <c r="L3324" i="5"/>
  <c r="L3325" i="5"/>
  <c r="L3326" i="5"/>
  <c r="L3327" i="5"/>
  <c r="L3328" i="5"/>
  <c r="L3329" i="5"/>
  <c r="L3330" i="5"/>
  <c r="L3331" i="5"/>
  <c r="L3332" i="5"/>
  <c r="L3333" i="5"/>
  <c r="L3334" i="5"/>
  <c r="L3335" i="5"/>
  <c r="L3336" i="5"/>
  <c r="L3337" i="5"/>
  <c r="L3338" i="5"/>
  <c r="L3339" i="5"/>
  <c r="L3340" i="5"/>
  <c r="L3341" i="5"/>
  <c r="L3342" i="5"/>
  <c r="L3343" i="5"/>
  <c r="L3344" i="5"/>
  <c r="L3345" i="5"/>
  <c r="L3346" i="5"/>
  <c r="L3347" i="5"/>
  <c r="L3348" i="5"/>
  <c r="L3349" i="5"/>
  <c r="L3350" i="5"/>
  <c r="L3351" i="5"/>
  <c r="L3352" i="5"/>
  <c r="L3353" i="5"/>
  <c r="L3354" i="5"/>
  <c r="L3355" i="5"/>
  <c r="L3356" i="5"/>
  <c r="L3357" i="5"/>
  <c r="L3358" i="5"/>
  <c r="L3359" i="5"/>
  <c r="L3360" i="5"/>
  <c r="L3361" i="5"/>
  <c r="L3362" i="5"/>
  <c r="L3363" i="5"/>
  <c r="L3364" i="5"/>
  <c r="L3365" i="5"/>
  <c r="L3366" i="5"/>
  <c r="L3367" i="5"/>
  <c r="L3368" i="5"/>
  <c r="L3369" i="5"/>
  <c r="L3370" i="5"/>
  <c r="L3371" i="5"/>
  <c r="L3372" i="5"/>
  <c r="L3373" i="5"/>
  <c r="L3374" i="5"/>
  <c r="L3375" i="5"/>
  <c r="L3376" i="5"/>
  <c r="L3377" i="5"/>
  <c r="L3378" i="5"/>
  <c r="L3379" i="5"/>
  <c r="L3380" i="5"/>
  <c r="L3381" i="5"/>
  <c r="L3382" i="5"/>
  <c r="L3383" i="5"/>
  <c r="L3384" i="5"/>
  <c r="L3385" i="5"/>
  <c r="L3386" i="5"/>
  <c r="L3387" i="5"/>
  <c r="L3388" i="5"/>
  <c r="L3389" i="5"/>
  <c r="L3390" i="5"/>
  <c r="L3391" i="5"/>
  <c r="L3392" i="5"/>
  <c r="L3393" i="5"/>
  <c r="L3394" i="5"/>
  <c r="L3395" i="5"/>
  <c r="L3396" i="5"/>
  <c r="L3397" i="5"/>
  <c r="L3398" i="5"/>
  <c r="L3399" i="5"/>
  <c r="L3400" i="5"/>
  <c r="L3401" i="5"/>
  <c r="L3402" i="5"/>
  <c r="L3403" i="5"/>
  <c r="L3404" i="5"/>
  <c r="L3405" i="5"/>
  <c r="L3406" i="5"/>
  <c r="L3407" i="5"/>
  <c r="L3408" i="5"/>
  <c r="L3409" i="5"/>
  <c r="L3410" i="5"/>
  <c r="L3411" i="5"/>
  <c r="L3412" i="5"/>
  <c r="L3413" i="5"/>
  <c r="L3414" i="5"/>
  <c r="L3415" i="5"/>
  <c r="L3416" i="5"/>
  <c r="L3417" i="5"/>
  <c r="L3418" i="5"/>
  <c r="L3419" i="5"/>
  <c r="L3420" i="5"/>
  <c r="L3421" i="5"/>
  <c r="L3422" i="5"/>
  <c r="L3423" i="5"/>
  <c r="L3424" i="5"/>
  <c r="L3425" i="5"/>
  <c r="L3426" i="5"/>
  <c r="L3427" i="5"/>
  <c r="L3428" i="5"/>
  <c r="L3429" i="5"/>
  <c r="L3430" i="5"/>
  <c r="L3431" i="5"/>
  <c r="L3432" i="5"/>
  <c r="L3433" i="5"/>
  <c r="L3434" i="5"/>
  <c r="L3435" i="5"/>
  <c r="L3436" i="5"/>
  <c r="L3437" i="5"/>
  <c r="L3438" i="5"/>
  <c r="L3439" i="5"/>
  <c r="L3440" i="5"/>
  <c r="L3441" i="5"/>
  <c r="L3442" i="5"/>
  <c r="L3443" i="5"/>
  <c r="L3444" i="5"/>
  <c r="L3445" i="5"/>
  <c r="L3446" i="5"/>
  <c r="L3447" i="5"/>
  <c r="L3448" i="5"/>
  <c r="L3449" i="5"/>
  <c r="L3450" i="5"/>
  <c r="L3451" i="5"/>
  <c r="L3452" i="5"/>
  <c r="L3453" i="5"/>
  <c r="L3454" i="5"/>
  <c r="L3455" i="5"/>
  <c r="L3456" i="5"/>
  <c r="L3457" i="5"/>
  <c r="L3458" i="5"/>
  <c r="L3459" i="5"/>
  <c r="L3460" i="5"/>
  <c r="L3461" i="5"/>
  <c r="L3462" i="5"/>
  <c r="L3463" i="5"/>
  <c r="L3464" i="5"/>
  <c r="L3465" i="5"/>
  <c r="L3466" i="5"/>
  <c r="L3467" i="5"/>
  <c r="L3468" i="5"/>
  <c r="L3469" i="5"/>
  <c r="L3470" i="5"/>
  <c r="L3471" i="5"/>
  <c r="L3472" i="5"/>
  <c r="L3473" i="5"/>
  <c r="L3474" i="5"/>
  <c r="L3475" i="5"/>
  <c r="L3476" i="5"/>
  <c r="L3477" i="5"/>
  <c r="L3478" i="5"/>
  <c r="L3479" i="5"/>
  <c r="L3480" i="5"/>
  <c r="L3481" i="5"/>
  <c r="L3482" i="5"/>
  <c r="L3483" i="5"/>
  <c r="L3484" i="5"/>
  <c r="L3485" i="5"/>
  <c r="L3486" i="5"/>
  <c r="L3487" i="5"/>
  <c r="L3488" i="5"/>
  <c r="L3489" i="5"/>
  <c r="L3490" i="5"/>
  <c r="L3491" i="5"/>
  <c r="L3492" i="5"/>
  <c r="L3493" i="5"/>
  <c r="L3494" i="5"/>
  <c r="L3495" i="5"/>
  <c r="L3496" i="5"/>
  <c r="L3497" i="5"/>
  <c r="L3498" i="5"/>
  <c r="L3499" i="5"/>
  <c r="L3500" i="5"/>
  <c r="L3501" i="5"/>
  <c r="L3502" i="5"/>
  <c r="L3503" i="5"/>
  <c r="L3504" i="5"/>
  <c r="L3505" i="5"/>
  <c r="L3506" i="5"/>
  <c r="L3507" i="5"/>
  <c r="L3508" i="5"/>
  <c r="L3509" i="5"/>
  <c r="L3510" i="5"/>
  <c r="L3511" i="5"/>
  <c r="L3512" i="5"/>
  <c r="L3513" i="5"/>
  <c r="L3514" i="5"/>
  <c r="L3515" i="5"/>
  <c r="L3516" i="5"/>
  <c r="L3517" i="5"/>
  <c r="L3518" i="5"/>
  <c r="L3519" i="5"/>
  <c r="L3520" i="5"/>
  <c r="L3521" i="5"/>
  <c r="L3522" i="5"/>
  <c r="L3523" i="5"/>
  <c r="L3524" i="5"/>
  <c r="L3525" i="5"/>
  <c r="L3526" i="5"/>
  <c r="L3527" i="5"/>
  <c r="L3528" i="5"/>
  <c r="L3529" i="5"/>
  <c r="L3530" i="5"/>
  <c r="L3531" i="5"/>
  <c r="L3532" i="5"/>
  <c r="L3533" i="5"/>
  <c r="L3534" i="5"/>
  <c r="L3535" i="5"/>
  <c r="L3536" i="5"/>
  <c r="L3537" i="5"/>
  <c r="L3538" i="5"/>
  <c r="L3539" i="5"/>
  <c r="L3540" i="5"/>
  <c r="L3541" i="5"/>
  <c r="L3542" i="5"/>
  <c r="L3543" i="5"/>
  <c r="L3544" i="5"/>
  <c r="L3545" i="5"/>
  <c r="L3546" i="5"/>
  <c r="L3547" i="5"/>
  <c r="L3548" i="5"/>
  <c r="L3549" i="5"/>
  <c r="L3550" i="5"/>
  <c r="L3551" i="5"/>
  <c r="L3552" i="5"/>
  <c r="L3553" i="5"/>
  <c r="L3554" i="5"/>
  <c r="L3555" i="5"/>
  <c r="L3556" i="5"/>
  <c r="L3557" i="5"/>
  <c r="L3558" i="5"/>
  <c r="L3559" i="5"/>
  <c r="L3560" i="5"/>
  <c r="L3561" i="5"/>
  <c r="L3562" i="5"/>
  <c r="L3563" i="5"/>
  <c r="L3564" i="5"/>
  <c r="L3565" i="5"/>
  <c r="L3566" i="5"/>
  <c r="L3567" i="5"/>
  <c r="L3568" i="5"/>
  <c r="L3569" i="5"/>
  <c r="L3570" i="5"/>
  <c r="L3571" i="5"/>
  <c r="L3572" i="5"/>
  <c r="L3573" i="5"/>
  <c r="L3574" i="5"/>
  <c r="L3575" i="5"/>
  <c r="L3576" i="5"/>
  <c r="L3577" i="5"/>
  <c r="L3578" i="5"/>
  <c r="L3579" i="5"/>
  <c r="L3580" i="5"/>
  <c r="L3581" i="5"/>
  <c r="L3582" i="5"/>
  <c r="L3583" i="5"/>
  <c r="L3584" i="5"/>
  <c r="L3585" i="5"/>
  <c r="L3586" i="5"/>
  <c r="L3587" i="5"/>
  <c r="L3588" i="5"/>
  <c r="L3589" i="5"/>
  <c r="L3590" i="5"/>
  <c r="L3591" i="5"/>
  <c r="L3592" i="5"/>
  <c r="L3593" i="5"/>
  <c r="L3594" i="5"/>
  <c r="L3595" i="5"/>
  <c r="L3596" i="5"/>
  <c r="L3597" i="5"/>
  <c r="L3598" i="5"/>
  <c r="L3599" i="5"/>
  <c r="L3600" i="5"/>
  <c r="L3601" i="5"/>
  <c r="L3602" i="5"/>
  <c r="L3603" i="5"/>
  <c r="L3604" i="5"/>
  <c r="L3605" i="5"/>
  <c r="L3606" i="5"/>
  <c r="L3607" i="5"/>
  <c r="L3608" i="5"/>
  <c r="L3609" i="5"/>
  <c r="L3610" i="5"/>
  <c r="L3611" i="5"/>
  <c r="L3612" i="5"/>
  <c r="L3613" i="5"/>
  <c r="L3614" i="5"/>
  <c r="L3615" i="5"/>
  <c r="L3616" i="5"/>
  <c r="L3617" i="5"/>
  <c r="L3618" i="5"/>
  <c r="L3619" i="5"/>
  <c r="L3620" i="5"/>
  <c r="L3621" i="5"/>
  <c r="L3622" i="5"/>
  <c r="L3623" i="5"/>
  <c r="L3624" i="5"/>
  <c r="L3625" i="5"/>
  <c r="L3626" i="5"/>
  <c r="L3627" i="5"/>
  <c r="L3628" i="5"/>
  <c r="L3629" i="5"/>
  <c r="L3630" i="5"/>
  <c r="L3631" i="5"/>
  <c r="L3632" i="5"/>
  <c r="L3633" i="5"/>
  <c r="L3634" i="5"/>
  <c r="L3635" i="5"/>
  <c r="L3636" i="5"/>
  <c r="L3637" i="5"/>
  <c r="L3638" i="5"/>
  <c r="L3639" i="5"/>
  <c r="L3640" i="5"/>
  <c r="L3641" i="5"/>
  <c r="L3642" i="5"/>
  <c r="L3643" i="5"/>
  <c r="L3644" i="5"/>
  <c r="L3645" i="5"/>
  <c r="L3646" i="5"/>
  <c r="L3647" i="5"/>
  <c r="L3648" i="5"/>
  <c r="L3649" i="5"/>
  <c r="L3650" i="5"/>
  <c r="L3651" i="5"/>
  <c r="L3652" i="5"/>
  <c r="L3653" i="5"/>
  <c r="L3654" i="5"/>
  <c r="L3655" i="5"/>
  <c r="L3656" i="5"/>
  <c r="L3657" i="5"/>
  <c r="L3658" i="5"/>
  <c r="L3659" i="5"/>
  <c r="L3660" i="5"/>
  <c r="L3661" i="5"/>
  <c r="L3662" i="5"/>
  <c r="L3663" i="5"/>
  <c r="L3664" i="5"/>
  <c r="L3665" i="5"/>
  <c r="L3666" i="5"/>
  <c r="L3667" i="5"/>
  <c r="L3668" i="5"/>
  <c r="L3669" i="5"/>
  <c r="L3670" i="5"/>
  <c r="L3671" i="5"/>
  <c r="L3672" i="5"/>
  <c r="L3673" i="5"/>
  <c r="L3674" i="5"/>
  <c r="L3675" i="5"/>
  <c r="L3676" i="5"/>
  <c r="L3677" i="5"/>
  <c r="L3678" i="5"/>
  <c r="L3679" i="5"/>
  <c r="L3680" i="5"/>
  <c r="L3681" i="5"/>
  <c r="L3682" i="5"/>
  <c r="L3683" i="5"/>
  <c r="L3684" i="5"/>
  <c r="L3685" i="5"/>
  <c r="L3686" i="5"/>
  <c r="L3687" i="5"/>
  <c r="L3688" i="5"/>
  <c r="L3689" i="5"/>
  <c r="L3690" i="5"/>
  <c r="L3691" i="5"/>
  <c r="L3692" i="5"/>
  <c r="L3693" i="5"/>
  <c r="L3694" i="5"/>
  <c r="L3695" i="5"/>
  <c r="L3696" i="5"/>
  <c r="L3697" i="5"/>
  <c r="L3698" i="5"/>
  <c r="L3699" i="5"/>
  <c r="L3700" i="5"/>
  <c r="L3701" i="5"/>
  <c r="L3702" i="5"/>
  <c r="L3703" i="5"/>
  <c r="L3704" i="5"/>
  <c r="L3705" i="5"/>
  <c r="L3706" i="5"/>
  <c r="L3707" i="5"/>
  <c r="L3708" i="5"/>
  <c r="L3709" i="5"/>
  <c r="L3710" i="5"/>
  <c r="L3711" i="5"/>
  <c r="L3712" i="5"/>
  <c r="L3713" i="5"/>
  <c r="L3714" i="5"/>
  <c r="L3715" i="5"/>
  <c r="L3716" i="5"/>
  <c r="L3717" i="5"/>
  <c r="L3718" i="5"/>
  <c r="L3719" i="5"/>
  <c r="L3720" i="5"/>
  <c r="L3721" i="5"/>
  <c r="L3722" i="5"/>
  <c r="L3723" i="5"/>
  <c r="L3724" i="5"/>
  <c r="L3725" i="5"/>
  <c r="L3726" i="5"/>
  <c r="L3727" i="5"/>
  <c r="L3728" i="5"/>
  <c r="L3729" i="5"/>
  <c r="L3730" i="5"/>
  <c r="L3731" i="5"/>
  <c r="L3732" i="5"/>
  <c r="L3733" i="5"/>
  <c r="L3734" i="5"/>
  <c r="L3735" i="5"/>
  <c r="L3736" i="5"/>
  <c r="L3737" i="5"/>
  <c r="L3738" i="5"/>
  <c r="L3739" i="5"/>
  <c r="L3740" i="5"/>
  <c r="L3741" i="5"/>
  <c r="L3742" i="5"/>
  <c r="L3743" i="5"/>
  <c r="L3744" i="5"/>
  <c r="L3745" i="5"/>
  <c r="L3746" i="5"/>
  <c r="L3747" i="5"/>
  <c r="L3748" i="5"/>
  <c r="L3749" i="5"/>
  <c r="L3750" i="5"/>
  <c r="L3751" i="5"/>
  <c r="L3752" i="5"/>
  <c r="L3753" i="5"/>
  <c r="L3754" i="5"/>
  <c r="L3755" i="5"/>
  <c r="L3756" i="5"/>
  <c r="L3757" i="5"/>
  <c r="L3758" i="5"/>
  <c r="L3759" i="5"/>
  <c r="L3760" i="5"/>
  <c r="L3761" i="5"/>
  <c r="L3762" i="5"/>
  <c r="L3763" i="5"/>
  <c r="L3764" i="5"/>
  <c r="L3765" i="5"/>
  <c r="L3766" i="5"/>
  <c r="L3767" i="5"/>
  <c r="L3768" i="5"/>
  <c r="L3769" i="5"/>
  <c r="L3770" i="5"/>
  <c r="L3771" i="5"/>
  <c r="L3772" i="5"/>
  <c r="L3773" i="5"/>
  <c r="L3774" i="5"/>
  <c r="L3775" i="5"/>
  <c r="L3776" i="5"/>
  <c r="L3777" i="5"/>
  <c r="L3778" i="5"/>
  <c r="L3779" i="5"/>
  <c r="L3780" i="5"/>
  <c r="L3781" i="5"/>
  <c r="L3782" i="5"/>
  <c r="L3783" i="5"/>
  <c r="L3784" i="5"/>
  <c r="L3785" i="5"/>
  <c r="L3786" i="5"/>
  <c r="L3787" i="5"/>
  <c r="L3788" i="5"/>
  <c r="L3789" i="5"/>
  <c r="L3790" i="5"/>
  <c r="L3791" i="5"/>
  <c r="L3792" i="5"/>
  <c r="L3793" i="5"/>
  <c r="L3794" i="5"/>
  <c r="L3795" i="5"/>
  <c r="L3796" i="5"/>
  <c r="L3797" i="5"/>
  <c r="L3798" i="5"/>
  <c r="L3799" i="5"/>
  <c r="L3800" i="5"/>
  <c r="L3801" i="5"/>
  <c r="L3802" i="5"/>
  <c r="L3803" i="5"/>
  <c r="L3804" i="5"/>
  <c r="L3805" i="5"/>
  <c r="L3806" i="5"/>
  <c r="L3807" i="5"/>
  <c r="L3808" i="5"/>
  <c r="L3809" i="5"/>
  <c r="L3810" i="5"/>
  <c r="L3811" i="5"/>
  <c r="L3812" i="5"/>
  <c r="L3813" i="5"/>
  <c r="L3814" i="5"/>
  <c r="L3815" i="5"/>
  <c r="L3816" i="5"/>
  <c r="L3817" i="5"/>
  <c r="L3818" i="5"/>
  <c r="L3819" i="5"/>
  <c r="L3820" i="5"/>
  <c r="L3821" i="5"/>
  <c r="L3822" i="5"/>
  <c r="L3823" i="5"/>
  <c r="L3824" i="5"/>
  <c r="L3825" i="5"/>
  <c r="L3826" i="5"/>
  <c r="L3827" i="5"/>
  <c r="L3828" i="5"/>
  <c r="L3829" i="5"/>
  <c r="L3830" i="5"/>
  <c r="L3831" i="5"/>
  <c r="L3832" i="5"/>
  <c r="L3833" i="5"/>
  <c r="L3834" i="5"/>
  <c r="L3835" i="5"/>
  <c r="L3836" i="5"/>
  <c r="L3837" i="5"/>
  <c r="L3838" i="5"/>
  <c r="L3839" i="5"/>
  <c r="L3840" i="5"/>
  <c r="L3841" i="5"/>
  <c r="L3842" i="5"/>
  <c r="L3843" i="5"/>
  <c r="L3844" i="5"/>
  <c r="L3845" i="5"/>
  <c r="L3846" i="5"/>
  <c r="L3847" i="5"/>
  <c r="L3848" i="5"/>
  <c r="L3849" i="5"/>
  <c r="L3850" i="5"/>
  <c r="L3851" i="5"/>
  <c r="L3852" i="5"/>
  <c r="L3853" i="5"/>
  <c r="L3854" i="5"/>
  <c r="L3855" i="5"/>
  <c r="L3856" i="5"/>
  <c r="L3857" i="5"/>
  <c r="L3858" i="5"/>
  <c r="L3859" i="5"/>
  <c r="L3860" i="5"/>
  <c r="L3861" i="5"/>
  <c r="L3862" i="5"/>
  <c r="L3863" i="5"/>
  <c r="L3864" i="5"/>
  <c r="L3865" i="5"/>
  <c r="L3866" i="5"/>
  <c r="L3867" i="5"/>
  <c r="L3868" i="5"/>
  <c r="L3869" i="5"/>
  <c r="L3870" i="5"/>
  <c r="L3871" i="5"/>
  <c r="L3872" i="5"/>
  <c r="L3873" i="5"/>
  <c r="L3874" i="5"/>
  <c r="L3875" i="5"/>
  <c r="L3876" i="5"/>
  <c r="L3877" i="5"/>
  <c r="L3878" i="5"/>
  <c r="L3879" i="5"/>
  <c r="L3880" i="5"/>
  <c r="L3881" i="5"/>
  <c r="L3882" i="5"/>
  <c r="L3883" i="5"/>
  <c r="L3884" i="5"/>
  <c r="L3885" i="5"/>
  <c r="L3886" i="5"/>
  <c r="L3887" i="5"/>
  <c r="L3888" i="5"/>
  <c r="L3889" i="5"/>
  <c r="L3890" i="5"/>
  <c r="L3891" i="5"/>
  <c r="L3892" i="5"/>
  <c r="L3893" i="5"/>
  <c r="L3894" i="5"/>
  <c r="L3895" i="5"/>
  <c r="L3896" i="5"/>
  <c r="L3897" i="5"/>
  <c r="L3898" i="5"/>
  <c r="L3899" i="5"/>
  <c r="L3900" i="5"/>
  <c r="L3901" i="5"/>
  <c r="L3902" i="5"/>
  <c r="L3903" i="5"/>
  <c r="L3904" i="5"/>
  <c r="L3905" i="5"/>
  <c r="L3906" i="5"/>
  <c r="L3907" i="5"/>
  <c r="L3908" i="5"/>
  <c r="L3909" i="5"/>
  <c r="L3910" i="5"/>
  <c r="L3911" i="5"/>
  <c r="L3912" i="5"/>
  <c r="L3913" i="5"/>
  <c r="L3914" i="5"/>
  <c r="L3915" i="5"/>
  <c r="L3916" i="5"/>
  <c r="L3917" i="5"/>
  <c r="L3918" i="5"/>
  <c r="L3919" i="5"/>
  <c r="L3920" i="5"/>
  <c r="L3921" i="5"/>
  <c r="L3922" i="5"/>
  <c r="L3923" i="5"/>
  <c r="L3924" i="5"/>
  <c r="L3925" i="5"/>
  <c r="L3926" i="5"/>
  <c r="L3927" i="5"/>
  <c r="L3928" i="5"/>
  <c r="L3929" i="5"/>
  <c r="L3930" i="5"/>
  <c r="L3931" i="5"/>
  <c r="L3932" i="5"/>
  <c r="L3933" i="5"/>
  <c r="L3934" i="5"/>
  <c r="L3935" i="5"/>
  <c r="L3936" i="5"/>
  <c r="L3937" i="5"/>
  <c r="L3938" i="5"/>
  <c r="L3939" i="5"/>
  <c r="L3940" i="5"/>
  <c r="L3941" i="5"/>
  <c r="L3942" i="5"/>
  <c r="L3943" i="5"/>
  <c r="L3944" i="5"/>
  <c r="L3945" i="5"/>
  <c r="L3946" i="5"/>
  <c r="L3947" i="5"/>
  <c r="L3948" i="5"/>
  <c r="L3949" i="5"/>
  <c r="L3950" i="5"/>
  <c r="L3951" i="5"/>
  <c r="L3952" i="5"/>
  <c r="L3953" i="5"/>
  <c r="L3954" i="5"/>
  <c r="L3955" i="5"/>
  <c r="L3956" i="5"/>
  <c r="L3957" i="5"/>
  <c r="L3958" i="5"/>
  <c r="L3959" i="5"/>
  <c r="L3960" i="5"/>
  <c r="L3961" i="5"/>
  <c r="L3962" i="5"/>
  <c r="L3963" i="5"/>
  <c r="L3964" i="5"/>
  <c r="L3965" i="5"/>
  <c r="L3966" i="5"/>
  <c r="L3967" i="5"/>
  <c r="L3968" i="5"/>
  <c r="L3969" i="5"/>
  <c r="L3970" i="5"/>
  <c r="L3971" i="5"/>
  <c r="L3972" i="5"/>
  <c r="L3973" i="5"/>
  <c r="L3974" i="5"/>
  <c r="L3975" i="5"/>
  <c r="L3976" i="5"/>
  <c r="L3977" i="5"/>
  <c r="L3978" i="5"/>
  <c r="L3979" i="5"/>
  <c r="L3980" i="5"/>
  <c r="L3981" i="5"/>
  <c r="L3982" i="5"/>
  <c r="L3983" i="5"/>
  <c r="L3984" i="5"/>
  <c r="L3985" i="5"/>
  <c r="L3986" i="5"/>
  <c r="L3987" i="5"/>
  <c r="L3988" i="5"/>
  <c r="L3989" i="5"/>
  <c r="L3990" i="5"/>
  <c r="L3991" i="5"/>
  <c r="L3992" i="5"/>
  <c r="L3993" i="5"/>
  <c r="L3994" i="5"/>
  <c r="L3995" i="5"/>
  <c r="L3996" i="5"/>
  <c r="L3997" i="5"/>
  <c r="L3998" i="5"/>
  <c r="L3999" i="5"/>
  <c r="L4000" i="5"/>
  <c r="L4001" i="5"/>
  <c r="L4002" i="5"/>
  <c r="L4003" i="5"/>
  <c r="L4004" i="5"/>
  <c r="L4005" i="5"/>
  <c r="L4006" i="5"/>
  <c r="L4007" i="5"/>
  <c r="L4008" i="5"/>
  <c r="L4009" i="5"/>
  <c r="L4010" i="5"/>
  <c r="L4011" i="5"/>
  <c r="L4012" i="5"/>
  <c r="L4013" i="5"/>
  <c r="L4014" i="5"/>
  <c r="L4015" i="5"/>
  <c r="L4016" i="5"/>
  <c r="L4017" i="5"/>
  <c r="L4018" i="5"/>
  <c r="L4019" i="5"/>
  <c r="L4020" i="5"/>
  <c r="L4021" i="5"/>
  <c r="L4022" i="5"/>
  <c r="L4023" i="5"/>
  <c r="L4024" i="5"/>
  <c r="L4025" i="5"/>
  <c r="L4026" i="5"/>
  <c r="L4027" i="5"/>
  <c r="L4028" i="5"/>
  <c r="L4029" i="5"/>
  <c r="L4030" i="5"/>
  <c r="L4031" i="5"/>
  <c r="L4032" i="5"/>
  <c r="L4033" i="5"/>
  <c r="L4034" i="5"/>
  <c r="L4035" i="5"/>
  <c r="L4036" i="5"/>
  <c r="L4037" i="5"/>
  <c r="L4038" i="5"/>
  <c r="L4039" i="5"/>
  <c r="L4040" i="5"/>
  <c r="L4041" i="5"/>
  <c r="L4042" i="5"/>
  <c r="L4043" i="5"/>
  <c r="L4044" i="5"/>
  <c r="L4045" i="5"/>
  <c r="L4046" i="5"/>
  <c r="L4047" i="5"/>
  <c r="L4048" i="5"/>
  <c r="L4049" i="5"/>
  <c r="L4050" i="5"/>
  <c r="L4051" i="5"/>
  <c r="L4052" i="5"/>
  <c r="L4053" i="5"/>
  <c r="L4054" i="5"/>
  <c r="L4055" i="5"/>
  <c r="L4056" i="5"/>
  <c r="L4057" i="5"/>
  <c r="L4058" i="5"/>
  <c r="L4059" i="5"/>
  <c r="L4060" i="5"/>
  <c r="L4061" i="5"/>
  <c r="L4062" i="5"/>
  <c r="L4063" i="5"/>
  <c r="L4064" i="5"/>
  <c r="L4065" i="5"/>
  <c r="L4066" i="5"/>
  <c r="L4067" i="5"/>
  <c r="L4068" i="5"/>
  <c r="L4069" i="5"/>
  <c r="L4070" i="5"/>
  <c r="L4071" i="5"/>
  <c r="L4072" i="5"/>
  <c r="L4073" i="5"/>
  <c r="L4074" i="5"/>
  <c r="L4075" i="5"/>
  <c r="L4076" i="5"/>
  <c r="L4077" i="5"/>
  <c r="L4078" i="5"/>
  <c r="L4079" i="5"/>
  <c r="L4080" i="5"/>
  <c r="L4081" i="5"/>
  <c r="L4082" i="5"/>
  <c r="L4083" i="5"/>
  <c r="L4084" i="5"/>
  <c r="L4085" i="5"/>
  <c r="L4086" i="5"/>
  <c r="L4087" i="5"/>
  <c r="L4088" i="5"/>
  <c r="L4089" i="5"/>
  <c r="L4090" i="5"/>
  <c r="L4091" i="5"/>
  <c r="L4092" i="5"/>
  <c r="L4093" i="5"/>
  <c r="L4094" i="5"/>
  <c r="L4095" i="5"/>
  <c r="L4096" i="5"/>
  <c r="L4097" i="5"/>
  <c r="L4098" i="5"/>
  <c r="L4099" i="5"/>
  <c r="L4100" i="5"/>
  <c r="L4101" i="5"/>
  <c r="L4102" i="5"/>
  <c r="L4103" i="5"/>
  <c r="L4104" i="5"/>
  <c r="L4105" i="5"/>
  <c r="L4106" i="5"/>
  <c r="L4107" i="5"/>
  <c r="L4108" i="5"/>
  <c r="L4109" i="5"/>
  <c r="L4110" i="5"/>
  <c r="L4111" i="5"/>
  <c r="L4112" i="5"/>
  <c r="L4113" i="5"/>
  <c r="L4114" i="5"/>
  <c r="L4115" i="5"/>
  <c r="L4116" i="5"/>
  <c r="L4117" i="5"/>
  <c r="L4118" i="5"/>
  <c r="L4119" i="5"/>
  <c r="L4120" i="5"/>
  <c r="L4121" i="5"/>
  <c r="L4122" i="5"/>
  <c r="L4123" i="5"/>
  <c r="L4124" i="5"/>
  <c r="L4125" i="5"/>
  <c r="L4126" i="5"/>
  <c r="L4127" i="5"/>
  <c r="L4128" i="5"/>
  <c r="L4129" i="5"/>
  <c r="L4130" i="5"/>
  <c r="L4131" i="5"/>
  <c r="L4132" i="5"/>
  <c r="L4133" i="5"/>
  <c r="L4134" i="5"/>
  <c r="L4135" i="5"/>
  <c r="L4136" i="5"/>
  <c r="L4137" i="5"/>
  <c r="L4138" i="5"/>
  <c r="L4139" i="5"/>
  <c r="L4140" i="5"/>
  <c r="L4141" i="5"/>
  <c r="L4142" i="5"/>
  <c r="L4143" i="5"/>
  <c r="L4144" i="5"/>
  <c r="L4145" i="5"/>
  <c r="L4146" i="5"/>
  <c r="L4147" i="5"/>
  <c r="L4148" i="5"/>
  <c r="L4149" i="5"/>
  <c r="L4150" i="5"/>
  <c r="L4151" i="5"/>
  <c r="L4152" i="5"/>
  <c r="L4153" i="5"/>
  <c r="L4154" i="5"/>
  <c r="L4155" i="5"/>
  <c r="L4156" i="5"/>
  <c r="L4157" i="5"/>
  <c r="L4158" i="5"/>
  <c r="L4159" i="5"/>
  <c r="L4160" i="5"/>
  <c r="L4161" i="5"/>
  <c r="L4162" i="5"/>
  <c r="L4163" i="5"/>
  <c r="L4164" i="5"/>
  <c r="L4165" i="5"/>
  <c r="L4166" i="5"/>
  <c r="L4167" i="5"/>
  <c r="L4168" i="5"/>
  <c r="L4169" i="5"/>
  <c r="L4170" i="5"/>
  <c r="L4171" i="5"/>
  <c r="L4172" i="5"/>
  <c r="L4173" i="5"/>
  <c r="L4174" i="5"/>
  <c r="L4175" i="5"/>
  <c r="L4176" i="5"/>
  <c r="L4177" i="5"/>
  <c r="L4178" i="5"/>
  <c r="L4179" i="5"/>
  <c r="L4180" i="5"/>
  <c r="L4181" i="5"/>
  <c r="L4182" i="5"/>
  <c r="L4183" i="5"/>
  <c r="L4184" i="5"/>
  <c r="L4185" i="5"/>
  <c r="L4186" i="5"/>
  <c r="L4187" i="5"/>
  <c r="L4188" i="5"/>
  <c r="L4189" i="5"/>
  <c r="L4190" i="5"/>
  <c r="L4191" i="5"/>
  <c r="L4192" i="5"/>
  <c r="L4193" i="5"/>
  <c r="L4194" i="5"/>
  <c r="L4195" i="5"/>
  <c r="L4196" i="5"/>
  <c r="L4197" i="5"/>
  <c r="L4198" i="5"/>
  <c r="L4199" i="5"/>
  <c r="L4200" i="5"/>
  <c r="L4201" i="5"/>
  <c r="L4202" i="5"/>
  <c r="L4203" i="5"/>
  <c r="L4204" i="5"/>
  <c r="L4205" i="5"/>
  <c r="L4206" i="5"/>
  <c r="L4207" i="5"/>
  <c r="L4208" i="5"/>
  <c r="L4209" i="5"/>
  <c r="L4210" i="5"/>
  <c r="L4211" i="5"/>
  <c r="L4212" i="5"/>
  <c r="L4213" i="5"/>
  <c r="L4214" i="5"/>
  <c r="L4215" i="5"/>
  <c r="L4216" i="5"/>
  <c r="L4217" i="5"/>
  <c r="L4218" i="5"/>
  <c r="L4219" i="5"/>
  <c r="L4220" i="5"/>
  <c r="L4221" i="5"/>
  <c r="L4222" i="5"/>
  <c r="L4223" i="5"/>
  <c r="L4224" i="5"/>
  <c r="L4225" i="5"/>
  <c r="L4226" i="5"/>
  <c r="L4227" i="5"/>
  <c r="L4228" i="5"/>
  <c r="L4229" i="5"/>
  <c r="L4230" i="5"/>
  <c r="L4231" i="5"/>
  <c r="L4232" i="5"/>
  <c r="L4233" i="5"/>
  <c r="L4234" i="5"/>
  <c r="L4235" i="5"/>
  <c r="L4236" i="5"/>
  <c r="L4237" i="5"/>
  <c r="L4238" i="5"/>
  <c r="L4239" i="5"/>
  <c r="L4240" i="5"/>
  <c r="L4241" i="5"/>
  <c r="L4242" i="5"/>
  <c r="L4243" i="5"/>
  <c r="L4244" i="5"/>
  <c r="L4245" i="5"/>
  <c r="L4246" i="5"/>
  <c r="L4247" i="5"/>
  <c r="L4248" i="5"/>
  <c r="L4249" i="5"/>
  <c r="L4250" i="5"/>
  <c r="L4251" i="5"/>
  <c r="L4252" i="5"/>
  <c r="L4253" i="5"/>
  <c r="L4254" i="5"/>
  <c r="L4255" i="5"/>
  <c r="L4256" i="5"/>
  <c r="L4257" i="5"/>
  <c r="L4258" i="5"/>
  <c r="L4259" i="5"/>
  <c r="L4260" i="5"/>
  <c r="L4261" i="5"/>
  <c r="L4262" i="5"/>
  <c r="L4263" i="5"/>
  <c r="L4264" i="5"/>
  <c r="L4265" i="5"/>
  <c r="L4266" i="5"/>
  <c r="L4267" i="5"/>
  <c r="L4268" i="5"/>
  <c r="L4269" i="5"/>
  <c r="L4270" i="5"/>
  <c r="L4271" i="5"/>
  <c r="L4272" i="5"/>
  <c r="L4273" i="5"/>
  <c r="L4274" i="5"/>
  <c r="L4275" i="5"/>
  <c r="L4276" i="5"/>
  <c r="L4277" i="5"/>
  <c r="L4278" i="5"/>
  <c r="L4279" i="5"/>
  <c r="L4280" i="5"/>
  <c r="L4281" i="5"/>
  <c r="L4282" i="5"/>
  <c r="L4283" i="5"/>
  <c r="L4284" i="5"/>
  <c r="L4285" i="5"/>
  <c r="L4286" i="5"/>
  <c r="L4287" i="5"/>
  <c r="L4288" i="5"/>
  <c r="L4289" i="5"/>
  <c r="L4290" i="5"/>
  <c r="L4291" i="5"/>
  <c r="L4292" i="5"/>
  <c r="L4293" i="5"/>
  <c r="L4294" i="5"/>
  <c r="L4295" i="5"/>
  <c r="L4296" i="5"/>
  <c r="L4297" i="5"/>
  <c r="L4298" i="5"/>
  <c r="L4299" i="5"/>
  <c r="L4300" i="5"/>
  <c r="L4301" i="5"/>
  <c r="L4302" i="5"/>
  <c r="L4303" i="5"/>
  <c r="L4304" i="5"/>
  <c r="L4305" i="5"/>
  <c r="L4306" i="5"/>
  <c r="L4307" i="5"/>
  <c r="L4308" i="5"/>
  <c r="L4309" i="5"/>
  <c r="L4310" i="5"/>
  <c r="L4311" i="5"/>
  <c r="L4312" i="5"/>
  <c r="L4313" i="5"/>
  <c r="L4314" i="5"/>
  <c r="L4315" i="5"/>
  <c r="L4316" i="5"/>
  <c r="L4317" i="5"/>
  <c r="L4318" i="5"/>
  <c r="L4319" i="5"/>
  <c r="L4320" i="5"/>
  <c r="L4321" i="5"/>
  <c r="L4322" i="5"/>
  <c r="L4323" i="5"/>
  <c r="L4324" i="5"/>
  <c r="L4325" i="5"/>
  <c r="L4326" i="5"/>
  <c r="L4327" i="5"/>
  <c r="L4328" i="5"/>
  <c r="L4329" i="5"/>
  <c r="L4330" i="5"/>
  <c r="L4331" i="5"/>
  <c r="L4332" i="5"/>
  <c r="L4333" i="5"/>
  <c r="L4334" i="5"/>
  <c r="L4335" i="5"/>
  <c r="L4336" i="5"/>
  <c r="L4337" i="5"/>
  <c r="L4338" i="5"/>
  <c r="L4339" i="5"/>
  <c r="L4340" i="5"/>
  <c r="L4341" i="5"/>
  <c r="L4342" i="5"/>
  <c r="L4343" i="5"/>
  <c r="L4344" i="5"/>
  <c r="L4345" i="5"/>
  <c r="L4346" i="5"/>
  <c r="L4347" i="5"/>
  <c r="L4348" i="5"/>
  <c r="L4349" i="5"/>
  <c r="L4350" i="5"/>
  <c r="L4351" i="5"/>
  <c r="L4352" i="5"/>
  <c r="L4353" i="5"/>
  <c r="L4354" i="5"/>
  <c r="L4355" i="5"/>
  <c r="L4356" i="5"/>
  <c r="L4357" i="5"/>
  <c r="L4358" i="5"/>
  <c r="L4359" i="5"/>
  <c r="L4360" i="5"/>
  <c r="L4361" i="5"/>
  <c r="L4362" i="5"/>
  <c r="L4363" i="5"/>
  <c r="L4364" i="5"/>
  <c r="L4365" i="5"/>
  <c r="L4366" i="5"/>
  <c r="L4367" i="5"/>
  <c r="L4368" i="5"/>
  <c r="L4369" i="5"/>
  <c r="L4370" i="5"/>
  <c r="L4371" i="5"/>
  <c r="L4372" i="5"/>
  <c r="L4373" i="5"/>
  <c r="L4374" i="5"/>
  <c r="L4375" i="5"/>
  <c r="L4376" i="5"/>
  <c r="L4377" i="5"/>
  <c r="L4378" i="5"/>
  <c r="L4379" i="5"/>
  <c r="L4380" i="5"/>
  <c r="L4381" i="5"/>
  <c r="L4382" i="5"/>
  <c r="L4383" i="5"/>
  <c r="L4384" i="5"/>
  <c r="L4385" i="5"/>
  <c r="L4386" i="5"/>
  <c r="L4387" i="5"/>
  <c r="L4388" i="5"/>
  <c r="L4389" i="5"/>
  <c r="L4390" i="5"/>
  <c r="L4391" i="5"/>
  <c r="L4392" i="5"/>
  <c r="L4393" i="5"/>
  <c r="L4394" i="5"/>
  <c r="L4395" i="5"/>
  <c r="L4396" i="5"/>
  <c r="L4397" i="5"/>
  <c r="L4398" i="5"/>
  <c r="L4399" i="5"/>
  <c r="L4400" i="5"/>
  <c r="L4401" i="5"/>
  <c r="L4402" i="5"/>
  <c r="L4403" i="5"/>
  <c r="L4404" i="5"/>
  <c r="L4405" i="5"/>
  <c r="L4406" i="5"/>
  <c r="L4407" i="5"/>
  <c r="L4408" i="5"/>
  <c r="L4409" i="5"/>
  <c r="L4410" i="5"/>
  <c r="L4411" i="5"/>
  <c r="L4412" i="5"/>
  <c r="L4413" i="5"/>
  <c r="L4414" i="5"/>
  <c r="L4415" i="5"/>
  <c r="L4416" i="5"/>
  <c r="L4417" i="5"/>
  <c r="L4418" i="5"/>
  <c r="L4419" i="5"/>
  <c r="L4420" i="5"/>
  <c r="L4421" i="5"/>
  <c r="L4422" i="5"/>
  <c r="L4423" i="5"/>
  <c r="L4424" i="5"/>
  <c r="L4425" i="5"/>
  <c r="L4426" i="5"/>
  <c r="L4427" i="5"/>
  <c r="L4428" i="5"/>
  <c r="L4429" i="5"/>
  <c r="L4430" i="5"/>
  <c r="L4431" i="5"/>
  <c r="L4432" i="5"/>
  <c r="L4433" i="5"/>
  <c r="L4434" i="5"/>
  <c r="L4435" i="5"/>
  <c r="L4436" i="5"/>
  <c r="L4437" i="5"/>
  <c r="L4438" i="5"/>
  <c r="L4439" i="5"/>
  <c r="L4440" i="5"/>
  <c r="L4441" i="5"/>
  <c r="L4442" i="5"/>
  <c r="L4443" i="5"/>
  <c r="L4444" i="5"/>
  <c r="L4445" i="5"/>
  <c r="L4446" i="5"/>
  <c r="L4447" i="5"/>
  <c r="L4448" i="5"/>
  <c r="L4449" i="5"/>
  <c r="L4450" i="5"/>
  <c r="L4451" i="5"/>
  <c r="L4452" i="5"/>
  <c r="L4453" i="5"/>
  <c r="L4454" i="5"/>
  <c r="L4455" i="5"/>
  <c r="L4456" i="5"/>
  <c r="L4457" i="5"/>
  <c r="L4458" i="5"/>
  <c r="L4459" i="5"/>
  <c r="L4460" i="5"/>
  <c r="L4461" i="5"/>
  <c r="L4462" i="5"/>
  <c r="L4463" i="5"/>
  <c r="L4464" i="5"/>
  <c r="L4465" i="5"/>
  <c r="L4466" i="5"/>
  <c r="L4467" i="5"/>
  <c r="L4468" i="5"/>
  <c r="L4469" i="5"/>
  <c r="L4470" i="5"/>
  <c r="L4471" i="5"/>
  <c r="L4472" i="5"/>
  <c r="L4473" i="5"/>
  <c r="L4474" i="5"/>
  <c r="L4475" i="5"/>
  <c r="L4476" i="5"/>
  <c r="L4477" i="5"/>
  <c r="L4478" i="5"/>
  <c r="L4479" i="5"/>
  <c r="L4480" i="5"/>
  <c r="L4481" i="5"/>
  <c r="L4482" i="5"/>
  <c r="L4483" i="5"/>
  <c r="L4484" i="5"/>
  <c r="L4485" i="5"/>
  <c r="L4486" i="5"/>
  <c r="L4487" i="5"/>
  <c r="L4488" i="5"/>
  <c r="L4489" i="5"/>
  <c r="L4490" i="5"/>
  <c r="L4491" i="5"/>
  <c r="L4492" i="5"/>
  <c r="L4493" i="5"/>
  <c r="L4494" i="5"/>
  <c r="L4495" i="5"/>
  <c r="L4496" i="5"/>
  <c r="L4497" i="5"/>
  <c r="L4498" i="5"/>
  <c r="L4499" i="5"/>
  <c r="L4500" i="5"/>
  <c r="L4501" i="5"/>
  <c r="L4502" i="5"/>
  <c r="L4503" i="5"/>
  <c r="L4504" i="5"/>
  <c r="L4505" i="5"/>
  <c r="L4506" i="5"/>
  <c r="L4507" i="5"/>
  <c r="L4508" i="5"/>
  <c r="L4509" i="5"/>
  <c r="L4510" i="5"/>
  <c r="L4511" i="5"/>
  <c r="L4512" i="5"/>
  <c r="L4513" i="5"/>
  <c r="L4514" i="5"/>
  <c r="L4515" i="5"/>
  <c r="L4516" i="5"/>
  <c r="L4517" i="5"/>
  <c r="L4518" i="5"/>
  <c r="L4519" i="5"/>
  <c r="L4520" i="5"/>
  <c r="L4521" i="5"/>
  <c r="L4522" i="5"/>
  <c r="L4523" i="5"/>
  <c r="L4524" i="5"/>
  <c r="L4525" i="5"/>
  <c r="L4526" i="5"/>
  <c r="L4527" i="5"/>
  <c r="L4528" i="5"/>
  <c r="L4529" i="5"/>
  <c r="L4530" i="5"/>
  <c r="L4531" i="5"/>
  <c r="L4532" i="5"/>
  <c r="L4533" i="5"/>
  <c r="L4534" i="5"/>
  <c r="L4535" i="5"/>
  <c r="L4536" i="5"/>
  <c r="L4537" i="5"/>
  <c r="L4538" i="5"/>
  <c r="L4539" i="5"/>
  <c r="L4540" i="5"/>
  <c r="L4541" i="5"/>
  <c r="L4542" i="5"/>
  <c r="L4543" i="5"/>
  <c r="L4544" i="5"/>
  <c r="L4545" i="5"/>
  <c r="L4546" i="5"/>
  <c r="L4547" i="5"/>
  <c r="L4548" i="5"/>
  <c r="L4549" i="5"/>
  <c r="L4550" i="5"/>
  <c r="L4551" i="5"/>
  <c r="L4552" i="5"/>
  <c r="L4553" i="5"/>
  <c r="L4554" i="5"/>
  <c r="L4555" i="5"/>
  <c r="L4556" i="5"/>
  <c r="L4557" i="5"/>
  <c r="L4558" i="5"/>
  <c r="L4559" i="5"/>
  <c r="L4560" i="5"/>
  <c r="L4561" i="5"/>
  <c r="L4562" i="5"/>
  <c r="L4563" i="5"/>
  <c r="L4564" i="5"/>
  <c r="L4565" i="5"/>
  <c r="L4566" i="5"/>
  <c r="L4567" i="5"/>
  <c r="L4568" i="5"/>
  <c r="L4569" i="5"/>
  <c r="L4570" i="5"/>
  <c r="L4571" i="5"/>
  <c r="L4572" i="5"/>
  <c r="L4573" i="5"/>
  <c r="L4574" i="5"/>
  <c r="L4575" i="5"/>
  <c r="L4576" i="5"/>
  <c r="L4577" i="5"/>
  <c r="L4578" i="5"/>
  <c r="L4579" i="5"/>
  <c r="L4580" i="5"/>
  <c r="L4581" i="5"/>
  <c r="L4582" i="5"/>
  <c r="L4583" i="5"/>
  <c r="L4584" i="5"/>
  <c r="L4585" i="5"/>
  <c r="L4586" i="5"/>
  <c r="L4587" i="5"/>
  <c r="L4588" i="5"/>
  <c r="L4589" i="5"/>
  <c r="L4590" i="5"/>
  <c r="L4591" i="5"/>
  <c r="L4592" i="5"/>
  <c r="L4593" i="5"/>
  <c r="L4594" i="5"/>
  <c r="L4595" i="5"/>
  <c r="L4596" i="5"/>
  <c r="L4597" i="5"/>
  <c r="L4598" i="5"/>
  <c r="L4599" i="5"/>
  <c r="L4600" i="5"/>
  <c r="L4601" i="5"/>
  <c r="L4602" i="5"/>
  <c r="L4603" i="5"/>
  <c r="L4604" i="5"/>
  <c r="L4605" i="5"/>
  <c r="L4606" i="5"/>
  <c r="L4607" i="5"/>
  <c r="L4608" i="5"/>
  <c r="L4609" i="5"/>
  <c r="L4610" i="5"/>
  <c r="L4611" i="5"/>
  <c r="L4612" i="5"/>
  <c r="L4613" i="5"/>
  <c r="L4614" i="5"/>
  <c r="L4615" i="5"/>
  <c r="L4616" i="5"/>
  <c r="L4617" i="5"/>
  <c r="L4618" i="5"/>
  <c r="L4619" i="5"/>
  <c r="L4620" i="5"/>
  <c r="L4621" i="5"/>
  <c r="L4622" i="5"/>
  <c r="L4623" i="5"/>
  <c r="L4624" i="5"/>
  <c r="L4625" i="5"/>
  <c r="L4626" i="5"/>
  <c r="L4627" i="5"/>
  <c r="L4628" i="5"/>
  <c r="L4629" i="5"/>
  <c r="L4630" i="5"/>
  <c r="L4631" i="5"/>
  <c r="L4632" i="5"/>
  <c r="L4633" i="5"/>
  <c r="L4634" i="5"/>
  <c r="L4635" i="5"/>
  <c r="L4636" i="5"/>
  <c r="L4637" i="5"/>
  <c r="L4638" i="5"/>
  <c r="L4639" i="5"/>
  <c r="L4640" i="5"/>
  <c r="L4641" i="5"/>
  <c r="L4642" i="5"/>
  <c r="L4643" i="5"/>
  <c r="L4644" i="5"/>
  <c r="L4645" i="5"/>
  <c r="L4646" i="5"/>
  <c r="L4647" i="5"/>
  <c r="L4648" i="5"/>
  <c r="L4649" i="5"/>
  <c r="L4650" i="5"/>
  <c r="L4651" i="5"/>
  <c r="L4652" i="5"/>
  <c r="L4653" i="5"/>
  <c r="L4654" i="5"/>
  <c r="L4655" i="5"/>
  <c r="L4656" i="5"/>
  <c r="L4657" i="5"/>
  <c r="L4658" i="5"/>
  <c r="L4659" i="5"/>
  <c r="L4660" i="5"/>
  <c r="L4661" i="5"/>
  <c r="L4662" i="5"/>
  <c r="L4663" i="5"/>
  <c r="L4664" i="5"/>
  <c r="L4665" i="5"/>
  <c r="L4666" i="5"/>
  <c r="L4667" i="5"/>
  <c r="L4668" i="5"/>
  <c r="L4669" i="5"/>
  <c r="L4670" i="5"/>
  <c r="L4671" i="5"/>
  <c r="L4672" i="5"/>
  <c r="L4673" i="5"/>
  <c r="L4674" i="5"/>
  <c r="L4675" i="5"/>
  <c r="L4676" i="5"/>
  <c r="L4677" i="5"/>
  <c r="L4678" i="5"/>
  <c r="L4679" i="5"/>
  <c r="L4680" i="5"/>
  <c r="L4681" i="5"/>
  <c r="L4682" i="5"/>
  <c r="L4683" i="5"/>
  <c r="L4684" i="5"/>
  <c r="L4685" i="5"/>
  <c r="L4686" i="5"/>
  <c r="L4687" i="5"/>
  <c r="L4688" i="5"/>
  <c r="L4689" i="5"/>
  <c r="L4690" i="5"/>
  <c r="L4691" i="5"/>
  <c r="L4692" i="5"/>
  <c r="L4693" i="5"/>
  <c r="L4694" i="5"/>
  <c r="L4695" i="5"/>
  <c r="L4696" i="5"/>
  <c r="L4697" i="5"/>
  <c r="L4698" i="5"/>
  <c r="L4699" i="5"/>
  <c r="L4700" i="5"/>
  <c r="L4701" i="5"/>
  <c r="L4702" i="5"/>
  <c r="L4703" i="5"/>
  <c r="L4704" i="5"/>
  <c r="L4705" i="5"/>
  <c r="L4706" i="5"/>
  <c r="L4707" i="5"/>
  <c r="L4708" i="5"/>
  <c r="L4709" i="5"/>
  <c r="L4710" i="5"/>
  <c r="L4711" i="5"/>
  <c r="L4712" i="5"/>
  <c r="L4713" i="5"/>
  <c r="L4714" i="5"/>
  <c r="L4715" i="5"/>
  <c r="L4716" i="5"/>
  <c r="L4717" i="5"/>
  <c r="L4718" i="5"/>
  <c r="L4719" i="5"/>
  <c r="L4720" i="5"/>
  <c r="L4721" i="5"/>
  <c r="L4722" i="5"/>
  <c r="L4723" i="5"/>
  <c r="L4724" i="5"/>
  <c r="L4725" i="5"/>
  <c r="L4726" i="5"/>
  <c r="L4727" i="5"/>
  <c r="L4728" i="5"/>
  <c r="L4729" i="5"/>
  <c r="L4730" i="5"/>
  <c r="L4731" i="5"/>
  <c r="L4732" i="5"/>
  <c r="L4733" i="5"/>
  <c r="L4734" i="5"/>
  <c r="L4735" i="5"/>
  <c r="L4736" i="5"/>
  <c r="L4737" i="5"/>
  <c r="L4738" i="5"/>
  <c r="L4739" i="5"/>
  <c r="L4740" i="5"/>
  <c r="L4741" i="5"/>
  <c r="L4742" i="5"/>
  <c r="L4743" i="5"/>
  <c r="L4744" i="5"/>
  <c r="L4745" i="5"/>
  <c r="L4746" i="5"/>
  <c r="L4747" i="5"/>
  <c r="L4748" i="5"/>
  <c r="L4749" i="5"/>
  <c r="L4750" i="5"/>
  <c r="L4751" i="5"/>
  <c r="L4752" i="5"/>
  <c r="L4753" i="5"/>
  <c r="L4754" i="5"/>
  <c r="L4755" i="5"/>
  <c r="L4756" i="5"/>
  <c r="L4757" i="5"/>
  <c r="L4758" i="5"/>
  <c r="L4759" i="5"/>
  <c r="L4760" i="5"/>
  <c r="L4761" i="5"/>
  <c r="L4762" i="5"/>
  <c r="L4763" i="5"/>
  <c r="L4764" i="5"/>
  <c r="L4765" i="5"/>
  <c r="L4766" i="5"/>
  <c r="L4767" i="5"/>
  <c r="L4768" i="5"/>
  <c r="L4769" i="5"/>
  <c r="L4770" i="5"/>
  <c r="L4771" i="5"/>
  <c r="L4772" i="5"/>
  <c r="L4773" i="5"/>
  <c r="L4774" i="5"/>
  <c r="L4775" i="5"/>
  <c r="L4776" i="5"/>
  <c r="L4777" i="5"/>
  <c r="L4778" i="5"/>
  <c r="L4779" i="5"/>
  <c r="L4780" i="5"/>
  <c r="L4781" i="5"/>
  <c r="L4782" i="5"/>
  <c r="L4783" i="5"/>
  <c r="L4784" i="5"/>
  <c r="L4785" i="5"/>
  <c r="L4786" i="5"/>
  <c r="L4787" i="5"/>
  <c r="L4788" i="5"/>
  <c r="L4789" i="5"/>
  <c r="L4790" i="5"/>
  <c r="L4791" i="5"/>
  <c r="L4792" i="5"/>
  <c r="L4793" i="5"/>
  <c r="L4794" i="5"/>
  <c r="L4795" i="5"/>
  <c r="L4796" i="5"/>
  <c r="L4797" i="5"/>
  <c r="L4798" i="5"/>
  <c r="L4799" i="5"/>
  <c r="L4800" i="5"/>
  <c r="L4801" i="5"/>
  <c r="L4802" i="5"/>
  <c r="L4803" i="5"/>
  <c r="L4804" i="5"/>
  <c r="L4805" i="5"/>
  <c r="L4806" i="5"/>
  <c r="L4807" i="5"/>
  <c r="L4808" i="5"/>
  <c r="L4809" i="5"/>
  <c r="L4810" i="5"/>
  <c r="L4811" i="5"/>
  <c r="L4812" i="5"/>
  <c r="L4813" i="5"/>
  <c r="L4814" i="5"/>
  <c r="L4815" i="5"/>
  <c r="L4816" i="5"/>
  <c r="L4817" i="5"/>
  <c r="L4818" i="5"/>
  <c r="L4819" i="5"/>
  <c r="L4820" i="5"/>
  <c r="L4821" i="5"/>
  <c r="L4822" i="5"/>
  <c r="L4823" i="5"/>
  <c r="L4824" i="5"/>
  <c r="L4825" i="5"/>
  <c r="L4826" i="5"/>
  <c r="L4827" i="5"/>
  <c r="L4828" i="5"/>
  <c r="L4829" i="5"/>
  <c r="L4830" i="5"/>
  <c r="L4831" i="5"/>
  <c r="L4832" i="5"/>
  <c r="L4833" i="5"/>
  <c r="L4834" i="5"/>
  <c r="L4835" i="5"/>
  <c r="L4836" i="5"/>
  <c r="L4837" i="5"/>
  <c r="L4838" i="5"/>
  <c r="L4839" i="5"/>
  <c r="L4840" i="5"/>
  <c r="L4841" i="5"/>
  <c r="L4842" i="5"/>
  <c r="L4843" i="5"/>
  <c r="L4844" i="5"/>
  <c r="L4845" i="5"/>
  <c r="L4846" i="5"/>
  <c r="L4847" i="5"/>
  <c r="L4848" i="5"/>
  <c r="L4849" i="5"/>
  <c r="L4850" i="5"/>
  <c r="L4851" i="5"/>
  <c r="L4852" i="5"/>
  <c r="L4853" i="5"/>
  <c r="L4854" i="5"/>
  <c r="L4855" i="5"/>
  <c r="L4856" i="5"/>
  <c r="L4857" i="5"/>
  <c r="L4858" i="5"/>
  <c r="L4859" i="5"/>
  <c r="L4860" i="5"/>
  <c r="L4861" i="5"/>
  <c r="L4862" i="5"/>
  <c r="L4863" i="5"/>
  <c r="L4864" i="5"/>
  <c r="L4865" i="5"/>
  <c r="L4866" i="5"/>
  <c r="L4867" i="5"/>
  <c r="L4868" i="5"/>
  <c r="L4869" i="5"/>
  <c r="L4870" i="5"/>
  <c r="L4871" i="5"/>
  <c r="L4872" i="5"/>
  <c r="L4873" i="5"/>
  <c r="L4874" i="5"/>
  <c r="L4875" i="5"/>
  <c r="L4876" i="5"/>
  <c r="L4877" i="5"/>
  <c r="L4878" i="5"/>
  <c r="L4879" i="5"/>
  <c r="L4880" i="5"/>
  <c r="L4881" i="5"/>
  <c r="L4882" i="5"/>
  <c r="L4883" i="5"/>
  <c r="L4884" i="5"/>
  <c r="L4885" i="5"/>
  <c r="L4886" i="5"/>
  <c r="L4887" i="5"/>
  <c r="L4888" i="5"/>
  <c r="L4889" i="5"/>
  <c r="L4890" i="5"/>
  <c r="L4891" i="5"/>
  <c r="L4892" i="5"/>
  <c r="L4893" i="5"/>
  <c r="L4894" i="5"/>
  <c r="L4895" i="5"/>
  <c r="L4896" i="5"/>
  <c r="L4897" i="5"/>
  <c r="L4898" i="5"/>
  <c r="L4899" i="5"/>
  <c r="L4900" i="5"/>
  <c r="L4901" i="5"/>
  <c r="L4902" i="5"/>
  <c r="L4903" i="5"/>
  <c r="L4904" i="5"/>
  <c r="L4905" i="5"/>
  <c r="L4906" i="5"/>
  <c r="L4907" i="5"/>
  <c r="L4908" i="5"/>
  <c r="L4909" i="5"/>
  <c r="L4910" i="5"/>
  <c r="L4911" i="5"/>
  <c r="L4912" i="5"/>
  <c r="L4913" i="5"/>
  <c r="L4914" i="5"/>
  <c r="L4915" i="5"/>
  <c r="L4916" i="5"/>
  <c r="L4917" i="5"/>
  <c r="L4918" i="5"/>
  <c r="L4919" i="5"/>
  <c r="L4920" i="5"/>
  <c r="L4921" i="5"/>
  <c r="L4922" i="5"/>
  <c r="L4923" i="5"/>
  <c r="L4924" i="5"/>
  <c r="L4925" i="5"/>
  <c r="L4926" i="5"/>
  <c r="L4927" i="5"/>
  <c r="L4928" i="5"/>
  <c r="L4929" i="5"/>
  <c r="L4930" i="5"/>
  <c r="L4931" i="5"/>
  <c r="L4932" i="5"/>
  <c r="L4933" i="5"/>
  <c r="L4934" i="5"/>
  <c r="L4935" i="5"/>
  <c r="L4936" i="5"/>
  <c r="L4937" i="5"/>
  <c r="L4938" i="5"/>
  <c r="L4939" i="5"/>
  <c r="L4940" i="5"/>
  <c r="L4941" i="5"/>
  <c r="L4942" i="5"/>
  <c r="L4943" i="5"/>
  <c r="L4944" i="5"/>
  <c r="L4945" i="5"/>
  <c r="L4946" i="5"/>
  <c r="L4947" i="5"/>
  <c r="L4948" i="5"/>
  <c r="L4949" i="5"/>
  <c r="L4950" i="5"/>
  <c r="L4951" i="5"/>
  <c r="L4952" i="5"/>
  <c r="L4953" i="5"/>
  <c r="L4954" i="5"/>
  <c r="L4955" i="5"/>
  <c r="L4956" i="5"/>
  <c r="L4957" i="5"/>
  <c r="L4958" i="5"/>
  <c r="L4959" i="5"/>
  <c r="L4960" i="5"/>
  <c r="L4961" i="5"/>
  <c r="L4962" i="5"/>
  <c r="L4963" i="5"/>
  <c r="L4964" i="5"/>
  <c r="L4965" i="5"/>
  <c r="L4966" i="5"/>
  <c r="L4967" i="5"/>
  <c r="L4968" i="5"/>
  <c r="L4969" i="5"/>
  <c r="L4970" i="5"/>
  <c r="L4971" i="5"/>
  <c r="L4972" i="5"/>
  <c r="L4973" i="5"/>
  <c r="L4974" i="5"/>
  <c r="L4975" i="5"/>
  <c r="L4976" i="5"/>
  <c r="L4977" i="5"/>
  <c r="L4978" i="5"/>
  <c r="L4979" i="5"/>
  <c r="L4980" i="5"/>
  <c r="L4981" i="5"/>
  <c r="L4982" i="5"/>
  <c r="L4983" i="5"/>
  <c r="L4984" i="5"/>
  <c r="L4985" i="5"/>
  <c r="L4986" i="5"/>
  <c r="L4987" i="5"/>
  <c r="L4988" i="5"/>
  <c r="L4989" i="5"/>
  <c r="L4990" i="5"/>
  <c r="L4991" i="5"/>
  <c r="L4992" i="5"/>
  <c r="L4993" i="5"/>
  <c r="L4994" i="5"/>
  <c r="L4995" i="5"/>
  <c r="L4996" i="5"/>
  <c r="L4997" i="5"/>
  <c r="L4998" i="5"/>
  <c r="L4999" i="5"/>
  <c r="L5000" i="5"/>
  <c r="L5001" i="5"/>
  <c r="L5002" i="5"/>
  <c r="L5003" i="5"/>
  <c r="L5004" i="5"/>
  <c r="L5005" i="5"/>
  <c r="L5006" i="5"/>
  <c r="L5007" i="5"/>
  <c r="L5008" i="5"/>
  <c r="L5009" i="5"/>
  <c r="L5010" i="5"/>
  <c r="L5011" i="5"/>
  <c r="L5012" i="5"/>
  <c r="L5013" i="5"/>
  <c r="L5014" i="5"/>
  <c r="L5015" i="5"/>
  <c r="L5016" i="5"/>
  <c r="L5017" i="5"/>
  <c r="L5018" i="5"/>
  <c r="L5019" i="5"/>
  <c r="L5020" i="5"/>
  <c r="L5021" i="5"/>
  <c r="L5022" i="5"/>
  <c r="L5023" i="5"/>
  <c r="L5024" i="5"/>
  <c r="L5025" i="5"/>
  <c r="L5026" i="5"/>
  <c r="L5027" i="5"/>
  <c r="L5028" i="5"/>
  <c r="L5029" i="5"/>
  <c r="L5030" i="5"/>
  <c r="L5031" i="5"/>
  <c r="L5032" i="5"/>
  <c r="L5033" i="5"/>
  <c r="L5034" i="5"/>
  <c r="L5035" i="5"/>
  <c r="L5036" i="5"/>
  <c r="L5037" i="5"/>
  <c r="L5038" i="5"/>
  <c r="L5039" i="5"/>
  <c r="L5040" i="5"/>
  <c r="L5041" i="5"/>
  <c r="L5042" i="5"/>
  <c r="L5043" i="5"/>
  <c r="L5044" i="5"/>
  <c r="L5045" i="5"/>
  <c r="L5046" i="5"/>
  <c r="L5047" i="5"/>
  <c r="L5048" i="5"/>
  <c r="L5049" i="5"/>
  <c r="L5050" i="5"/>
  <c r="L5051" i="5"/>
  <c r="L5052" i="5"/>
  <c r="L5053" i="5"/>
  <c r="L5054" i="5"/>
  <c r="L5055" i="5"/>
  <c r="L5056" i="5"/>
  <c r="L5057" i="5"/>
  <c r="L5058" i="5"/>
  <c r="L5059" i="5"/>
  <c r="L5060" i="5"/>
  <c r="L5061" i="5"/>
  <c r="L5062" i="5"/>
  <c r="L5063" i="5"/>
  <c r="L5064" i="5"/>
  <c r="L5065" i="5"/>
  <c r="L5066" i="5"/>
  <c r="L5067" i="5"/>
  <c r="L5068" i="5"/>
  <c r="L5069" i="5"/>
  <c r="L5070" i="5"/>
  <c r="L5071" i="5"/>
  <c r="L5072" i="5"/>
  <c r="L5073" i="5"/>
  <c r="L5074" i="5"/>
  <c r="L5075" i="5"/>
  <c r="L5076" i="5"/>
  <c r="L5077" i="5"/>
  <c r="L5078" i="5"/>
  <c r="L5079" i="5"/>
  <c r="L5080" i="5"/>
  <c r="L5081" i="5"/>
  <c r="L5082" i="5"/>
  <c r="L5083" i="5"/>
  <c r="L5084" i="5"/>
  <c r="L5085" i="5"/>
  <c r="L5086" i="5"/>
  <c r="L5087" i="5"/>
  <c r="L5088" i="5"/>
  <c r="L5089" i="5"/>
  <c r="L5090" i="5"/>
  <c r="L5091" i="5"/>
  <c r="L5092" i="5"/>
  <c r="L5093" i="5"/>
  <c r="L5094" i="5"/>
  <c r="L5095" i="5"/>
  <c r="L5096" i="5"/>
  <c r="L5097" i="5"/>
  <c r="L5098" i="5"/>
  <c r="L5099" i="5"/>
  <c r="L5100" i="5"/>
  <c r="L5101" i="5"/>
  <c r="L5102" i="5"/>
  <c r="L5103" i="5"/>
  <c r="L5104" i="5"/>
  <c r="L5105" i="5"/>
  <c r="L5106" i="5"/>
  <c r="L5107" i="5"/>
  <c r="L5108" i="5"/>
  <c r="L5109" i="5"/>
  <c r="L5110" i="5"/>
  <c r="L5111" i="5"/>
  <c r="L5112" i="5"/>
  <c r="L5113" i="5"/>
  <c r="L5114" i="5"/>
  <c r="L5115" i="5"/>
  <c r="L5116" i="5"/>
  <c r="L5117" i="5"/>
  <c r="L5118" i="5"/>
  <c r="L5119" i="5"/>
  <c r="L5120" i="5"/>
  <c r="L5121" i="5"/>
  <c r="L5122" i="5"/>
  <c r="L5123" i="5"/>
  <c r="L5124" i="5"/>
  <c r="L5125" i="5"/>
  <c r="L5126" i="5"/>
  <c r="L5127" i="5"/>
  <c r="L5128" i="5"/>
  <c r="L5129" i="5"/>
  <c r="L5130" i="5"/>
  <c r="L5131" i="5"/>
  <c r="L5132" i="5"/>
  <c r="L5133" i="5"/>
  <c r="L5134" i="5"/>
  <c r="L5135" i="5"/>
  <c r="L5136" i="5"/>
  <c r="L5137" i="5"/>
  <c r="L5138" i="5"/>
  <c r="L5139" i="5"/>
  <c r="L5140" i="5"/>
  <c r="L5141" i="5"/>
  <c r="L5142" i="5"/>
  <c r="L5143" i="5"/>
  <c r="L5144" i="5"/>
  <c r="L5145" i="5"/>
  <c r="L5146" i="5"/>
  <c r="L5147" i="5"/>
  <c r="L5148" i="5"/>
  <c r="L5149" i="5"/>
  <c r="L5150" i="5"/>
  <c r="L5151" i="5"/>
  <c r="L5152" i="5"/>
  <c r="L5153" i="5"/>
  <c r="L5154" i="5"/>
  <c r="L5155" i="5"/>
  <c r="L5156" i="5"/>
  <c r="L5157" i="5"/>
  <c r="L5158" i="5"/>
  <c r="L5159" i="5"/>
  <c r="L5160" i="5"/>
  <c r="L5161" i="5"/>
  <c r="L5162" i="5"/>
  <c r="L5163" i="5"/>
  <c r="L5164" i="5"/>
  <c r="L5165" i="5"/>
  <c r="L5166" i="5"/>
  <c r="L5167" i="5"/>
  <c r="L5168" i="5"/>
  <c r="L5169" i="5"/>
  <c r="L5170" i="5"/>
  <c r="L5171" i="5"/>
  <c r="L5172" i="5"/>
  <c r="L5173" i="5"/>
  <c r="L5174" i="5"/>
  <c r="L5175" i="5"/>
  <c r="L5176" i="5"/>
  <c r="L5177" i="5"/>
  <c r="L5178" i="5"/>
  <c r="L5179" i="5"/>
  <c r="L5180" i="5"/>
  <c r="L5181" i="5"/>
  <c r="L5182" i="5"/>
  <c r="L5183" i="5"/>
  <c r="L5184" i="5"/>
  <c r="L5185" i="5"/>
  <c r="L5186" i="5"/>
  <c r="L5187" i="5"/>
  <c r="L5188" i="5"/>
  <c r="L5189" i="5"/>
  <c r="L5190" i="5"/>
  <c r="L5191" i="5"/>
  <c r="L5192" i="5"/>
  <c r="L5193" i="5"/>
  <c r="L5194" i="5"/>
  <c r="L5195" i="5"/>
  <c r="L5196" i="5"/>
  <c r="L5197" i="5"/>
  <c r="L5198" i="5"/>
  <c r="L5199" i="5"/>
  <c r="L5200" i="5"/>
  <c r="L5201" i="5"/>
  <c r="L5202" i="5"/>
  <c r="L5203" i="5"/>
  <c r="L5204" i="5"/>
  <c r="L5205" i="5"/>
  <c r="L5206" i="5"/>
  <c r="L5207" i="5"/>
  <c r="L5208" i="5"/>
  <c r="L5209" i="5"/>
  <c r="L5210" i="5"/>
  <c r="L5211" i="5"/>
  <c r="L5212" i="5"/>
  <c r="L5213" i="5"/>
  <c r="L5214" i="5"/>
  <c r="L5215" i="5"/>
  <c r="L5216" i="5"/>
  <c r="L5217" i="5"/>
  <c r="L5218" i="5"/>
  <c r="L5219" i="5"/>
  <c r="L5220" i="5"/>
  <c r="L5221" i="5"/>
  <c r="L5222" i="5"/>
  <c r="L5223" i="5"/>
  <c r="L5224" i="5"/>
  <c r="L5225" i="5"/>
  <c r="L5226" i="5"/>
  <c r="L5227" i="5"/>
  <c r="L5228" i="5"/>
  <c r="L5229" i="5"/>
  <c r="L5230" i="5"/>
  <c r="L5231" i="5"/>
  <c r="L5232" i="5"/>
  <c r="L5233" i="5"/>
  <c r="L5234" i="5"/>
  <c r="L5235" i="5"/>
  <c r="L5236" i="5"/>
  <c r="L5237" i="5"/>
  <c r="L5238" i="5"/>
  <c r="L5239" i="5"/>
  <c r="L5240" i="5"/>
  <c r="L5241" i="5"/>
  <c r="L5242" i="5"/>
  <c r="L5243" i="5"/>
  <c r="L5244" i="5"/>
  <c r="L5245" i="5"/>
  <c r="L5246" i="5"/>
  <c r="L5247" i="5"/>
  <c r="L5248" i="5"/>
  <c r="L5249" i="5"/>
  <c r="L5250" i="5"/>
  <c r="L5251" i="5"/>
  <c r="L5252" i="5"/>
  <c r="L5253" i="5"/>
  <c r="L5254" i="5"/>
  <c r="L5255" i="5"/>
  <c r="L5256" i="5"/>
  <c r="L5257" i="5"/>
  <c r="L5258" i="5"/>
  <c r="L5259" i="5"/>
  <c r="L5260" i="5"/>
  <c r="L5261" i="5"/>
  <c r="L5262" i="5"/>
  <c r="L5263" i="5"/>
  <c r="L5264" i="5"/>
  <c r="L5265" i="5"/>
  <c r="L5266" i="5"/>
  <c r="L5267" i="5"/>
  <c r="L5268" i="5"/>
  <c r="L5269" i="5"/>
  <c r="L5270" i="5"/>
  <c r="L5271" i="5"/>
  <c r="L5272" i="5"/>
  <c r="L5273" i="5"/>
  <c r="L5274" i="5"/>
  <c r="L5275" i="5"/>
  <c r="L5276" i="5"/>
  <c r="L5277" i="5"/>
  <c r="L5278" i="5"/>
  <c r="L5279" i="5"/>
  <c r="L5280" i="5"/>
  <c r="L5281" i="5"/>
  <c r="L5282" i="5"/>
  <c r="L5283" i="5"/>
  <c r="L5284" i="5"/>
  <c r="L5285" i="5"/>
  <c r="L5286" i="5"/>
  <c r="L5287" i="5"/>
  <c r="L5288" i="5"/>
  <c r="L5289" i="5"/>
  <c r="L5290" i="5"/>
  <c r="L5291" i="5"/>
  <c r="L5292" i="5"/>
  <c r="L5293" i="5"/>
  <c r="L5294" i="5"/>
  <c r="L5295" i="5"/>
  <c r="L5296" i="5"/>
  <c r="L5297" i="5"/>
  <c r="L5298" i="5"/>
  <c r="L5299" i="5"/>
  <c r="L5300" i="5"/>
  <c r="L5301" i="5"/>
  <c r="L5302" i="5"/>
  <c r="L5303" i="5"/>
  <c r="L5304" i="5"/>
  <c r="L5305" i="5"/>
  <c r="L5306" i="5"/>
  <c r="L5307" i="5"/>
  <c r="L5308" i="5"/>
  <c r="L5309" i="5"/>
  <c r="L5310" i="5"/>
  <c r="L5311" i="5"/>
  <c r="L5312" i="5"/>
  <c r="L5313" i="5"/>
  <c r="L5314" i="5"/>
  <c r="L5315" i="5"/>
  <c r="L5316" i="5"/>
  <c r="L5317" i="5"/>
  <c r="L5318" i="5"/>
  <c r="L5319" i="5"/>
  <c r="L5320" i="5"/>
  <c r="L5321" i="5"/>
  <c r="L5322" i="5"/>
  <c r="L5323" i="5"/>
  <c r="L5324" i="5"/>
  <c r="L5325" i="5"/>
  <c r="L5326" i="5"/>
  <c r="L5327" i="5"/>
  <c r="L5328" i="5"/>
  <c r="L5329" i="5"/>
  <c r="L5330" i="5"/>
  <c r="L5331" i="5"/>
  <c r="L5332" i="5"/>
  <c r="L5333" i="5"/>
  <c r="L5334" i="5"/>
  <c r="L5335" i="5"/>
  <c r="L5336" i="5"/>
  <c r="L5337" i="5"/>
  <c r="L5338" i="5"/>
  <c r="L5339" i="5"/>
  <c r="L5340" i="5"/>
  <c r="L5341" i="5"/>
  <c r="L5342" i="5"/>
  <c r="L5343" i="5"/>
  <c r="L5344" i="5"/>
  <c r="L5345" i="5"/>
  <c r="L5346" i="5"/>
  <c r="L5347" i="5"/>
  <c r="L5348" i="5"/>
  <c r="L5349" i="5"/>
  <c r="L5350" i="5"/>
  <c r="L5351" i="5"/>
  <c r="L5352" i="5"/>
  <c r="L5353" i="5"/>
  <c r="L5354" i="5"/>
  <c r="L5355" i="5"/>
  <c r="L5356" i="5"/>
  <c r="L5357" i="5"/>
  <c r="L5358" i="5"/>
  <c r="L5359" i="5"/>
  <c r="L5360" i="5"/>
  <c r="L5361" i="5"/>
  <c r="L5362" i="5"/>
  <c r="L5363" i="5"/>
  <c r="L5364" i="5"/>
  <c r="L5365" i="5"/>
  <c r="L5366" i="5"/>
  <c r="L5367" i="5"/>
  <c r="L5368" i="5"/>
  <c r="L5369" i="5"/>
  <c r="L5370" i="5"/>
  <c r="L5371" i="5"/>
  <c r="L5372" i="5"/>
  <c r="L5373" i="5"/>
  <c r="L5374" i="5"/>
  <c r="L5375" i="5"/>
  <c r="L5376" i="5"/>
  <c r="L5377" i="5"/>
  <c r="L5378" i="5"/>
  <c r="L5379" i="5"/>
  <c r="L5380" i="5"/>
  <c r="L5381" i="5"/>
  <c r="L5382" i="5"/>
  <c r="L5383" i="5"/>
  <c r="L5384" i="5"/>
  <c r="L5385" i="5"/>
  <c r="L5386" i="5"/>
  <c r="L5387" i="5"/>
  <c r="L5388" i="5"/>
  <c r="L5389" i="5"/>
  <c r="L5390" i="5"/>
  <c r="L5391" i="5"/>
  <c r="L5392" i="5"/>
  <c r="L5393" i="5"/>
  <c r="L5394" i="5"/>
  <c r="L5395" i="5"/>
  <c r="L5396" i="5"/>
  <c r="L5397" i="5"/>
  <c r="L5398" i="5"/>
  <c r="L5399" i="5"/>
  <c r="L5400" i="5"/>
  <c r="L5401" i="5"/>
  <c r="L5402" i="5"/>
  <c r="L5403" i="5"/>
  <c r="L5404" i="5"/>
  <c r="L5405" i="5"/>
  <c r="L5406" i="5"/>
  <c r="L5407" i="5"/>
  <c r="L5408" i="5"/>
  <c r="L5409" i="5"/>
  <c r="L5410" i="5"/>
  <c r="L5411" i="5"/>
  <c r="L5412" i="5"/>
  <c r="L5413" i="5"/>
  <c r="L5414" i="5"/>
  <c r="L5415" i="5"/>
  <c r="L5416" i="5"/>
  <c r="L5417" i="5"/>
  <c r="L5418" i="5"/>
  <c r="L5419" i="5"/>
  <c r="L5420" i="5"/>
  <c r="L5421" i="5"/>
  <c r="L5422" i="5"/>
  <c r="L5423" i="5"/>
  <c r="L5424" i="5"/>
  <c r="L5425" i="5"/>
  <c r="L5426" i="5"/>
  <c r="L5427" i="5"/>
  <c r="L5428" i="5"/>
  <c r="L5429" i="5"/>
  <c r="L5430" i="5"/>
  <c r="L5431" i="5"/>
  <c r="L5432" i="5"/>
  <c r="L5433" i="5"/>
  <c r="L5434" i="5"/>
  <c r="L5435" i="5"/>
  <c r="L5436" i="5"/>
  <c r="L5437" i="5"/>
  <c r="L5438" i="5"/>
  <c r="L5439" i="5"/>
  <c r="L5440" i="5"/>
  <c r="L5441" i="5"/>
  <c r="L5442" i="5"/>
  <c r="L5443" i="5"/>
  <c r="L5444" i="5"/>
  <c r="L5445" i="5"/>
  <c r="L5446" i="5"/>
  <c r="L5447" i="5"/>
  <c r="L5448" i="5"/>
  <c r="L5449" i="5"/>
  <c r="L5450" i="5"/>
  <c r="L5451" i="5"/>
  <c r="L5452" i="5"/>
  <c r="L5453" i="5"/>
  <c r="L5454" i="5"/>
  <c r="L5455" i="5"/>
  <c r="L5456" i="5"/>
  <c r="L5457" i="5"/>
  <c r="L5458" i="5"/>
  <c r="L5459" i="5"/>
  <c r="L5460" i="5"/>
  <c r="L5461" i="5"/>
  <c r="L5462" i="5"/>
  <c r="L5463" i="5"/>
  <c r="L5464" i="5"/>
  <c r="L5465" i="5"/>
  <c r="L5466" i="5"/>
  <c r="L5467" i="5"/>
  <c r="L5468" i="5"/>
  <c r="L5469" i="5"/>
  <c r="L5470" i="5"/>
  <c r="L5471" i="5"/>
  <c r="L5472" i="5"/>
  <c r="L5473" i="5"/>
  <c r="L5474" i="5"/>
  <c r="L5475" i="5"/>
  <c r="L5476" i="5"/>
  <c r="L5477" i="5"/>
  <c r="L5478" i="5"/>
  <c r="L5479" i="5"/>
  <c r="L5480" i="5"/>
  <c r="L5481" i="5"/>
  <c r="L5482" i="5"/>
  <c r="L5483" i="5"/>
  <c r="L5484" i="5"/>
  <c r="L5485" i="5"/>
  <c r="L5486" i="5"/>
  <c r="L5487" i="5"/>
  <c r="L5488" i="5"/>
  <c r="L5489" i="5"/>
  <c r="L5490" i="5"/>
  <c r="L5491" i="5"/>
  <c r="L5492" i="5"/>
  <c r="L5493" i="5"/>
  <c r="L5494" i="5"/>
  <c r="L5495" i="5"/>
  <c r="L5496" i="5"/>
  <c r="L5497" i="5"/>
  <c r="L5498" i="5"/>
  <c r="L5499" i="5"/>
  <c r="L5500" i="5"/>
  <c r="L5501" i="5"/>
  <c r="L5502" i="5"/>
  <c r="L5503" i="5"/>
  <c r="L5504" i="5"/>
  <c r="L5505" i="5"/>
  <c r="L5506" i="5"/>
  <c r="L5507" i="5"/>
  <c r="L5508" i="5"/>
  <c r="L5509" i="5"/>
  <c r="L5510" i="5"/>
  <c r="L5511" i="5"/>
  <c r="L5512" i="5"/>
  <c r="L5513" i="5"/>
  <c r="L5514" i="5"/>
  <c r="L5515" i="5"/>
  <c r="L5516" i="5"/>
  <c r="L5517" i="5"/>
  <c r="L5518" i="5"/>
  <c r="L5519" i="5"/>
  <c r="L5520" i="5"/>
  <c r="L5521" i="5"/>
  <c r="L5522" i="5"/>
  <c r="L5523" i="5"/>
  <c r="L5524" i="5"/>
  <c r="L5525" i="5"/>
  <c r="L5526" i="5"/>
  <c r="L5527" i="5"/>
  <c r="L5528" i="5"/>
  <c r="L5529" i="5"/>
  <c r="L5530" i="5"/>
  <c r="L5531" i="5"/>
  <c r="L5532" i="5"/>
  <c r="L5533" i="5"/>
  <c r="L5534" i="5"/>
  <c r="L5535" i="5"/>
  <c r="L5536" i="5"/>
  <c r="L5537" i="5"/>
  <c r="L5538" i="5"/>
  <c r="L5539" i="5"/>
  <c r="L5540" i="5"/>
  <c r="L5541" i="5"/>
  <c r="L5542" i="5"/>
  <c r="L5543" i="5"/>
  <c r="L5544" i="5"/>
  <c r="L5545" i="5"/>
  <c r="L5546" i="5"/>
  <c r="L5547" i="5"/>
  <c r="L5548" i="5"/>
  <c r="L5549" i="5"/>
  <c r="L5550" i="5"/>
  <c r="L5551" i="5"/>
  <c r="L5552" i="5"/>
  <c r="L5553" i="5"/>
  <c r="L5554" i="5"/>
  <c r="L5555" i="5"/>
  <c r="L5556" i="5"/>
  <c r="L5557" i="5"/>
  <c r="L5558" i="5"/>
  <c r="L5559" i="5"/>
  <c r="L5560" i="5"/>
  <c r="L5561" i="5"/>
  <c r="L5562" i="5"/>
  <c r="L5563" i="5"/>
  <c r="L5564" i="5"/>
  <c r="L5565" i="5"/>
  <c r="L5566" i="5"/>
  <c r="L5567" i="5"/>
  <c r="L5568" i="5"/>
  <c r="L5569" i="5"/>
  <c r="L5570" i="5"/>
  <c r="L5571" i="5"/>
  <c r="L5572" i="5"/>
  <c r="L5573" i="5"/>
  <c r="L5574" i="5"/>
  <c r="L5575" i="5"/>
  <c r="L5576" i="5"/>
  <c r="L5577" i="5"/>
  <c r="L5578" i="5"/>
  <c r="L5579" i="5"/>
  <c r="L5580" i="5"/>
  <c r="L5581" i="5"/>
  <c r="L5582" i="5"/>
  <c r="L5583" i="5"/>
  <c r="L5584" i="5"/>
  <c r="L5585" i="5"/>
  <c r="L5586" i="5"/>
  <c r="L5587" i="5"/>
  <c r="L5588" i="5"/>
  <c r="L5589" i="5"/>
  <c r="L5590" i="5"/>
  <c r="L5591" i="5"/>
  <c r="L5592" i="5"/>
  <c r="L5593" i="5"/>
  <c r="L5594" i="5"/>
  <c r="L5595" i="5"/>
  <c r="L5596" i="5"/>
  <c r="L5597" i="5"/>
  <c r="L5598" i="5"/>
  <c r="L5599" i="5"/>
  <c r="L5600" i="5"/>
  <c r="L5601" i="5"/>
  <c r="L5602" i="5"/>
  <c r="L5603" i="5"/>
  <c r="L5604" i="5"/>
  <c r="L5605" i="5"/>
  <c r="L5606" i="5"/>
  <c r="L5607" i="5"/>
  <c r="L5608" i="5"/>
  <c r="L5609" i="5"/>
  <c r="L5610" i="5"/>
  <c r="L5611" i="5"/>
  <c r="L5612" i="5"/>
  <c r="L5613" i="5"/>
  <c r="L5614" i="5"/>
  <c r="L5615" i="5"/>
  <c r="L5616" i="5"/>
  <c r="L5617" i="5"/>
  <c r="L5618" i="5"/>
  <c r="L5619" i="5"/>
  <c r="L5620" i="5"/>
  <c r="L5621" i="5"/>
  <c r="L5622" i="5"/>
  <c r="L5623" i="5"/>
  <c r="L5624" i="5"/>
  <c r="L5625" i="5"/>
  <c r="L5626" i="5"/>
  <c r="L5627" i="5"/>
  <c r="L5628" i="5"/>
  <c r="L5629" i="5"/>
  <c r="L5630" i="5"/>
  <c r="L5631" i="5"/>
  <c r="L5632" i="5"/>
  <c r="L5633" i="5"/>
  <c r="L5634" i="5"/>
  <c r="L5635" i="5"/>
  <c r="L5636" i="5"/>
  <c r="L5637" i="5"/>
  <c r="L5638" i="5"/>
  <c r="L5639" i="5"/>
  <c r="L5640" i="5"/>
  <c r="L5641" i="5"/>
  <c r="L5642" i="5"/>
  <c r="L5643" i="5"/>
  <c r="L5644" i="5"/>
  <c r="L5645" i="5"/>
  <c r="L5646" i="5"/>
  <c r="L5647" i="5"/>
  <c r="L5648" i="5"/>
  <c r="L5649" i="5"/>
  <c r="L5650" i="5"/>
  <c r="L5651" i="5"/>
  <c r="L5652" i="5"/>
  <c r="L5653" i="5"/>
  <c r="L5654" i="5"/>
  <c r="L5655" i="5"/>
  <c r="L5656" i="5"/>
  <c r="L5657" i="5"/>
  <c r="L5658" i="5"/>
  <c r="L5659" i="5"/>
  <c r="L5660" i="5"/>
  <c r="L5661" i="5"/>
  <c r="L5662" i="5"/>
  <c r="L5663" i="5"/>
  <c r="L5664" i="5"/>
  <c r="L5665" i="5"/>
  <c r="L5666" i="5"/>
  <c r="L5667" i="5"/>
  <c r="L5668" i="5"/>
  <c r="L5669" i="5"/>
  <c r="L5670" i="5"/>
  <c r="L5671" i="5"/>
  <c r="L5672" i="5"/>
  <c r="L5673" i="5"/>
  <c r="L5674" i="5"/>
  <c r="L5675" i="5"/>
  <c r="L5676" i="5"/>
  <c r="L5677" i="5"/>
  <c r="L5678" i="5"/>
  <c r="L5679" i="5"/>
  <c r="L5680" i="5"/>
  <c r="L5681" i="5"/>
  <c r="L5682" i="5"/>
  <c r="L5683" i="5"/>
  <c r="L5684" i="5"/>
  <c r="L5685" i="5"/>
  <c r="L5686" i="5"/>
  <c r="L5687" i="5"/>
  <c r="L5688" i="5"/>
  <c r="L5689" i="5"/>
  <c r="L5690" i="5"/>
  <c r="L5691" i="5"/>
  <c r="L5692" i="5"/>
  <c r="L5693" i="5"/>
  <c r="L5694" i="5"/>
  <c r="L5695" i="5"/>
  <c r="L5696" i="5"/>
  <c r="L5697" i="5"/>
  <c r="L5698" i="5"/>
  <c r="L5699" i="5"/>
  <c r="L5700" i="5"/>
  <c r="L5701" i="5"/>
  <c r="L5702" i="5"/>
  <c r="L5703" i="5"/>
  <c r="L5704" i="5"/>
  <c r="L5705" i="5"/>
  <c r="L5706" i="5"/>
  <c r="L5707" i="5"/>
  <c r="L5708" i="5"/>
  <c r="L5709" i="5"/>
  <c r="L5710" i="5"/>
  <c r="L5711" i="5"/>
  <c r="L5712" i="5"/>
  <c r="L5713" i="5"/>
  <c r="L5714" i="5"/>
  <c r="L5715" i="5"/>
  <c r="L5716" i="5"/>
  <c r="L5717" i="5"/>
  <c r="L5718" i="5"/>
  <c r="L5719" i="5"/>
  <c r="L5720" i="5"/>
  <c r="L5721" i="5"/>
  <c r="L5722" i="5"/>
  <c r="L5723" i="5"/>
  <c r="L5724" i="5"/>
  <c r="L5725" i="5"/>
  <c r="L5726" i="5"/>
  <c r="L5727" i="5"/>
  <c r="L5728" i="5"/>
  <c r="L5729" i="5"/>
  <c r="L5730" i="5"/>
  <c r="L5731" i="5"/>
  <c r="L5732" i="5"/>
  <c r="L5733" i="5"/>
  <c r="L5734" i="5"/>
  <c r="L5735" i="5"/>
  <c r="L5736" i="5"/>
  <c r="L5737" i="5"/>
  <c r="L5738" i="5"/>
  <c r="L5739" i="5"/>
  <c r="L5740" i="5"/>
  <c r="L5741" i="5"/>
  <c r="L5742" i="5"/>
  <c r="L5743" i="5"/>
  <c r="L5744" i="5"/>
  <c r="L5745" i="5"/>
  <c r="L5746" i="5"/>
  <c r="L5747" i="5"/>
  <c r="L5748" i="5"/>
  <c r="L5749" i="5"/>
  <c r="L5750" i="5"/>
  <c r="L5751" i="5"/>
  <c r="L4" i="5"/>
  <c r="N119" i="5"/>
  <c r="M119" i="5"/>
  <c r="M120" i="5"/>
  <c r="M121" i="5"/>
  <c r="M122" i="5"/>
  <c r="M123" i="5"/>
  <c r="M124" i="5"/>
  <c r="M125" i="5"/>
  <c r="M126" i="5"/>
  <c r="M127" i="5"/>
  <c r="M128" i="5"/>
  <c r="M129" i="5"/>
  <c r="M130" i="5"/>
  <c r="M131" i="5"/>
  <c r="M132" i="5"/>
  <c r="M133" i="5"/>
  <c r="M134" i="5"/>
  <c r="M135" i="5"/>
  <c r="M136" i="5"/>
  <c r="M137" i="5"/>
  <c r="M138" i="5"/>
  <c r="N139" i="5"/>
  <c r="M139" i="5"/>
  <c r="N140"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N184" i="5"/>
  <c r="M184" i="5"/>
  <c r="M185" i="5"/>
  <c r="M186" i="5"/>
  <c r="M187" i="5"/>
  <c r="M188" i="5"/>
  <c r="M189" i="5"/>
  <c r="M191" i="5"/>
  <c r="M193" i="5"/>
  <c r="M194" i="5"/>
  <c r="M195" i="5"/>
  <c r="M196" i="5"/>
  <c r="N197" i="5"/>
  <c r="M197" i="5"/>
  <c r="M198" i="5"/>
  <c r="M199" i="5"/>
  <c r="M200" i="5"/>
  <c r="M207" i="5"/>
  <c r="M208" i="5"/>
  <c r="M209" i="5"/>
  <c r="M210" i="5"/>
  <c r="M211" i="5"/>
  <c r="M212" i="5"/>
  <c r="M215" i="5"/>
  <c r="M217" i="5"/>
  <c r="M218" i="5"/>
  <c r="M221" i="5"/>
  <c r="M222" i="5"/>
  <c r="M224" i="5"/>
  <c r="M225" i="5"/>
  <c r="M226" i="5"/>
  <c r="M227" i="5"/>
  <c r="M228" i="5"/>
  <c r="M229" i="5"/>
  <c r="M230" i="5"/>
  <c r="M231" i="5"/>
  <c r="M232" i="5"/>
  <c r="M233" i="5"/>
  <c r="M234" i="5"/>
  <c r="M237" i="5"/>
  <c r="M238" i="5"/>
  <c r="M239" i="5"/>
  <c r="M240" i="5"/>
  <c r="M241" i="5"/>
  <c r="M242" i="5"/>
  <c r="M243" i="5"/>
  <c r="M244" i="5"/>
  <c r="M245" i="5"/>
  <c r="M247" i="5"/>
  <c r="M248" i="5"/>
  <c r="M249" i="5"/>
  <c r="M250" i="5"/>
  <c r="M251" i="5"/>
  <c r="M252" i="5"/>
  <c r="M253" i="5"/>
  <c r="M254" i="5"/>
  <c r="M255" i="5"/>
  <c r="M256" i="5"/>
  <c r="M258" i="5"/>
  <c r="M259" i="5"/>
  <c r="M267" i="5"/>
  <c r="M268" i="5"/>
  <c r="M269" i="5"/>
  <c r="M270" i="5"/>
  <c r="M271" i="5"/>
  <c r="M138" i="10"/>
  <c r="M4290" i="5"/>
  <c r="M4289" i="5"/>
  <c r="M4288" i="5"/>
  <c r="M4287" i="5"/>
  <c r="M4286" i="5"/>
  <c r="M4285" i="5"/>
  <c r="M4284" i="5"/>
  <c r="M4291" i="5"/>
  <c r="M4292" i="5"/>
  <c r="M4293" i="5"/>
  <c r="M110" i="10"/>
  <c r="E92" i="10"/>
  <c r="E91" i="10"/>
  <c r="E90" i="10"/>
  <c r="E89" i="10"/>
  <c r="E88" i="10"/>
  <c r="M1031" i="5"/>
  <c r="M1032" i="5"/>
  <c r="M1033" i="5"/>
  <c r="M1034" i="5"/>
  <c r="M1035" i="5"/>
  <c r="M1036" i="5"/>
  <c r="M1037" i="5"/>
  <c r="M1038" i="5"/>
  <c r="M1039" i="5"/>
  <c r="M1040" i="5"/>
  <c r="M1041" i="5"/>
  <c r="M1042" i="5"/>
  <c r="M1287" i="5"/>
  <c r="M1307" i="5"/>
  <c r="M1308" i="5"/>
  <c r="M1309" i="5"/>
  <c r="M1310" i="5"/>
  <c r="M1043" i="5"/>
  <c r="M4" i="5"/>
  <c r="M569" i="5"/>
  <c r="M5" i="5"/>
  <c r="M644" i="5"/>
  <c r="M1116" i="5"/>
  <c r="M1117" i="5"/>
  <c r="M1055" i="5"/>
  <c r="M1169" i="5"/>
  <c r="M1170" i="5"/>
  <c r="M1295" i="5"/>
  <c r="M1171" i="5"/>
  <c r="M1172" i="5"/>
  <c r="M1173" i="5"/>
  <c r="M1296" i="5"/>
  <c r="M1174" i="5"/>
  <c r="M1297" i="5"/>
  <c r="M1311" i="5"/>
  <c r="M1312" i="5"/>
  <c r="M1313" i="5"/>
  <c r="M1314" i="5"/>
  <c r="M1315" i="5"/>
  <c r="M1316" i="5"/>
  <c r="M1317" i="5"/>
  <c r="M1319" i="5"/>
  <c r="M1320" i="5"/>
  <c r="M1321" i="5"/>
  <c r="M1378" i="5"/>
  <c r="M1960" i="5"/>
  <c r="M1379" i="5"/>
  <c r="N1380" i="5"/>
  <c r="M1380" i="5"/>
  <c r="M2445" i="5"/>
  <c r="M3326" i="5"/>
  <c r="M3327" i="5"/>
  <c r="M3328" i="5"/>
  <c r="M3329" i="5"/>
  <c r="M3184" i="5"/>
  <c r="M2483" i="5"/>
  <c r="M2567" i="5"/>
  <c r="M2568" i="5"/>
  <c r="M3330" i="5"/>
  <c r="M3331" i="5"/>
  <c r="M3332" i="5"/>
  <c r="M3425" i="5"/>
  <c r="M3430" i="5"/>
  <c r="M3432" i="5"/>
  <c r="M3911" i="5"/>
  <c r="M3948" i="5"/>
  <c r="M6" i="5"/>
  <c r="M7" i="5"/>
  <c r="M8" i="5"/>
  <c r="M9" i="5"/>
  <c r="M10" i="5"/>
  <c r="M11" i="5"/>
  <c r="M12" i="5"/>
  <c r="M13" i="5"/>
  <c r="M14" i="5"/>
  <c r="M570" i="5"/>
  <c r="M571" i="5"/>
  <c r="M572" i="5"/>
  <c r="M642" i="5"/>
  <c r="M1118" i="5"/>
  <c r="M1119"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89" i="5"/>
  <c r="M1290" i="5"/>
  <c r="M1298" i="5"/>
  <c r="M1467" i="5"/>
  <c r="M1468" i="5"/>
  <c r="M1961" i="5"/>
  <c r="M2011" i="5"/>
  <c r="M2446" i="5"/>
  <c r="N2447" i="5"/>
  <c r="M2447" i="5"/>
  <c r="M2481" i="5"/>
  <c r="M2482" i="5"/>
  <c r="M3087" i="5"/>
  <c r="M3108" i="5"/>
  <c r="M3109" i="5"/>
  <c r="M3110" i="5"/>
  <c r="M3111" i="5"/>
  <c r="M3112" i="5"/>
  <c r="M3113" i="5"/>
  <c r="M3114" i="5"/>
  <c r="N3115" i="5"/>
  <c r="M3115" i="5"/>
  <c r="N3116" i="5"/>
  <c r="M3116" i="5"/>
  <c r="M3323" i="5"/>
  <c r="M3333" i="5"/>
  <c r="M3334" i="5"/>
  <c r="M3335" i="5"/>
  <c r="M3336" i="5"/>
  <c r="M3337" i="5"/>
  <c r="M3338" i="5"/>
  <c r="M3339" i="5"/>
  <c r="M3340" i="5"/>
  <c r="M3341" i="5"/>
  <c r="M3447" i="5"/>
  <c r="M3449" i="5"/>
  <c r="M4306" i="5"/>
  <c r="M4307" i="5"/>
  <c r="M4308" i="5"/>
  <c r="M4309" i="5"/>
  <c r="M4310" i="5"/>
  <c r="M4311" i="5"/>
  <c r="M4312" i="5"/>
  <c r="M4313" i="5"/>
  <c r="M4257" i="5"/>
  <c r="M4314" i="5"/>
  <c r="M4258" i="5"/>
  <c r="M4259" i="5"/>
  <c r="M3950" i="5"/>
  <c r="M3951" i="5"/>
  <c r="M3913" i="5"/>
  <c r="M3914" i="5"/>
  <c r="M3952" i="5"/>
  <c r="M4676" i="5"/>
  <c r="M3915" i="5"/>
  <c r="M3916" i="5"/>
  <c r="M3917" i="5"/>
  <c r="M3918" i="5"/>
  <c r="M4315" i="5"/>
  <c r="M3953" i="5"/>
  <c r="M4316" i="5"/>
  <c r="M3919" i="5"/>
  <c r="M3920" i="5"/>
  <c r="M3921" i="5"/>
  <c r="M3954" i="5"/>
  <c r="M3922" i="5"/>
  <c r="M3923" i="5"/>
  <c r="M3955" i="5"/>
  <c r="M4317" i="5"/>
  <c r="M3924" i="5"/>
  <c r="M3956" i="5"/>
  <c r="M3925" i="5"/>
  <c r="M4677" i="5"/>
  <c r="M3926" i="5"/>
  <c r="M3957" i="5"/>
  <c r="M4678" i="5"/>
  <c r="M3958" i="5"/>
  <c r="M3959" i="5"/>
  <c r="M3927" i="5"/>
  <c r="M4679" i="5"/>
  <c r="M3928" i="5"/>
  <c r="M3929" i="5"/>
  <c r="M3960" i="5"/>
  <c r="M3930" i="5"/>
  <c r="M3931" i="5"/>
  <c r="M3932" i="5"/>
  <c r="M3933" i="5"/>
  <c r="M4680" i="5"/>
  <c r="M4681" i="5"/>
  <c r="M4682" i="5"/>
  <c r="M4683" i="5"/>
  <c r="M4301" i="5"/>
  <c r="M4302" i="5"/>
  <c r="M4303" i="5"/>
  <c r="M4304" i="5"/>
  <c r="M4305" i="5"/>
  <c r="M4769" i="5"/>
  <c r="M4770" i="5"/>
  <c r="M4771" i="5"/>
  <c r="M4772" i="5"/>
  <c r="M4773" i="5"/>
  <c r="M4774" i="5"/>
  <c r="M4775" i="5"/>
  <c r="M4776" i="5"/>
  <c r="M4777" i="5"/>
  <c r="M4798" i="5"/>
  <c r="M4799" i="5"/>
  <c r="M4800" i="5"/>
  <c r="M4801" i="5"/>
  <c r="M4802" i="5"/>
  <c r="M4803" i="5"/>
  <c r="M4804" i="5"/>
  <c r="M4805" i="5"/>
  <c r="M4806" i="5"/>
  <c r="M4807" i="5"/>
  <c r="M4808" i="5"/>
  <c r="M4809" i="5"/>
  <c r="M4810" i="5"/>
  <c r="M5127" i="5"/>
  <c r="M5128" i="5"/>
  <c r="M5130" i="5"/>
  <c r="M5131" i="5"/>
  <c r="M5132" i="5"/>
  <c r="M5133" i="5"/>
  <c r="M5134" i="5"/>
  <c r="M5140" i="5"/>
  <c r="M5141" i="5"/>
  <c r="M5142" i="5"/>
  <c r="M5143" i="5"/>
  <c r="M5144" i="5"/>
  <c r="M5145" i="5"/>
  <c r="M5146" i="5"/>
  <c r="M5147" i="5"/>
  <c r="M5151" i="5"/>
  <c r="M5231" i="5"/>
  <c r="M5232" i="5"/>
  <c r="M5233" i="5"/>
  <c r="M5234" i="5"/>
  <c r="M5235" i="5"/>
  <c r="M5237" i="5"/>
  <c r="M5691" i="5"/>
  <c r="M5692" i="5"/>
  <c r="M5693" i="5"/>
  <c r="M5694" i="5"/>
  <c r="M5695" i="5"/>
  <c r="M5696" i="5"/>
  <c r="M5697" i="5"/>
  <c r="M5698" i="5"/>
  <c r="M5699" i="5"/>
  <c r="M5700" i="5"/>
  <c r="M5701" i="5"/>
  <c r="M5702" i="5"/>
  <c r="M5703" i="5"/>
  <c r="M5704" i="5"/>
  <c r="M5705" i="5"/>
  <c r="M5706" i="5"/>
  <c r="M5707" i="5"/>
  <c r="M5708" i="5"/>
  <c r="M5709" i="5"/>
  <c r="M5710" i="5"/>
  <c r="M5711" i="5"/>
  <c r="M5712" i="5"/>
  <c r="M5713" i="5"/>
  <c r="M5714" i="5"/>
  <c r="M5715" i="5"/>
  <c r="M5716" i="5"/>
  <c r="M5717" i="5"/>
  <c r="M5718" i="5"/>
  <c r="M5719" i="5"/>
  <c r="M5720" i="5"/>
  <c r="M5721" i="5"/>
  <c r="M5722" i="5"/>
  <c r="M15" i="5"/>
  <c r="M16" i="5"/>
  <c r="M17" i="5"/>
  <c r="M18" i="5"/>
  <c r="M19" i="5"/>
  <c r="N20" i="5"/>
  <c r="M20" i="5"/>
  <c r="M21" i="5"/>
  <c r="M22" i="5"/>
  <c r="M23" i="5"/>
  <c r="M24" i="5"/>
  <c r="M25" i="5"/>
  <c r="M26" i="5"/>
  <c r="M27" i="5"/>
  <c r="M28" i="5"/>
  <c r="M29" i="5"/>
  <c r="M30" i="5"/>
  <c r="M31" i="5"/>
  <c r="M32" i="5"/>
  <c r="M33" i="5"/>
  <c r="N34"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N102" i="5"/>
  <c r="M102" i="5"/>
  <c r="M103" i="5"/>
  <c r="N104" i="5"/>
  <c r="M104" i="5"/>
  <c r="M105" i="5"/>
  <c r="N106" i="5"/>
  <c r="M106" i="5"/>
  <c r="M107" i="5"/>
  <c r="M108" i="5"/>
  <c r="M109" i="5"/>
  <c r="M110" i="5"/>
  <c r="M111" i="5"/>
  <c r="M112" i="5"/>
  <c r="M113" i="5"/>
  <c r="M114" i="5"/>
  <c r="M115" i="5"/>
  <c r="M116" i="5"/>
  <c r="M117" i="5"/>
  <c r="M118" i="5"/>
  <c r="M272" i="5"/>
  <c r="M277" i="5"/>
  <c r="M278" i="5"/>
  <c r="M279" i="5"/>
  <c r="M280" i="5"/>
  <c r="M281" i="5"/>
  <c r="M282" i="5"/>
  <c r="M283" i="5"/>
  <c r="M284" i="5"/>
  <c r="M285" i="5"/>
  <c r="M286" i="5"/>
  <c r="M287" i="5"/>
  <c r="M288" i="5"/>
  <c r="M289" i="5"/>
  <c r="M290" i="5"/>
  <c r="M291" i="5"/>
  <c r="M292" i="5"/>
  <c r="M293" i="5"/>
  <c r="M294" i="5"/>
  <c r="M295" i="5"/>
  <c r="M296" i="5"/>
  <c r="M300" i="5"/>
  <c r="M301" i="5"/>
  <c r="M302" i="5"/>
  <c r="M303" i="5"/>
  <c r="M304" i="5"/>
  <c r="M305" i="5"/>
  <c r="M311" i="5"/>
  <c r="M312" i="5"/>
  <c r="M313" i="5"/>
  <c r="M314" i="5"/>
  <c r="M315" i="5"/>
  <c r="M316" i="5"/>
  <c r="M317" i="5"/>
  <c r="M322" i="5"/>
  <c r="M323" i="5"/>
  <c r="M324" i="5"/>
  <c r="M327" i="5"/>
  <c r="M328" i="5"/>
  <c r="M329" i="5"/>
  <c r="M330" i="5"/>
  <c r="M331" i="5"/>
  <c r="M332" i="5"/>
  <c r="M333" i="5"/>
  <c r="M338" i="5"/>
  <c r="M339" i="5"/>
  <c r="M340" i="5"/>
  <c r="M341" i="5"/>
  <c r="M342" i="5"/>
  <c r="M343" i="5"/>
  <c r="M344" i="5"/>
  <c r="M345" i="5"/>
  <c r="M346" i="5"/>
  <c r="M353" i="5"/>
  <c r="M354" i="5"/>
  <c r="M355" i="5"/>
  <c r="N356" i="5"/>
  <c r="M356" i="5"/>
  <c r="M357" i="5"/>
  <c r="M358" i="5"/>
  <c r="M359" i="5"/>
  <c r="M360" i="5"/>
  <c r="M361" i="5"/>
  <c r="M362" i="5"/>
  <c r="M363" i="5"/>
  <c r="M364" i="5"/>
  <c r="M365" i="5"/>
  <c r="M366" i="5"/>
  <c r="M367" i="5"/>
  <c r="M368" i="5"/>
  <c r="M369" i="5"/>
  <c r="M370" i="5"/>
  <c r="M371" i="5"/>
  <c r="M373" i="5"/>
  <c r="M374" i="5"/>
  <c r="M375" i="5"/>
  <c r="M376" i="5"/>
  <c r="M377" i="5"/>
  <c r="N378" i="5"/>
  <c r="M378" i="5"/>
  <c r="N379" i="5"/>
  <c r="M379" i="5"/>
  <c r="N383" i="5"/>
  <c r="M383" i="5"/>
  <c r="N384" i="5"/>
  <c r="M384" i="5"/>
  <c r="M385" i="5"/>
  <c r="M386" i="5"/>
  <c r="M387" i="5"/>
  <c r="N388" i="5"/>
  <c r="M388" i="5"/>
  <c r="M389" i="5"/>
  <c r="M391" i="5"/>
  <c r="M392" i="5"/>
  <c r="M394" i="5"/>
  <c r="M395" i="5"/>
  <c r="M396" i="5"/>
  <c r="M397" i="5"/>
  <c r="M448" i="5"/>
  <c r="M449" i="5"/>
  <c r="M450" i="5"/>
  <c r="N451" i="5"/>
  <c r="M451" i="5"/>
  <c r="M452" i="5"/>
  <c r="M453" i="5"/>
  <c r="M454" i="5"/>
  <c r="M455" i="5"/>
  <c r="N456" i="5"/>
  <c r="M456" i="5"/>
  <c r="M457" i="5"/>
  <c r="M458" i="5"/>
  <c r="M459" i="5"/>
  <c r="N460" i="5"/>
  <c r="M460" i="5"/>
  <c r="M461" i="5"/>
  <c r="M462" i="5"/>
  <c r="M463" i="5"/>
  <c r="N464" i="5"/>
  <c r="M464" i="5"/>
  <c r="N465" i="5"/>
  <c r="M465" i="5"/>
  <c r="M466" i="5"/>
  <c r="M467" i="5"/>
  <c r="M468" i="5"/>
  <c r="N469" i="5"/>
  <c r="M469" i="5"/>
  <c r="N470" i="5"/>
  <c r="M470" i="5"/>
  <c r="M471" i="5"/>
  <c r="M472" i="5"/>
  <c r="N473" i="5"/>
  <c r="M473" i="5"/>
  <c r="M474" i="5"/>
  <c r="N475" i="5"/>
  <c r="M475" i="5"/>
  <c r="N476" i="5"/>
  <c r="M476" i="5"/>
  <c r="M477" i="5"/>
  <c r="M478" i="5"/>
  <c r="M479" i="5"/>
  <c r="M480" i="5"/>
  <c r="M481" i="5"/>
  <c r="M482" i="5"/>
  <c r="M483" i="5"/>
  <c r="M484" i="5"/>
  <c r="M485" i="5"/>
  <c r="M486" i="5"/>
  <c r="N487" i="5"/>
  <c r="M487" i="5"/>
  <c r="N488" i="5"/>
  <c r="M488" i="5"/>
  <c r="M489" i="5"/>
  <c r="M490" i="5"/>
  <c r="M491" i="5"/>
  <c r="N492" i="5"/>
  <c r="M492" i="5"/>
  <c r="M493" i="5"/>
  <c r="M494" i="5"/>
  <c r="N495" i="5"/>
  <c r="M495" i="5"/>
  <c r="M496" i="5"/>
  <c r="M497" i="5"/>
  <c r="N498" i="5"/>
  <c r="M498" i="5"/>
  <c r="M499" i="5"/>
  <c r="M500" i="5"/>
  <c r="M501" i="5"/>
  <c r="N502" i="5"/>
  <c r="M502" i="5"/>
  <c r="N503" i="5"/>
  <c r="M503" i="5"/>
  <c r="N504" i="5"/>
  <c r="M504" i="5"/>
  <c r="N513" i="5"/>
  <c r="M513" i="5"/>
  <c r="N514" i="5"/>
  <c r="M514" i="5"/>
  <c r="N515" i="5"/>
  <c r="M515" i="5"/>
  <c r="M516" i="5"/>
  <c r="N519" i="5"/>
  <c r="M519" i="5"/>
  <c r="M520" i="5"/>
  <c r="M521" i="5"/>
  <c r="N522" i="5"/>
  <c r="M522" i="5"/>
  <c r="N523" i="5"/>
  <c r="M523" i="5"/>
  <c r="M524" i="5"/>
  <c r="M525" i="5"/>
  <c r="M526" i="5"/>
  <c r="M527" i="5"/>
  <c r="M528" i="5"/>
  <c r="M529" i="5"/>
  <c r="N534" i="5"/>
  <c r="M534" i="5"/>
  <c r="M535" i="5"/>
  <c r="N536" i="5"/>
  <c r="M536" i="5"/>
  <c r="N537" i="5"/>
  <c r="M537" i="5"/>
  <c r="M538" i="5"/>
  <c r="M539" i="5"/>
  <c r="M540" i="5"/>
  <c r="M541" i="5"/>
  <c r="M542" i="5"/>
  <c r="M543" i="5"/>
  <c r="N545" i="5"/>
  <c r="M545" i="5"/>
  <c r="M546" i="5"/>
  <c r="N547" i="5"/>
  <c r="M547" i="5"/>
  <c r="N548" i="5"/>
  <c r="M548" i="5"/>
  <c r="M549" i="5"/>
  <c r="M550" i="5"/>
  <c r="N551" i="5"/>
  <c r="M551" i="5"/>
  <c r="N552" i="5"/>
  <c r="M552" i="5"/>
  <c r="M553" i="5"/>
  <c r="M555" i="5"/>
  <c r="M556" i="5"/>
  <c r="M557" i="5"/>
  <c r="M558" i="5"/>
  <c r="M559" i="5"/>
  <c r="M560" i="5"/>
  <c r="M561" i="5"/>
  <c r="M562" i="5"/>
  <c r="M563" i="5"/>
  <c r="M564" i="5"/>
  <c r="M565" i="5"/>
  <c r="N566" i="5"/>
  <c r="M566" i="5"/>
  <c r="M567" i="5"/>
  <c r="M568" i="5"/>
  <c r="M573" i="5"/>
  <c r="M574" i="5"/>
  <c r="M575" i="5"/>
  <c r="M576" i="5"/>
  <c r="M577" i="5"/>
  <c r="M578" i="5"/>
  <c r="M579" i="5"/>
  <c r="N580" i="5"/>
  <c r="M580" i="5"/>
  <c r="M581" i="5"/>
  <c r="M582" i="5"/>
  <c r="M583" i="5"/>
  <c r="M584" i="5"/>
  <c r="M585" i="5"/>
  <c r="M586" i="5"/>
  <c r="N587" i="5"/>
  <c r="M587" i="5"/>
  <c r="M588" i="5"/>
  <c r="M589" i="5"/>
  <c r="N590" i="5"/>
  <c r="M590" i="5"/>
  <c r="N591" i="5"/>
  <c r="M591" i="5"/>
  <c r="M592" i="5"/>
  <c r="N593" i="5"/>
  <c r="M593" i="5"/>
  <c r="M594" i="5"/>
  <c r="N595" i="5"/>
  <c r="M595" i="5"/>
  <c r="N596" i="5"/>
  <c r="M596" i="5"/>
  <c r="M597" i="5"/>
  <c r="M598" i="5"/>
  <c r="N599" i="5"/>
  <c r="M599" i="5"/>
  <c r="M600" i="5"/>
  <c r="N601" i="5"/>
  <c r="M601" i="5"/>
  <c r="M602" i="5"/>
  <c r="M603" i="5"/>
  <c r="N604" i="5"/>
  <c r="M604" i="5"/>
  <c r="N605" i="5"/>
  <c r="M605" i="5"/>
  <c r="N606" i="5"/>
  <c r="M606" i="5"/>
  <c r="N607" i="5"/>
  <c r="M607" i="5"/>
  <c r="M608" i="5"/>
  <c r="N609" i="5"/>
  <c r="M609" i="5"/>
  <c r="N610" i="5"/>
  <c r="M610" i="5"/>
  <c r="N611" i="5"/>
  <c r="M611" i="5"/>
  <c r="N612" i="5"/>
  <c r="M612" i="5"/>
  <c r="M613" i="5"/>
  <c r="M614" i="5"/>
  <c r="M615" i="5"/>
  <c r="M616" i="5"/>
  <c r="M617" i="5"/>
  <c r="M618" i="5"/>
  <c r="M619" i="5"/>
  <c r="M620" i="5"/>
  <c r="M621" i="5"/>
  <c r="N622" i="5"/>
  <c r="M622" i="5"/>
  <c r="N623" i="5"/>
  <c r="M623" i="5"/>
  <c r="M624" i="5"/>
  <c r="M625" i="5"/>
  <c r="M626" i="5"/>
  <c r="M627" i="5"/>
  <c r="M628" i="5"/>
  <c r="N629" i="5"/>
  <c r="M629" i="5"/>
  <c r="M630" i="5"/>
  <c r="M631" i="5"/>
  <c r="M632" i="5"/>
  <c r="M633" i="5"/>
  <c r="M634" i="5"/>
  <c r="M635" i="5"/>
  <c r="N636" i="5"/>
  <c r="M636" i="5"/>
  <c r="M637" i="5"/>
  <c r="N638" i="5"/>
  <c r="M638" i="5"/>
  <c r="M639" i="5"/>
  <c r="N640" i="5"/>
  <c r="M640" i="5"/>
  <c r="M641" i="5"/>
  <c r="M643" i="5"/>
  <c r="M645" i="5"/>
  <c r="M646" i="5"/>
  <c r="M647" i="5"/>
  <c r="M648" i="5"/>
  <c r="M649" i="5"/>
  <c r="N650" i="5"/>
  <c r="M650" i="5"/>
  <c r="M651" i="5"/>
  <c r="M652" i="5"/>
  <c r="M653" i="5"/>
  <c r="M655" i="5"/>
  <c r="N656" i="5"/>
  <c r="M656" i="5"/>
  <c r="N657" i="5"/>
  <c r="M657" i="5"/>
  <c r="M658" i="5"/>
  <c r="N659" i="5"/>
  <c r="M659" i="5"/>
  <c r="M660" i="5"/>
  <c r="N661" i="5"/>
  <c r="M661" i="5"/>
  <c r="M662" i="5"/>
  <c r="M663" i="5"/>
  <c r="M664" i="5"/>
  <c r="M665" i="5"/>
  <c r="M666" i="5"/>
  <c r="M667" i="5"/>
  <c r="M668" i="5"/>
  <c r="N669" i="5"/>
  <c r="M669" i="5"/>
  <c r="M670" i="5"/>
  <c r="N671" i="5"/>
  <c r="M671" i="5"/>
  <c r="N672" i="5"/>
  <c r="M672" i="5"/>
  <c r="M673" i="5"/>
  <c r="M676" i="5"/>
  <c r="M677" i="5"/>
  <c r="M678" i="5"/>
  <c r="N679" i="5"/>
  <c r="M679" i="5"/>
  <c r="M680" i="5"/>
  <c r="N681" i="5"/>
  <c r="M681" i="5"/>
  <c r="M682" i="5"/>
  <c r="N683" i="5"/>
  <c r="M683" i="5"/>
  <c r="N684" i="5"/>
  <c r="M684" i="5"/>
  <c r="M689" i="5"/>
  <c r="N690" i="5"/>
  <c r="M690" i="5"/>
  <c r="N691" i="5"/>
  <c r="M691" i="5"/>
  <c r="M692" i="5"/>
  <c r="M693" i="5"/>
  <c r="N694" i="5"/>
  <c r="M694" i="5"/>
  <c r="M695" i="5"/>
  <c r="N696" i="5"/>
  <c r="M696" i="5"/>
  <c r="M698" i="5"/>
  <c r="M699" i="5"/>
  <c r="N700" i="5"/>
  <c r="M700" i="5"/>
  <c r="M701" i="5"/>
  <c r="M703" i="5"/>
  <c r="N704" i="5"/>
  <c r="M704" i="5"/>
  <c r="N705" i="5"/>
  <c r="M705" i="5"/>
  <c r="M706" i="5"/>
  <c r="N711" i="5"/>
  <c r="M711" i="5"/>
  <c r="M712" i="5"/>
  <c r="N718" i="5"/>
  <c r="M718" i="5"/>
  <c r="N719" i="5"/>
  <c r="M719" i="5"/>
  <c r="N720" i="5"/>
  <c r="M720" i="5"/>
  <c r="N721" i="5"/>
  <c r="M721" i="5"/>
  <c r="M722" i="5"/>
  <c r="M723" i="5"/>
  <c r="M725" i="5"/>
  <c r="M726" i="5"/>
  <c r="N727" i="5"/>
  <c r="M727" i="5"/>
  <c r="M728" i="5"/>
  <c r="M729" i="5"/>
  <c r="M730" i="5"/>
  <c r="M731" i="5"/>
  <c r="M732" i="5"/>
  <c r="M733" i="5"/>
  <c r="M734" i="5"/>
  <c r="M772" i="5"/>
  <c r="M773" i="5"/>
  <c r="M774" i="5"/>
  <c r="M775" i="5"/>
  <c r="M776" i="5"/>
  <c r="N777" i="5"/>
  <c r="M777" i="5"/>
  <c r="M778" i="5"/>
  <c r="M779" i="5"/>
  <c r="N780" i="5"/>
  <c r="M780" i="5"/>
  <c r="M781" i="5"/>
  <c r="N782" i="5"/>
  <c r="M782" i="5"/>
  <c r="N783" i="5"/>
  <c r="M783" i="5"/>
  <c r="M784" i="5"/>
  <c r="M785" i="5"/>
  <c r="N786" i="5"/>
  <c r="M786" i="5"/>
  <c r="N787" i="5"/>
  <c r="M787" i="5"/>
  <c r="M793" i="5"/>
  <c r="M794" i="5"/>
  <c r="N795" i="5"/>
  <c r="M795" i="5"/>
  <c r="M796" i="5"/>
  <c r="N797" i="5"/>
  <c r="M797" i="5"/>
  <c r="M798" i="5"/>
  <c r="M799" i="5"/>
  <c r="N802" i="5"/>
  <c r="M802" i="5"/>
  <c r="M803" i="5"/>
  <c r="N804" i="5"/>
  <c r="M804" i="5"/>
  <c r="M807" i="5"/>
  <c r="N808" i="5"/>
  <c r="M808" i="5"/>
  <c r="M809" i="5"/>
  <c r="N810" i="5"/>
  <c r="M810" i="5"/>
  <c r="M811" i="5"/>
  <c r="M818" i="5"/>
  <c r="N819" i="5"/>
  <c r="M819" i="5"/>
  <c r="N820" i="5"/>
  <c r="M820" i="5"/>
  <c r="M821" i="5"/>
  <c r="N822" i="5"/>
  <c r="M822" i="5"/>
  <c r="M823" i="5"/>
  <c r="M828" i="5"/>
  <c r="M829" i="5"/>
  <c r="N830" i="5"/>
  <c r="M830" i="5"/>
  <c r="M831" i="5"/>
  <c r="N832" i="5"/>
  <c r="M832" i="5"/>
  <c r="N835" i="5"/>
  <c r="M835" i="5"/>
  <c r="N836" i="5"/>
  <c r="M836" i="5"/>
  <c r="M837" i="5"/>
  <c r="M838" i="5"/>
  <c r="N842" i="5"/>
  <c r="M842" i="5"/>
  <c r="M843" i="5"/>
  <c r="N844" i="5"/>
  <c r="M844" i="5"/>
  <c r="M845" i="5"/>
  <c r="M846" i="5"/>
  <c r="M847" i="5"/>
  <c r="N848" i="5"/>
  <c r="M848" i="5"/>
  <c r="M849" i="5"/>
  <c r="N850" i="5"/>
  <c r="M850" i="5"/>
  <c r="N852" i="5"/>
  <c r="M852" i="5"/>
  <c r="M864" i="5"/>
  <c r="M865" i="5"/>
  <c r="M866" i="5"/>
  <c r="N867" i="5"/>
  <c r="M867" i="5"/>
  <c r="M868" i="5"/>
  <c r="M869" i="5"/>
  <c r="M870" i="5"/>
  <c r="M871" i="5"/>
  <c r="M872" i="5"/>
  <c r="N873" i="5"/>
  <c r="M873" i="5"/>
  <c r="N874" i="5"/>
  <c r="M874" i="5"/>
  <c r="M876" i="5"/>
  <c r="M877" i="5"/>
  <c r="N878" i="5"/>
  <c r="M878" i="5"/>
  <c r="N879" i="5"/>
  <c r="M879" i="5"/>
  <c r="M880" i="5"/>
  <c r="N881" i="5"/>
  <c r="M881" i="5"/>
  <c r="M882" i="5"/>
  <c r="M883" i="5"/>
  <c r="N884" i="5"/>
  <c r="M884" i="5"/>
  <c r="M885" i="5"/>
  <c r="M889" i="5"/>
  <c r="N890" i="5"/>
  <c r="M890" i="5"/>
  <c r="N891" i="5"/>
  <c r="M891" i="5"/>
  <c r="N892" i="5"/>
  <c r="M892" i="5"/>
  <c r="M893" i="5"/>
  <c r="N894" i="5"/>
  <c r="M894" i="5"/>
  <c r="M895" i="5"/>
  <c r="N896" i="5"/>
  <c r="M896" i="5"/>
  <c r="M897" i="5"/>
  <c r="N898" i="5"/>
  <c r="M898" i="5"/>
  <c r="M899" i="5"/>
  <c r="M900" i="5"/>
  <c r="M903" i="5"/>
  <c r="M904" i="5"/>
  <c r="M905" i="5"/>
  <c r="M907" i="5"/>
  <c r="N908" i="5"/>
  <c r="M908" i="5"/>
  <c r="N909" i="5"/>
  <c r="M909" i="5"/>
  <c r="M915" i="5"/>
  <c r="N916" i="5"/>
  <c r="M916" i="5"/>
  <c r="M917" i="5"/>
  <c r="N918" i="5"/>
  <c r="M918" i="5"/>
  <c r="N919" i="5"/>
  <c r="M919" i="5"/>
  <c r="N921" i="5"/>
  <c r="M921" i="5"/>
  <c r="N922" i="5"/>
  <c r="M922" i="5"/>
  <c r="M923" i="5"/>
  <c r="N924" i="5"/>
  <c r="M924" i="5"/>
  <c r="M925" i="5"/>
  <c r="N928" i="5"/>
  <c r="M928" i="5"/>
  <c r="N929" i="5"/>
  <c r="M929" i="5"/>
  <c r="N930" i="5"/>
  <c r="M930" i="5"/>
  <c r="M931" i="5"/>
  <c r="M932" i="5"/>
  <c r="M933" i="5"/>
  <c r="N934" i="5"/>
  <c r="M934" i="5"/>
  <c r="M943" i="5"/>
  <c r="M944" i="5"/>
  <c r="M945" i="5"/>
  <c r="N948" i="5"/>
  <c r="M948" i="5"/>
  <c r="M949" i="5"/>
  <c r="M950" i="5"/>
  <c r="M951" i="5"/>
  <c r="M952" i="5"/>
  <c r="N953" i="5"/>
  <c r="M953" i="5"/>
  <c r="N954" i="5"/>
  <c r="M954" i="5"/>
  <c r="M955" i="5"/>
  <c r="M956" i="5"/>
  <c r="M960" i="5"/>
  <c r="N961" i="5"/>
  <c r="M961" i="5"/>
  <c r="M962" i="5"/>
  <c r="M963" i="5"/>
  <c r="M964" i="5"/>
  <c r="M967" i="5"/>
  <c r="M968" i="5"/>
  <c r="N969" i="5"/>
  <c r="M969" i="5"/>
  <c r="O969" i="5"/>
  <c r="M970" i="5"/>
  <c r="N971" i="5"/>
  <c r="M971" i="5"/>
  <c r="M972" i="5"/>
  <c r="M973" i="5"/>
  <c r="N974" i="5"/>
  <c r="M974" i="5"/>
  <c r="M982" i="5"/>
  <c r="N983" i="5"/>
  <c r="M983" i="5"/>
  <c r="M984" i="5"/>
  <c r="M985" i="5"/>
  <c r="N986" i="5"/>
  <c r="M986" i="5"/>
  <c r="N987" i="5"/>
  <c r="M987" i="5"/>
  <c r="N988" i="5"/>
  <c r="M988" i="5"/>
  <c r="M989" i="5"/>
  <c r="M990" i="5"/>
  <c r="M991" i="5"/>
  <c r="M992" i="5"/>
  <c r="M993" i="5"/>
  <c r="M994" i="5"/>
  <c r="M995" i="5"/>
  <c r="N996" i="5"/>
  <c r="M996" i="5"/>
  <c r="M997" i="5"/>
  <c r="M998" i="5"/>
  <c r="M999" i="5"/>
  <c r="M1000" i="5"/>
  <c r="M1001" i="5"/>
  <c r="M1002" i="5"/>
  <c r="M1003" i="5"/>
  <c r="M1004" i="5"/>
  <c r="M1005" i="5"/>
  <c r="N1006" i="5"/>
  <c r="M1006" i="5"/>
  <c r="M1007" i="5"/>
  <c r="N1008" i="5"/>
  <c r="M1008" i="5"/>
  <c r="M1009" i="5"/>
  <c r="N1011" i="5"/>
  <c r="M1011" i="5"/>
  <c r="N1012" i="5"/>
  <c r="M1012" i="5"/>
  <c r="N1013" i="5"/>
  <c r="M1013" i="5"/>
  <c r="M1014" i="5"/>
  <c r="N1015" i="5"/>
  <c r="M1015" i="5"/>
  <c r="N1016" i="5"/>
  <c r="M1016" i="5"/>
  <c r="M1017" i="5"/>
  <c r="N1018" i="5"/>
  <c r="M1018" i="5"/>
  <c r="M1019" i="5"/>
  <c r="M1020" i="5"/>
  <c r="M1021" i="5"/>
  <c r="M1022" i="5"/>
  <c r="M1023" i="5"/>
  <c r="M1024" i="5"/>
  <c r="N1025" i="5"/>
  <c r="M1025" i="5"/>
  <c r="M1026" i="5"/>
  <c r="N1027" i="5"/>
  <c r="M1027" i="5"/>
  <c r="N1028" i="5"/>
  <c r="M1028" i="5"/>
  <c r="N1029" i="5"/>
  <c r="M1029" i="5"/>
  <c r="M1030" i="5"/>
  <c r="M1044" i="5"/>
  <c r="M1045" i="5"/>
  <c r="M1046" i="5"/>
  <c r="M1047" i="5"/>
  <c r="M1048" i="5"/>
  <c r="M1049" i="5"/>
  <c r="M1050" i="5"/>
  <c r="M1051" i="5"/>
  <c r="N1052" i="5"/>
  <c r="M1052" i="5"/>
  <c r="M1053" i="5"/>
  <c r="M1054" i="5"/>
  <c r="N1056"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N1087" i="5"/>
  <c r="M1087" i="5"/>
  <c r="M1088" i="5"/>
  <c r="M1089" i="5"/>
  <c r="M1090" i="5"/>
  <c r="M1091" i="5"/>
  <c r="M1093" i="5"/>
  <c r="M1094" i="5"/>
  <c r="M1095" i="5"/>
  <c r="M1096" i="5"/>
  <c r="M1097" i="5"/>
  <c r="M1098" i="5"/>
  <c r="M1099" i="5"/>
  <c r="M1100" i="5"/>
  <c r="M1101" i="5"/>
  <c r="M1103" i="5"/>
  <c r="M1104" i="5"/>
  <c r="M1105" i="5"/>
  <c r="M1106" i="5"/>
  <c r="M1107" i="5"/>
  <c r="M1108" i="5"/>
  <c r="M1109" i="5"/>
  <c r="M1110" i="5"/>
  <c r="M1111" i="5"/>
  <c r="M1112" i="5"/>
  <c r="M1113" i="5"/>
  <c r="M1114" i="5"/>
  <c r="M1115"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9" i="5"/>
  <c r="M1150" i="5"/>
  <c r="M1151" i="5"/>
  <c r="M1152" i="5"/>
  <c r="M1153" i="5"/>
  <c r="M1154" i="5"/>
  <c r="M1155" i="5"/>
  <c r="M1156" i="5"/>
  <c r="M1157" i="5"/>
  <c r="M1158" i="5"/>
  <c r="M1159" i="5"/>
  <c r="M1160" i="5"/>
  <c r="M1161" i="5"/>
  <c r="M1162" i="5"/>
  <c r="M1163" i="5"/>
  <c r="M1164" i="5"/>
  <c r="M1165" i="5"/>
  <c r="M1166" i="5"/>
  <c r="M1167" i="5"/>
  <c r="M1168"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8" i="5"/>
  <c r="M1291" i="5"/>
  <c r="M1292" i="5"/>
  <c r="M1293" i="5"/>
  <c r="M1294" i="5"/>
  <c r="M1299" i="5"/>
  <c r="M1300" i="5"/>
  <c r="M1301" i="5"/>
  <c r="M1302" i="5"/>
  <c r="M1303" i="5"/>
  <c r="M1304" i="5"/>
  <c r="M1305" i="5"/>
  <c r="M1306" i="5"/>
  <c r="M1322" i="5"/>
  <c r="M1323" i="5"/>
  <c r="M1324" i="5"/>
  <c r="M1325" i="5"/>
  <c r="M1326" i="5"/>
  <c r="M1327" i="5"/>
  <c r="M1328" i="5"/>
  <c r="M1329" i="5"/>
  <c r="M1330" i="5"/>
  <c r="M1331" i="5"/>
  <c r="M1332" i="5"/>
  <c r="M1333" i="5"/>
  <c r="M1334" i="5"/>
  <c r="M1335" i="5"/>
  <c r="M1336" i="5"/>
  <c r="M1337" i="5"/>
  <c r="M1338" i="5"/>
  <c r="M1340" i="5"/>
  <c r="M1341" i="5"/>
  <c r="M1342" i="5"/>
  <c r="M1343" i="5"/>
  <c r="M1344" i="5"/>
  <c r="M1345" i="5"/>
  <c r="M1346" i="5"/>
  <c r="M1347" i="5"/>
  <c r="M1348" i="5"/>
  <c r="M1349" i="5"/>
  <c r="M1350" i="5"/>
  <c r="M1351" i="5"/>
  <c r="M1352" i="5"/>
  <c r="N1353"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85" i="5"/>
  <c r="M1469" i="5"/>
  <c r="M1386" i="5"/>
  <c r="M1387" i="5"/>
  <c r="M1388" i="5"/>
  <c r="M1389" i="5"/>
  <c r="M1390" i="5"/>
  <c r="M1391" i="5"/>
  <c r="M1392" i="5"/>
  <c r="N1394" i="5"/>
  <c r="M1394" i="5"/>
  <c r="M1395" i="5"/>
  <c r="M1396" i="5"/>
  <c r="N1397" i="5"/>
  <c r="M1397" i="5"/>
  <c r="M1398" i="5"/>
  <c r="M1399" i="5"/>
  <c r="M1400" i="5"/>
  <c r="N1401" i="5"/>
  <c r="M1401" i="5"/>
  <c r="N1402" i="5"/>
  <c r="M1402" i="5"/>
  <c r="M1403" i="5"/>
  <c r="M1404" i="5"/>
  <c r="N1405" i="5"/>
  <c r="M1405" i="5"/>
  <c r="M1406" i="5"/>
  <c r="M1407" i="5"/>
  <c r="N1408" i="5"/>
  <c r="M1408" i="5"/>
  <c r="M1409" i="5"/>
  <c r="M1410" i="5"/>
  <c r="M1411" i="5"/>
  <c r="N1412" i="5"/>
  <c r="M1412" i="5"/>
  <c r="N1413" i="5"/>
  <c r="M1413" i="5"/>
  <c r="M1414" i="5"/>
  <c r="M1415" i="5"/>
  <c r="M1416" i="5"/>
  <c r="M1417" i="5"/>
  <c r="N1418" i="5"/>
  <c r="M1418" i="5"/>
  <c r="M1419" i="5"/>
  <c r="M1420" i="5"/>
  <c r="M1421" i="5"/>
  <c r="M1422" i="5"/>
  <c r="M1423" i="5"/>
  <c r="M1424" i="5"/>
  <c r="N1425" i="5"/>
  <c r="M1425" i="5"/>
  <c r="N1426" i="5"/>
  <c r="M1426" i="5"/>
  <c r="N1427" i="5"/>
  <c r="M1427" i="5"/>
  <c r="M1428" i="5"/>
  <c r="M1429" i="5"/>
  <c r="M1430" i="5"/>
  <c r="M1431" i="5"/>
  <c r="M1432" i="5"/>
  <c r="M1433" i="5"/>
  <c r="M1434" i="5"/>
  <c r="N1435" i="5"/>
  <c r="M1435" i="5"/>
  <c r="M1436" i="5"/>
  <c r="M1437" i="5"/>
  <c r="M1438" i="5"/>
  <c r="M1439" i="5"/>
  <c r="M1440" i="5"/>
  <c r="M1441" i="5"/>
  <c r="M1442" i="5"/>
  <c r="M1443" i="5"/>
  <c r="N1444" i="5"/>
  <c r="M1444" i="5"/>
  <c r="N1445" i="5"/>
  <c r="M1445" i="5"/>
  <c r="N1446" i="5"/>
  <c r="M1446" i="5"/>
  <c r="N1447" i="5"/>
  <c r="M1447" i="5"/>
  <c r="M1448" i="5"/>
  <c r="M1449" i="5"/>
  <c r="M1450" i="5"/>
  <c r="N1451" i="5"/>
  <c r="M1451" i="5"/>
  <c r="M1452" i="5"/>
  <c r="M1453" i="5"/>
  <c r="M1454" i="5"/>
  <c r="M1455" i="5"/>
  <c r="N1456" i="5"/>
  <c r="M1456" i="5"/>
  <c r="M1457" i="5"/>
  <c r="M1458" i="5"/>
  <c r="N1459" i="5"/>
  <c r="M1459" i="5"/>
  <c r="N1461" i="5"/>
  <c r="M1461" i="5"/>
  <c r="N1462" i="5"/>
  <c r="M1462" i="5"/>
  <c r="N1463" i="5"/>
  <c r="M1463" i="5"/>
  <c r="M1464" i="5"/>
  <c r="M1465" i="5"/>
  <c r="M1466" i="5"/>
  <c r="N1470" i="5"/>
  <c r="M1470" i="5"/>
  <c r="N1471" i="5"/>
  <c r="M1471" i="5"/>
  <c r="N1472" i="5"/>
  <c r="M1472" i="5"/>
  <c r="M1473" i="5"/>
  <c r="M1474" i="5"/>
  <c r="N1475" i="5"/>
  <c r="M1475" i="5"/>
  <c r="M1476" i="5"/>
  <c r="M1477" i="5"/>
  <c r="N1478" i="5"/>
  <c r="M1478" i="5"/>
  <c r="N1479" i="5"/>
  <c r="M1479" i="5"/>
  <c r="M1480" i="5"/>
  <c r="N1481" i="5"/>
  <c r="M1481" i="5"/>
  <c r="M1482" i="5"/>
  <c r="M1483" i="5"/>
  <c r="M1484" i="5"/>
  <c r="M1485" i="5"/>
  <c r="M1486" i="5"/>
  <c r="N1487" i="5"/>
  <c r="M1487" i="5"/>
  <c r="N1488" i="5"/>
  <c r="M1488" i="5"/>
  <c r="M1489" i="5"/>
  <c r="M1490" i="5"/>
  <c r="M1491" i="5"/>
  <c r="M1492" i="5"/>
  <c r="N1493" i="5"/>
  <c r="M1493" i="5"/>
  <c r="N1494" i="5"/>
  <c r="M1494" i="5"/>
  <c r="N1495" i="5"/>
  <c r="M1495" i="5"/>
  <c r="M1496" i="5"/>
  <c r="M1497" i="5"/>
  <c r="M1498" i="5"/>
  <c r="M1499" i="5"/>
  <c r="M1501" i="5"/>
  <c r="N1502" i="5"/>
  <c r="M1502" i="5"/>
  <c r="N1503" i="5"/>
  <c r="M1503" i="5"/>
  <c r="N1504" i="5"/>
  <c r="M1504" i="5"/>
  <c r="M1505" i="5"/>
  <c r="N1506" i="5"/>
  <c r="M1506" i="5"/>
  <c r="N1507" i="5"/>
  <c r="M1507" i="5"/>
  <c r="M1508" i="5"/>
  <c r="N1509" i="5"/>
  <c r="M1509" i="5"/>
  <c r="N1510" i="5"/>
  <c r="M1510" i="5"/>
  <c r="N1511" i="5"/>
  <c r="M1511" i="5"/>
  <c r="N1512" i="5"/>
  <c r="M1512" i="5"/>
  <c r="M1513" i="5"/>
  <c r="M1514" i="5"/>
  <c r="M1515" i="5"/>
  <c r="N1516" i="5"/>
  <c r="M1516" i="5"/>
  <c r="M1517" i="5"/>
  <c r="M1518" i="5"/>
  <c r="M1519" i="5"/>
  <c r="N1520" i="5"/>
  <c r="M1520" i="5"/>
  <c r="N1521" i="5"/>
  <c r="M1521" i="5"/>
  <c r="M1522" i="5"/>
  <c r="M1523" i="5"/>
  <c r="N1524" i="5"/>
  <c r="M1524" i="5"/>
  <c r="N1525" i="5"/>
  <c r="M1525" i="5"/>
  <c r="N1526" i="5"/>
  <c r="M1526" i="5"/>
  <c r="N1527" i="5"/>
  <c r="M1527" i="5"/>
  <c r="N1528" i="5"/>
  <c r="M1528" i="5"/>
  <c r="M1529" i="5"/>
  <c r="N1530" i="5"/>
  <c r="M1530" i="5"/>
  <c r="M1531" i="5"/>
  <c r="M1532" i="5"/>
  <c r="M1533" i="5"/>
  <c r="N1534" i="5"/>
  <c r="M1534" i="5"/>
  <c r="M1535" i="5"/>
  <c r="N1536" i="5"/>
  <c r="M1536" i="5"/>
  <c r="N1537" i="5"/>
  <c r="M1537" i="5"/>
  <c r="M1538" i="5"/>
  <c r="M1539" i="5"/>
  <c r="N1540" i="5"/>
  <c r="M1540" i="5"/>
  <c r="M1541" i="5"/>
  <c r="M1542" i="5"/>
  <c r="N1543" i="5"/>
  <c r="M1543" i="5"/>
  <c r="M1544" i="5"/>
  <c r="M1545" i="5"/>
  <c r="M1546" i="5"/>
  <c r="M1547" i="5"/>
  <c r="M1548" i="5"/>
  <c r="M1549" i="5"/>
  <c r="M1550" i="5"/>
  <c r="M1551" i="5"/>
  <c r="M1552" i="5"/>
  <c r="M1553" i="5"/>
  <c r="M1554" i="5"/>
  <c r="M1555" i="5"/>
  <c r="N1556" i="5"/>
  <c r="M1556" i="5"/>
  <c r="N1557" i="5"/>
  <c r="M1557" i="5"/>
  <c r="M1558" i="5"/>
  <c r="M1559" i="5"/>
  <c r="M1560" i="5"/>
  <c r="N1561" i="5"/>
  <c r="M1561" i="5"/>
  <c r="N1563" i="5"/>
  <c r="M1563" i="5"/>
  <c r="M1564" i="5"/>
  <c r="M1565" i="5"/>
  <c r="N1566" i="5"/>
  <c r="M1566" i="5"/>
  <c r="M1567" i="5"/>
  <c r="N1568" i="5"/>
  <c r="M1568" i="5"/>
  <c r="M1569" i="5"/>
  <c r="N1570" i="5"/>
  <c r="M1570" i="5"/>
  <c r="N1571" i="5"/>
  <c r="M1571" i="5"/>
  <c r="M1572" i="5"/>
  <c r="M1573" i="5"/>
  <c r="N1574" i="5"/>
  <c r="M1574" i="5"/>
  <c r="M1575" i="5"/>
  <c r="M1576" i="5"/>
  <c r="M1577" i="5"/>
  <c r="M1578" i="5"/>
  <c r="M1579" i="5"/>
  <c r="M1580" i="5"/>
  <c r="M1581" i="5"/>
  <c r="M1582" i="5"/>
  <c r="M1583" i="5"/>
  <c r="M1584" i="5"/>
  <c r="M1585" i="5"/>
  <c r="M1586" i="5"/>
  <c r="M1587" i="5"/>
  <c r="M1588" i="5"/>
  <c r="M1590" i="5"/>
  <c r="M1591" i="5"/>
  <c r="M1592" i="5"/>
  <c r="M1593" i="5"/>
  <c r="M1594" i="5"/>
  <c r="M1595" i="5"/>
  <c r="M1596" i="5"/>
  <c r="M1597" i="5"/>
  <c r="M1598" i="5"/>
  <c r="M1599" i="5"/>
  <c r="M1600" i="5"/>
  <c r="M1601" i="5"/>
  <c r="M1603" i="5"/>
  <c r="M1604" i="5"/>
  <c r="M1605" i="5"/>
  <c r="M1606" i="5"/>
  <c r="M1607" i="5"/>
  <c r="M1608" i="5"/>
  <c r="M1609" i="5"/>
  <c r="M1610" i="5"/>
  <c r="M1611" i="5"/>
  <c r="M1612" i="5"/>
  <c r="M1613" i="5"/>
  <c r="M1614" i="5"/>
  <c r="M1615" i="5"/>
  <c r="M1616" i="5"/>
  <c r="M1617" i="5"/>
  <c r="M1621" i="5"/>
  <c r="M1622" i="5"/>
  <c r="M1623" i="5"/>
  <c r="M1624" i="5"/>
  <c r="N1625" i="5"/>
  <c r="M1625" i="5"/>
  <c r="M1626" i="5"/>
  <c r="M1627" i="5"/>
  <c r="M1628" i="5"/>
  <c r="M1629" i="5"/>
  <c r="M1630" i="5"/>
  <c r="M1631" i="5"/>
  <c r="M1632" i="5"/>
  <c r="M1633" i="5"/>
  <c r="M1634" i="5"/>
  <c r="M1635" i="5"/>
  <c r="M1636" i="5"/>
  <c r="M1637" i="5"/>
  <c r="M1638" i="5"/>
  <c r="M1639" i="5"/>
  <c r="N1640" i="5"/>
  <c r="M1640" i="5"/>
  <c r="M1647" i="5"/>
  <c r="M1648" i="5"/>
  <c r="M1649" i="5"/>
  <c r="M1650" i="5"/>
  <c r="M1651" i="5"/>
  <c r="M1652" i="5"/>
  <c r="M1653" i="5"/>
  <c r="M1654" i="5"/>
  <c r="N1655"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3" i="5"/>
  <c r="M1684" i="5"/>
  <c r="M1685" i="5"/>
  <c r="M1686" i="5"/>
  <c r="M1687" i="5"/>
  <c r="M1688" i="5"/>
  <c r="M1689" i="5"/>
  <c r="M1690" i="5"/>
  <c r="R1691" i="5"/>
  <c r="M1692" i="5"/>
  <c r="M1693" i="5"/>
  <c r="M1695" i="5"/>
  <c r="M1696" i="5"/>
  <c r="M1697" i="5"/>
  <c r="M1698" i="5"/>
  <c r="M1700" i="5"/>
  <c r="M1701" i="5"/>
  <c r="N1702" i="5"/>
  <c r="M1702" i="5"/>
  <c r="M1703" i="5"/>
  <c r="M1704" i="5"/>
  <c r="M1705" i="5"/>
  <c r="M1706" i="5"/>
  <c r="M1707" i="5"/>
  <c r="M1708" i="5"/>
  <c r="M1709" i="5"/>
  <c r="M1710" i="5"/>
  <c r="M1711" i="5"/>
  <c r="M1717" i="5"/>
  <c r="M1718" i="5"/>
  <c r="M1719" i="5"/>
  <c r="M1720" i="5"/>
  <c r="M1721" i="5"/>
  <c r="M1722"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8" i="5"/>
  <c r="M1759" i="5"/>
  <c r="M1760" i="5"/>
  <c r="M1761" i="5"/>
  <c r="M1762" i="5"/>
  <c r="M1763" i="5"/>
  <c r="M1764" i="5"/>
  <c r="M1773" i="5"/>
  <c r="M1774" i="5"/>
  <c r="M1775" i="5"/>
  <c r="M1776" i="5"/>
  <c r="M1777" i="5"/>
  <c r="M1778" i="5"/>
  <c r="M1779" i="5"/>
  <c r="M1780" i="5"/>
  <c r="M1781" i="5"/>
  <c r="M1782" i="5"/>
  <c r="M1783" i="5"/>
  <c r="M1784" i="5"/>
  <c r="M1785" i="5"/>
  <c r="M1786" i="5"/>
  <c r="M1787" i="5"/>
  <c r="M1788" i="5"/>
  <c r="M1789" i="5"/>
  <c r="M1790" i="5"/>
  <c r="M1791" i="5"/>
  <c r="M1794" i="5"/>
  <c r="M1795" i="5"/>
  <c r="M1796" i="5"/>
  <c r="M1797" i="5"/>
  <c r="M1798" i="5"/>
  <c r="M1799" i="5"/>
  <c r="M1800" i="5"/>
  <c r="M1801" i="5"/>
  <c r="M1802" i="5"/>
  <c r="N1803" i="5"/>
  <c r="M1803" i="5"/>
  <c r="M1804" i="5"/>
  <c r="M1805" i="5"/>
  <c r="M1807" i="5"/>
  <c r="M1808" i="5"/>
  <c r="M1810" i="5"/>
  <c r="Q1810" i="5"/>
  <c r="M1811" i="5"/>
  <c r="M1812" i="5"/>
  <c r="M1813" i="5"/>
  <c r="M1814" i="5"/>
  <c r="M1815" i="5"/>
  <c r="M1816" i="5"/>
  <c r="R1816" i="5"/>
  <c r="M1818" i="5"/>
  <c r="N1819" i="5"/>
  <c r="M1819" i="5"/>
  <c r="N1821" i="5"/>
  <c r="M1821" i="5"/>
  <c r="N1822" i="5"/>
  <c r="M1822" i="5"/>
  <c r="N1823" i="5"/>
  <c r="M1823" i="5"/>
  <c r="M1824" i="5"/>
  <c r="N1833" i="5"/>
  <c r="M1833" i="5"/>
  <c r="M1834" i="5"/>
  <c r="N1835" i="5"/>
  <c r="M1835" i="5"/>
  <c r="M1836" i="5"/>
  <c r="R1836" i="5"/>
  <c r="S1836" i="5"/>
  <c r="N1837" i="5"/>
  <c r="M1837" i="5"/>
  <c r="M1838" i="5"/>
  <c r="N1839" i="5"/>
  <c r="M1839" i="5"/>
  <c r="N1840" i="5"/>
  <c r="M1840" i="5"/>
  <c r="M1841" i="5"/>
  <c r="N1842" i="5"/>
  <c r="M1842" i="5"/>
  <c r="N1843" i="5"/>
  <c r="M1843" i="5"/>
  <c r="N1844" i="5"/>
  <c r="M1844" i="5"/>
  <c r="N1845" i="5"/>
  <c r="M1845" i="5"/>
  <c r="M1846" i="5"/>
  <c r="Q1846" i="5"/>
  <c r="R1846" i="5"/>
  <c r="M1847" i="5"/>
  <c r="M1848" i="5"/>
  <c r="N1861" i="5"/>
  <c r="M1861" i="5"/>
  <c r="M1862" i="5"/>
  <c r="M1863" i="5"/>
  <c r="Q1863" i="5"/>
  <c r="R1863" i="5"/>
  <c r="N1864" i="5"/>
  <c r="M1864" i="5"/>
  <c r="N1865" i="5"/>
  <c r="M1865" i="5"/>
  <c r="N1866" i="5"/>
  <c r="M1866" i="5"/>
  <c r="N1867" i="5"/>
  <c r="M1867" i="5"/>
  <c r="M1868" i="5"/>
  <c r="M1869" i="5"/>
  <c r="Q1869" i="5"/>
  <c r="R1869" i="5"/>
  <c r="M1870" i="5"/>
  <c r="N1871" i="5"/>
  <c r="M1871" i="5"/>
  <c r="M1872" i="5"/>
  <c r="Q1872" i="5"/>
  <c r="R1872" i="5"/>
  <c r="M1873" i="5"/>
  <c r="S1873" i="5"/>
  <c r="T1873" i="5"/>
  <c r="M1874" i="5"/>
  <c r="N1875" i="5"/>
  <c r="M1875" i="5"/>
  <c r="M1876" i="5"/>
  <c r="M1877" i="5"/>
  <c r="N1878" i="5"/>
  <c r="M1878" i="5"/>
  <c r="M1879" i="5"/>
  <c r="M1880" i="5"/>
  <c r="M1881" i="5"/>
  <c r="Q1881" i="5"/>
  <c r="R1881" i="5"/>
  <c r="M1882" i="5"/>
  <c r="Q1882" i="5"/>
  <c r="N1883" i="5"/>
  <c r="M1883" i="5"/>
  <c r="M1884" i="5"/>
  <c r="Q1884" i="5"/>
  <c r="M1885" i="5"/>
  <c r="N1886" i="5"/>
  <c r="M1886" i="5"/>
  <c r="N1887" i="5"/>
  <c r="M1887" i="5"/>
  <c r="N1888" i="5"/>
  <c r="M1888" i="5"/>
  <c r="M1889" i="5"/>
  <c r="N1890" i="5"/>
  <c r="M1890" i="5"/>
  <c r="N1891" i="5"/>
  <c r="M1891" i="5"/>
  <c r="N1892" i="5"/>
  <c r="M1892" i="5"/>
  <c r="M1893" i="5"/>
  <c r="M1894" i="5"/>
  <c r="N1899" i="5"/>
  <c r="M1899" i="5"/>
  <c r="N1900" i="5"/>
  <c r="M1900" i="5"/>
  <c r="N1901" i="5"/>
  <c r="M1901" i="5"/>
  <c r="M1902" i="5"/>
  <c r="Q1902" i="5"/>
  <c r="M1903" i="5"/>
  <c r="Q1903" i="5"/>
  <c r="M1904" i="5"/>
  <c r="Q1904" i="5"/>
  <c r="M1905" i="5"/>
  <c r="Q1905" i="5"/>
  <c r="M1908" i="5"/>
  <c r="M1909" i="5"/>
  <c r="M1910" i="5"/>
  <c r="N1911" i="5"/>
  <c r="M1911" i="5"/>
  <c r="M1912" i="5"/>
  <c r="N1913" i="5"/>
  <c r="M1913" i="5"/>
  <c r="M1914" i="5"/>
  <c r="N1918" i="5"/>
  <c r="M1918" i="5"/>
  <c r="N1919" i="5"/>
  <c r="M1919" i="5"/>
  <c r="N1923" i="5"/>
  <c r="M1923" i="5"/>
  <c r="M1924" i="5"/>
  <c r="N1925" i="5"/>
  <c r="M1925" i="5"/>
  <c r="M1926" i="5"/>
  <c r="M1927" i="5"/>
  <c r="N1928" i="5"/>
  <c r="M1928" i="5"/>
  <c r="M1929" i="5"/>
  <c r="M1930" i="5"/>
  <c r="M1931" i="5"/>
  <c r="M1932" i="5"/>
  <c r="N1933" i="5"/>
  <c r="M1933" i="5"/>
  <c r="M1934" i="5"/>
  <c r="N1935" i="5"/>
  <c r="M1935" i="5"/>
  <c r="M1936" i="5"/>
  <c r="N1937" i="5"/>
  <c r="M1937" i="5"/>
  <c r="M1950" i="5"/>
  <c r="M1951" i="5"/>
  <c r="M1952" i="5"/>
  <c r="N1953" i="5"/>
  <c r="M1953" i="5"/>
  <c r="N1954" i="5"/>
  <c r="M1954" i="5"/>
  <c r="M1955" i="5"/>
  <c r="M1956" i="5"/>
  <c r="M1957" i="5"/>
  <c r="M1958" i="5"/>
  <c r="N1959" i="5"/>
  <c r="M1959" i="5"/>
  <c r="M1964" i="5"/>
  <c r="N1965" i="5"/>
  <c r="M1965" i="5"/>
  <c r="M1966" i="5"/>
  <c r="M1967" i="5"/>
  <c r="M1968" i="5"/>
  <c r="M1969" i="5"/>
  <c r="M1970" i="5"/>
  <c r="M1971" i="5"/>
  <c r="N1972" i="5"/>
  <c r="M1972" i="5"/>
  <c r="M1973" i="5"/>
  <c r="M1974" i="5"/>
  <c r="M1975" i="5"/>
  <c r="M1976" i="5"/>
  <c r="M1977" i="5"/>
  <c r="M1978" i="5"/>
  <c r="M1979" i="5"/>
  <c r="M1980" i="5"/>
  <c r="M1981" i="5"/>
  <c r="M1982" i="5"/>
  <c r="M1983" i="5"/>
  <c r="N1984" i="5"/>
  <c r="M1984" i="5"/>
  <c r="N1985" i="5"/>
  <c r="M1985" i="5"/>
  <c r="N1986" i="5"/>
  <c r="M1986" i="5"/>
  <c r="M1987" i="5"/>
  <c r="N1988" i="5"/>
  <c r="M1988" i="5"/>
  <c r="M1989" i="5"/>
  <c r="M1990" i="5"/>
  <c r="M1991" i="5"/>
  <c r="N1992" i="5"/>
  <c r="M1992" i="5"/>
  <c r="N1993" i="5"/>
  <c r="M1993" i="5"/>
  <c r="N1994" i="5"/>
  <c r="M1994" i="5"/>
  <c r="N1995" i="5"/>
  <c r="M1995" i="5"/>
  <c r="M1996" i="5"/>
  <c r="N1997" i="5"/>
  <c r="M1997" i="5"/>
  <c r="M1998" i="5"/>
  <c r="M1999" i="5"/>
  <c r="M2000" i="5"/>
  <c r="N2001" i="5"/>
  <c r="M2001" i="5"/>
  <c r="M2002" i="5"/>
  <c r="N2003" i="5"/>
  <c r="M2003" i="5"/>
  <c r="N2004" i="5"/>
  <c r="M2004" i="5"/>
  <c r="M2005" i="5"/>
  <c r="M2006" i="5"/>
  <c r="M2007" i="5"/>
  <c r="M2008" i="5"/>
  <c r="M2009" i="5"/>
  <c r="M2010" i="5"/>
  <c r="M2012" i="5"/>
  <c r="M2015" i="5"/>
  <c r="M2020" i="5"/>
  <c r="N2021" i="5"/>
  <c r="M2021" i="5"/>
  <c r="M2022" i="5"/>
  <c r="N2023" i="5"/>
  <c r="M2023" i="5"/>
  <c r="M2024" i="5"/>
  <c r="N2025" i="5"/>
  <c r="M2025" i="5"/>
  <c r="M2027" i="5"/>
  <c r="N2028" i="5"/>
  <c r="M2028" i="5"/>
  <c r="M2029" i="5"/>
  <c r="S2029" i="5"/>
  <c r="M2030" i="5"/>
  <c r="M2031" i="5"/>
  <c r="N2033" i="5"/>
  <c r="M2033" i="5"/>
  <c r="N2034" i="5"/>
  <c r="M2034" i="5"/>
  <c r="M2035" i="5"/>
  <c r="M2036" i="5"/>
  <c r="Q2036" i="5"/>
  <c r="R2036" i="5"/>
  <c r="M2039" i="5"/>
  <c r="N2045" i="5"/>
  <c r="M2045" i="5"/>
  <c r="P2045" i="5"/>
  <c r="M2054" i="5"/>
  <c r="M2055" i="5"/>
  <c r="M2056" i="5"/>
  <c r="M2057" i="5"/>
  <c r="N2058" i="5"/>
  <c r="M2058" i="5"/>
  <c r="M2061" i="5"/>
  <c r="M2062" i="5"/>
  <c r="M2063" i="5"/>
  <c r="M2064" i="5"/>
  <c r="N2065" i="5"/>
  <c r="M2065" i="5"/>
  <c r="M2066" i="5"/>
  <c r="N2067" i="5"/>
  <c r="M2067" i="5"/>
  <c r="N2069" i="5"/>
  <c r="M2069" i="5"/>
  <c r="N2070" i="5"/>
  <c r="M2070" i="5"/>
  <c r="M2071" i="5"/>
  <c r="Q2071" i="5"/>
  <c r="M2072" i="5"/>
  <c r="Q2072" i="5"/>
  <c r="N2080" i="5"/>
  <c r="M2080" i="5"/>
  <c r="N2081" i="5"/>
  <c r="M2081" i="5"/>
  <c r="M2082" i="5"/>
  <c r="M2083" i="5"/>
  <c r="M2084" i="5"/>
  <c r="N2090" i="5"/>
  <c r="M2090" i="5"/>
  <c r="M2091" i="5"/>
  <c r="N2092" i="5"/>
  <c r="M2092" i="5"/>
  <c r="N2093" i="5"/>
  <c r="M2093" i="5"/>
  <c r="M2094" i="5"/>
  <c r="N2095" i="5"/>
  <c r="M2095" i="5"/>
  <c r="M2096" i="5"/>
  <c r="N2097" i="5"/>
  <c r="M2097" i="5"/>
  <c r="N2098" i="5"/>
  <c r="M2098" i="5"/>
  <c r="N2099" i="5"/>
  <c r="M2099" i="5"/>
  <c r="M2100" i="5"/>
  <c r="N2101" i="5"/>
  <c r="M2101" i="5"/>
  <c r="M2102" i="5"/>
  <c r="N2103" i="5"/>
  <c r="M2103" i="5"/>
  <c r="M2104" i="5"/>
  <c r="N2105" i="5"/>
  <c r="M2105" i="5"/>
  <c r="M2106" i="5"/>
  <c r="M2107" i="5"/>
  <c r="M2108" i="5"/>
  <c r="M2109" i="5"/>
  <c r="M2110" i="5"/>
  <c r="M2111" i="5"/>
  <c r="M2112" i="5"/>
  <c r="M2120" i="5"/>
  <c r="M2121" i="5"/>
  <c r="M2122" i="5"/>
  <c r="M2124" i="5"/>
  <c r="N2125" i="5"/>
  <c r="M2125" i="5"/>
  <c r="N2126" i="5"/>
  <c r="M2126" i="5"/>
  <c r="M2127" i="5"/>
  <c r="M2128" i="5"/>
  <c r="M2129" i="5"/>
  <c r="N2130" i="5"/>
  <c r="M2130" i="5"/>
  <c r="N2131" i="5"/>
  <c r="M2131" i="5"/>
  <c r="M2132" i="5"/>
  <c r="N2133" i="5"/>
  <c r="M2133" i="5"/>
  <c r="N2134" i="5"/>
  <c r="M2134" i="5"/>
  <c r="N2135" i="5"/>
  <c r="M2135" i="5"/>
  <c r="M2139" i="5"/>
  <c r="N2140" i="5"/>
  <c r="M2140" i="5"/>
  <c r="M2141" i="5"/>
  <c r="M2142" i="5"/>
  <c r="M2144" i="5"/>
  <c r="M2145" i="5"/>
  <c r="M2146" i="5"/>
  <c r="M2150" i="5"/>
  <c r="N2151" i="5"/>
  <c r="M2151" i="5"/>
  <c r="N2152" i="5"/>
  <c r="M2152" i="5"/>
  <c r="M2154" i="5"/>
  <c r="N2157" i="5"/>
  <c r="M2157" i="5"/>
  <c r="N2158" i="5"/>
  <c r="M2158" i="5"/>
  <c r="N2159" i="5"/>
  <c r="M2159" i="5"/>
  <c r="M2160" i="5"/>
  <c r="N2161" i="5"/>
  <c r="M2161" i="5"/>
  <c r="N2162" i="5"/>
  <c r="M2162" i="5"/>
  <c r="N2163" i="5"/>
  <c r="M2163" i="5"/>
  <c r="N2166" i="5"/>
  <c r="O2163" i="5"/>
  <c r="M2165" i="5"/>
  <c r="M2166" i="5"/>
  <c r="M2167" i="5"/>
  <c r="M2168" i="5"/>
  <c r="M2169" i="5"/>
  <c r="M2171" i="5"/>
  <c r="N2172" i="5"/>
  <c r="M2172" i="5"/>
  <c r="N2173" i="5"/>
  <c r="M2173" i="5"/>
  <c r="N2174" i="5"/>
  <c r="M2174" i="5"/>
  <c r="N2175" i="5"/>
  <c r="M2175" i="5"/>
  <c r="N2176" i="5"/>
  <c r="M2176" i="5"/>
  <c r="M2177" i="5"/>
  <c r="N2178" i="5"/>
  <c r="M2178" i="5"/>
  <c r="M2179" i="5"/>
  <c r="N2180" i="5"/>
  <c r="M2180" i="5"/>
  <c r="M2182" i="5"/>
  <c r="M2183" i="5"/>
  <c r="Q2183" i="5"/>
  <c r="M2185" i="5"/>
  <c r="M2186" i="5"/>
  <c r="M2187" i="5"/>
  <c r="N2188" i="5"/>
  <c r="M2188" i="5"/>
  <c r="M2189" i="5"/>
  <c r="N2190" i="5"/>
  <c r="M2190" i="5"/>
  <c r="N2191" i="5"/>
  <c r="M2191" i="5"/>
  <c r="M2192" i="5"/>
  <c r="N2193" i="5"/>
  <c r="M2193" i="5"/>
  <c r="N2194" i="5"/>
  <c r="M2194" i="5"/>
  <c r="M2195" i="5"/>
  <c r="M2199" i="5"/>
  <c r="M2200" i="5"/>
  <c r="M2201" i="5"/>
  <c r="N2202" i="5"/>
  <c r="M2202" i="5"/>
  <c r="M2203" i="5"/>
  <c r="R2203" i="5"/>
  <c r="S2203" i="5"/>
  <c r="N2204" i="5"/>
  <c r="M2204" i="5"/>
  <c r="M2205" i="5"/>
  <c r="N2206" i="5"/>
  <c r="M2206" i="5"/>
  <c r="M2207" i="5"/>
  <c r="N2208" i="5"/>
  <c r="M2208" i="5"/>
  <c r="O2208" i="5"/>
  <c r="N2209" i="5"/>
  <c r="M2209" i="5"/>
  <c r="N2210" i="5"/>
  <c r="M2210" i="5"/>
  <c r="N2212" i="5"/>
  <c r="M2212" i="5"/>
  <c r="M2213" i="5"/>
  <c r="M2214" i="5"/>
  <c r="M2215" i="5"/>
  <c r="M2236" i="5"/>
  <c r="M2237" i="5"/>
  <c r="M2238" i="5"/>
  <c r="M2239" i="5"/>
  <c r="M2240" i="5"/>
  <c r="N2241" i="5"/>
  <c r="M2241" i="5"/>
  <c r="N2242" i="5"/>
  <c r="M2242" i="5"/>
  <c r="M2243" i="5"/>
  <c r="N2244" i="5"/>
  <c r="M2244" i="5"/>
  <c r="N2245" i="5"/>
  <c r="M2245" i="5"/>
  <c r="M2246" i="5"/>
  <c r="N2247" i="5"/>
  <c r="M2247" i="5"/>
  <c r="M2248" i="5"/>
  <c r="R2248" i="5"/>
  <c r="S2248" i="5"/>
  <c r="N2249" i="5"/>
  <c r="M2249" i="5"/>
  <c r="M2250" i="5"/>
  <c r="N2251" i="5"/>
  <c r="M2251" i="5"/>
  <c r="N2252" i="5"/>
  <c r="M2252" i="5"/>
  <c r="N2253" i="5"/>
  <c r="M2253" i="5"/>
  <c r="N2254" i="5"/>
  <c r="M2254" i="5"/>
  <c r="M2255" i="5"/>
  <c r="N2256" i="5"/>
  <c r="M2256" i="5"/>
  <c r="N2257" i="5"/>
  <c r="M2257" i="5"/>
  <c r="N2258" i="5"/>
  <c r="M2258" i="5"/>
  <c r="N2259" i="5"/>
  <c r="M2259" i="5"/>
  <c r="N2260" i="5"/>
  <c r="M2260" i="5"/>
  <c r="N2261" i="5"/>
  <c r="M2261" i="5"/>
  <c r="M2262" i="5"/>
  <c r="M2263" i="5"/>
  <c r="M2264" i="5"/>
  <c r="N2265" i="5"/>
  <c r="M2265" i="5"/>
  <c r="N2266" i="5"/>
  <c r="M2266" i="5"/>
  <c r="N2267" i="5"/>
  <c r="M2267" i="5"/>
  <c r="N2268" i="5"/>
  <c r="M2268" i="5"/>
  <c r="M2269" i="5"/>
  <c r="N2270" i="5"/>
  <c r="M2270" i="5"/>
  <c r="N2271" i="5"/>
  <c r="M2271" i="5"/>
  <c r="N2272" i="5"/>
  <c r="M2272" i="5"/>
  <c r="M2274" i="5"/>
  <c r="N2278" i="5"/>
  <c r="M2278" i="5"/>
  <c r="N2279" i="5"/>
  <c r="M2279" i="5"/>
  <c r="N2280" i="5"/>
  <c r="M2280" i="5"/>
  <c r="N2281" i="5"/>
  <c r="M2281" i="5"/>
  <c r="M2282" i="5"/>
  <c r="M2283" i="5"/>
  <c r="N2285" i="5"/>
  <c r="M2285" i="5"/>
  <c r="N2286" i="5"/>
  <c r="M2286" i="5"/>
  <c r="N2287" i="5"/>
  <c r="M2287" i="5"/>
  <c r="N2288" i="5"/>
  <c r="M2288" i="5"/>
  <c r="M2289" i="5"/>
  <c r="N2290" i="5"/>
  <c r="M2290" i="5"/>
  <c r="N2291" i="5"/>
  <c r="M2291" i="5"/>
  <c r="N2292" i="5"/>
  <c r="M2292" i="5"/>
  <c r="N2293" i="5"/>
  <c r="M2293" i="5"/>
  <c r="M2294" i="5"/>
  <c r="N2295" i="5"/>
  <c r="M2295" i="5"/>
  <c r="M2296" i="5"/>
  <c r="M2297" i="5"/>
  <c r="N2298" i="5"/>
  <c r="M2298" i="5"/>
  <c r="M2299" i="5"/>
  <c r="Q2299" i="5"/>
  <c r="M2300" i="5"/>
  <c r="N2301" i="5"/>
  <c r="M2301" i="5"/>
  <c r="N2302" i="5"/>
  <c r="M2302" i="5"/>
  <c r="M2303" i="5"/>
  <c r="N2305" i="5"/>
  <c r="M2305" i="5"/>
  <c r="N2306" i="5"/>
  <c r="M2306" i="5"/>
  <c r="M2307" i="5"/>
  <c r="N2308" i="5"/>
  <c r="M2308" i="5"/>
  <c r="N2309" i="5"/>
  <c r="M2309" i="5"/>
  <c r="N2310" i="5"/>
  <c r="M2310" i="5"/>
  <c r="N2311" i="5"/>
  <c r="M2311" i="5"/>
  <c r="M2312" i="5"/>
  <c r="M2313" i="5"/>
  <c r="N2314" i="5"/>
  <c r="M2314" i="5"/>
  <c r="N2315" i="5"/>
  <c r="M2315" i="5"/>
  <c r="N2316" i="5"/>
  <c r="M2316" i="5"/>
  <c r="N2317" i="5"/>
  <c r="M2317" i="5"/>
  <c r="N2318" i="5"/>
  <c r="M2318" i="5"/>
  <c r="N2319" i="5"/>
  <c r="M2319" i="5"/>
  <c r="M2320" i="5"/>
  <c r="N2321" i="5"/>
  <c r="M2321" i="5"/>
  <c r="N2322" i="5"/>
  <c r="M2322" i="5"/>
  <c r="N2323" i="5"/>
  <c r="M2323" i="5"/>
  <c r="O2323" i="5"/>
  <c r="M2324" i="5"/>
  <c r="N2328" i="5"/>
  <c r="M2328" i="5"/>
  <c r="N2329" i="5"/>
  <c r="M2329" i="5"/>
  <c r="M2330" i="5"/>
  <c r="M2331" i="5"/>
  <c r="M2332" i="5"/>
  <c r="M2334" i="5"/>
  <c r="Q2334" i="5"/>
  <c r="N2335" i="5"/>
  <c r="M2335" i="5"/>
  <c r="M2336" i="5"/>
  <c r="R2336" i="5"/>
  <c r="N2339" i="5"/>
  <c r="M2339" i="5"/>
  <c r="M2340" i="5"/>
  <c r="N2341" i="5"/>
  <c r="M2341" i="5"/>
  <c r="N2342" i="5"/>
  <c r="M2342" i="5"/>
  <c r="N2343" i="5"/>
  <c r="M2343" i="5"/>
  <c r="M2344" i="5"/>
  <c r="M2345" i="5"/>
  <c r="M2349" i="5"/>
  <c r="M2350" i="5"/>
  <c r="N2352" i="5"/>
  <c r="M2352" i="5"/>
  <c r="M2353" i="5"/>
  <c r="M2354" i="5"/>
  <c r="S2354" i="5"/>
  <c r="T2354" i="5"/>
  <c r="M2356" i="5"/>
  <c r="M2357" i="5"/>
  <c r="M2358" i="5"/>
  <c r="M2359" i="5"/>
  <c r="M2360" i="5"/>
  <c r="N2361" i="5"/>
  <c r="M2361" i="5"/>
  <c r="M2362" i="5"/>
  <c r="M2363" i="5"/>
  <c r="M2364" i="5"/>
  <c r="N2366" i="5"/>
  <c r="M2366" i="5"/>
  <c r="M2367" i="5"/>
  <c r="N2368" i="5"/>
  <c r="M2368" i="5"/>
  <c r="M2369" i="5"/>
  <c r="N2372" i="5"/>
  <c r="M2372" i="5"/>
  <c r="M2373" i="5"/>
  <c r="M2374" i="5"/>
  <c r="M2375" i="5"/>
  <c r="M2376" i="5"/>
  <c r="N2377" i="5"/>
  <c r="M2377" i="5"/>
  <c r="N2378" i="5"/>
  <c r="M2378" i="5"/>
  <c r="M2379" i="5"/>
  <c r="M2380" i="5"/>
  <c r="M2381" i="5"/>
  <c r="M2382" i="5"/>
  <c r="M2383" i="5"/>
  <c r="N2384" i="5"/>
  <c r="M2384" i="5"/>
  <c r="M2385" i="5"/>
  <c r="N2386" i="5"/>
  <c r="M2386" i="5"/>
  <c r="M2387" i="5"/>
  <c r="M2388" i="5"/>
  <c r="N2389" i="5"/>
  <c r="M2389" i="5"/>
  <c r="M2390" i="5"/>
  <c r="M2391" i="5"/>
  <c r="M2392" i="5"/>
  <c r="N2394" i="5"/>
  <c r="M2394" i="5"/>
  <c r="N2395" i="5"/>
  <c r="M2395" i="5"/>
  <c r="N2396" i="5"/>
  <c r="M2396" i="5"/>
  <c r="M2397" i="5"/>
  <c r="M2398" i="5"/>
  <c r="N2399" i="5"/>
  <c r="M2399" i="5"/>
  <c r="N2400" i="5"/>
  <c r="M2400" i="5"/>
  <c r="N2401" i="5"/>
  <c r="M2401" i="5"/>
  <c r="N2402" i="5"/>
  <c r="M2402" i="5"/>
  <c r="M2403" i="5"/>
  <c r="N2404" i="5"/>
  <c r="M2404" i="5"/>
  <c r="N2405" i="5"/>
  <c r="M2405" i="5"/>
  <c r="M2406" i="5"/>
  <c r="M2407" i="5"/>
  <c r="N2408" i="5"/>
  <c r="M2408" i="5"/>
  <c r="M2409" i="5"/>
  <c r="M2410" i="5"/>
  <c r="M2411" i="5"/>
  <c r="M2412" i="5"/>
  <c r="Q2412" i="5"/>
  <c r="M2413" i="5"/>
  <c r="M2414" i="5"/>
  <c r="M2415" i="5"/>
  <c r="M2416" i="5"/>
  <c r="M2421" i="5"/>
  <c r="M2422" i="5"/>
  <c r="N2423" i="5"/>
  <c r="M2423" i="5"/>
  <c r="N2424" i="5"/>
  <c r="M2424" i="5"/>
  <c r="N2425" i="5"/>
  <c r="M2425" i="5"/>
  <c r="M2426" i="5"/>
  <c r="M2427" i="5"/>
  <c r="M2429" i="5"/>
  <c r="M2430" i="5"/>
  <c r="N2431" i="5"/>
  <c r="M2431" i="5"/>
  <c r="M2432" i="5"/>
  <c r="M2433" i="5"/>
  <c r="N2434" i="5"/>
  <c r="M2434" i="5"/>
  <c r="N2435" i="5"/>
  <c r="M2435" i="5"/>
  <c r="N2436" i="5"/>
  <c r="M2436" i="5"/>
  <c r="N2437" i="5"/>
  <c r="M2437" i="5"/>
  <c r="M2438" i="5"/>
  <c r="M2439" i="5"/>
  <c r="M2440" i="5"/>
  <c r="M2441" i="5"/>
  <c r="M2442" i="5"/>
  <c r="M2443" i="5"/>
  <c r="M2444" i="5"/>
  <c r="M2448" i="5"/>
  <c r="M2449" i="5"/>
  <c r="N2450" i="5"/>
  <c r="M2450" i="5"/>
  <c r="M2451" i="5"/>
  <c r="N2452" i="5"/>
  <c r="M2452" i="5"/>
  <c r="N2453" i="5"/>
  <c r="M2453" i="5"/>
  <c r="N2454" i="5"/>
  <c r="M2454" i="5"/>
  <c r="N2455" i="5"/>
  <c r="M2455" i="5"/>
  <c r="M2456" i="5"/>
  <c r="N2457" i="5"/>
  <c r="M2457" i="5"/>
  <c r="N2458" i="5"/>
  <c r="M2458" i="5"/>
  <c r="M2459" i="5"/>
  <c r="M2460" i="5"/>
  <c r="N2461" i="5"/>
  <c r="M2461" i="5"/>
  <c r="M2462" i="5"/>
  <c r="N2463" i="5"/>
  <c r="M2463" i="5"/>
  <c r="M2464" i="5"/>
  <c r="N2465" i="5"/>
  <c r="M2465" i="5"/>
  <c r="N2466" i="5"/>
  <c r="M2466" i="5"/>
  <c r="M2467" i="5"/>
  <c r="M2468" i="5"/>
  <c r="N2473" i="5"/>
  <c r="M2473" i="5"/>
  <c r="N2474" i="5"/>
  <c r="M2474" i="5"/>
  <c r="N2475" i="5"/>
  <c r="M2475" i="5"/>
  <c r="N2476" i="5"/>
  <c r="M2476" i="5"/>
  <c r="N2477" i="5"/>
  <c r="M2477" i="5"/>
  <c r="N2478" i="5"/>
  <c r="M2478" i="5"/>
  <c r="N2479" i="5"/>
  <c r="M2479" i="5"/>
  <c r="N2480" i="5"/>
  <c r="M2480" i="5"/>
  <c r="N2485" i="5"/>
  <c r="M2485" i="5"/>
  <c r="M2486" i="5"/>
  <c r="M2487" i="5"/>
  <c r="M2488" i="5"/>
  <c r="N2489" i="5"/>
  <c r="M2489" i="5"/>
  <c r="N2490" i="5"/>
  <c r="M2490" i="5"/>
  <c r="N2491" i="5"/>
  <c r="M2491" i="5"/>
  <c r="N2492" i="5"/>
  <c r="M2492" i="5"/>
  <c r="N2493" i="5"/>
  <c r="M2493" i="5"/>
  <c r="M2494" i="5"/>
  <c r="N2495" i="5"/>
  <c r="M2495" i="5"/>
  <c r="N2496" i="5"/>
  <c r="M2496" i="5"/>
  <c r="N2497" i="5"/>
  <c r="M2497" i="5"/>
  <c r="M2498" i="5"/>
  <c r="M2499" i="5"/>
  <c r="M2500" i="5"/>
  <c r="M2501" i="5"/>
  <c r="N2503" i="5"/>
  <c r="M2503" i="5"/>
  <c r="N2504" i="5"/>
  <c r="M2504" i="5"/>
  <c r="N2505" i="5"/>
  <c r="M2505" i="5"/>
  <c r="N2506" i="5"/>
  <c r="M2506" i="5"/>
  <c r="N2507" i="5"/>
  <c r="M2507" i="5"/>
  <c r="M2508" i="5"/>
  <c r="M2509" i="5"/>
  <c r="N2510" i="5"/>
  <c r="M2510" i="5"/>
  <c r="M2511" i="5"/>
  <c r="M2512" i="5"/>
  <c r="M2513" i="5"/>
  <c r="M2514" i="5"/>
  <c r="M2515" i="5"/>
  <c r="M2516" i="5"/>
  <c r="N2517" i="5"/>
  <c r="M2517" i="5"/>
  <c r="M2518" i="5"/>
  <c r="M2519" i="5"/>
  <c r="M2520" i="5"/>
  <c r="N2521" i="5"/>
  <c r="M2521" i="5"/>
  <c r="N2522" i="5"/>
  <c r="M2522" i="5"/>
  <c r="N2523" i="5"/>
  <c r="M2523" i="5"/>
  <c r="M2524" i="5"/>
  <c r="N2525" i="5"/>
  <c r="M2525" i="5"/>
  <c r="M2526" i="5"/>
  <c r="M2527" i="5"/>
  <c r="N2528" i="5"/>
  <c r="M2528" i="5"/>
  <c r="N2529" i="5"/>
  <c r="M2529" i="5"/>
  <c r="N2530" i="5"/>
  <c r="M2530" i="5"/>
  <c r="M2531" i="5"/>
  <c r="N2532" i="5"/>
  <c r="M2532" i="5"/>
  <c r="N2536" i="5"/>
  <c r="M2536" i="5"/>
  <c r="N2537" i="5"/>
  <c r="M2537" i="5"/>
  <c r="N2538" i="5"/>
  <c r="M2538" i="5"/>
  <c r="M2539" i="5"/>
  <c r="M2540" i="5"/>
  <c r="N2541" i="5"/>
  <c r="M2541" i="5"/>
  <c r="M2542" i="5"/>
  <c r="M2543" i="5"/>
  <c r="M2544" i="5"/>
  <c r="N2545" i="5"/>
  <c r="M2545" i="5"/>
  <c r="M2546" i="5"/>
  <c r="M2547" i="5"/>
  <c r="M2548" i="5"/>
  <c r="N2549" i="5"/>
  <c r="M2549" i="5"/>
  <c r="N2550" i="5"/>
  <c r="M2550" i="5"/>
  <c r="M2551" i="5"/>
  <c r="M2552" i="5"/>
  <c r="N2553" i="5"/>
  <c r="M2553" i="5"/>
  <c r="M2554" i="5"/>
  <c r="N2555" i="5"/>
  <c r="M2555" i="5"/>
  <c r="M2556" i="5"/>
  <c r="N2557" i="5"/>
  <c r="M2557" i="5"/>
  <c r="N2558" i="5"/>
  <c r="M2558" i="5"/>
  <c r="N2559" i="5"/>
  <c r="M2559" i="5"/>
  <c r="M2560" i="5"/>
  <c r="M2569" i="5"/>
  <c r="M2571" i="5"/>
  <c r="M2572" i="5"/>
  <c r="M2573" i="5"/>
  <c r="N2574" i="5"/>
  <c r="M2574" i="5"/>
  <c r="M2575" i="5"/>
  <c r="N2576" i="5"/>
  <c r="M2576" i="5"/>
  <c r="N2577" i="5"/>
  <c r="M2577" i="5"/>
  <c r="M2578" i="5"/>
  <c r="M2579" i="5"/>
  <c r="N2580" i="5"/>
  <c r="M2580" i="5"/>
  <c r="N2582" i="5"/>
  <c r="M2582" i="5"/>
  <c r="N2583" i="5"/>
  <c r="M2583" i="5"/>
  <c r="N2584" i="5"/>
  <c r="M2584" i="5"/>
  <c r="N2585" i="5"/>
  <c r="M2585" i="5"/>
  <c r="N2586" i="5"/>
  <c r="M2586" i="5"/>
  <c r="M2587" i="5"/>
  <c r="M2588" i="5"/>
  <c r="N2589" i="5"/>
  <c r="M2589" i="5"/>
  <c r="M2590" i="5"/>
  <c r="M2591" i="5"/>
  <c r="M2592" i="5"/>
  <c r="M2593" i="5"/>
  <c r="M2594" i="5"/>
  <c r="M2595" i="5"/>
  <c r="M2596" i="5"/>
  <c r="N2597" i="5"/>
  <c r="M2597" i="5"/>
  <c r="M2598" i="5"/>
  <c r="M2600" i="5"/>
  <c r="N2601" i="5"/>
  <c r="M2601" i="5"/>
  <c r="N2602" i="5"/>
  <c r="M2602" i="5"/>
  <c r="M2603" i="5"/>
  <c r="M2604" i="5"/>
  <c r="M2605" i="5"/>
  <c r="M2606" i="5"/>
  <c r="M2607" i="5"/>
  <c r="M2608" i="5"/>
  <c r="M2609" i="5"/>
  <c r="M2612" i="5"/>
  <c r="M2613" i="5"/>
  <c r="M2614" i="5"/>
  <c r="M2615" i="5"/>
  <c r="M2616" i="5"/>
  <c r="M2620" i="5"/>
  <c r="M2621" i="5"/>
  <c r="M2622" i="5"/>
  <c r="M2623" i="5"/>
  <c r="M2624" i="5"/>
  <c r="M2625" i="5"/>
  <c r="N2628" i="5"/>
  <c r="M2628" i="5"/>
  <c r="M2629" i="5"/>
  <c r="M2630" i="5"/>
  <c r="M2631" i="5"/>
  <c r="M2632" i="5"/>
  <c r="M2633" i="5"/>
  <c r="M2634" i="5"/>
  <c r="M2635" i="5"/>
  <c r="M2636" i="5"/>
  <c r="N2637" i="5"/>
  <c r="M2637" i="5"/>
  <c r="M2638" i="5"/>
  <c r="N2639" i="5"/>
  <c r="M2639" i="5"/>
  <c r="M2640" i="5"/>
  <c r="M2641" i="5"/>
  <c r="M2642" i="5"/>
  <c r="M2646" i="5"/>
  <c r="M2647" i="5"/>
  <c r="N2648" i="5"/>
  <c r="M2648" i="5"/>
  <c r="N2649" i="5"/>
  <c r="M2649" i="5"/>
  <c r="M2650" i="5"/>
  <c r="M2651" i="5"/>
  <c r="M2652" i="5"/>
  <c r="M2653" i="5"/>
  <c r="M2654" i="5"/>
  <c r="M2655" i="5"/>
  <c r="M2656" i="5"/>
  <c r="M2657" i="5"/>
  <c r="N2658" i="5"/>
  <c r="M2658" i="5"/>
  <c r="M2659" i="5"/>
  <c r="N2660" i="5"/>
  <c r="M2660" i="5"/>
  <c r="M2661" i="5"/>
  <c r="M2662" i="5"/>
  <c r="N2663" i="5"/>
  <c r="M2663" i="5"/>
  <c r="M2664" i="5"/>
  <c r="M2665" i="5"/>
  <c r="N2666" i="5"/>
  <c r="M2666" i="5"/>
  <c r="N2667" i="5"/>
  <c r="M2667" i="5"/>
  <c r="M2668" i="5"/>
  <c r="M2669" i="5"/>
  <c r="M2670" i="5"/>
  <c r="M2671" i="5"/>
  <c r="N2672" i="5"/>
  <c r="M2672" i="5"/>
  <c r="N2673" i="5"/>
  <c r="M2673" i="5"/>
  <c r="M2674" i="5"/>
  <c r="N2675" i="5"/>
  <c r="M2675" i="5"/>
  <c r="N2676" i="5"/>
  <c r="M2676" i="5"/>
  <c r="M2677" i="5"/>
  <c r="M2678" i="5"/>
  <c r="M2679" i="5"/>
  <c r="M2680" i="5"/>
  <c r="N2681" i="5"/>
  <c r="M2681" i="5"/>
  <c r="M2682" i="5"/>
  <c r="M2683" i="5"/>
  <c r="M2684" i="5"/>
  <c r="N2685" i="5"/>
  <c r="M2685" i="5"/>
  <c r="N2686" i="5"/>
  <c r="M2686" i="5"/>
  <c r="M2687" i="5"/>
  <c r="M2688" i="5"/>
  <c r="M2689" i="5"/>
  <c r="N2693" i="5"/>
  <c r="M2693" i="5"/>
  <c r="N2694" i="5"/>
  <c r="M2694" i="5"/>
  <c r="M2695" i="5"/>
  <c r="M2697" i="5"/>
  <c r="M2698" i="5"/>
  <c r="M2699" i="5"/>
  <c r="N2700" i="5"/>
  <c r="M2700" i="5"/>
  <c r="M2701" i="5"/>
  <c r="N2702" i="5"/>
  <c r="M2702" i="5"/>
  <c r="M2703" i="5"/>
  <c r="N2704" i="5"/>
  <c r="M2704" i="5"/>
  <c r="M2707" i="5"/>
  <c r="M2708" i="5"/>
  <c r="M2709" i="5"/>
  <c r="M2710" i="5"/>
  <c r="M2711" i="5"/>
  <c r="M2712" i="5"/>
  <c r="N2713" i="5"/>
  <c r="M2713" i="5"/>
  <c r="M2715" i="5"/>
  <c r="N2716" i="5"/>
  <c r="M2716" i="5"/>
  <c r="N2717" i="5"/>
  <c r="M2717" i="5"/>
  <c r="M2718" i="5"/>
  <c r="N2719" i="5"/>
  <c r="M2719" i="5"/>
  <c r="M2720" i="5"/>
  <c r="M2721" i="5"/>
  <c r="M2722" i="5"/>
  <c r="M2723" i="5"/>
  <c r="M2724" i="5"/>
  <c r="M2725" i="5"/>
  <c r="M2726" i="5"/>
  <c r="M2727" i="5"/>
  <c r="M2728" i="5"/>
  <c r="M2729" i="5"/>
  <c r="M2730" i="5"/>
  <c r="M2731" i="5"/>
  <c r="M2732" i="5"/>
  <c r="M2733" i="5"/>
  <c r="N2734" i="5"/>
  <c r="M2734" i="5"/>
  <c r="M2735" i="5"/>
  <c r="M2736" i="5"/>
  <c r="M2737" i="5"/>
  <c r="M2738" i="5"/>
  <c r="M2739" i="5"/>
  <c r="M2740" i="5"/>
  <c r="N2741" i="5"/>
  <c r="M2741" i="5"/>
  <c r="M2742" i="5"/>
  <c r="M2744" i="5"/>
  <c r="M2745" i="5"/>
  <c r="M2746" i="5"/>
  <c r="M2747" i="5"/>
  <c r="M2748" i="5"/>
  <c r="M2749" i="5"/>
  <c r="M2751" i="5"/>
  <c r="M2753" i="5"/>
  <c r="M2756" i="5"/>
  <c r="M2757" i="5"/>
  <c r="M2758" i="5"/>
  <c r="M2759" i="5"/>
  <c r="M2760" i="5"/>
  <c r="M2761" i="5"/>
  <c r="M2762" i="5"/>
  <c r="M2763" i="5"/>
  <c r="M2764" i="5"/>
  <c r="M2765" i="5"/>
  <c r="M2766" i="5"/>
  <c r="M2767" i="5"/>
  <c r="M2768" i="5"/>
  <c r="M2769" i="5"/>
  <c r="N2770" i="5"/>
  <c r="M2770" i="5"/>
  <c r="M2771" i="5"/>
  <c r="M2772" i="5"/>
  <c r="M2773" i="5"/>
  <c r="M2774" i="5"/>
  <c r="M2775" i="5"/>
  <c r="M2787" i="5"/>
  <c r="M2788" i="5"/>
  <c r="M2789" i="5"/>
  <c r="M2790" i="5"/>
  <c r="M2791" i="5"/>
  <c r="M2792" i="5"/>
  <c r="M2793" i="5"/>
  <c r="M2794" i="5"/>
  <c r="M2795" i="5"/>
  <c r="M2796" i="5"/>
  <c r="M2797" i="5"/>
  <c r="M2798" i="5"/>
  <c r="M2799" i="5"/>
  <c r="M2800" i="5"/>
  <c r="M2801" i="5"/>
  <c r="M2802" i="5"/>
  <c r="M2803" i="5"/>
  <c r="M2804" i="5"/>
  <c r="M2805" i="5"/>
  <c r="M2806" i="5"/>
  <c r="M2807" i="5"/>
  <c r="N2808" i="5"/>
  <c r="M2808" i="5"/>
  <c r="M2809" i="5"/>
  <c r="M2810" i="5"/>
  <c r="M2811" i="5"/>
  <c r="N2812" i="5"/>
  <c r="M2812" i="5"/>
  <c r="M2813" i="5"/>
  <c r="M2814" i="5"/>
  <c r="M2815" i="5"/>
  <c r="M2816" i="5"/>
  <c r="M2817" i="5"/>
  <c r="M2818" i="5"/>
  <c r="N2819" i="5"/>
  <c r="M2819" i="5"/>
  <c r="M2820" i="5"/>
  <c r="M2821" i="5"/>
  <c r="M2822" i="5"/>
  <c r="M2823" i="5"/>
  <c r="M2824" i="5"/>
  <c r="N2825" i="5"/>
  <c r="M2825" i="5"/>
  <c r="M2826" i="5"/>
  <c r="M2827" i="5"/>
  <c r="M2828" i="5"/>
  <c r="M2829" i="5"/>
  <c r="M2830" i="5"/>
  <c r="M2831" i="5"/>
  <c r="N2832" i="5"/>
  <c r="M2832" i="5"/>
  <c r="M2833" i="5"/>
  <c r="M2834" i="5"/>
  <c r="M2835" i="5"/>
  <c r="M2836" i="5"/>
  <c r="M2837" i="5"/>
  <c r="M2838" i="5"/>
  <c r="M2839" i="5"/>
  <c r="M2840" i="5"/>
  <c r="M2841" i="5"/>
  <c r="M2842" i="5"/>
  <c r="M2844" i="5"/>
  <c r="M2845" i="5"/>
  <c r="M2846" i="5"/>
  <c r="M2848" i="5"/>
  <c r="M2849" i="5"/>
  <c r="M2861" i="5"/>
  <c r="N2862" i="5"/>
  <c r="M2862" i="5"/>
  <c r="N2863" i="5"/>
  <c r="M2863" i="5"/>
  <c r="N2864" i="5"/>
  <c r="M2864" i="5"/>
  <c r="N2865" i="5"/>
  <c r="M2865" i="5"/>
  <c r="M2866" i="5"/>
  <c r="N2867" i="5"/>
  <c r="M2867" i="5"/>
  <c r="M2868" i="5"/>
  <c r="N2869" i="5"/>
  <c r="M2869" i="5"/>
  <c r="M2870" i="5"/>
  <c r="N2871" i="5"/>
  <c r="M2871" i="5"/>
  <c r="M2872" i="5"/>
  <c r="M2873" i="5"/>
  <c r="M2874" i="5"/>
  <c r="M2875" i="5"/>
  <c r="M2876" i="5"/>
  <c r="M2877" i="5"/>
  <c r="M2878" i="5"/>
  <c r="M2879" i="5"/>
  <c r="M2880" i="5"/>
  <c r="M2881" i="5"/>
  <c r="M2882" i="5"/>
  <c r="M2883" i="5"/>
  <c r="M2884" i="5"/>
  <c r="M2885" i="5"/>
  <c r="M2886" i="5"/>
  <c r="M2887" i="5"/>
  <c r="M2888" i="5"/>
  <c r="M2897" i="5"/>
  <c r="M2898" i="5"/>
  <c r="M2899" i="5"/>
  <c r="M2900" i="5"/>
  <c r="M2901" i="5"/>
  <c r="M2902" i="5"/>
  <c r="M2903" i="5"/>
  <c r="M2904" i="5"/>
  <c r="N2905" i="5"/>
  <c r="M2905" i="5"/>
  <c r="M2906" i="5"/>
  <c r="M2907" i="5"/>
  <c r="M2908" i="5"/>
  <c r="M2909" i="5"/>
  <c r="M2910" i="5"/>
  <c r="M2911" i="5"/>
  <c r="N2912" i="5"/>
  <c r="M2912" i="5"/>
  <c r="M2913" i="5"/>
  <c r="M2914" i="5"/>
  <c r="N2915" i="5"/>
  <c r="M2915" i="5"/>
  <c r="M2916" i="5"/>
  <c r="N2917" i="5"/>
  <c r="M2917" i="5"/>
  <c r="N2918" i="5"/>
  <c r="M2918" i="5"/>
  <c r="M2919" i="5"/>
  <c r="N2920" i="5"/>
  <c r="M2920" i="5"/>
  <c r="M2921" i="5"/>
  <c r="M2922" i="5"/>
  <c r="M2923" i="5"/>
  <c r="M2924" i="5"/>
  <c r="M2925" i="5"/>
  <c r="N2926" i="5"/>
  <c r="M2926" i="5"/>
  <c r="M2928" i="5"/>
  <c r="M2929" i="5"/>
  <c r="M2930" i="5"/>
  <c r="M2931" i="5"/>
  <c r="M2932" i="5"/>
  <c r="M2933" i="5"/>
  <c r="M2934" i="5"/>
  <c r="N2935" i="5"/>
  <c r="M2935" i="5"/>
  <c r="M2936" i="5"/>
  <c r="M2937" i="5"/>
  <c r="M2938" i="5"/>
  <c r="M2941" i="5"/>
  <c r="M2942" i="5"/>
  <c r="M2943" i="5"/>
  <c r="M2944" i="5"/>
  <c r="M2945" i="5"/>
  <c r="M2946" i="5"/>
  <c r="M2947" i="5"/>
  <c r="M2948" i="5"/>
  <c r="N2950" i="5"/>
  <c r="M2950" i="5"/>
  <c r="M2951" i="5"/>
  <c r="N2955" i="5"/>
  <c r="M2955" i="5"/>
  <c r="M2956" i="5"/>
  <c r="N2959" i="5"/>
  <c r="M2959" i="5"/>
  <c r="N2960" i="5"/>
  <c r="M2960" i="5"/>
  <c r="N2961" i="5"/>
  <c r="M2961" i="5"/>
  <c r="N2962" i="5"/>
  <c r="M2962" i="5"/>
  <c r="N2963" i="5"/>
  <c r="M2963" i="5"/>
  <c r="M2964" i="5"/>
  <c r="N2965" i="5"/>
  <c r="M2965" i="5"/>
  <c r="M2966" i="5"/>
  <c r="M2967" i="5"/>
  <c r="M2968" i="5"/>
  <c r="M2969" i="5"/>
  <c r="N2970" i="5"/>
  <c r="M2970" i="5"/>
  <c r="M2971" i="5"/>
  <c r="M2972" i="5"/>
  <c r="M2973" i="5"/>
  <c r="M2974" i="5"/>
  <c r="M2975" i="5"/>
  <c r="M2976" i="5"/>
  <c r="M2977" i="5"/>
  <c r="N2979" i="5"/>
  <c r="M2979" i="5"/>
  <c r="M2980" i="5"/>
  <c r="M2981" i="5"/>
  <c r="M2982" i="5"/>
  <c r="M2983" i="5"/>
  <c r="M2984" i="5"/>
  <c r="M2985" i="5"/>
  <c r="N2989" i="5"/>
  <c r="M2989" i="5"/>
  <c r="M2990" i="5"/>
  <c r="N2991" i="5"/>
  <c r="M2991" i="5"/>
  <c r="N2992" i="5"/>
  <c r="M2992" i="5"/>
  <c r="M2993" i="5"/>
  <c r="N2994" i="5"/>
  <c r="M2994" i="5"/>
  <c r="N3009" i="5"/>
  <c r="M3009" i="5"/>
  <c r="M3010" i="5"/>
  <c r="N3011" i="5"/>
  <c r="M3011" i="5"/>
  <c r="M3012" i="5"/>
  <c r="M3013" i="5"/>
  <c r="M3014" i="5"/>
  <c r="M3015" i="5"/>
  <c r="M3016" i="5"/>
  <c r="M3017" i="5"/>
  <c r="N3018" i="5"/>
  <c r="M3018" i="5"/>
  <c r="M3019" i="5"/>
  <c r="M3020" i="5"/>
  <c r="M3021" i="5"/>
  <c r="M3022" i="5"/>
  <c r="M3023" i="5"/>
  <c r="M3024" i="5"/>
  <c r="M3025" i="5"/>
  <c r="M3026" i="5"/>
  <c r="M3027" i="5"/>
  <c r="M3028" i="5"/>
  <c r="M3029" i="5"/>
  <c r="M3030" i="5"/>
  <c r="M3031" i="5"/>
  <c r="M3034" i="5"/>
  <c r="M3035" i="5"/>
  <c r="M3036" i="5"/>
  <c r="M3037" i="5"/>
  <c r="M3040" i="5"/>
  <c r="M3041" i="5"/>
  <c r="M3042" i="5"/>
  <c r="M3043" i="5"/>
  <c r="N3045" i="5"/>
  <c r="M3045" i="5"/>
  <c r="M3052" i="5"/>
  <c r="M3053" i="5"/>
  <c r="M3054" i="5"/>
  <c r="M3055" i="5"/>
  <c r="M3056" i="5"/>
  <c r="M3057" i="5"/>
  <c r="N3058" i="5"/>
  <c r="M3058" i="5"/>
  <c r="M3059" i="5"/>
  <c r="M3060" i="5"/>
  <c r="M3061" i="5"/>
  <c r="M3062" i="5"/>
  <c r="M3063" i="5"/>
  <c r="M3064" i="5"/>
  <c r="M3065" i="5"/>
  <c r="M3066" i="5"/>
  <c r="M3067" i="5"/>
  <c r="M3068" i="5"/>
  <c r="M3069" i="5"/>
  <c r="M3070" i="5"/>
  <c r="M3073" i="5"/>
  <c r="M3074" i="5"/>
  <c r="M3075" i="5"/>
  <c r="M3076" i="5"/>
  <c r="M3077" i="5"/>
  <c r="M3080" i="5"/>
  <c r="N3081" i="5"/>
  <c r="M3081" i="5"/>
  <c r="M3082" i="5"/>
  <c r="M3083" i="5"/>
  <c r="N3084" i="5"/>
  <c r="M3084" i="5"/>
  <c r="M3085" i="5"/>
  <c r="M3086" i="5"/>
  <c r="M3088" i="5"/>
  <c r="M3089" i="5"/>
  <c r="N3090" i="5"/>
  <c r="M3090" i="5"/>
  <c r="M3092" i="5"/>
  <c r="N3093" i="5"/>
  <c r="M3093" i="5"/>
  <c r="N3094" i="5"/>
  <c r="M3094" i="5"/>
  <c r="M3095" i="5"/>
  <c r="M3096" i="5"/>
  <c r="M3097" i="5"/>
  <c r="M3098" i="5"/>
  <c r="M3099" i="5"/>
  <c r="M3100" i="5"/>
  <c r="M3101" i="5"/>
  <c r="M3102" i="5"/>
  <c r="M3103" i="5"/>
  <c r="M3104" i="5"/>
  <c r="M3105" i="5"/>
  <c r="N3106" i="5"/>
  <c r="M3106" i="5"/>
  <c r="N3117" i="5"/>
  <c r="M3117" i="5"/>
  <c r="N3118" i="5"/>
  <c r="M3118" i="5"/>
  <c r="M3119" i="5"/>
  <c r="N3120" i="5"/>
  <c r="M3120" i="5"/>
  <c r="M3121" i="5"/>
  <c r="M3122" i="5"/>
  <c r="N3123" i="5"/>
  <c r="M3123" i="5"/>
  <c r="N3124" i="5"/>
  <c r="M3124" i="5"/>
  <c r="N3125" i="5"/>
  <c r="M3125" i="5"/>
  <c r="N3126" i="5"/>
  <c r="M3126" i="5"/>
  <c r="N3127" i="5"/>
  <c r="M3127" i="5"/>
  <c r="M3128" i="5"/>
  <c r="M3129" i="5"/>
  <c r="N3130" i="5"/>
  <c r="M3130" i="5"/>
  <c r="N3131" i="5"/>
  <c r="M3131" i="5"/>
  <c r="M3132" i="5"/>
  <c r="N3133" i="5"/>
  <c r="M3133" i="5"/>
  <c r="M3134" i="5"/>
  <c r="N3135" i="5"/>
  <c r="M3135" i="5"/>
  <c r="M3136" i="5"/>
  <c r="M3137" i="5"/>
  <c r="N3138" i="5"/>
  <c r="M3138" i="5"/>
  <c r="M3139" i="5"/>
  <c r="M3140" i="5"/>
  <c r="N3141" i="5"/>
  <c r="M3141" i="5"/>
  <c r="M3143" i="5"/>
  <c r="N3144" i="5"/>
  <c r="M3144" i="5"/>
  <c r="N3145" i="5"/>
  <c r="M3145" i="5"/>
  <c r="N3146" i="5"/>
  <c r="M3146" i="5"/>
  <c r="N3147" i="5"/>
  <c r="M3147" i="5"/>
  <c r="M3148" i="5"/>
  <c r="M3149" i="5"/>
  <c r="N3150" i="5"/>
  <c r="M3150" i="5"/>
  <c r="N3151" i="5"/>
  <c r="M3151" i="5"/>
  <c r="M3152" i="5"/>
  <c r="N3153" i="5"/>
  <c r="M3153" i="5"/>
  <c r="N3154" i="5"/>
  <c r="M3154" i="5"/>
  <c r="N3155" i="5"/>
  <c r="M3155" i="5"/>
  <c r="N3156" i="5"/>
  <c r="M3156" i="5"/>
  <c r="N3157" i="5"/>
  <c r="M3157" i="5"/>
  <c r="N3158" i="5"/>
  <c r="M3158" i="5"/>
  <c r="N3159" i="5"/>
  <c r="M3159" i="5"/>
  <c r="N3160" i="5"/>
  <c r="M3160" i="5"/>
  <c r="N3161" i="5"/>
  <c r="M3161" i="5"/>
  <c r="M3162" i="5"/>
  <c r="N3163" i="5"/>
  <c r="M3163" i="5"/>
  <c r="N3164" i="5"/>
  <c r="M3164" i="5"/>
  <c r="M3165" i="5"/>
  <c r="N3166" i="5"/>
  <c r="M3166" i="5"/>
  <c r="M3167" i="5"/>
  <c r="N3168" i="5"/>
  <c r="M3168" i="5"/>
  <c r="N3169" i="5"/>
  <c r="M3169" i="5"/>
  <c r="M3170" i="5"/>
  <c r="N3171" i="5"/>
  <c r="M3171" i="5"/>
  <c r="N3172" i="5"/>
  <c r="M3172" i="5"/>
  <c r="N3173" i="5"/>
  <c r="M3173" i="5"/>
  <c r="N3174" i="5"/>
  <c r="M3174" i="5"/>
  <c r="M3175" i="5"/>
  <c r="N3176" i="5"/>
  <c r="M3176" i="5"/>
  <c r="M3186" i="5"/>
  <c r="N3187" i="5"/>
  <c r="M3187" i="5"/>
  <c r="N3188" i="5"/>
  <c r="M3188" i="5"/>
  <c r="M3189" i="5"/>
  <c r="M3190" i="5"/>
  <c r="M3191" i="5"/>
  <c r="M3192" i="5"/>
  <c r="N3194" i="5"/>
  <c r="M3194" i="5"/>
  <c r="N3195" i="5"/>
  <c r="M3195" i="5"/>
  <c r="M3196" i="5"/>
  <c r="N3208" i="5"/>
  <c r="M3208" i="5"/>
  <c r="M3209" i="5"/>
  <c r="M3210" i="5"/>
  <c r="M3211" i="5"/>
  <c r="M3212" i="5"/>
  <c r="M3213" i="5"/>
  <c r="N3214" i="5"/>
  <c r="M3214" i="5"/>
  <c r="N3215" i="5"/>
  <c r="M3215" i="5"/>
  <c r="N3216" i="5"/>
  <c r="M3216" i="5"/>
  <c r="N3217" i="5"/>
  <c r="M3217" i="5"/>
  <c r="N3218" i="5"/>
  <c r="M3218" i="5"/>
  <c r="M3219" i="5"/>
  <c r="N3220" i="5"/>
  <c r="M3220" i="5"/>
  <c r="N3221" i="5"/>
  <c r="M3221" i="5"/>
  <c r="N3222" i="5"/>
  <c r="M3222" i="5"/>
  <c r="N3223" i="5"/>
  <c r="M3223" i="5"/>
  <c r="N3224" i="5"/>
  <c r="M3224" i="5"/>
  <c r="N3225" i="5"/>
  <c r="M3225" i="5"/>
  <c r="M3226" i="5"/>
  <c r="M3227" i="5"/>
  <c r="N3228" i="5"/>
  <c r="M3228" i="5"/>
  <c r="M3229" i="5"/>
  <c r="N3234" i="5"/>
  <c r="M3234" i="5"/>
  <c r="N3235" i="5"/>
  <c r="M3235" i="5"/>
  <c r="M3236" i="5"/>
  <c r="M3237" i="5"/>
  <c r="M3238" i="5"/>
  <c r="N3239" i="5"/>
  <c r="M3239" i="5"/>
  <c r="N3240" i="5"/>
  <c r="M3240" i="5"/>
  <c r="N3241" i="5"/>
  <c r="M3241" i="5"/>
  <c r="M3242" i="5"/>
  <c r="M3243" i="5"/>
  <c r="M3244" i="5"/>
  <c r="N3245" i="5"/>
  <c r="M3245" i="5"/>
  <c r="M3248" i="5"/>
  <c r="M3249" i="5"/>
  <c r="N3250" i="5"/>
  <c r="M3250" i="5"/>
  <c r="N3251" i="5"/>
  <c r="M3251" i="5"/>
  <c r="N3252" i="5"/>
  <c r="M3252" i="5"/>
  <c r="N3253" i="5"/>
  <c r="M3253" i="5"/>
  <c r="M3254" i="5"/>
  <c r="N3255" i="5"/>
  <c r="M3255" i="5"/>
  <c r="N3256" i="5"/>
  <c r="M3256" i="5"/>
  <c r="M3257" i="5"/>
  <c r="S3257" i="5"/>
  <c r="Q3260" i="5"/>
  <c r="N3261" i="5"/>
  <c r="M3261" i="5"/>
  <c r="N3262" i="5"/>
  <c r="M3262" i="5"/>
  <c r="N3263" i="5"/>
  <c r="M3263" i="5"/>
  <c r="N3266" i="5"/>
  <c r="M3266" i="5"/>
  <c r="N3267" i="5"/>
  <c r="M3267" i="5"/>
  <c r="M3268" i="5"/>
  <c r="M3269" i="5"/>
  <c r="M3270" i="5"/>
  <c r="M3271" i="5"/>
  <c r="M3272" i="5"/>
  <c r="M3273" i="5"/>
  <c r="M3274" i="5"/>
  <c r="M3275" i="5"/>
  <c r="M3276" i="5"/>
  <c r="M3277" i="5"/>
  <c r="M3278" i="5"/>
  <c r="M3279" i="5"/>
  <c r="M3280" i="5"/>
  <c r="M3281" i="5"/>
  <c r="M3282" i="5"/>
  <c r="M3283" i="5"/>
  <c r="M3284" i="5"/>
  <c r="M3285" i="5"/>
  <c r="M3286" i="5"/>
  <c r="M3287" i="5"/>
  <c r="M3288" i="5"/>
  <c r="M3289" i="5"/>
  <c r="M3290" i="5"/>
  <c r="M3291" i="5"/>
  <c r="M3292" i="5"/>
  <c r="M3293" i="5"/>
  <c r="M3294" i="5"/>
  <c r="M3295" i="5"/>
  <c r="M3296" i="5"/>
  <c r="M3300" i="5"/>
  <c r="M3301" i="5"/>
  <c r="N3302" i="5"/>
  <c r="M3302" i="5"/>
  <c r="M3303" i="5"/>
  <c r="N3304" i="5"/>
  <c r="M3304" i="5"/>
  <c r="M3306" i="5"/>
  <c r="M3307" i="5"/>
  <c r="M3308" i="5"/>
  <c r="M3309" i="5"/>
  <c r="N3310" i="5"/>
  <c r="M3310" i="5"/>
  <c r="M3311" i="5"/>
  <c r="M3312" i="5"/>
  <c r="N3313" i="5"/>
  <c r="M3313" i="5"/>
  <c r="M3314" i="5"/>
  <c r="M3315" i="5"/>
  <c r="N3316" i="5"/>
  <c r="M3316" i="5"/>
  <c r="N3318" i="5"/>
  <c r="M3318" i="5"/>
  <c r="N3319" i="5"/>
  <c r="M3319" i="5"/>
  <c r="N3320" i="5"/>
  <c r="M3320" i="5"/>
  <c r="M3321" i="5"/>
  <c r="M3324" i="5"/>
  <c r="N3325" i="5"/>
  <c r="M3325" i="5"/>
  <c r="M3342" i="5"/>
  <c r="M3344" i="5"/>
  <c r="M3345" i="5"/>
  <c r="N3346" i="5"/>
  <c r="M3346" i="5"/>
  <c r="M3347" i="5"/>
  <c r="M3348" i="5"/>
  <c r="N3349" i="5"/>
  <c r="M3349" i="5"/>
  <c r="N3350" i="5"/>
  <c r="M3350" i="5"/>
  <c r="M3351" i="5"/>
  <c r="N3352" i="5"/>
  <c r="M3352" i="5"/>
  <c r="M3353" i="5"/>
  <c r="M3354" i="5"/>
  <c r="N3355" i="5"/>
  <c r="M3355" i="5"/>
  <c r="M3356" i="5"/>
  <c r="M3357" i="5"/>
  <c r="M3358" i="5"/>
  <c r="N3359" i="5"/>
  <c r="M3359" i="5"/>
  <c r="M3360" i="5"/>
  <c r="M3361" i="5"/>
  <c r="N3362" i="5"/>
  <c r="M3362" i="5"/>
  <c r="N3363" i="5"/>
  <c r="M3363" i="5"/>
  <c r="N3364" i="5"/>
  <c r="M3364" i="5"/>
  <c r="N3365" i="5"/>
  <c r="M3365" i="5"/>
  <c r="M3366" i="5"/>
  <c r="M3367" i="5"/>
  <c r="N3368" i="5"/>
  <c r="M3368" i="5"/>
  <c r="M3369" i="5"/>
  <c r="M3370" i="5"/>
  <c r="M3371" i="5"/>
  <c r="M3372" i="5"/>
  <c r="M3373" i="5"/>
  <c r="M3374" i="5"/>
  <c r="M3375" i="5"/>
  <c r="M3376" i="5"/>
  <c r="M3377" i="5"/>
  <c r="M3378" i="5"/>
  <c r="M3379" i="5"/>
  <c r="M3380" i="5"/>
  <c r="M3381" i="5"/>
  <c r="M3382" i="5"/>
  <c r="M3383" i="5"/>
  <c r="M3384" i="5"/>
  <c r="M3385" i="5"/>
  <c r="M3386" i="5"/>
  <c r="N3387" i="5"/>
  <c r="M3387" i="5"/>
  <c r="M3388" i="5"/>
  <c r="M3389" i="5"/>
  <c r="M3390" i="5"/>
  <c r="M3391" i="5"/>
  <c r="M3392" i="5"/>
  <c r="M3393" i="5"/>
  <c r="M3394" i="5"/>
  <c r="M3395" i="5"/>
  <c r="M3396" i="5"/>
  <c r="M3397" i="5"/>
  <c r="M3398" i="5"/>
  <c r="M3399" i="5"/>
  <c r="M3400" i="5"/>
  <c r="M3401" i="5"/>
  <c r="M3402" i="5"/>
  <c r="M3403" i="5"/>
  <c r="M3404" i="5"/>
  <c r="M3405" i="5"/>
  <c r="M3406" i="5"/>
  <c r="N3407" i="5"/>
  <c r="M3407" i="5"/>
  <c r="N3408" i="5"/>
  <c r="M3408" i="5"/>
  <c r="M3409" i="5"/>
  <c r="M3410" i="5"/>
  <c r="M3411" i="5"/>
  <c r="M3412" i="5"/>
  <c r="M3413" i="5"/>
  <c r="M3414" i="5"/>
  <c r="M3415" i="5"/>
  <c r="M3416" i="5"/>
  <c r="M3417" i="5"/>
  <c r="N3418" i="5"/>
  <c r="M3418" i="5"/>
  <c r="M3419" i="5"/>
  <c r="N3420" i="5"/>
  <c r="M3420" i="5"/>
  <c r="N3421" i="5"/>
  <c r="M3421" i="5"/>
  <c r="M3422" i="5"/>
  <c r="M3423" i="5"/>
  <c r="N3424" i="5"/>
  <c r="M3424" i="5"/>
  <c r="O3424" i="5"/>
  <c r="M3450" i="5"/>
  <c r="N3451" i="5"/>
  <c r="M3451" i="5"/>
  <c r="M3452" i="5"/>
  <c r="M3465" i="5"/>
  <c r="M3466" i="5"/>
  <c r="N3481" i="5"/>
  <c r="M3481" i="5"/>
  <c r="N3482" i="5"/>
  <c r="M3482" i="5"/>
  <c r="M3483" i="5"/>
  <c r="N3484" i="5"/>
  <c r="M3484" i="5"/>
  <c r="M3485" i="5"/>
  <c r="N3486" i="5"/>
  <c r="M3486" i="5"/>
  <c r="N3487" i="5"/>
  <c r="M3487" i="5"/>
  <c r="M3488" i="5"/>
  <c r="N3489" i="5"/>
  <c r="M3489" i="5"/>
  <c r="N3490" i="5"/>
  <c r="M3490" i="5"/>
  <c r="N3492" i="5"/>
  <c r="M3492" i="5"/>
  <c r="N3495" i="5"/>
  <c r="M3495" i="5"/>
  <c r="M3499" i="5"/>
  <c r="M3500" i="5"/>
  <c r="N3501" i="5"/>
  <c r="M3501" i="5"/>
  <c r="N3502" i="5"/>
  <c r="M3502" i="5"/>
  <c r="M3503" i="5"/>
  <c r="N3504" i="5"/>
  <c r="M3504" i="5"/>
  <c r="N3505" i="5"/>
  <c r="M3505" i="5"/>
  <c r="N3506" i="5"/>
  <c r="M3506" i="5"/>
  <c r="M3507" i="5"/>
  <c r="M3508" i="5"/>
  <c r="N3509" i="5"/>
  <c r="M3509" i="5"/>
  <c r="N3510" i="5"/>
  <c r="M3510" i="5"/>
  <c r="M3511" i="5"/>
  <c r="N3512" i="5"/>
  <c r="M3512" i="5"/>
  <c r="M3513" i="5"/>
  <c r="M3514" i="5"/>
  <c r="M3515" i="5"/>
  <c r="M3516" i="5"/>
  <c r="M3517" i="5"/>
  <c r="N3518" i="5"/>
  <c r="M3518" i="5"/>
  <c r="M3519" i="5"/>
  <c r="N3520" i="5"/>
  <c r="M3520" i="5"/>
  <c r="M3521" i="5"/>
  <c r="M3522" i="5"/>
  <c r="M3523" i="5"/>
  <c r="M3524" i="5"/>
  <c r="M3525" i="5"/>
  <c r="M3526" i="5"/>
  <c r="N3532" i="5"/>
  <c r="M3532" i="5"/>
  <c r="N3533" i="5"/>
  <c r="M3533" i="5"/>
  <c r="N3534" i="5"/>
  <c r="M3534" i="5"/>
  <c r="N3535" i="5"/>
  <c r="M3535" i="5"/>
  <c r="M3536" i="5"/>
  <c r="N3537" i="5"/>
  <c r="M3537" i="5"/>
  <c r="N3538" i="5"/>
  <c r="M3538" i="5"/>
  <c r="N3539" i="5"/>
  <c r="M3539" i="5"/>
  <c r="N3540" i="5"/>
  <c r="M3540" i="5"/>
  <c r="M3542" i="5"/>
  <c r="N3543" i="5"/>
  <c r="M3543" i="5"/>
  <c r="N3546" i="5"/>
  <c r="M3546" i="5"/>
  <c r="M3547" i="5"/>
  <c r="M3549" i="5"/>
  <c r="N3550" i="5"/>
  <c r="M3550" i="5"/>
  <c r="M3551" i="5"/>
  <c r="N3553" i="5"/>
  <c r="M3553" i="5"/>
  <c r="N3554" i="5"/>
  <c r="M3554" i="5"/>
  <c r="N3555" i="5"/>
  <c r="M3555" i="5"/>
  <c r="M3562" i="5"/>
  <c r="M3563" i="5"/>
  <c r="M3564" i="5"/>
  <c r="M3565" i="5"/>
  <c r="M3566" i="5"/>
  <c r="M3567" i="5"/>
  <c r="M3568" i="5"/>
  <c r="M3569" i="5"/>
  <c r="M3570" i="5"/>
  <c r="N3572" i="5"/>
  <c r="M3572" i="5"/>
  <c r="M3573" i="5"/>
  <c r="M3574" i="5"/>
  <c r="N3575" i="5"/>
  <c r="M3575" i="5"/>
  <c r="M3576" i="5"/>
  <c r="N3582" i="5"/>
  <c r="M3582" i="5"/>
  <c r="N3583" i="5"/>
  <c r="M3583" i="5"/>
  <c r="N3584" i="5"/>
  <c r="M3584" i="5"/>
  <c r="M3585" i="5"/>
  <c r="M3586" i="5"/>
  <c r="N3590" i="5"/>
  <c r="M3590" i="5"/>
  <c r="M3591" i="5"/>
  <c r="N3592" i="5"/>
  <c r="M3592" i="5"/>
  <c r="M3593" i="5"/>
  <c r="N3595" i="5"/>
  <c r="M3595" i="5"/>
  <c r="N3596" i="5"/>
  <c r="M3596" i="5"/>
  <c r="N3598" i="5"/>
  <c r="M3598" i="5"/>
  <c r="M3599" i="5"/>
  <c r="M3600" i="5"/>
  <c r="M3602" i="5"/>
  <c r="N3603" i="5"/>
  <c r="M3603" i="5"/>
  <c r="N3604" i="5"/>
  <c r="M3604" i="5"/>
  <c r="M3605" i="5"/>
  <c r="M3606" i="5"/>
  <c r="N3607" i="5"/>
  <c r="M3607" i="5"/>
  <c r="N3608" i="5"/>
  <c r="M3608" i="5"/>
  <c r="N3609" i="5"/>
  <c r="M3609" i="5"/>
  <c r="N3610" i="5"/>
  <c r="M3610" i="5"/>
  <c r="N3611" i="5"/>
  <c r="M3611" i="5"/>
  <c r="N3612" i="5"/>
  <c r="M3612" i="5"/>
  <c r="N3613" i="5"/>
  <c r="M3613" i="5"/>
  <c r="M3614" i="5"/>
  <c r="N3615" i="5"/>
  <c r="M3615" i="5"/>
  <c r="M3616" i="5"/>
  <c r="M3617" i="5"/>
  <c r="M3618" i="5"/>
  <c r="N3619" i="5"/>
  <c r="M3619" i="5"/>
  <c r="M3620" i="5"/>
  <c r="N3621" i="5"/>
  <c r="M3621" i="5"/>
  <c r="M3622" i="5"/>
  <c r="M3623" i="5"/>
  <c r="M3624" i="5"/>
  <c r="M3625" i="5"/>
  <c r="N3626" i="5"/>
  <c r="M3626" i="5"/>
  <c r="N3629" i="5"/>
  <c r="M3629" i="5"/>
  <c r="N3630" i="5"/>
  <c r="M3630" i="5"/>
  <c r="N3631" i="5"/>
  <c r="M3631" i="5"/>
  <c r="M3632" i="5"/>
  <c r="N3633" i="5"/>
  <c r="M3633" i="5"/>
  <c r="N3634" i="5"/>
  <c r="M3634" i="5"/>
  <c r="M3635" i="5"/>
  <c r="N3636" i="5"/>
  <c r="M3636" i="5"/>
  <c r="M3637" i="5"/>
  <c r="N3638" i="5"/>
  <c r="M3638" i="5"/>
  <c r="N3639" i="5"/>
  <c r="M3639" i="5"/>
  <c r="N3640" i="5"/>
  <c r="M3640" i="5"/>
  <c r="N3641" i="5"/>
  <c r="M3641" i="5"/>
  <c r="N3642" i="5"/>
  <c r="M3642" i="5"/>
  <c r="N3643" i="5"/>
  <c r="M3643" i="5"/>
  <c r="N3644" i="5"/>
  <c r="M3644" i="5"/>
  <c r="N3645" i="5"/>
  <c r="M3645" i="5"/>
  <c r="N3646" i="5"/>
  <c r="M3646" i="5"/>
  <c r="M3647" i="5"/>
  <c r="M3648" i="5"/>
  <c r="M3649" i="5"/>
  <c r="N3650" i="5"/>
  <c r="M3650" i="5"/>
  <c r="N3652" i="5"/>
  <c r="M3652" i="5"/>
  <c r="M3654" i="5"/>
  <c r="N3655" i="5"/>
  <c r="M3655" i="5"/>
  <c r="N3656" i="5"/>
  <c r="M3656" i="5"/>
  <c r="N3657" i="5"/>
  <c r="M3657" i="5"/>
  <c r="M3658" i="5"/>
  <c r="N3661" i="5"/>
  <c r="M3661" i="5"/>
  <c r="N3662" i="5"/>
  <c r="M3662" i="5"/>
  <c r="N3663" i="5"/>
  <c r="M3663" i="5"/>
  <c r="N3664" i="5"/>
  <c r="M3664" i="5"/>
  <c r="N3665" i="5"/>
  <c r="M3665" i="5"/>
  <c r="N3667" i="5"/>
  <c r="M3667" i="5"/>
  <c r="M3669" i="5"/>
  <c r="N3670" i="5"/>
  <c r="M3670" i="5"/>
  <c r="M3671" i="5"/>
  <c r="M3672" i="5"/>
  <c r="M3673" i="5"/>
  <c r="M3674" i="5"/>
  <c r="N3678" i="5"/>
  <c r="M3678" i="5"/>
  <c r="N3679" i="5"/>
  <c r="M3679" i="5"/>
  <c r="N3680" i="5"/>
  <c r="M3680" i="5"/>
  <c r="N3681" i="5"/>
  <c r="M3681" i="5"/>
  <c r="N3682" i="5"/>
  <c r="M3682" i="5"/>
  <c r="M3688" i="5"/>
  <c r="M3689" i="5"/>
  <c r="N3690" i="5"/>
  <c r="M3690" i="5"/>
  <c r="N3701" i="5"/>
  <c r="M3701" i="5"/>
  <c r="N3702" i="5"/>
  <c r="M3702" i="5"/>
  <c r="M3703" i="5"/>
  <c r="M3705" i="5"/>
  <c r="N3707" i="5"/>
  <c r="M3707" i="5"/>
  <c r="N3708" i="5"/>
  <c r="M3708" i="5"/>
  <c r="M3710" i="5"/>
  <c r="M3711" i="5"/>
  <c r="N3712" i="5"/>
  <c r="M3712" i="5"/>
  <c r="N3713" i="5"/>
  <c r="M3713" i="5"/>
  <c r="N3714" i="5"/>
  <c r="M3714" i="5"/>
  <c r="M3715" i="5"/>
  <c r="M3716" i="5"/>
  <c r="N3717" i="5"/>
  <c r="M3717" i="5"/>
  <c r="N3718" i="5"/>
  <c r="M3718" i="5"/>
  <c r="N3719" i="5"/>
  <c r="M3719" i="5"/>
  <c r="M3720" i="5"/>
  <c r="N3721" i="5"/>
  <c r="M3721" i="5"/>
  <c r="N3732" i="5"/>
  <c r="M3732" i="5"/>
  <c r="N3733" i="5"/>
  <c r="M3733" i="5"/>
  <c r="M3734" i="5"/>
  <c r="N3735" i="5"/>
  <c r="M3735" i="5"/>
  <c r="N3736" i="5"/>
  <c r="M3736" i="5"/>
  <c r="M3737" i="5"/>
  <c r="N3738" i="5"/>
  <c r="M3738" i="5"/>
  <c r="N3739" i="5"/>
  <c r="M3739" i="5"/>
  <c r="N3740" i="5"/>
  <c r="M3740" i="5"/>
  <c r="N3741" i="5"/>
  <c r="M3741" i="5"/>
  <c r="N3742" i="5"/>
  <c r="M3742" i="5"/>
  <c r="N3743" i="5"/>
  <c r="M3743" i="5"/>
  <c r="N3744" i="5"/>
  <c r="M3744" i="5"/>
  <c r="N3745" i="5"/>
  <c r="M3745" i="5"/>
  <c r="M3746" i="5"/>
  <c r="M3747" i="5"/>
  <c r="M3748" i="5"/>
  <c r="N3749" i="5"/>
  <c r="M3749" i="5"/>
  <c r="N3750" i="5"/>
  <c r="M3750" i="5"/>
  <c r="N3751" i="5"/>
  <c r="M3751" i="5"/>
  <c r="M3752" i="5"/>
  <c r="M3753" i="5"/>
  <c r="M3754" i="5"/>
  <c r="M3755" i="5"/>
  <c r="N3756" i="5"/>
  <c r="M3756" i="5"/>
  <c r="N3757" i="5"/>
  <c r="M3757" i="5"/>
  <c r="N3758" i="5"/>
  <c r="M3758" i="5"/>
  <c r="M3759" i="5"/>
  <c r="M3760" i="5"/>
  <c r="M3761" i="5"/>
  <c r="N3762" i="5"/>
  <c r="M3762" i="5"/>
  <c r="N3763" i="5"/>
  <c r="M3763" i="5"/>
  <c r="N3764" i="5"/>
  <c r="M3764" i="5"/>
  <c r="M3765" i="5"/>
  <c r="N3766" i="5"/>
  <c r="M3766" i="5"/>
  <c r="M3767" i="5"/>
  <c r="M3768" i="5"/>
  <c r="N3769" i="5"/>
  <c r="M3769" i="5"/>
  <c r="M3770" i="5"/>
  <c r="N3771" i="5"/>
  <c r="M3771" i="5"/>
  <c r="M3772" i="5"/>
  <c r="M3773" i="5"/>
  <c r="N3774" i="5"/>
  <c r="M3774" i="5"/>
  <c r="M3775" i="5"/>
  <c r="M3776" i="5"/>
  <c r="N3780" i="5"/>
  <c r="M3780" i="5"/>
  <c r="M3781" i="5"/>
  <c r="N3785" i="5"/>
  <c r="M3785" i="5"/>
  <c r="N3786" i="5"/>
  <c r="M3786" i="5"/>
  <c r="N3787" i="5"/>
  <c r="M3787" i="5"/>
  <c r="M3788" i="5"/>
  <c r="N3789" i="5"/>
  <c r="M3789" i="5"/>
  <c r="N3790" i="5"/>
  <c r="M3790" i="5"/>
  <c r="M3791" i="5"/>
  <c r="N3792" i="5"/>
  <c r="M3792" i="5"/>
  <c r="M3793" i="5"/>
  <c r="M3794" i="5"/>
  <c r="M3795" i="5"/>
  <c r="M3796" i="5"/>
  <c r="M3797" i="5"/>
  <c r="M3798" i="5"/>
  <c r="M3801" i="5"/>
  <c r="M3802" i="5"/>
  <c r="N3803" i="5"/>
  <c r="M3803" i="5"/>
  <c r="M3804" i="5"/>
  <c r="M3805" i="5"/>
  <c r="M3808" i="5"/>
  <c r="N3809" i="5"/>
  <c r="M3809" i="5"/>
  <c r="N3810" i="5"/>
  <c r="M3810" i="5"/>
  <c r="N3811" i="5"/>
  <c r="M3811" i="5"/>
  <c r="N3812" i="5"/>
  <c r="M3812" i="5"/>
  <c r="M3813" i="5"/>
  <c r="M3815" i="5"/>
  <c r="M3817" i="5"/>
  <c r="N3818" i="5"/>
  <c r="M3818" i="5"/>
  <c r="N3821" i="5"/>
  <c r="M3821" i="5"/>
  <c r="N3822" i="5"/>
  <c r="M3822" i="5"/>
  <c r="M3823" i="5"/>
  <c r="M3824" i="5"/>
  <c r="N3825" i="5"/>
  <c r="M3825" i="5"/>
  <c r="M3826" i="5"/>
  <c r="N3827" i="5"/>
  <c r="M3827" i="5"/>
  <c r="N3828" i="5"/>
  <c r="M3828" i="5"/>
  <c r="M3829" i="5"/>
  <c r="N3830" i="5"/>
  <c r="M3830" i="5"/>
  <c r="N3833" i="5"/>
  <c r="M3833" i="5"/>
  <c r="M3834" i="5"/>
  <c r="N3835" i="5"/>
  <c r="M3835" i="5"/>
  <c r="M3838" i="5"/>
  <c r="N3839" i="5"/>
  <c r="M3839" i="5"/>
  <c r="N3840" i="5"/>
  <c r="M3840" i="5"/>
  <c r="M3841" i="5"/>
  <c r="M3842" i="5"/>
  <c r="M3843" i="5"/>
  <c r="N3845" i="5"/>
  <c r="M3845" i="5"/>
  <c r="N3848" i="5"/>
  <c r="M3848" i="5"/>
  <c r="M3849" i="5"/>
  <c r="M3850" i="5"/>
  <c r="M3851" i="5"/>
  <c r="N3852" i="5"/>
  <c r="M3852" i="5"/>
  <c r="N3854" i="5"/>
  <c r="M3854" i="5"/>
  <c r="N3855" i="5"/>
  <c r="M3855" i="5"/>
  <c r="N3856" i="5"/>
  <c r="M3856" i="5"/>
  <c r="M3857" i="5"/>
  <c r="N3858" i="5"/>
  <c r="M3858" i="5"/>
  <c r="N3859" i="5"/>
  <c r="M3859" i="5"/>
  <c r="M3860" i="5"/>
  <c r="M3861" i="5"/>
  <c r="N3862" i="5"/>
  <c r="M3862" i="5"/>
  <c r="M3863" i="5"/>
  <c r="M3864" i="5"/>
  <c r="N3865" i="5"/>
  <c r="M3865" i="5"/>
  <c r="N3867" i="5"/>
  <c r="M3867" i="5"/>
  <c r="N3868" i="5"/>
  <c r="M3868" i="5"/>
  <c r="M3869" i="5"/>
  <c r="N3871" i="5"/>
  <c r="M3871" i="5"/>
  <c r="N3872" i="5"/>
  <c r="M3872" i="5"/>
  <c r="N3873" i="5"/>
  <c r="M3873" i="5"/>
  <c r="N3874" i="5"/>
  <c r="M3874" i="5"/>
  <c r="N3875" i="5"/>
  <c r="M3875" i="5"/>
  <c r="N3876" i="5"/>
  <c r="M3876" i="5"/>
  <c r="M3878" i="5"/>
  <c r="N3884" i="5"/>
  <c r="M3884" i="5"/>
  <c r="N3885" i="5"/>
  <c r="M3885" i="5"/>
  <c r="N3886" i="5"/>
  <c r="M3886" i="5"/>
  <c r="N3887" i="5"/>
  <c r="M3887" i="5"/>
  <c r="M3888" i="5"/>
  <c r="N3889" i="5"/>
  <c r="M3889" i="5"/>
  <c r="M3890" i="5"/>
  <c r="M3891" i="5"/>
  <c r="M3892" i="5"/>
  <c r="N3893" i="5"/>
  <c r="M3893" i="5"/>
  <c r="N3894" i="5"/>
  <c r="M3894" i="5"/>
  <c r="M3895" i="5"/>
  <c r="N3896" i="5"/>
  <c r="M3896" i="5"/>
  <c r="N3900" i="5"/>
  <c r="M3900" i="5"/>
  <c r="N3901" i="5"/>
  <c r="M3901" i="5"/>
  <c r="M3902" i="5"/>
  <c r="N3903" i="5"/>
  <c r="M3903" i="5"/>
  <c r="M3904" i="5"/>
  <c r="N3905" i="5"/>
  <c r="M3905" i="5"/>
  <c r="N3906" i="5"/>
  <c r="M3906" i="5"/>
  <c r="N3907" i="5"/>
  <c r="M3907" i="5"/>
  <c r="N3908" i="5"/>
  <c r="M3908" i="5"/>
  <c r="M3909" i="5"/>
  <c r="M3910" i="5"/>
  <c r="N3912" i="5"/>
  <c r="M3912" i="5"/>
  <c r="M3934" i="5"/>
  <c r="M3935" i="5"/>
  <c r="M3936" i="5"/>
  <c r="M3937" i="5"/>
  <c r="M3938" i="5"/>
  <c r="M3939" i="5"/>
  <c r="M3940" i="5"/>
  <c r="M3941" i="5"/>
  <c r="M3942" i="5"/>
  <c r="M3943" i="5"/>
  <c r="M3944" i="5"/>
  <c r="M3945" i="5"/>
  <c r="M3946" i="5"/>
  <c r="M3947" i="5"/>
  <c r="M3961" i="5"/>
  <c r="M3962" i="5"/>
  <c r="M3963" i="5"/>
  <c r="M3964" i="5"/>
  <c r="M3965" i="5"/>
  <c r="M3966" i="5"/>
  <c r="M3967" i="5"/>
  <c r="M3968" i="5"/>
  <c r="M3969" i="5"/>
  <c r="M3970" i="5"/>
  <c r="M3971" i="5"/>
  <c r="M3972" i="5"/>
  <c r="M3973" i="5"/>
  <c r="M3974" i="5"/>
  <c r="M3975" i="5"/>
  <c r="M3976" i="5"/>
  <c r="M3977" i="5"/>
  <c r="M3978" i="5"/>
  <c r="M3979" i="5"/>
  <c r="M3980" i="5"/>
  <c r="M3981" i="5"/>
  <c r="M3982" i="5"/>
  <c r="M3983" i="5"/>
  <c r="M3984" i="5"/>
  <c r="M3985" i="5"/>
  <c r="M3986" i="5"/>
  <c r="M3987" i="5"/>
  <c r="M3988" i="5"/>
  <c r="M3989" i="5"/>
  <c r="M3990" i="5"/>
  <c r="M3991" i="5"/>
  <c r="M3992" i="5"/>
  <c r="M3993" i="5"/>
  <c r="M3994" i="5"/>
  <c r="M3995" i="5"/>
  <c r="M3996" i="5"/>
  <c r="M3997" i="5"/>
  <c r="M3998" i="5"/>
  <c r="N3999" i="5"/>
  <c r="M3999" i="5"/>
  <c r="M4000" i="5"/>
  <c r="M4001" i="5"/>
  <c r="M4002" i="5"/>
  <c r="M4003" i="5"/>
  <c r="M4004" i="5"/>
  <c r="M4005" i="5"/>
  <c r="M4006" i="5"/>
  <c r="M4007" i="5"/>
  <c r="M4008" i="5"/>
  <c r="M4009" i="5"/>
  <c r="M4010" i="5"/>
  <c r="M4011" i="5"/>
  <c r="M4012" i="5"/>
  <c r="M4013" i="5"/>
  <c r="M4014" i="5"/>
  <c r="M4015" i="5"/>
  <c r="M4016" i="5"/>
  <c r="M4017" i="5"/>
  <c r="M4018" i="5"/>
  <c r="M4019" i="5"/>
  <c r="M4020" i="5"/>
  <c r="M4021" i="5"/>
  <c r="M4022" i="5"/>
  <c r="M4023" i="5"/>
  <c r="M4024" i="5"/>
  <c r="M4025" i="5"/>
  <c r="M4026" i="5"/>
  <c r="M4027" i="5"/>
  <c r="M4028" i="5"/>
  <c r="M4029" i="5"/>
  <c r="M4030" i="5"/>
  <c r="M4031" i="5"/>
  <c r="M4032" i="5"/>
  <c r="M4033" i="5"/>
  <c r="M4034" i="5"/>
  <c r="M4035" i="5"/>
  <c r="M4036" i="5"/>
  <c r="M4037" i="5"/>
  <c r="M4038" i="5"/>
  <c r="M4039" i="5"/>
  <c r="M4040" i="5"/>
  <c r="M4041" i="5"/>
  <c r="M4042" i="5"/>
  <c r="M4043" i="5"/>
  <c r="M4044" i="5"/>
  <c r="M4045" i="5"/>
  <c r="M4046" i="5"/>
  <c r="M4047" i="5"/>
  <c r="M4048" i="5"/>
  <c r="M4049" i="5"/>
  <c r="M4050" i="5"/>
  <c r="M4051" i="5"/>
  <c r="M4052" i="5"/>
  <c r="M4053" i="5"/>
  <c r="M4054" i="5"/>
  <c r="M4055" i="5"/>
  <c r="M4056" i="5"/>
  <c r="M4057" i="5"/>
  <c r="M4058" i="5"/>
  <c r="M4059" i="5"/>
  <c r="M4060" i="5"/>
  <c r="M4061" i="5"/>
  <c r="M4062" i="5"/>
  <c r="M4063" i="5"/>
  <c r="M4064" i="5"/>
  <c r="M4065" i="5"/>
  <c r="M4066" i="5"/>
  <c r="M4067" i="5"/>
  <c r="M4068" i="5"/>
  <c r="M4069" i="5"/>
  <c r="M4070" i="5"/>
  <c r="M4071" i="5"/>
  <c r="M4072" i="5"/>
  <c r="M4073" i="5"/>
  <c r="M4074" i="5"/>
  <c r="M4075" i="5"/>
  <c r="M4076" i="5"/>
  <c r="M4077" i="5"/>
  <c r="M4078" i="5"/>
  <c r="M4079" i="5"/>
  <c r="M4080" i="5"/>
  <c r="M4081" i="5"/>
  <c r="M4082" i="5"/>
  <c r="M4083" i="5"/>
  <c r="M4084" i="5"/>
  <c r="M4085" i="5"/>
  <c r="M4086" i="5"/>
  <c r="M4087" i="5"/>
  <c r="M4088" i="5"/>
  <c r="M4089" i="5"/>
  <c r="M4090" i="5"/>
  <c r="M4091" i="5"/>
  <c r="M4092" i="5"/>
  <c r="M4093" i="5"/>
  <c r="M4094" i="5"/>
  <c r="M4095" i="5"/>
  <c r="M4096" i="5"/>
  <c r="M4097" i="5"/>
  <c r="M4098" i="5"/>
  <c r="M4099" i="5"/>
  <c r="M4100" i="5"/>
  <c r="M4101" i="5"/>
  <c r="M4102" i="5"/>
  <c r="M4103" i="5"/>
  <c r="M4104" i="5"/>
  <c r="M4105" i="5"/>
  <c r="M4106" i="5"/>
  <c r="M4107" i="5"/>
  <c r="M4108" i="5"/>
  <c r="M4109" i="5"/>
  <c r="M4110" i="5"/>
  <c r="M4111" i="5"/>
  <c r="M4112" i="5"/>
  <c r="M4113" i="5"/>
  <c r="M4114" i="5"/>
  <c r="M4116" i="5"/>
  <c r="M4117" i="5"/>
  <c r="M4118" i="5"/>
  <c r="M4119" i="5"/>
  <c r="M4120" i="5"/>
  <c r="M4121" i="5"/>
  <c r="M4122" i="5"/>
  <c r="M4124" i="5"/>
  <c r="M4125" i="5"/>
  <c r="N4126" i="5"/>
  <c r="M4126" i="5"/>
  <c r="M4127" i="5"/>
  <c r="M4128" i="5"/>
  <c r="M4129" i="5"/>
  <c r="M4130" i="5"/>
  <c r="M4131" i="5"/>
  <c r="M4132" i="5"/>
  <c r="M4133" i="5"/>
  <c r="M4134" i="5"/>
  <c r="M4135" i="5"/>
  <c r="M4136" i="5"/>
  <c r="M4137" i="5"/>
  <c r="M4138" i="5"/>
  <c r="M4139" i="5"/>
  <c r="M4140" i="5"/>
  <c r="M4141" i="5"/>
  <c r="M4142" i="5"/>
  <c r="M4143" i="5"/>
  <c r="M4144" i="5"/>
  <c r="M4145" i="5"/>
  <c r="M4146" i="5"/>
  <c r="M4147" i="5"/>
  <c r="M4148" i="5"/>
  <c r="M4150" i="5"/>
  <c r="M4151" i="5"/>
  <c r="M4152" i="5"/>
  <c r="M4153" i="5"/>
  <c r="M4154" i="5"/>
  <c r="M4155" i="5"/>
  <c r="M4160" i="5"/>
  <c r="M4161" i="5"/>
  <c r="M4162" i="5"/>
  <c r="M4163" i="5"/>
  <c r="M4164" i="5"/>
  <c r="M4165" i="5"/>
  <c r="M4166" i="5"/>
  <c r="M4167" i="5"/>
  <c r="M4168" i="5"/>
  <c r="M4169" i="5"/>
  <c r="M4170" i="5"/>
  <c r="M4171" i="5"/>
  <c r="M4172" i="5"/>
  <c r="M4173" i="5"/>
  <c r="M4174" i="5"/>
  <c r="M4175" i="5"/>
  <c r="M4176" i="5"/>
  <c r="M4177" i="5"/>
  <c r="M4178" i="5"/>
  <c r="M4179" i="5"/>
  <c r="M4180" i="5"/>
  <c r="M4181" i="5"/>
  <c r="M4182" i="5"/>
  <c r="M4183" i="5"/>
  <c r="M4184" i="5"/>
  <c r="M4185" i="5"/>
  <c r="M4186" i="5"/>
  <c r="M4191" i="5"/>
  <c r="M4192" i="5"/>
  <c r="M4193" i="5"/>
  <c r="M4194" i="5"/>
  <c r="M4195" i="5"/>
  <c r="M4196" i="5"/>
  <c r="M4197" i="5"/>
  <c r="M4198" i="5"/>
  <c r="M4199" i="5"/>
  <c r="M4200" i="5"/>
  <c r="M4201" i="5"/>
  <c r="N4202" i="5"/>
  <c r="M4202" i="5"/>
  <c r="M4203" i="5"/>
  <c r="M4204" i="5"/>
  <c r="M4205" i="5"/>
  <c r="M4206" i="5"/>
  <c r="M4207" i="5"/>
  <c r="M4208" i="5"/>
  <c r="M4209" i="5"/>
  <c r="M4210" i="5"/>
  <c r="M4211" i="5"/>
  <c r="M4212" i="5"/>
  <c r="M4213" i="5"/>
  <c r="M4214" i="5"/>
  <c r="M4215" i="5"/>
  <c r="M4216" i="5"/>
  <c r="M4217" i="5"/>
  <c r="M4218" i="5"/>
  <c r="M4219" i="5"/>
  <c r="M4220" i="5"/>
  <c r="M4221" i="5"/>
  <c r="M4222" i="5"/>
  <c r="M4223" i="5"/>
  <c r="M4224" i="5"/>
  <c r="M4225" i="5"/>
  <c r="M4226" i="5"/>
  <c r="M4227" i="5"/>
  <c r="M4228" i="5"/>
  <c r="M4229" i="5"/>
  <c r="M4230" i="5"/>
  <c r="M4231" i="5"/>
  <c r="N4232" i="5"/>
  <c r="M4232" i="5"/>
  <c r="M4233" i="5"/>
  <c r="M4234" i="5"/>
  <c r="M4235" i="5"/>
  <c r="M4236" i="5"/>
  <c r="M4237" i="5"/>
  <c r="M4238" i="5"/>
  <c r="M4239" i="5"/>
  <c r="M4240" i="5"/>
  <c r="M4241" i="5"/>
  <c r="M4242" i="5"/>
  <c r="M4243" i="5"/>
  <c r="M4244" i="5"/>
  <c r="M4245" i="5"/>
  <c r="M4246" i="5"/>
  <c r="M4247" i="5"/>
  <c r="M4248" i="5"/>
  <c r="M4249" i="5"/>
  <c r="M4250" i="5"/>
  <c r="M4251" i="5"/>
  <c r="M4252" i="5"/>
  <c r="M4253" i="5"/>
  <c r="M4254" i="5"/>
  <c r="M4255" i="5"/>
  <c r="M4256" i="5"/>
  <c r="M4260" i="5"/>
  <c r="M4261" i="5"/>
  <c r="M4262" i="5"/>
  <c r="M4263" i="5"/>
  <c r="M4264" i="5"/>
  <c r="M4265" i="5"/>
  <c r="M4266" i="5"/>
  <c r="M4267" i="5"/>
  <c r="M4268" i="5"/>
  <c r="M4269" i="5"/>
  <c r="M4271" i="5"/>
  <c r="M4272" i="5"/>
  <c r="M4273" i="5"/>
  <c r="M4274" i="5"/>
  <c r="M4275" i="5"/>
  <c r="M4276" i="5"/>
  <c r="M4277" i="5"/>
  <c r="M4278" i="5"/>
  <c r="M4279" i="5"/>
  <c r="M4280" i="5"/>
  <c r="M4281" i="5"/>
  <c r="M4282" i="5"/>
  <c r="M4283" i="5"/>
  <c r="M4294" i="5"/>
  <c r="M4295" i="5"/>
  <c r="M4296" i="5"/>
  <c r="M4297" i="5"/>
  <c r="M4298" i="5"/>
  <c r="M4299" i="5"/>
  <c r="M4300" i="5"/>
  <c r="M4318" i="5"/>
  <c r="M4319" i="5"/>
  <c r="M4320" i="5"/>
  <c r="M4321" i="5"/>
  <c r="M4322" i="5"/>
  <c r="M4323" i="5"/>
  <c r="M4324" i="5"/>
  <c r="M4325" i="5"/>
  <c r="M4326" i="5"/>
  <c r="M4327" i="5"/>
  <c r="M4328" i="5"/>
  <c r="M4329" i="5"/>
  <c r="M4330" i="5"/>
  <c r="M4331" i="5"/>
  <c r="M4332" i="5"/>
  <c r="M4333" i="5"/>
  <c r="M4334" i="5"/>
  <c r="M4337" i="5"/>
  <c r="M4338" i="5"/>
  <c r="M4339" i="5"/>
  <c r="M4340" i="5"/>
  <c r="M4341" i="5"/>
  <c r="M4342" i="5"/>
  <c r="M4343" i="5"/>
  <c r="M4344" i="5"/>
  <c r="M4345" i="5"/>
  <c r="M4346" i="5"/>
  <c r="M4347" i="5"/>
  <c r="M4348" i="5"/>
  <c r="M4349" i="5"/>
  <c r="M4350" i="5"/>
  <c r="M4351" i="5"/>
  <c r="M4352" i="5"/>
  <c r="M4353" i="5"/>
  <c r="N4354" i="5"/>
  <c r="M4354" i="5"/>
  <c r="N4355" i="5"/>
  <c r="M4355" i="5"/>
  <c r="M4356" i="5"/>
  <c r="M4357" i="5"/>
  <c r="M4358" i="5"/>
  <c r="M4359" i="5"/>
  <c r="M4360" i="5"/>
  <c r="M4361" i="5"/>
  <c r="M4362" i="5"/>
  <c r="M4363" i="5"/>
  <c r="M4365" i="5"/>
  <c r="M4366" i="5"/>
  <c r="M4367" i="5"/>
  <c r="M4368" i="5"/>
  <c r="M4369" i="5"/>
  <c r="M4370" i="5"/>
  <c r="M4371" i="5"/>
  <c r="M4372" i="5"/>
  <c r="M4373" i="5"/>
  <c r="M4374" i="5"/>
  <c r="M4375" i="5"/>
  <c r="M4376" i="5"/>
  <c r="M4377" i="5"/>
  <c r="M4378" i="5"/>
  <c r="M4379" i="5"/>
  <c r="M4380" i="5"/>
  <c r="M4381" i="5"/>
  <c r="M4382" i="5"/>
  <c r="M4383" i="5"/>
  <c r="M4384" i="5"/>
  <c r="M4385" i="5"/>
  <c r="M4386" i="5"/>
  <c r="M4387" i="5"/>
  <c r="M4388" i="5"/>
  <c r="M4389" i="5"/>
  <c r="M4390" i="5"/>
  <c r="M4391" i="5"/>
  <c r="M4392" i="5"/>
  <c r="M4393" i="5"/>
  <c r="M4394" i="5"/>
  <c r="M4395" i="5"/>
  <c r="M4396" i="5"/>
  <c r="M4397" i="5"/>
  <c r="M4398" i="5"/>
  <c r="M4399" i="5"/>
  <c r="M4400" i="5"/>
  <c r="M4401" i="5"/>
  <c r="M4402" i="5"/>
  <c r="M4403" i="5"/>
  <c r="M4404" i="5"/>
  <c r="M4405" i="5"/>
  <c r="M4406" i="5"/>
  <c r="M4407" i="5"/>
  <c r="M4408" i="5"/>
  <c r="M4409" i="5"/>
  <c r="M4410" i="5"/>
  <c r="M4411" i="5"/>
  <c r="M4412" i="5"/>
  <c r="M4413" i="5"/>
  <c r="M4414" i="5"/>
  <c r="M4415" i="5"/>
  <c r="M4416" i="5"/>
  <c r="M4417" i="5"/>
  <c r="M4418" i="5"/>
  <c r="N4419" i="5"/>
  <c r="M4419" i="5"/>
  <c r="M4420" i="5"/>
  <c r="M4421" i="5"/>
  <c r="M4422" i="5"/>
  <c r="M4423" i="5"/>
  <c r="M4424" i="5"/>
  <c r="R4426" i="5"/>
  <c r="M4427" i="5"/>
  <c r="M4428" i="5"/>
  <c r="M4429" i="5"/>
  <c r="M4430" i="5"/>
  <c r="M4431" i="5"/>
  <c r="M4432" i="5"/>
  <c r="M4433" i="5"/>
  <c r="M4434" i="5"/>
  <c r="M4435" i="5"/>
  <c r="M4436" i="5"/>
  <c r="R4436" i="5"/>
  <c r="M4437" i="5"/>
  <c r="M4438" i="5"/>
  <c r="M4441" i="5"/>
  <c r="M4442" i="5"/>
  <c r="M4443" i="5"/>
  <c r="M4444" i="5"/>
  <c r="M4445" i="5"/>
  <c r="M4446" i="5"/>
  <c r="M4447" i="5"/>
  <c r="M4448" i="5"/>
  <c r="M4449" i="5"/>
  <c r="M4450" i="5"/>
  <c r="M4451" i="5"/>
  <c r="M4452" i="5"/>
  <c r="M4453" i="5"/>
  <c r="M4454" i="5"/>
  <c r="M4455" i="5"/>
  <c r="M4456" i="5"/>
  <c r="M4457" i="5"/>
  <c r="M4458" i="5"/>
  <c r="M4459" i="5"/>
  <c r="M4460" i="5"/>
  <c r="M4463" i="5"/>
  <c r="M4464" i="5"/>
  <c r="M4466" i="5"/>
  <c r="M4467" i="5"/>
  <c r="M4468" i="5"/>
  <c r="M4469" i="5"/>
  <c r="M4470" i="5"/>
  <c r="M4471" i="5"/>
  <c r="M4472" i="5"/>
  <c r="M4473" i="5"/>
  <c r="M4474" i="5"/>
  <c r="M4475" i="5"/>
  <c r="M4476" i="5"/>
  <c r="M4477" i="5"/>
  <c r="M4478" i="5"/>
  <c r="M4479" i="5"/>
  <c r="M4480" i="5"/>
  <c r="N4481" i="5"/>
  <c r="M4481" i="5"/>
  <c r="M4482" i="5"/>
  <c r="M4484" i="5"/>
  <c r="M4485" i="5"/>
  <c r="M4486" i="5"/>
  <c r="M4487" i="5"/>
  <c r="M4488" i="5"/>
  <c r="M4494" i="5"/>
  <c r="M4495" i="5"/>
  <c r="M4496" i="5"/>
  <c r="M4497" i="5"/>
  <c r="M4498" i="5"/>
  <c r="M4499" i="5"/>
  <c r="M4500" i="5"/>
  <c r="M4501" i="5"/>
  <c r="M4504" i="5"/>
  <c r="M4505" i="5"/>
  <c r="M4506" i="5"/>
  <c r="M4507" i="5"/>
  <c r="M4508" i="5"/>
  <c r="M4509" i="5"/>
  <c r="M4510" i="5"/>
  <c r="M4511" i="5"/>
  <c r="M4512" i="5"/>
  <c r="M4513" i="5"/>
  <c r="M4514" i="5"/>
  <c r="M4515" i="5"/>
  <c r="N4516" i="5"/>
  <c r="M4516" i="5"/>
  <c r="M4517" i="5"/>
  <c r="N4518" i="5"/>
  <c r="M4518" i="5"/>
  <c r="M4519" i="5"/>
  <c r="M4520" i="5"/>
  <c r="M4521" i="5"/>
  <c r="M4522" i="5"/>
  <c r="M4523" i="5"/>
  <c r="M4524" i="5"/>
  <c r="M4525" i="5"/>
  <c r="M4526" i="5"/>
  <c r="M4527" i="5"/>
  <c r="M4528" i="5"/>
  <c r="M4529" i="5"/>
  <c r="M4530" i="5"/>
  <c r="M4531" i="5"/>
  <c r="M4532" i="5"/>
  <c r="M4533" i="5"/>
  <c r="M4534" i="5"/>
  <c r="M4535" i="5"/>
  <c r="M4536" i="5"/>
  <c r="M4537" i="5"/>
  <c r="M4538" i="5"/>
  <c r="N4539" i="5"/>
  <c r="M4539" i="5"/>
  <c r="M4540" i="5"/>
  <c r="M4541" i="5"/>
  <c r="M4542" i="5"/>
  <c r="M4543" i="5"/>
  <c r="M4544" i="5"/>
  <c r="N4545" i="5"/>
  <c r="M4545" i="5"/>
  <c r="M4546" i="5"/>
  <c r="M4550" i="5"/>
  <c r="M4551" i="5"/>
  <c r="M4552" i="5"/>
  <c r="M4553" i="5"/>
  <c r="M4554" i="5"/>
  <c r="M4555" i="5"/>
  <c r="M4556" i="5"/>
  <c r="M4557" i="5"/>
  <c r="M4558" i="5"/>
  <c r="M4559" i="5"/>
  <c r="M4560" i="5"/>
  <c r="M4561" i="5"/>
  <c r="M4562" i="5"/>
  <c r="M4563" i="5"/>
  <c r="M4564" i="5"/>
  <c r="M4566" i="5"/>
  <c r="M4567" i="5"/>
  <c r="M4569" i="5"/>
  <c r="M4570" i="5"/>
  <c r="M4571" i="5"/>
  <c r="M4572" i="5"/>
  <c r="M4573" i="5"/>
  <c r="M4574" i="5"/>
  <c r="M4575" i="5"/>
  <c r="M4576" i="5"/>
  <c r="M4577" i="5"/>
  <c r="N4578" i="5"/>
  <c r="M4578" i="5"/>
  <c r="M4579" i="5"/>
  <c r="M4580" i="5"/>
  <c r="M4581" i="5"/>
  <c r="M4584" i="5"/>
  <c r="N4585" i="5"/>
  <c r="M4585" i="5"/>
  <c r="M4586" i="5"/>
  <c r="M4587" i="5"/>
  <c r="M4588" i="5"/>
  <c r="M4589" i="5"/>
  <c r="M4590" i="5"/>
  <c r="M4591" i="5"/>
  <c r="M4592" i="5"/>
  <c r="M4593" i="5"/>
  <c r="M4594" i="5"/>
  <c r="M4595" i="5"/>
  <c r="M4596" i="5"/>
  <c r="M4597" i="5"/>
  <c r="M4598" i="5"/>
  <c r="M4599" i="5"/>
  <c r="M4600" i="5"/>
  <c r="N4601" i="5"/>
  <c r="M4601" i="5"/>
  <c r="M4602" i="5"/>
  <c r="M4603" i="5"/>
  <c r="M4604" i="5"/>
  <c r="M4605" i="5"/>
  <c r="M4606" i="5"/>
  <c r="N4607" i="5"/>
  <c r="M4607" i="5"/>
  <c r="M4608" i="5"/>
  <c r="M4609" i="5"/>
  <c r="M4610" i="5"/>
  <c r="M4611" i="5"/>
  <c r="M4612" i="5"/>
  <c r="M4613" i="5"/>
  <c r="M4614" i="5"/>
  <c r="M4615" i="5"/>
  <c r="M4616" i="5"/>
  <c r="M4617" i="5"/>
  <c r="M4618" i="5"/>
  <c r="M4619" i="5"/>
  <c r="M4620" i="5"/>
  <c r="M4622" i="5"/>
  <c r="M4623" i="5"/>
  <c r="M4624" i="5"/>
  <c r="M4625" i="5"/>
  <c r="M4626" i="5"/>
  <c r="M4627" i="5"/>
  <c r="M4628" i="5"/>
  <c r="M4629" i="5"/>
  <c r="M4630" i="5"/>
  <c r="M4631" i="5"/>
  <c r="M4632" i="5"/>
  <c r="M4633" i="5"/>
  <c r="M4634" i="5"/>
  <c r="M4635" i="5"/>
  <c r="M4636" i="5"/>
  <c r="M4637" i="5"/>
  <c r="M4638" i="5"/>
  <c r="M4639" i="5"/>
  <c r="M4640" i="5"/>
  <c r="M4641" i="5"/>
  <c r="M4642" i="5"/>
  <c r="M4643" i="5"/>
  <c r="M4644" i="5"/>
  <c r="M4645" i="5"/>
  <c r="M4646" i="5"/>
  <c r="M4647" i="5"/>
  <c r="S4647" i="5"/>
  <c r="M4648" i="5"/>
  <c r="M4649" i="5"/>
  <c r="M4650" i="5"/>
  <c r="N4651" i="5"/>
  <c r="M4651" i="5"/>
  <c r="M4652" i="5"/>
  <c r="M4653" i="5"/>
  <c r="M4654" i="5"/>
  <c r="M4655" i="5"/>
  <c r="M4656" i="5"/>
  <c r="M4657" i="5"/>
  <c r="M4658" i="5"/>
  <c r="M4659" i="5"/>
  <c r="M4660" i="5"/>
  <c r="M4661" i="5"/>
  <c r="M4662" i="5"/>
  <c r="M4663" i="5"/>
  <c r="M4664" i="5"/>
  <c r="M4665" i="5"/>
  <c r="M4666" i="5"/>
  <c r="M4667" i="5"/>
  <c r="M4668" i="5"/>
  <c r="M4669" i="5"/>
  <c r="M4670" i="5"/>
  <c r="M4671" i="5"/>
  <c r="S4672" i="5"/>
  <c r="M4673" i="5"/>
  <c r="M4674" i="5"/>
  <c r="M4675" i="5"/>
  <c r="M4684" i="5"/>
  <c r="M4685" i="5"/>
  <c r="M4686" i="5"/>
  <c r="M4687" i="5"/>
  <c r="M4688" i="5"/>
  <c r="M4689" i="5"/>
  <c r="M4690" i="5"/>
  <c r="M4691" i="5"/>
  <c r="M4692" i="5"/>
  <c r="M4693" i="5"/>
  <c r="M4694" i="5"/>
  <c r="M4695" i="5"/>
  <c r="M4696" i="5"/>
  <c r="M4697" i="5"/>
  <c r="M4698" i="5"/>
  <c r="M4699" i="5"/>
  <c r="M4700" i="5"/>
  <c r="M4701" i="5"/>
  <c r="M4702" i="5"/>
  <c r="M4703" i="5"/>
  <c r="M4704" i="5"/>
  <c r="M4705" i="5"/>
  <c r="M4706" i="5"/>
  <c r="M4707" i="5"/>
  <c r="N4708" i="5"/>
  <c r="M4708" i="5"/>
  <c r="M4709" i="5"/>
  <c r="M4710" i="5"/>
  <c r="M4711" i="5"/>
  <c r="M4712" i="5"/>
  <c r="N4713" i="5"/>
  <c r="M4713" i="5"/>
  <c r="M4714" i="5"/>
  <c r="M4715" i="5"/>
  <c r="M4716" i="5"/>
  <c r="M4717" i="5"/>
  <c r="M4718" i="5"/>
  <c r="M4719" i="5"/>
  <c r="M4720" i="5"/>
  <c r="M4721" i="5"/>
  <c r="M4722" i="5"/>
  <c r="M4723" i="5"/>
  <c r="M4724" i="5"/>
  <c r="M4725" i="5"/>
  <c r="M4726" i="5"/>
  <c r="N4727" i="5"/>
  <c r="M4727" i="5"/>
  <c r="M4728" i="5"/>
  <c r="M4729" i="5"/>
  <c r="M4730" i="5"/>
  <c r="M4731" i="5"/>
  <c r="M4732" i="5"/>
  <c r="M4733" i="5"/>
  <c r="M4734" i="5"/>
  <c r="M4735" i="5"/>
  <c r="N4736" i="5"/>
  <c r="M4736" i="5"/>
  <c r="M4737" i="5"/>
  <c r="N4738" i="5"/>
  <c r="M4738" i="5"/>
  <c r="M4739" i="5"/>
  <c r="M4740" i="5"/>
  <c r="M4741" i="5"/>
  <c r="N4742" i="5"/>
  <c r="M4742" i="5"/>
  <c r="N4743" i="5"/>
  <c r="M4743" i="5"/>
  <c r="M4744" i="5"/>
  <c r="N4745" i="5"/>
  <c r="M4745" i="5"/>
  <c r="M4746" i="5"/>
  <c r="N4747" i="5"/>
  <c r="M4747" i="5"/>
  <c r="M4748" i="5"/>
  <c r="M4749" i="5"/>
  <c r="M4750" i="5"/>
  <c r="M4751" i="5"/>
  <c r="M4752" i="5"/>
  <c r="M4753" i="5"/>
  <c r="M4754" i="5"/>
  <c r="M4756" i="5"/>
  <c r="M4757" i="5"/>
  <c r="M4758" i="5"/>
  <c r="N4759" i="5"/>
  <c r="M4759" i="5"/>
  <c r="N4760" i="5"/>
  <c r="M4760" i="5"/>
  <c r="N4761" i="5"/>
  <c r="M4761" i="5"/>
  <c r="N4762" i="5"/>
  <c r="M4762" i="5"/>
  <c r="N4763" i="5"/>
  <c r="M4763" i="5"/>
  <c r="N4764" i="5"/>
  <c r="M4764" i="5"/>
  <c r="N4765" i="5"/>
  <c r="M4765" i="5"/>
  <c r="N4766" i="5"/>
  <c r="M4766" i="5"/>
  <c r="M4767" i="5"/>
  <c r="N4768" i="5"/>
  <c r="M4768" i="5"/>
  <c r="M4778" i="5"/>
  <c r="M4779" i="5"/>
  <c r="N4780" i="5"/>
  <c r="M4780" i="5"/>
  <c r="M4781" i="5"/>
  <c r="M4782" i="5"/>
  <c r="M4783" i="5"/>
  <c r="M4784" i="5"/>
  <c r="M4785" i="5"/>
  <c r="M4786" i="5"/>
  <c r="M4787" i="5"/>
  <c r="M4788" i="5"/>
  <c r="M4789" i="5"/>
  <c r="M4790" i="5"/>
  <c r="M4791" i="5"/>
  <c r="M4792" i="5"/>
  <c r="M4793" i="5"/>
  <c r="M4794" i="5"/>
  <c r="M4795" i="5"/>
  <c r="M4796" i="5"/>
  <c r="M4797" i="5"/>
  <c r="M4811" i="5"/>
  <c r="M4812" i="5"/>
  <c r="M4813" i="5"/>
  <c r="M4814" i="5"/>
  <c r="M4815" i="5"/>
  <c r="M4816" i="5"/>
  <c r="M4817" i="5"/>
  <c r="M4818" i="5"/>
  <c r="M4819" i="5"/>
  <c r="M4820" i="5"/>
  <c r="M4821" i="5"/>
  <c r="M4822" i="5"/>
  <c r="M4823" i="5"/>
  <c r="M4824" i="5"/>
  <c r="M4825" i="5"/>
  <c r="M4826" i="5"/>
  <c r="M4827" i="5"/>
  <c r="M4828" i="5"/>
  <c r="M4829" i="5"/>
  <c r="M4830" i="5"/>
  <c r="M4831" i="5"/>
  <c r="M4832" i="5"/>
  <c r="M4833" i="5"/>
  <c r="M4834" i="5"/>
  <c r="M4835" i="5"/>
  <c r="M4836" i="5"/>
  <c r="M4837" i="5"/>
  <c r="M4838" i="5"/>
  <c r="N4839" i="5"/>
  <c r="M4839" i="5"/>
  <c r="M4840" i="5"/>
  <c r="M4841" i="5"/>
  <c r="M4842" i="5"/>
  <c r="M4843" i="5"/>
  <c r="M4844" i="5"/>
  <c r="M4845" i="5"/>
  <c r="M4846" i="5"/>
  <c r="N4847" i="5"/>
  <c r="M4847" i="5"/>
  <c r="M4848" i="5"/>
  <c r="M4849" i="5"/>
  <c r="M4850" i="5"/>
  <c r="M4851" i="5"/>
  <c r="M4852" i="5"/>
  <c r="M4853" i="5"/>
  <c r="M4854" i="5"/>
  <c r="M4855" i="5"/>
  <c r="M4856" i="5"/>
  <c r="M4857" i="5"/>
  <c r="M4858" i="5"/>
  <c r="N4859" i="5"/>
  <c r="M4859" i="5"/>
  <c r="M4860" i="5"/>
  <c r="M4861" i="5"/>
  <c r="M4862" i="5"/>
  <c r="M4863" i="5"/>
  <c r="M4864" i="5"/>
  <c r="M4865" i="5"/>
  <c r="M4866" i="5"/>
  <c r="N4867" i="5"/>
  <c r="M4867" i="5"/>
  <c r="M4868" i="5"/>
  <c r="M4869" i="5"/>
  <c r="M4870" i="5"/>
  <c r="M4871" i="5"/>
  <c r="M4872" i="5"/>
  <c r="M4873" i="5"/>
  <c r="O4873" i="5"/>
  <c r="M4874" i="5"/>
  <c r="M4875" i="5"/>
  <c r="M4876" i="5"/>
  <c r="M4877" i="5"/>
  <c r="M4879" i="5"/>
  <c r="M4880" i="5"/>
  <c r="M4881" i="5"/>
  <c r="M4882" i="5"/>
  <c r="M4883" i="5"/>
  <c r="M4884" i="5"/>
  <c r="M4886" i="5"/>
  <c r="M4887" i="5"/>
  <c r="M4888" i="5"/>
  <c r="M4889" i="5"/>
  <c r="M4890" i="5"/>
  <c r="M4891" i="5"/>
  <c r="M4892" i="5"/>
  <c r="M4893" i="5"/>
  <c r="M4894" i="5"/>
  <c r="M4895" i="5"/>
  <c r="M4896" i="5"/>
  <c r="M4899" i="5"/>
  <c r="M4900" i="5"/>
  <c r="M4901" i="5"/>
  <c r="M4902" i="5"/>
  <c r="M4903" i="5"/>
  <c r="M4905" i="5"/>
  <c r="M4906" i="5"/>
  <c r="M4907" i="5"/>
  <c r="M4908" i="5"/>
  <c r="M4909" i="5"/>
  <c r="M4910" i="5"/>
  <c r="M4911" i="5"/>
  <c r="M4912" i="5"/>
  <c r="M4913" i="5"/>
  <c r="M4914" i="5"/>
  <c r="M4915" i="5"/>
  <c r="M4916" i="5"/>
  <c r="M4917" i="5"/>
  <c r="M4918" i="5"/>
  <c r="M4920" i="5"/>
  <c r="M4921" i="5"/>
  <c r="M4922" i="5"/>
  <c r="M4923" i="5"/>
  <c r="M4924" i="5"/>
  <c r="M4925" i="5"/>
  <c r="M4926" i="5"/>
  <c r="M4927" i="5"/>
  <c r="M4928" i="5"/>
  <c r="M4929" i="5"/>
  <c r="M4930" i="5"/>
  <c r="M4931" i="5"/>
  <c r="M4932" i="5"/>
  <c r="M4933" i="5"/>
  <c r="M4934" i="5"/>
  <c r="M4935" i="5"/>
  <c r="M4936" i="5"/>
  <c r="M4937" i="5"/>
  <c r="M4938" i="5"/>
  <c r="M4939" i="5"/>
  <c r="M4940" i="5"/>
  <c r="M4942" i="5"/>
  <c r="M4943" i="5"/>
  <c r="M4944" i="5"/>
  <c r="M4945" i="5"/>
  <c r="M4946" i="5"/>
  <c r="M4947" i="5"/>
  <c r="M4948" i="5"/>
  <c r="M4949" i="5"/>
  <c r="M4950" i="5"/>
  <c r="M4951" i="5"/>
  <c r="M4952" i="5"/>
  <c r="M4953" i="5"/>
  <c r="M4954" i="5"/>
  <c r="M4955" i="5"/>
  <c r="M4959" i="5"/>
  <c r="M4960" i="5"/>
  <c r="M4961" i="5"/>
  <c r="N4962" i="5"/>
  <c r="M4962" i="5"/>
  <c r="M4964" i="5"/>
  <c r="M4965" i="5"/>
  <c r="M4966" i="5"/>
  <c r="M4967" i="5"/>
  <c r="M4968" i="5"/>
  <c r="M4971" i="5"/>
  <c r="M4972" i="5"/>
  <c r="M4973" i="5"/>
  <c r="M4974" i="5"/>
  <c r="M4975" i="5"/>
  <c r="M4976" i="5"/>
  <c r="M4977" i="5"/>
  <c r="M4978" i="5"/>
  <c r="M4979" i="5"/>
  <c r="M4980" i="5"/>
  <c r="M4981" i="5"/>
  <c r="M4982" i="5"/>
  <c r="M4983" i="5"/>
  <c r="M4984" i="5"/>
  <c r="M4985" i="5"/>
  <c r="M4989" i="5"/>
  <c r="M4990" i="5"/>
  <c r="M4991" i="5"/>
  <c r="M4992" i="5"/>
  <c r="M4993" i="5"/>
  <c r="M4994" i="5"/>
  <c r="M4995" i="5"/>
  <c r="M4996" i="5"/>
  <c r="M4997" i="5"/>
  <c r="M5000" i="5"/>
  <c r="M5001" i="5"/>
  <c r="M5002" i="5"/>
  <c r="M5006" i="5"/>
  <c r="M5007" i="5"/>
  <c r="M5008" i="5"/>
  <c r="M5009" i="5"/>
  <c r="M5010" i="5"/>
  <c r="M5011" i="5"/>
  <c r="M5012" i="5"/>
  <c r="M5013" i="5"/>
  <c r="M5014" i="5"/>
  <c r="M5015" i="5"/>
  <c r="M5016" i="5"/>
  <c r="M5017" i="5"/>
  <c r="M5018" i="5"/>
  <c r="M5019" i="5"/>
  <c r="M5020" i="5"/>
  <c r="M5021" i="5"/>
  <c r="M5022" i="5"/>
  <c r="M5023" i="5"/>
  <c r="M5024" i="5"/>
  <c r="M5025" i="5"/>
  <c r="M5026" i="5"/>
  <c r="M5027" i="5"/>
  <c r="M5028" i="5"/>
  <c r="M5029" i="5"/>
  <c r="M5030" i="5"/>
  <c r="M5032" i="5"/>
  <c r="M5033" i="5"/>
  <c r="M5034" i="5"/>
  <c r="M5035" i="5"/>
  <c r="M5038" i="5"/>
  <c r="M5039" i="5"/>
  <c r="M5041" i="5"/>
  <c r="M5042" i="5"/>
  <c r="M5043" i="5"/>
  <c r="M5046" i="5"/>
  <c r="M5047" i="5"/>
  <c r="M5048" i="5"/>
  <c r="M5049" i="5"/>
  <c r="M5050" i="5"/>
  <c r="M5051" i="5"/>
  <c r="M5052" i="5"/>
  <c r="M5054" i="5"/>
  <c r="M5055" i="5"/>
  <c r="M5056" i="5"/>
  <c r="M5057" i="5"/>
  <c r="M5059" i="5"/>
  <c r="M5060" i="5"/>
  <c r="M5061" i="5"/>
  <c r="M5062" i="5"/>
  <c r="M5063" i="5"/>
  <c r="M5064" i="5"/>
  <c r="M5065" i="5"/>
  <c r="M5066" i="5"/>
  <c r="M5067" i="5"/>
  <c r="M5068" i="5"/>
  <c r="M5069" i="5"/>
  <c r="M5070" i="5"/>
  <c r="M5071" i="5"/>
  <c r="M5072" i="5"/>
  <c r="M5073" i="5"/>
  <c r="M5074" i="5"/>
  <c r="M5075" i="5"/>
  <c r="M5076" i="5"/>
  <c r="M5077" i="5"/>
  <c r="M5078" i="5"/>
  <c r="M5079" i="5"/>
  <c r="M5080" i="5"/>
  <c r="M5081" i="5"/>
  <c r="M5082" i="5"/>
  <c r="M5083" i="5"/>
  <c r="M5084" i="5"/>
  <c r="M5085" i="5"/>
  <c r="M5086" i="5"/>
  <c r="M5087" i="5"/>
  <c r="M5088" i="5"/>
  <c r="M5089" i="5"/>
  <c r="M5090" i="5"/>
  <c r="M5091" i="5"/>
  <c r="M5092" i="5"/>
  <c r="M5093" i="5"/>
  <c r="M5094" i="5"/>
  <c r="M5095" i="5"/>
  <c r="M5096" i="5"/>
  <c r="M5097" i="5"/>
  <c r="M5098" i="5"/>
  <c r="M5099" i="5"/>
  <c r="M5100" i="5"/>
  <c r="M5101" i="5"/>
  <c r="M5102" i="5"/>
  <c r="M5103" i="5"/>
  <c r="M5104" i="5"/>
  <c r="M5105" i="5"/>
  <c r="M5106" i="5"/>
  <c r="M5107" i="5"/>
  <c r="M5108" i="5"/>
  <c r="M5109" i="5"/>
  <c r="M5110" i="5"/>
  <c r="M5111" i="5"/>
  <c r="M5112" i="5"/>
  <c r="M5113" i="5"/>
  <c r="M5114" i="5"/>
  <c r="M5115" i="5"/>
  <c r="M5116" i="5"/>
  <c r="M5117" i="5"/>
  <c r="M5118" i="5"/>
  <c r="M5119" i="5"/>
  <c r="M5120" i="5"/>
  <c r="M5121" i="5"/>
  <c r="M5122" i="5"/>
  <c r="N5123" i="5"/>
  <c r="M5123" i="5"/>
  <c r="M5124" i="5"/>
  <c r="M5125" i="5"/>
  <c r="M5126" i="5"/>
  <c r="M5129" i="5"/>
  <c r="M5135" i="5"/>
  <c r="M5136" i="5"/>
  <c r="M5137" i="5"/>
  <c r="M5138" i="5"/>
  <c r="M5139" i="5"/>
  <c r="M5148" i="5"/>
  <c r="M5149" i="5"/>
  <c r="M5150" i="5"/>
  <c r="M5152" i="5"/>
  <c r="M5153" i="5"/>
  <c r="M5154" i="5"/>
  <c r="M5155" i="5"/>
  <c r="M5156" i="5"/>
  <c r="M5157" i="5"/>
  <c r="M5158" i="5"/>
  <c r="M5159" i="5"/>
  <c r="M5160" i="5"/>
  <c r="M5161" i="5"/>
  <c r="M5162" i="5"/>
  <c r="M5163" i="5"/>
  <c r="M5164" i="5"/>
  <c r="M5165" i="5"/>
  <c r="M5166" i="5"/>
  <c r="M5167" i="5"/>
  <c r="M5168" i="5"/>
  <c r="M5169" i="5"/>
  <c r="M5170" i="5"/>
  <c r="M5171" i="5"/>
  <c r="M5172" i="5"/>
  <c r="M5173" i="5"/>
  <c r="M5174" i="5"/>
  <c r="M5175" i="5"/>
  <c r="M5176" i="5"/>
  <c r="M5177" i="5"/>
  <c r="M5178" i="5"/>
  <c r="M5179" i="5"/>
  <c r="M5180" i="5"/>
  <c r="M5181" i="5"/>
  <c r="M5182" i="5"/>
  <c r="M5183" i="5"/>
  <c r="M5184" i="5"/>
  <c r="M5185" i="5"/>
  <c r="M5186" i="5"/>
  <c r="M5187" i="5"/>
  <c r="M5188" i="5"/>
  <c r="M5189" i="5"/>
  <c r="M5190" i="5"/>
  <c r="M5191" i="5"/>
  <c r="M5192" i="5"/>
  <c r="M5193" i="5"/>
  <c r="M5194" i="5"/>
  <c r="M5195" i="5"/>
  <c r="M5196" i="5"/>
  <c r="M5197" i="5"/>
  <c r="M5198" i="5"/>
  <c r="N5199" i="5"/>
  <c r="M5199" i="5"/>
  <c r="M5200" i="5"/>
  <c r="M5201" i="5"/>
  <c r="M5202" i="5"/>
  <c r="M5203" i="5"/>
  <c r="M5204" i="5"/>
  <c r="M5205" i="5"/>
  <c r="M5206" i="5"/>
  <c r="M5207" i="5"/>
  <c r="M5208" i="5"/>
  <c r="M5209" i="5"/>
  <c r="M5210" i="5"/>
  <c r="M5211" i="5"/>
  <c r="M5212" i="5"/>
  <c r="M5213" i="5"/>
  <c r="M5214" i="5"/>
  <c r="M5215" i="5"/>
  <c r="M5216" i="5"/>
  <c r="M5217" i="5"/>
  <c r="M5218" i="5"/>
  <c r="M5219" i="5"/>
  <c r="M5220" i="5"/>
  <c r="M5221" i="5"/>
  <c r="M5222" i="5"/>
  <c r="M5223" i="5"/>
  <c r="M5224" i="5"/>
  <c r="M5225" i="5"/>
  <c r="M5226" i="5"/>
  <c r="M5227" i="5"/>
  <c r="M5228" i="5"/>
  <c r="M5229" i="5"/>
  <c r="M5230" i="5"/>
  <c r="M5238" i="5"/>
  <c r="M5239" i="5"/>
  <c r="M5240" i="5"/>
  <c r="M5241" i="5"/>
  <c r="M5242" i="5"/>
  <c r="M5243" i="5"/>
  <c r="M5244" i="5"/>
  <c r="M5245" i="5"/>
  <c r="M5246" i="5"/>
  <c r="M5247" i="5"/>
  <c r="M5248" i="5"/>
  <c r="M5249" i="5"/>
  <c r="M5250" i="5"/>
  <c r="M5251" i="5"/>
  <c r="M5252" i="5"/>
  <c r="M5253" i="5"/>
  <c r="M5254" i="5"/>
  <c r="M5255" i="5"/>
  <c r="M5256" i="5"/>
  <c r="N5257" i="5"/>
  <c r="M5257" i="5"/>
  <c r="M5258" i="5"/>
  <c r="M5259" i="5"/>
  <c r="M5260" i="5"/>
  <c r="M5261" i="5"/>
  <c r="M5262" i="5"/>
  <c r="M5263" i="5"/>
  <c r="M5264" i="5"/>
  <c r="M5265" i="5"/>
  <c r="M5266" i="5"/>
  <c r="N5267" i="5"/>
  <c r="M5267" i="5"/>
  <c r="M5268" i="5"/>
  <c r="M5269" i="5"/>
  <c r="M5270" i="5"/>
  <c r="M5271" i="5"/>
  <c r="M5272" i="5"/>
  <c r="M5273" i="5"/>
  <c r="M5274" i="5"/>
  <c r="M5275" i="5"/>
  <c r="M5276" i="5"/>
  <c r="M5277" i="5"/>
  <c r="M5278" i="5"/>
  <c r="M5279" i="5"/>
  <c r="M5280" i="5"/>
  <c r="M5281" i="5"/>
  <c r="M5282" i="5"/>
  <c r="M5283" i="5"/>
  <c r="M5284" i="5"/>
  <c r="M5285" i="5"/>
  <c r="M5286" i="5"/>
  <c r="M5287" i="5"/>
  <c r="M5288" i="5"/>
  <c r="M5289" i="5"/>
  <c r="M5290" i="5"/>
  <c r="M5291" i="5"/>
  <c r="M5292" i="5"/>
  <c r="M5293" i="5"/>
  <c r="M5294" i="5"/>
  <c r="M5295" i="5"/>
  <c r="M5296" i="5"/>
  <c r="M5297" i="5"/>
  <c r="M5298" i="5"/>
  <c r="M5299" i="5"/>
  <c r="M5300" i="5"/>
  <c r="M5301" i="5"/>
  <c r="M5302" i="5"/>
  <c r="M5303" i="5"/>
  <c r="M5304" i="5"/>
  <c r="M5305" i="5"/>
  <c r="M5306" i="5"/>
  <c r="M5307" i="5"/>
  <c r="M5308" i="5"/>
  <c r="M5309" i="5"/>
  <c r="M5310" i="5"/>
  <c r="M5311" i="5"/>
  <c r="M5312" i="5"/>
  <c r="M5313" i="5"/>
  <c r="M5314" i="5"/>
  <c r="M5315" i="5"/>
  <c r="M5316" i="5"/>
  <c r="M5317" i="5"/>
  <c r="M5318" i="5"/>
  <c r="M5319" i="5"/>
  <c r="M5320" i="5"/>
  <c r="M5321" i="5"/>
  <c r="M5322" i="5"/>
  <c r="M5323" i="5"/>
  <c r="M5324" i="5"/>
  <c r="M5325" i="5"/>
  <c r="M5326" i="5"/>
  <c r="M5327" i="5"/>
  <c r="M5328" i="5"/>
  <c r="M5329" i="5"/>
  <c r="M5330" i="5"/>
  <c r="M5331" i="5"/>
  <c r="M5332" i="5"/>
  <c r="M5333" i="5"/>
  <c r="M5334" i="5"/>
  <c r="M5335" i="5"/>
  <c r="M5336" i="5"/>
  <c r="M5337" i="5"/>
  <c r="M5338" i="5"/>
  <c r="M5339" i="5"/>
  <c r="M5340" i="5"/>
  <c r="M5341" i="5"/>
  <c r="M5342" i="5"/>
  <c r="M5343" i="5"/>
  <c r="M5344" i="5"/>
  <c r="M5345" i="5"/>
  <c r="M5346" i="5"/>
  <c r="M5347" i="5"/>
  <c r="M5348" i="5"/>
  <c r="M5349" i="5"/>
  <c r="M5350" i="5"/>
  <c r="M5351" i="5"/>
  <c r="M5352" i="5"/>
  <c r="M5353" i="5"/>
  <c r="M5354" i="5"/>
  <c r="M5355" i="5"/>
  <c r="M5356" i="5"/>
  <c r="M5357" i="5"/>
  <c r="M5358" i="5"/>
  <c r="M5359" i="5"/>
  <c r="M5360" i="5"/>
  <c r="M5361" i="5"/>
  <c r="M5362" i="5"/>
  <c r="M5363" i="5"/>
  <c r="M5364" i="5"/>
  <c r="M5365" i="5"/>
  <c r="M5366" i="5"/>
  <c r="M5367" i="5"/>
  <c r="M5368" i="5"/>
  <c r="M5369" i="5"/>
  <c r="M5370" i="5"/>
  <c r="M5371" i="5"/>
  <c r="M5372" i="5"/>
  <c r="M5373" i="5"/>
  <c r="M5374" i="5"/>
  <c r="M5375" i="5"/>
  <c r="M5376" i="5"/>
  <c r="M5377" i="5"/>
  <c r="M5378" i="5"/>
  <c r="M5379" i="5"/>
  <c r="M5380" i="5"/>
  <c r="M5381" i="5"/>
  <c r="M5382" i="5"/>
  <c r="M5383" i="5"/>
  <c r="M5384" i="5"/>
  <c r="M5385" i="5"/>
  <c r="M5386" i="5"/>
  <c r="M5387" i="5"/>
  <c r="M5388" i="5"/>
  <c r="M5389" i="5"/>
  <c r="M5390" i="5"/>
  <c r="M5391" i="5"/>
  <c r="M5392" i="5"/>
  <c r="M5393" i="5"/>
  <c r="M5394" i="5"/>
  <c r="M5395" i="5"/>
  <c r="M5396" i="5"/>
  <c r="M5397" i="5"/>
  <c r="M5398" i="5"/>
  <c r="M5399" i="5"/>
  <c r="M5400" i="5"/>
  <c r="M5401" i="5"/>
  <c r="M5402" i="5"/>
  <c r="M5403" i="5"/>
  <c r="M5404" i="5"/>
  <c r="M5405" i="5"/>
  <c r="M5406" i="5"/>
  <c r="M5407" i="5"/>
  <c r="M5408" i="5"/>
  <c r="M5409" i="5"/>
  <c r="M5410" i="5"/>
  <c r="M5411" i="5"/>
  <c r="M5412" i="5"/>
  <c r="M5413" i="5"/>
  <c r="M5414" i="5"/>
  <c r="M5415" i="5"/>
  <c r="M5416" i="5"/>
  <c r="M5417" i="5"/>
  <c r="M5418" i="5"/>
  <c r="M5419" i="5"/>
  <c r="M5420" i="5"/>
  <c r="M5421" i="5"/>
  <c r="M5422" i="5"/>
  <c r="M5423" i="5"/>
  <c r="M5424" i="5"/>
  <c r="M5425" i="5"/>
  <c r="M5426" i="5"/>
  <c r="M5427" i="5"/>
  <c r="M5428" i="5"/>
  <c r="M5429" i="5"/>
  <c r="M5430" i="5"/>
  <c r="M5431" i="5"/>
  <c r="M5432" i="5"/>
  <c r="M5433" i="5"/>
  <c r="M5434" i="5"/>
  <c r="M5435" i="5"/>
  <c r="M5436" i="5"/>
  <c r="M5437" i="5"/>
  <c r="M5438" i="5"/>
  <c r="M5439" i="5"/>
  <c r="M5440" i="5"/>
  <c r="M5441" i="5"/>
  <c r="M5442" i="5"/>
  <c r="M5443" i="5"/>
  <c r="M5444" i="5"/>
  <c r="M5445" i="5"/>
  <c r="M5446" i="5"/>
  <c r="M5447" i="5"/>
  <c r="M5448" i="5"/>
  <c r="M5449" i="5"/>
  <c r="M5450" i="5"/>
  <c r="M5451" i="5"/>
  <c r="M5452" i="5"/>
  <c r="M5453" i="5"/>
  <c r="M5454" i="5"/>
  <c r="M5455" i="5"/>
  <c r="M5456" i="5"/>
  <c r="M5457" i="5"/>
  <c r="M5458" i="5"/>
  <c r="M5459" i="5"/>
  <c r="M5460" i="5"/>
  <c r="M5461" i="5"/>
  <c r="M5462" i="5"/>
  <c r="M5463" i="5"/>
  <c r="M5464" i="5"/>
  <c r="M5465" i="5"/>
  <c r="M5466" i="5"/>
  <c r="M5467" i="5"/>
  <c r="M5468" i="5"/>
  <c r="M5469" i="5"/>
  <c r="M5470" i="5"/>
  <c r="M5471" i="5"/>
  <c r="M5472" i="5"/>
  <c r="M5473" i="5"/>
  <c r="M5474" i="5"/>
  <c r="M5475" i="5"/>
  <c r="M5476" i="5"/>
  <c r="M5477" i="5"/>
  <c r="M5478" i="5"/>
  <c r="M5479" i="5"/>
  <c r="M5480" i="5"/>
  <c r="M5481" i="5"/>
  <c r="M5482" i="5"/>
  <c r="M5483" i="5"/>
  <c r="M5484" i="5"/>
  <c r="M5485" i="5"/>
  <c r="M5486" i="5"/>
  <c r="M5487" i="5"/>
  <c r="M5488" i="5"/>
  <c r="M5489" i="5"/>
  <c r="M5490" i="5"/>
  <c r="M5491" i="5"/>
  <c r="M5492" i="5"/>
  <c r="N5493" i="5"/>
  <c r="M5493" i="5"/>
  <c r="M5494" i="5"/>
  <c r="M5495" i="5"/>
  <c r="M5496" i="5"/>
  <c r="M5497" i="5"/>
  <c r="M5498" i="5"/>
  <c r="M5499" i="5"/>
  <c r="M5500" i="5"/>
  <c r="M5501" i="5"/>
  <c r="M5502" i="5"/>
  <c r="M5503" i="5"/>
  <c r="M5504" i="5"/>
  <c r="M5505" i="5"/>
  <c r="M5506" i="5"/>
  <c r="M5507" i="5"/>
  <c r="M5508" i="5"/>
  <c r="M5509" i="5"/>
  <c r="M5510" i="5"/>
  <c r="M5511" i="5"/>
  <c r="M5512" i="5"/>
  <c r="M5513" i="5"/>
  <c r="M5515" i="5"/>
  <c r="M5516" i="5"/>
  <c r="M5517" i="5"/>
  <c r="M5518" i="5"/>
  <c r="M5519" i="5"/>
  <c r="M5520" i="5"/>
  <c r="M5521" i="5"/>
  <c r="M5522" i="5"/>
  <c r="M5523" i="5"/>
  <c r="M5524" i="5"/>
  <c r="M5525" i="5"/>
  <c r="M5526" i="5"/>
  <c r="M5527" i="5"/>
  <c r="M5528" i="5"/>
  <c r="M5529" i="5"/>
  <c r="M5530" i="5"/>
  <c r="M5531" i="5"/>
  <c r="M5532" i="5"/>
  <c r="M5533" i="5"/>
  <c r="M5534" i="5"/>
  <c r="M5535" i="5"/>
  <c r="M5536" i="5"/>
  <c r="M5537" i="5"/>
  <c r="M5538" i="5"/>
  <c r="M5539" i="5"/>
  <c r="M5540" i="5"/>
  <c r="M5541" i="5"/>
  <c r="M5542" i="5"/>
  <c r="M5543" i="5"/>
  <c r="M5544" i="5"/>
  <c r="M5545" i="5"/>
  <c r="M5546" i="5"/>
  <c r="M5547" i="5"/>
  <c r="M5548" i="5"/>
  <c r="M5549" i="5"/>
  <c r="M5550" i="5"/>
  <c r="M5551" i="5"/>
  <c r="M5552" i="5"/>
  <c r="M5553" i="5"/>
  <c r="M5554" i="5"/>
  <c r="M5555" i="5"/>
  <c r="M5556" i="5"/>
  <c r="M5557" i="5"/>
  <c r="M5558" i="5"/>
  <c r="M5559" i="5"/>
  <c r="M5560" i="5"/>
  <c r="M5561" i="5"/>
  <c r="M5562" i="5"/>
  <c r="M5563" i="5"/>
  <c r="M5564" i="5"/>
  <c r="M5565" i="5"/>
  <c r="M5566" i="5"/>
  <c r="M5567" i="5"/>
  <c r="M5568" i="5"/>
  <c r="M5569" i="5"/>
  <c r="M5570" i="5"/>
  <c r="M5571" i="5"/>
  <c r="M5572" i="5"/>
  <c r="M5573" i="5"/>
  <c r="M5574" i="5"/>
  <c r="M5575" i="5"/>
  <c r="M5576" i="5"/>
  <c r="M5577" i="5"/>
  <c r="M5578" i="5"/>
  <c r="M5579" i="5"/>
  <c r="M5580" i="5"/>
  <c r="M5581" i="5"/>
  <c r="M5582" i="5"/>
  <c r="M5583" i="5"/>
  <c r="M5584" i="5"/>
  <c r="M5585" i="5"/>
  <c r="M5586" i="5"/>
  <c r="M5587" i="5"/>
  <c r="M5588" i="5"/>
  <c r="M5589" i="5"/>
  <c r="M5590" i="5"/>
  <c r="M5591" i="5"/>
  <c r="M5592" i="5"/>
  <c r="M5593" i="5"/>
  <c r="M5594" i="5"/>
  <c r="M5595" i="5"/>
  <c r="M5596" i="5"/>
  <c r="M5597" i="5"/>
  <c r="M5598" i="5"/>
  <c r="M5599" i="5"/>
  <c r="M5600" i="5"/>
  <c r="M5601" i="5"/>
  <c r="M5602" i="5"/>
  <c r="M5603" i="5"/>
  <c r="M5604" i="5"/>
  <c r="M5605" i="5"/>
  <c r="M5606" i="5"/>
  <c r="M5607" i="5"/>
  <c r="M5608" i="5"/>
  <c r="M5609" i="5"/>
  <c r="M5610" i="5"/>
  <c r="M5611" i="5"/>
  <c r="M5612" i="5"/>
  <c r="M5613" i="5"/>
  <c r="M5614" i="5"/>
  <c r="M5615" i="5"/>
  <c r="M5616" i="5"/>
  <c r="M5617" i="5"/>
  <c r="M5618" i="5"/>
  <c r="M5619" i="5"/>
  <c r="M5620" i="5"/>
  <c r="M5621" i="5"/>
  <c r="M5622" i="5"/>
  <c r="M5623" i="5"/>
  <c r="M5624" i="5"/>
  <c r="M5625" i="5"/>
  <c r="M5627" i="5"/>
  <c r="M5628" i="5"/>
  <c r="M5629" i="5"/>
  <c r="N5630" i="5"/>
  <c r="M5630" i="5"/>
  <c r="M5631" i="5"/>
  <c r="M5632" i="5"/>
  <c r="M5633" i="5"/>
  <c r="M5634" i="5"/>
  <c r="M5635" i="5"/>
  <c r="M5636" i="5"/>
  <c r="M5637" i="5"/>
  <c r="M5638" i="5"/>
  <c r="M5639" i="5"/>
  <c r="M5640" i="5"/>
  <c r="M5641" i="5"/>
  <c r="M5642" i="5"/>
  <c r="M5643" i="5"/>
  <c r="M5644" i="5"/>
  <c r="M5645" i="5"/>
  <c r="M5646" i="5"/>
  <c r="M5647" i="5"/>
  <c r="M5648" i="5"/>
  <c r="M5649" i="5"/>
  <c r="M5650" i="5"/>
  <c r="M5651" i="5"/>
  <c r="M5652" i="5"/>
  <c r="M5653" i="5"/>
  <c r="M5654" i="5"/>
  <c r="M5655" i="5"/>
  <c r="M5656" i="5"/>
  <c r="M5657" i="5"/>
  <c r="M5658" i="5"/>
  <c r="M5659" i="5"/>
  <c r="M5660" i="5"/>
  <c r="M5661" i="5"/>
  <c r="M5662" i="5"/>
  <c r="M5663" i="5"/>
  <c r="M5664" i="5"/>
  <c r="M5665" i="5"/>
  <c r="M5666" i="5"/>
  <c r="M5667" i="5"/>
  <c r="M5668" i="5"/>
  <c r="M5669" i="5"/>
  <c r="M5670" i="5"/>
  <c r="M5671" i="5"/>
  <c r="M5672" i="5"/>
  <c r="M5673" i="5"/>
  <c r="M5674" i="5"/>
  <c r="M5675" i="5"/>
  <c r="M5676" i="5"/>
  <c r="M5677" i="5"/>
  <c r="M5678" i="5"/>
  <c r="M5679" i="5"/>
  <c r="M5680" i="5"/>
  <c r="M5681" i="5"/>
  <c r="M5682" i="5"/>
  <c r="M5683" i="5"/>
  <c r="M5684" i="5"/>
  <c r="M5685" i="5"/>
  <c r="M5686" i="5"/>
  <c r="M5687" i="5"/>
  <c r="M5688" i="5"/>
  <c r="M5689" i="5"/>
  <c r="M5690" i="5"/>
  <c r="M5723" i="5"/>
  <c r="M5724" i="5"/>
  <c r="M5725" i="5"/>
  <c r="M5726" i="5"/>
  <c r="M5727" i="5"/>
  <c r="M5728" i="5"/>
  <c r="M5729" i="5"/>
  <c r="M5730" i="5"/>
  <c r="M5731" i="5"/>
  <c r="M5732" i="5"/>
  <c r="M5733" i="5"/>
  <c r="M5734" i="5"/>
  <c r="M5735" i="5"/>
  <c r="M5736" i="5"/>
  <c r="M5737" i="5"/>
  <c r="M5738" i="5"/>
  <c r="M5739" i="5"/>
  <c r="M5740" i="5"/>
  <c r="M5741" i="5"/>
  <c r="M5742" i="5"/>
  <c r="M5743" i="5"/>
  <c r="M5744" i="5"/>
  <c r="M5745" i="5"/>
  <c r="M5746" i="5"/>
  <c r="M5747" i="5"/>
  <c r="M5748" i="5"/>
  <c r="M5749" i="5"/>
  <c r="M5750" i="5"/>
  <c r="M5751" i="5"/>
  <c r="I2" i="8"/>
  <c r="H2" i="8"/>
  <c r="I3" i="8"/>
  <c r="H3" i="8"/>
  <c r="I4" i="8"/>
  <c r="H4" i="8"/>
  <c r="I5" i="8"/>
  <c r="H5" i="8"/>
  <c r="I6" i="8"/>
  <c r="H6" i="8"/>
  <c r="I7" i="8"/>
  <c r="H7" i="8"/>
  <c r="I8" i="8"/>
  <c r="H8" i="8"/>
  <c r="H9" i="8"/>
  <c r="I10" i="8"/>
  <c r="H10" i="8"/>
  <c r="H11" i="8"/>
  <c r="H12" i="8"/>
  <c r="I13" i="8"/>
  <c r="H13" i="8"/>
  <c r="I14" i="8"/>
  <c r="H14" i="8"/>
  <c r="H15" i="8"/>
  <c r="H16" i="8"/>
  <c r="I17" i="8"/>
  <c r="H17" i="8"/>
  <c r="I18" i="8"/>
  <c r="H18" i="8"/>
  <c r="I19" i="8"/>
  <c r="H19" i="8"/>
  <c r="I20" i="8"/>
  <c r="H20" i="8"/>
  <c r="I21" i="8"/>
  <c r="H21" i="8"/>
  <c r="I22" i="8"/>
  <c r="H22" i="8"/>
  <c r="I23" i="8"/>
  <c r="H23" i="8"/>
  <c r="I24" i="8"/>
  <c r="H24" i="8"/>
  <c r="I25" i="8"/>
  <c r="H25" i="8"/>
  <c r="H26" i="8"/>
  <c r="I27" i="8"/>
  <c r="H27" i="8"/>
  <c r="I28" i="8"/>
  <c r="H28" i="8"/>
  <c r="I29" i="8"/>
  <c r="H29" i="8"/>
  <c r="H30" i="8"/>
  <c r="I31" i="8"/>
  <c r="H31" i="8"/>
  <c r="I32" i="8"/>
  <c r="H32" i="8"/>
  <c r="I33" i="8"/>
  <c r="H33" i="8"/>
  <c r="I34" i="8"/>
  <c r="H34" i="8"/>
  <c r="I35" i="8"/>
  <c r="H35" i="8"/>
  <c r="I36" i="8"/>
  <c r="H36" i="8"/>
  <c r="H37" i="8"/>
  <c r="I38" i="8"/>
  <c r="H38" i="8"/>
  <c r="H39" i="8"/>
  <c r="I40" i="8"/>
  <c r="H40" i="8"/>
  <c r="I41" i="8"/>
  <c r="H41" i="8"/>
  <c r="I42" i="8"/>
  <c r="H42" i="8"/>
  <c r="I43" i="8"/>
  <c r="H43" i="8"/>
  <c r="I44" i="8"/>
  <c r="H44" i="8"/>
  <c r="I45" i="8"/>
  <c r="H45" i="8"/>
  <c r="H46" i="8"/>
  <c r="I47" i="8"/>
  <c r="H47" i="8"/>
  <c r="I48" i="8"/>
  <c r="H48" i="8"/>
  <c r="I49" i="8"/>
  <c r="H49" i="8"/>
  <c r="H50" i="8"/>
  <c r="H51" i="8"/>
  <c r="H52" i="8"/>
  <c r="H53" i="8"/>
  <c r="I54" i="8"/>
  <c r="H54" i="8"/>
  <c r="H55" i="8"/>
  <c r="I56" i="8"/>
  <c r="H56" i="8"/>
  <c r="H57" i="8"/>
  <c r="H58" i="8"/>
  <c r="H59" i="8"/>
  <c r="I60" i="8"/>
  <c r="H60" i="8"/>
  <c r="I61" i="8"/>
  <c r="H61" i="8"/>
  <c r="I62" i="8"/>
  <c r="H62" i="8"/>
  <c r="I63" i="8"/>
  <c r="H63" i="8"/>
  <c r="I64" i="8"/>
  <c r="H64" i="8"/>
  <c r="H65" i="8"/>
  <c r="I66" i="8"/>
  <c r="H66" i="8"/>
  <c r="H67" i="8"/>
  <c r="I68" i="8"/>
  <c r="H68" i="8"/>
  <c r="H69" i="8"/>
  <c r="H70" i="8"/>
  <c r="I71" i="8"/>
  <c r="H71" i="8"/>
  <c r="H72" i="8"/>
  <c r="H73" i="8"/>
  <c r="I74" i="8"/>
  <c r="H74" i="8"/>
  <c r="H79" i="8"/>
  <c r="H80" i="8"/>
  <c r="H81" i="8"/>
  <c r="I82" i="8"/>
  <c r="H82" i="8"/>
  <c r="H83" i="8"/>
  <c r="I84" i="8"/>
  <c r="H84" i="8"/>
  <c r="H85" i="8"/>
  <c r="I86" i="8"/>
  <c r="H86" i="8"/>
  <c r="H87" i="8"/>
  <c r="H88" i="8"/>
  <c r="H89" i="8"/>
  <c r="H90" i="8"/>
  <c r="I91" i="8"/>
  <c r="H91" i="8"/>
  <c r="I92" i="8"/>
  <c r="H92" i="8"/>
  <c r="H93" i="8"/>
  <c r="H94" i="8"/>
  <c r="H95" i="8"/>
  <c r="I99" i="8"/>
  <c r="H99" i="8"/>
  <c r="H100" i="8"/>
  <c r="H101" i="8"/>
  <c r="H102" i="8"/>
  <c r="I103" i="8"/>
  <c r="H104" i="8"/>
  <c r="I105" i="8"/>
  <c r="H105" i="8"/>
  <c r="I107" i="8"/>
  <c r="H107" i="8"/>
  <c r="H108" i="8"/>
  <c r="H109" i="8"/>
  <c r="I110" i="8"/>
  <c r="H110" i="8"/>
  <c r="I111" i="8"/>
  <c r="H111" i="8"/>
  <c r="I112" i="8"/>
  <c r="H112" i="8"/>
  <c r="I114" i="8"/>
  <c r="H114" i="8"/>
  <c r="I115" i="8"/>
  <c r="H115" i="8"/>
  <c r="H116" i="8"/>
  <c r="H117" i="8"/>
  <c r="H118" i="8"/>
  <c r="H119" i="8"/>
  <c r="I121" i="8"/>
  <c r="I122" i="8"/>
  <c r="H122" i="8"/>
  <c r="I123" i="8"/>
  <c r="H123" i="8"/>
  <c r="I124" i="8"/>
  <c r="H124" i="8"/>
  <c r="H125" i="8"/>
  <c r="I126" i="8"/>
  <c r="H126" i="8"/>
  <c r="I127" i="8"/>
  <c r="H127" i="8"/>
  <c r="I128" i="8"/>
  <c r="H128" i="8"/>
  <c r="I129" i="8"/>
  <c r="H129" i="8"/>
  <c r="I130" i="8"/>
  <c r="H130" i="8"/>
  <c r="I131" i="8"/>
  <c r="H131" i="8"/>
  <c r="I132" i="8"/>
  <c r="H132" i="8"/>
  <c r="I133" i="8"/>
  <c r="H133" i="8"/>
  <c r="I134" i="8"/>
  <c r="H134" i="8"/>
  <c r="I135" i="8"/>
  <c r="H135" i="8"/>
  <c r="H136" i="8"/>
  <c r="I137" i="8"/>
  <c r="H137" i="8"/>
  <c r="H138" i="8"/>
  <c r="I139" i="8"/>
  <c r="H139" i="8"/>
  <c r="I140" i="8"/>
  <c r="H140" i="8"/>
  <c r="I141" i="8"/>
  <c r="H141" i="8"/>
  <c r="H142" i="8"/>
  <c r="I143" i="8"/>
  <c r="H143" i="8"/>
  <c r="H144" i="8"/>
  <c r="H145" i="8"/>
  <c r="I148" i="8"/>
  <c r="H148" i="8"/>
  <c r="I149" i="8"/>
  <c r="H149" i="8"/>
  <c r="I150" i="8"/>
  <c r="H150" i="8"/>
  <c r="I151" i="8"/>
  <c r="H151" i="8"/>
  <c r="H152" i="8"/>
  <c r="H153" i="8"/>
  <c r="I154" i="8"/>
  <c r="H154" i="8"/>
  <c r="H155" i="8"/>
  <c r="H156" i="8"/>
  <c r="H157" i="8"/>
  <c r="H158" i="8"/>
  <c r="H159" i="8"/>
  <c r="H160" i="8"/>
  <c r="H161" i="8"/>
  <c r="H162" i="8"/>
  <c r="H163" i="8"/>
  <c r="H164" i="8"/>
  <c r="H165" i="8"/>
  <c r="H166" i="8"/>
  <c r="H167" i="8"/>
  <c r="H168" i="8"/>
  <c r="H169" i="8"/>
  <c r="I170" i="8"/>
  <c r="H170" i="8"/>
  <c r="I172" i="8"/>
  <c r="H172" i="8"/>
  <c r="I173" i="8"/>
  <c r="H173" i="8"/>
  <c r="I174" i="8"/>
  <c r="H174" i="8"/>
  <c r="I175" i="8"/>
  <c r="H175" i="8"/>
  <c r="H176" i="8"/>
  <c r="I177" i="8"/>
  <c r="H177" i="8"/>
  <c r="H178" i="8"/>
  <c r="I179" i="8"/>
  <c r="H179" i="8"/>
  <c r="I180" i="8"/>
  <c r="H180" i="8"/>
  <c r="I181" i="8"/>
  <c r="H181" i="8"/>
  <c r="I182" i="8"/>
  <c r="H182" i="8"/>
  <c r="I183" i="8"/>
  <c r="H183" i="8"/>
  <c r="I184" i="8"/>
  <c r="H184" i="8"/>
  <c r="I185" i="8"/>
  <c r="H185" i="8"/>
  <c r="I186" i="8"/>
  <c r="H186" i="8"/>
  <c r="H187" i="8"/>
  <c r="I188" i="8"/>
  <c r="H188" i="8"/>
  <c r="I189" i="8"/>
  <c r="H189" i="8"/>
  <c r="I190" i="8"/>
  <c r="H190" i="8"/>
  <c r="I191" i="8"/>
  <c r="H191" i="8"/>
  <c r="H193" i="8"/>
  <c r="I194" i="8"/>
  <c r="H194" i="8"/>
  <c r="H195" i="8"/>
  <c r="I196" i="8"/>
  <c r="H196" i="8"/>
  <c r="I197" i="8"/>
  <c r="H197" i="8"/>
  <c r="I198" i="8"/>
  <c r="H198" i="8"/>
  <c r="I199" i="8"/>
  <c r="H199" i="8"/>
  <c r="I200" i="8"/>
  <c r="H200" i="8"/>
  <c r="H201" i="8"/>
  <c r="I202" i="8"/>
  <c r="H202" i="8"/>
  <c r="I203" i="8"/>
  <c r="H203" i="8"/>
  <c r="I205" i="8"/>
  <c r="H205" i="8"/>
  <c r="H206" i="8"/>
  <c r="H207" i="8"/>
  <c r="I208" i="8"/>
  <c r="H208" i="8"/>
  <c r="I209" i="8"/>
  <c r="H209" i="8"/>
  <c r="I210" i="8"/>
  <c r="H210" i="8"/>
  <c r="I213" i="8"/>
  <c r="I211" i="8"/>
  <c r="H211" i="8"/>
  <c r="H212" i="8"/>
  <c r="H213" i="8"/>
  <c r="I214" i="8"/>
  <c r="H214" i="8"/>
  <c r="H215" i="8"/>
  <c r="I216" i="8"/>
  <c r="H216" i="8"/>
  <c r="I217" i="8"/>
  <c r="H217" i="8"/>
  <c r="I218" i="8"/>
  <c r="H218" i="8"/>
  <c r="I219" i="8"/>
  <c r="H219" i="8"/>
  <c r="H220" i="8"/>
  <c r="I221" i="8"/>
  <c r="H221" i="8"/>
  <c r="I222" i="8"/>
  <c r="H222" i="8"/>
  <c r="H223" i="8"/>
  <c r="H224" i="8"/>
  <c r="H2"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I50" i="7"/>
  <c r="H50"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52" i="7"/>
  <c r="H2" i="9"/>
  <c r="H3" i="9"/>
  <c r="H4" i="9"/>
  <c r="H5" i="9"/>
  <c r="H6" i="9"/>
  <c r="H7" i="9"/>
  <c r="H9" i="9"/>
  <c r="H10" i="9"/>
  <c r="H11" i="9"/>
  <c r="I12" i="9"/>
  <c r="H12" i="9"/>
  <c r="I13" i="9"/>
  <c r="H13" i="9"/>
  <c r="H14" i="9"/>
  <c r="I15" i="9"/>
  <c r="H15" i="9"/>
  <c r="I16" i="9"/>
  <c r="H16" i="9"/>
  <c r="H17" i="9"/>
  <c r="I18" i="9"/>
  <c r="H18" i="9"/>
  <c r="H19" i="9"/>
  <c r="I20" i="9"/>
  <c r="H20" i="9"/>
  <c r="I21" i="9"/>
  <c r="H21" i="9"/>
  <c r="H22" i="9"/>
  <c r="H23" i="9"/>
  <c r="H24" i="9"/>
  <c r="H25" i="9"/>
  <c r="H26" i="9"/>
  <c r="I27" i="9"/>
  <c r="H27" i="9"/>
  <c r="H28" i="9"/>
  <c r="H29" i="9"/>
  <c r="H30" i="9"/>
  <c r="I31" i="9"/>
  <c r="H31" i="9"/>
  <c r="H32" i="9"/>
  <c r="H33" i="9"/>
  <c r="H34" i="9"/>
  <c r="H35" i="9"/>
  <c r="H36" i="9"/>
  <c r="H37" i="9"/>
  <c r="H38" i="9"/>
  <c r="H39" i="9"/>
  <c r="I40" i="9"/>
  <c r="H40" i="9"/>
  <c r="H41" i="9"/>
  <c r="H42" i="9"/>
  <c r="H43" i="9"/>
  <c r="H44" i="9"/>
  <c r="H45" i="9"/>
  <c r="H46" i="9"/>
  <c r="H47" i="9"/>
  <c r="H48" i="9"/>
  <c r="H49" i="9"/>
  <c r="H50" i="9"/>
  <c r="H51" i="9"/>
  <c r="H53" i="9"/>
  <c r="H54" i="9"/>
  <c r="H55" i="9"/>
  <c r="H56" i="9"/>
  <c r="H57" i="9"/>
  <c r="H58" i="9"/>
  <c r="H59" i="9"/>
  <c r="H60" i="9"/>
  <c r="H61" i="9"/>
</calcChain>
</file>

<file path=xl/sharedStrings.xml><?xml version="1.0" encoding="utf-8"?>
<sst xmlns="http://schemas.openxmlformats.org/spreadsheetml/2006/main" count="82693" uniqueCount="8483">
  <si>
    <t>changed name of EA E. caballos to E. ferus  per wiki; corrected misspelling of Pachylemur insignis; Microtus bavaricus population discovered in 2000 so no longer historical extinction</t>
    <phoneticPr fontId="26" type="noConversion"/>
  </si>
  <si>
    <t xml:space="preserve">Bavarian pine vole </t>
  </si>
  <si>
    <t>CR</t>
    <phoneticPr fontId="9"/>
  </si>
  <si>
    <t>not sure of distribution; only 1 record</t>
    <phoneticPr fontId="9"/>
  </si>
  <si>
    <t>Tasmanian devil</t>
  </si>
  <si>
    <t>extirpated 3000 ybp</t>
    <phoneticPr fontId="9"/>
  </si>
  <si>
    <t>Tasmanian tiger or wolf; thylacine</t>
    <phoneticPr fontId="9"/>
  </si>
  <si>
    <t>Lake Mackay Hare-wallaby; Central Hare-wallaby or Kuluwarri</t>
    <phoneticPr fontId="9"/>
  </si>
  <si>
    <t>Eastern Hare-wallaby</t>
  </si>
  <si>
    <t>Toolache Wallaby</t>
  </si>
  <si>
    <t xml:space="preserve">Crescent Nail-tail Wallaby </t>
  </si>
  <si>
    <t>Desert Rat-kangaroo</t>
  </si>
  <si>
    <t>Broad-faced Potoroo</t>
  </si>
  <si>
    <t>Atalaye Nesophontes</t>
  </si>
  <si>
    <t>IUCN-extinction followed european contact</t>
    <phoneticPr fontId="9"/>
  </si>
  <si>
    <t>EX</t>
    <phoneticPr fontId="9"/>
  </si>
  <si>
    <t xml:space="preserve">Puerto Rican Nesophontes </t>
  </si>
  <si>
    <t>Slender Cuban Nesophontes</t>
  </si>
  <si>
    <t>greater Cuban nesophontes</t>
  </si>
  <si>
    <t xml:space="preserve">western Cuban nesophontes </t>
  </si>
  <si>
    <t>St. Michel nesophontes</t>
  </si>
  <si>
    <t>Lesser Cuban Nesophontes</t>
  </si>
  <si>
    <t>Haitian nesophontes</t>
  </si>
  <si>
    <t>Marcano's Solenodon</t>
  </si>
  <si>
    <t xml:space="preserve">Sardinian Pika </t>
  </si>
  <si>
    <t>Pig-footed Bandicoot</t>
  </si>
  <si>
    <t xml:space="preserve">Lesser Bilby </t>
  </si>
  <si>
    <t xml:space="preserve">Desert Bandicoot </t>
  </si>
  <si>
    <t>ferus</t>
    <phoneticPr fontId="9"/>
  </si>
  <si>
    <t>Tarpan or European Wild Horse</t>
  </si>
  <si>
    <t>changed name from caballos per wiki</t>
    <phoneticPr fontId="9"/>
  </si>
  <si>
    <t>once common in EA; now confined to Gir Forest National Park  in Gujarat, India.</t>
    <phoneticPr fontId="9"/>
  </si>
  <si>
    <t>turns out Panthera leo is still extant at one park in southern India; so not yet a historical extinction for EA (N~400 though, so soon).  FAS</t>
    <phoneticPr fontId="26" type="noConversion"/>
  </si>
  <si>
    <t>Large Palau Flying Fox</t>
  </si>
  <si>
    <t>wingspan of 60 cm</t>
    <phoneticPr fontId="9"/>
  </si>
  <si>
    <t xml:space="preserve">small Mauritian flying fox or dark flying fox </t>
  </si>
  <si>
    <t>vanished in 19th century</t>
    <phoneticPr fontId="9"/>
  </si>
  <si>
    <t>Guam flying fox</t>
  </si>
  <si>
    <t xml:space="preserve">Dusky Flying Fox </t>
  </si>
  <si>
    <t>Bonin Pipistrelle or Sturdee's Bonin Pipistrelle</t>
  </si>
  <si>
    <t>status of E. onager checked:  it is endangered in EA (FAS)</t>
    <phoneticPr fontId="26" type="noConversion"/>
  </si>
  <si>
    <t>Masses for additional species provided by Morgan Ernest (Walker's Mammals of the World), and Kate Jones (sources: Damuth, 1998 and Lovegrove 2001).</t>
  </si>
  <si>
    <t>The geographic locality from which these mass estimates are derived is unknown (refer to original source data). These species are indicated in the comments field by the notation</t>
  </si>
  <si>
    <t>fiddled with file; cleanned up; rename MOM version 3.5 by FAS</t>
    <phoneticPr fontId="26" type="noConversion"/>
  </si>
  <si>
    <t>cal last occurrence</t>
    <phoneticPr fontId="9"/>
  </si>
  <si>
    <t>extant</t>
    <phoneticPr fontId="9"/>
  </si>
  <si>
    <t>Bos taurus was listed as historical extinction in EA; extant today; also now a subspp? We need to W&amp;R these data -- FAS</t>
    <phoneticPr fontId="26" type="noConversion"/>
  </si>
  <si>
    <t>Eudorcas rufina now, not Gazella rufina - elevation of Eudorcas as a genus -FAS</t>
    <phoneticPr fontId="26" type="noConversion"/>
  </si>
  <si>
    <t>Thailand</t>
    <phoneticPr fontId="9"/>
  </si>
  <si>
    <t>(Jan. 20-Jan 28 2003) - IUCN status and threats added for NA , SA, AF, Madagascar, and AUS; not added for EA or New Guinea by SKL</t>
    <phoneticPr fontId="26" type="noConversion"/>
  </si>
  <si>
    <t>Masses added for many spp. Using references 74 and 75 by M. Ernest and SKL</t>
    <phoneticPr fontId="26" type="noConversion"/>
  </si>
  <si>
    <t>(Nov.-Dec. 2002) - data added for Madagascar, New Guinea, and Tasmania by SKL</t>
    <phoneticPr fontId="26" type="noConversion"/>
  </si>
  <si>
    <t>REMOVE? now considered an extinct subspecies of the plains zebra</t>
    <phoneticPr fontId="9"/>
  </si>
  <si>
    <t xml:space="preserve">Queen of Sheba's Gazelle or Yemen Gazelle </t>
    <phoneticPr fontId="9"/>
  </si>
  <si>
    <t>REMOVE? Now considered a subsp? hunting, habitat loss;</t>
    <phoneticPr fontId="9"/>
  </si>
  <si>
    <t>REMOVE? now considered a subspecies</t>
    <phoneticPr fontId="9"/>
  </si>
  <si>
    <t>insignis</t>
    <phoneticPr fontId="9"/>
  </si>
  <si>
    <t xml:space="preserve">8-10kg; survived until 1280-1420 </t>
    <phoneticPr fontId="9"/>
  </si>
  <si>
    <t>survived until 1280-1420</t>
  </si>
  <si>
    <t>35-70kg; 14C 1000 to 3000 ybp</t>
    <phoneticPr fontId="9"/>
  </si>
  <si>
    <t>14C 1000 to 3000 ybp</t>
  </si>
  <si>
    <t>75+kg; 14C 1000 to 3000 ybp</t>
    <phoneticPr fontId="9"/>
  </si>
  <si>
    <t>hurricane, house cats</t>
    <phoneticPr fontId="9"/>
  </si>
  <si>
    <t>habitat alteration; population apparently belonging to this species was discovered in 2000 in Northern Tyrol</t>
    <phoneticPr fontId="9"/>
  </si>
  <si>
    <t>status of E. Quagga changed to historical -FAS</t>
    <phoneticPr fontId="26" type="noConversion"/>
  </si>
  <si>
    <t>references for extinct mammals added -FAS</t>
    <phoneticPr fontId="26" type="noConversion"/>
  </si>
  <si>
    <t>Continents added for Carnivora - FAS</t>
    <phoneticPr fontId="26" type="noConversion"/>
  </si>
  <si>
    <t>additional masses from refs. 136-142 added by SKL and FAS.</t>
    <phoneticPr fontId="26" type="noConversion"/>
  </si>
  <si>
    <t>additional masses from MacDonald and Barrett 1993. Mammals of Britain and Europe, Harper and Collins, London added by FAS.</t>
    <phoneticPr fontId="26" type="noConversion"/>
  </si>
  <si>
    <t>masses for Madagascar and New Guinea integrated into MOM by SKL</t>
    <phoneticPr fontId="26" type="noConversion"/>
  </si>
  <si>
    <t>additional masses intregrated into MOM and MOM updated to MOM 3.2 by SKL</t>
    <phoneticPr fontId="26" type="noConversion"/>
  </si>
  <si>
    <t>(Feb 28-Mar. 10) - additional masses for islands and europe added by SKL and FAS.</t>
    <phoneticPr fontId="26" type="noConversion"/>
  </si>
  <si>
    <t>masses added from Stuart and Stuart, 1988 by SKL</t>
    <phoneticPr fontId="26" type="noConversion"/>
  </si>
  <si>
    <t>masses added from Dorst 1969 by SKL</t>
    <phoneticPr fontId="26" type="noConversion"/>
  </si>
  <si>
    <t>masses from Kingdon 1997 added by SKL (updates masses from older version used by Tamar).</t>
    <phoneticPr fontId="26" type="noConversion"/>
  </si>
  <si>
    <t>masses from mammalian spp. Accounts added by M. Ernest and SKL</t>
    <phoneticPr fontId="26" type="noConversion"/>
  </si>
  <si>
    <t>redid logs (redid equations).  Changed extinct/historical for madagascar to extinct; removed a generic mean for a glaucus; added complete citations for references by FAS and SKL</t>
    <phoneticPr fontId="26" type="noConversion"/>
  </si>
  <si>
    <t>Kate Jone's bat data integrated into file. -- FAS</t>
    <phoneticPr fontId="26" type="noConversion"/>
  </si>
  <si>
    <t>added EA IUCN redlist info (EA and Islands) by SKL.</t>
    <phoneticPr fontId="26" type="noConversion"/>
  </si>
  <si>
    <t>merge of extinct &amp; extant files from June05 2002. (MOMv3.0) FAS</t>
    <phoneticPr fontId="26" type="noConversion"/>
  </si>
  <si>
    <t>data added by KJ &amp; ME line checked by ME</t>
    <phoneticPr fontId="26" type="noConversion"/>
  </si>
  <si>
    <t>was Gazella rufina</t>
    <phoneticPr fontId="9"/>
  </si>
  <si>
    <t>FAS cleanned up metadata, and added in more last occurrence dates; indicated known nomenclature changes with red ink</t>
    <phoneticPr fontId="26" type="noConversion"/>
  </si>
  <si>
    <t>Panay Giant Fruit Bat</t>
    <phoneticPr fontId="9"/>
  </si>
  <si>
    <t>Chapman's Bare-backed Fruit Bat</t>
  </si>
  <si>
    <t>Nendo or Santa Cruz Tube-nosed Fruit Bat</t>
  </si>
  <si>
    <t>wingspan of 40cm</t>
    <phoneticPr fontId="9"/>
  </si>
  <si>
    <t xml:space="preserve">Arabian gazelle </t>
  </si>
  <si>
    <t>Eudorcas</t>
    <phoneticPr fontId="9"/>
  </si>
  <si>
    <t xml:space="preserve">red gazelle </t>
  </si>
  <si>
    <t>bluebuck</t>
    <phoneticPr fontId="9"/>
  </si>
  <si>
    <t>Schomburgk's Deer</t>
  </si>
  <si>
    <t>Malagasy pygmy hippopotamus</t>
    <phoneticPr fontId="9"/>
  </si>
  <si>
    <t xml:space="preserve">Falkland Islands Wolf </t>
  </si>
  <si>
    <t>lion</t>
    <phoneticPr fontId="9"/>
  </si>
  <si>
    <t>Caribbean Monk Seal or West Indian Monk Seal</t>
  </si>
  <si>
    <t xml:space="preserve">Barbados raccoon </t>
  </si>
  <si>
    <t xml:space="preserve">New Zealand Greater Short-tailed Bat </t>
  </si>
  <si>
    <t>found inconsitenties in extinct references…line checked for accuracy against original data sheet….corrections made as necessary. --FAS</t>
    <phoneticPr fontId="26" type="noConversion"/>
  </si>
  <si>
    <t>removed repeat of Hemigalus derbyanus in EA, corrected repeat of Hemigalus derbyanus for Indonesia (changed one to Singapore) - SKL</t>
    <phoneticPr fontId="26" type="noConversion"/>
  </si>
  <si>
    <t>newest batch of mammalian species accounts added by SKL - added refs:  233-242</t>
    <phoneticPr fontId="26" type="noConversion"/>
  </si>
  <si>
    <t>corrected several arabian species left out of the eurasian list and placed in africa - skl</t>
    <phoneticPr fontId="26" type="noConversion"/>
  </si>
  <si>
    <t>entered about 8 new spp found by Amy Monier and references 226-232 by FAS</t>
    <phoneticPr fontId="26" type="noConversion"/>
  </si>
  <si>
    <t>fixed geographic (I.e., continental distributions) of some species by SKL</t>
    <phoneticPr fontId="26" type="noConversion"/>
  </si>
  <si>
    <t>fixed Spermophilus pygmaeus, was listed as NA, now listed as EA by SKL</t>
    <phoneticPr fontId="26" type="noConversion"/>
  </si>
  <si>
    <t>corrected some typos in family names -- SKL &amp; FAS</t>
    <phoneticPr fontId="26" type="noConversion"/>
  </si>
  <si>
    <t>added in 4 masses sent by Jake Goheen from the Nairobi Museum by SKL</t>
    <phoneticPr fontId="26" type="noConversion"/>
  </si>
  <si>
    <t>added 295 species using CRC (CRC was never checked for Eurasia) by SKL</t>
    <phoneticPr fontId="26" type="noConversion"/>
  </si>
  <si>
    <t>updated MOM using new batch of mammalian species accounts.  Added references 219-221 by SKL.</t>
    <phoneticPr fontId="26" type="noConversion"/>
  </si>
  <si>
    <t>added some Cryptotis body sizes given by Neal Woodman, by SKL</t>
    <phoneticPr fontId="26" type="noConversion"/>
  </si>
  <si>
    <t>added refs 253-257 - SKL</t>
    <phoneticPr fontId="26" type="noConversion"/>
  </si>
  <si>
    <t>added body masses for African mammals sent by Jake Goheen - SKL</t>
    <phoneticPr fontId="26" type="noConversion"/>
  </si>
  <si>
    <t>fixed typo in a bat name - skl</t>
    <phoneticPr fontId="26" type="noConversion"/>
  </si>
  <si>
    <t>added references 245- 252 for bat masses - SKL</t>
    <phoneticPr fontId="26" type="noConversion"/>
  </si>
  <si>
    <t>noticed some duplicates of historical extinctions (labeled extant) - removed.  Appear to have lost refs to historical and extinct mammals.</t>
    <phoneticPr fontId="26" type="noConversion"/>
  </si>
  <si>
    <t>African references added from Tamar's dataset -FAS</t>
    <phoneticPr fontId="26" type="noConversion"/>
  </si>
  <si>
    <t>South American references added by comparing Pablo's datasest to Dawn's CRC….every line was checked for errors as well (SKL, ME)</t>
    <phoneticPr fontId="26" type="noConversion"/>
  </si>
  <si>
    <t>North America references added by comparing Brown and Nicoletto, 1991 to Dawn's CRC…..masses checked for errors (SKL, ME?)</t>
    <phoneticPr fontId="26" type="noConversion"/>
  </si>
  <si>
    <t>Continents added for 341 spp; Continents looked up by M.Ernest (except carnivora)</t>
    <phoneticPr fontId="26" type="noConversion"/>
  </si>
  <si>
    <t>FAS renamed file "MOM v 4.0" to reflect changes; put refs in own sheet, eliminated extinct sheet (outdated), added columns for last occurrences and began filing those in for extinct species</t>
    <phoneticPr fontId="26" type="noConversion"/>
  </si>
  <si>
    <t xml:space="preserve"> SKL added body size for Moschus fuscus, Ochotona curzoniae, Ochotona cansus, Sciurus lis from Pantheria</t>
    <phoneticPr fontId="26" type="noConversion"/>
  </si>
  <si>
    <t>added several species to Eurasian list that were listed only in africa, but also occur in the middle east - SKL</t>
    <phoneticPr fontId="26" type="noConversion"/>
  </si>
  <si>
    <t>added reference 258 - SKL</t>
    <phoneticPr fontId="26" type="noConversion"/>
  </si>
  <si>
    <t>14C-last occurrence</t>
  </si>
  <si>
    <t>14C error</t>
  </si>
  <si>
    <t xml:space="preserve">MOM-Mammals Version 4.0 (current as of June 2010) </t>
    <phoneticPr fontId="9"/>
  </si>
  <si>
    <r>
      <t>283.  Wang, J-M, Zhang, Y-M, Wang, D-H. 2006. Seasonal thermogenesis and body mass regulation in plateau pikas (</t>
    </r>
    <r>
      <rPr>
        <i/>
        <sz val="10"/>
        <color indexed="8"/>
        <rFont val="Arial"/>
      </rPr>
      <t>Ochotona curzoniae).</t>
    </r>
    <phoneticPr fontId="9"/>
  </si>
  <si>
    <t>Pantheria</t>
    <phoneticPr fontId="9"/>
  </si>
  <si>
    <t>Pantehria</t>
    <phoneticPr fontId="9"/>
  </si>
  <si>
    <t>Nepal, W Malaysia, sumatra, java, borneo, philippines, sulawesi, new guinea, new britain isl (Bismarck arch), perhaps Banka isl (Indonesia)</t>
  </si>
  <si>
    <t>sierra leone to kenya, bioko</t>
  </si>
  <si>
    <t>SE USA from virginia to missouri, south to E Texas and Florida</t>
  </si>
  <si>
    <t>pakistan to taiwan, south to sri lanka and w malaysia, southeast to philippines and aru islands</t>
  </si>
  <si>
    <t>noctivagans</t>
  </si>
  <si>
    <t>169.  Nechay, Gabor.  2000.  Status of Hamsters: Cricetus cricetus, Cricetus migratorius, Mesocricetus Newtoni and other hamster species in Europe_x0000_ _x0000__x0000__x0000_Nature and Environment Series, No. 106 pp. 1-73.</t>
  </si>
  <si>
    <t xml:space="preserve">added references for data added by KJ and ME </t>
    <phoneticPr fontId="26" type="noConversion"/>
  </si>
  <si>
    <t>added information from newest set of Mammalian species accounts Refs 270-280. SKL</t>
    <phoneticPr fontId="26" type="noConversion"/>
  </si>
  <si>
    <t>added information from newest set of Mammalian species accounts. Refs 264-269 - SKL</t>
    <phoneticPr fontId="26" type="noConversion"/>
  </si>
  <si>
    <t>rename file MOM3.3 -FAS</t>
    <phoneticPr fontId="26" type="noConversion"/>
  </si>
  <si>
    <t>checked MOM 3.3 against Dawn's data.  Found 25 mistakes….added some references. By SKL</t>
    <phoneticPr fontId="26" type="noConversion"/>
  </si>
  <si>
    <t>added some extinct Eurasian species and some eurasian body mass from Brook&amp;Bowman2004 by SKL</t>
    <phoneticPr fontId="26" type="noConversion"/>
  </si>
  <si>
    <t>added some data and references using UCSBs library by SKL</t>
    <phoneticPr fontId="26" type="noConversion"/>
  </si>
  <si>
    <t>179.  PASCALE CHEVRET, PAULINA JENKINS  and FRANÇOIS CATZEFLIS.  2003.  Evolutionary systematics of the Indian mouse  Mus  famulus  Bonhote, 1898: molecular (DNA/DNA  hybridization and 12S rRNA sequences) and  morphological evidence  Zoological Journal of the Linnean Society , 2003,  137 , 385–401.</t>
  </si>
  <si>
    <t>197.  Panteleev, P. A.  2002.  Justified predictions about new (different) species comfirm the theory.  Russian Journal of Ecology 34:141-143.</t>
  </si>
  <si>
    <t>134, 197</t>
  </si>
  <si>
    <t>average of specimen #7310, 7313</t>
  </si>
  <si>
    <t>Mainland Australia</t>
  </si>
  <si>
    <t>balstoni</t>
  </si>
  <si>
    <t>average of specimen #6899, 6900, 6901, 6902, 6903</t>
  </si>
  <si>
    <t>specimen #6982</t>
  </si>
  <si>
    <t>Mediterranean zone of Europe and NW Africa, Crimea and Caucasus Mtns, Asia Minor, Israel to Kirgizia, Afrghanistan and Himalayas, NW Altai Mtns, Inner Mongolia and Shensi (China)</t>
  </si>
  <si>
    <t>blythii</t>
  </si>
  <si>
    <t>senegal to sudan and kenya to mozambique</t>
  </si>
  <si>
    <t>W peru</t>
  </si>
  <si>
    <t>Tomopeas</t>
  </si>
  <si>
    <t>ravus</t>
  </si>
  <si>
    <t>india and s china to philippines and lesser sunda isl, andaman isls (india)</t>
  </si>
  <si>
    <t>Tylonycteris</t>
  </si>
  <si>
    <t>pachypus</t>
  </si>
  <si>
    <t>robustula</t>
  </si>
  <si>
    <t>Florida Panhandle to Kentucky, Indianan, Illinois, E Kansas and NE Oklahoma (USA)</t>
  </si>
  <si>
    <t>grisescens</t>
  </si>
  <si>
    <t>Australia (except NE) including tasmania</t>
  </si>
  <si>
    <t>198.  Dippenaar, M.J.  1995.  Geographic variation in Myosorex longicaudatus (soricidae) in the Southern Cape Province, South Africa.  Journal of Mammalogy 76:1071-1087.</t>
  </si>
  <si>
    <t>moved Anoura latidens,  Choeroniscus periosus from AF to SA - SKL</t>
    <phoneticPr fontId="26" type="noConversion"/>
  </si>
  <si>
    <t>changed body masses for Bornean mammals using 257 - that is gave insular rows specific borneo specific masses If their mass was the same as a mainland- SKL</t>
    <phoneticPr fontId="26" type="noConversion"/>
  </si>
  <si>
    <t>bat masses from CRC (ref #60) are always wildly wrong - they should all be replaced.</t>
    <phoneticPr fontId="26" type="noConversion"/>
  </si>
  <si>
    <t>Added 2 new references 243-244 - SKL</t>
    <phoneticPr fontId="26" type="noConversion"/>
  </si>
  <si>
    <t>Acomys russatus listed as NA.  Moved it to EA.  Checked with MSW online - SKL</t>
    <phoneticPr fontId="26" type="noConversion"/>
  </si>
  <si>
    <r>
      <t xml:space="preserve">180.  Ochocinska, D. and Taylor, J. R. E.  2003.  Bergmann's rule in shrews:  geographical variation of body size in Palearctic </t>
    </r>
    <r>
      <rPr>
        <i/>
        <sz val="10"/>
        <color indexed="8"/>
        <rFont val="Arial"/>
      </rPr>
      <t>Sorex</t>
    </r>
    <r>
      <rPr>
        <sz val="10"/>
        <color indexed="8"/>
        <rFont val="Arial"/>
      </rPr>
      <t xml:space="preserve"> species.  Biological Journal of the Linnean Society.  78.  365-381.</t>
    </r>
  </si>
  <si>
    <t>11, 48</t>
  </si>
  <si>
    <t>http://animaldiversity.ummz.umich.edu/site/accounts/information/Moschus_fuscus.html</t>
  </si>
  <si>
    <t>Canary Isls (Spain)</t>
  </si>
  <si>
    <t>teneriffae</t>
  </si>
  <si>
    <t>http://www.ultimateungulate.com/Artiodactyla/Cervus_schomburgki.html</t>
  </si>
  <si>
    <t xml:space="preserve">164. Davies, Glyn, Matt Heydon, Nigel Leader-Williams, John MacKinnon, and Helen Newing.  2001.  The effects of logging on forest ungulates.  Ch. 5 (www.earthscape.org/r3/ES14447/fimb_ch5.pdf ) pg. 93-124 in:  The Cutting Edge:  Conserving Wildlife in Logged Tropical Forests (Robert A. Fimbel, John G. Robinson, Alejandro eds. Grajal, eds.).  Columbia university press.  </t>
  </si>
  <si>
    <t>SW arabia, egypt to somalia, mozambique, botswanna, south africa and Namibia, mauritania and ghana to sudan and tanzania</t>
  </si>
  <si>
    <t>Mindoro, Luzon, Mindanao and negros (Philippines); Kei Isls, sulawesi and Timor (Indonesia); Borneo' new Guinea; NE Queensland (Australia)</t>
  </si>
  <si>
    <t>cuprosus</t>
  </si>
  <si>
    <t>endoi</t>
  </si>
  <si>
    <t>cameroon, zaire, gabon</t>
  </si>
  <si>
    <t>joffrei</t>
  </si>
  <si>
    <t>kitcheneri</t>
  </si>
  <si>
    <t>Penisular burma</t>
  </si>
  <si>
    <t>Neal Woodman, pers. Com.</t>
  </si>
  <si>
    <t>66, 222</t>
  </si>
  <si>
    <t>Walkers online</t>
  </si>
  <si>
    <t>Angola, S  Zaire, Zambia</t>
  </si>
  <si>
    <t>egypt, N sudan</t>
  </si>
  <si>
    <t>ariel</t>
  </si>
  <si>
    <t>Iberia, morocco and the canary (Spain) and Cape verde Isls through the Caucasus and Mongolia to korea, NE China and Japan, southeastward through iran and afghanistan to N india and burma</t>
  </si>
  <si>
    <t>NE India, Burma, Thailand</t>
  </si>
  <si>
    <t>cadornae</t>
  </si>
  <si>
    <t>Jalisco to Veracruz (Mexico), Alaska Panhandle (USA) to Baja California (Mexico), east to N Nuevo Leon (Mexico), South Dakota (USA) and C Alerta (Canada)</t>
  </si>
  <si>
    <t>Sri lanka and India to Kwangtung and Hainan (China), Vietnam, south to W Malaysia, borneo, philippines, lesser sunda isls</t>
  </si>
  <si>
    <t>Europe to Caucasus and Iran, England, S Sweden</t>
  </si>
  <si>
    <t>bechsteini</t>
  </si>
  <si>
    <t xml:space="preserve">106. Stuart, C. and Stuart, T. 1988. Field guide to the mammals of Southern Africa. London:  New Holland Publishers. </t>
  </si>
  <si>
    <t>107. Dorst, J. 1969. A field guide to the larger mammals of Africa. Boston:  Houghton Mifflin Company.</t>
  </si>
  <si>
    <t>203.  Edmison, N.  Melogale everetti (Everett's ferret-badger).  [29 July 2004; online]  Available at:  http://animaldiversity.ummz.umich.edu/site/accounts/information/Melogale_everetti.html.</t>
  </si>
  <si>
    <t>206.  Pearch, M. J., Bates, P. J. J., Magin, C. 2001.   A review of the small mammal fauna of Djibouti and the results of a recent survey.  Mammalia 65:  387-409</t>
  </si>
  <si>
    <t>60, 128, 217</t>
  </si>
  <si>
    <t>average of specimen # 8075, unknown, &amp; #7778</t>
  </si>
  <si>
    <t>Northern territory and N western australia</t>
  </si>
  <si>
    <t>walkeri</t>
  </si>
  <si>
    <t>N Australia</t>
  </si>
  <si>
    <t>S and C Japan, S Ussuri region (Russia and China), Korea, China, through SE Asia to Lesser Sunda Isls and the Philippines, perhaps australia</t>
  </si>
  <si>
    <t>Afghanistan, pakistan, n india, nepal, bhutan, burma, sw china</t>
  </si>
  <si>
    <t>babu</t>
  </si>
  <si>
    <t>heathi</t>
  </si>
  <si>
    <t>http://www.ultimateungulate.com/Artiodactyla/Dama_mesopotamica.html</t>
  </si>
  <si>
    <t>50-69g</t>
  </si>
  <si>
    <t>105-148mm</t>
  </si>
  <si>
    <t>90mm; regression</t>
  </si>
  <si>
    <t xml:space="preserve">115. Prater, S.H. 1971. The book of Indian animals. Bombay Natural History Society. Oxford:  Oxford University Press. </t>
  </si>
  <si>
    <t>Tamaulipas (Mexico) to Ecuador, bolivia and NE brazil, trinidad and tobago</t>
  </si>
  <si>
    <t>Colombia, Venezuela (including Margarita Isl)</t>
  </si>
  <si>
    <t>Oaxaca to Zacatecas (Mexico)</t>
  </si>
  <si>
    <t>Pacific lowlands of S Chiapas (Mexico)</t>
  </si>
  <si>
    <t>genowaysi</t>
  </si>
  <si>
    <t>England, spain and senegal to mongolia and W china, Canary (spain) and Cape Verde isls</t>
  </si>
  <si>
    <t>Plecotus</t>
  </si>
  <si>
    <t>austriacus</t>
  </si>
  <si>
    <t>Sonora and Coahuila to Yucatan (Mexico), Cozumel Isl (Mexico)</t>
  </si>
  <si>
    <t>rafinesquii</t>
  </si>
  <si>
    <t>Ussuri region and N Korea to Lake Baikal (Russia), the Altai Mtns and Mongolia, NE China, Sakhalin isl (Russia) and Hokkaido Isl (Japan)</t>
  </si>
  <si>
    <t>ikonnikovi</t>
  </si>
  <si>
    <t>Samoa</t>
  </si>
  <si>
    <t>insularum</t>
  </si>
  <si>
    <t>85. Van Rompaey, H. and Colyn, M. 1992. Crossarchus ansorgei. Mammalian Species, 402:1-3</t>
  </si>
  <si>
    <t>86. Best, T.L., Bartig, J.L., and Burt, S.L. 1992. Tamias canipes. Mammalian Species, 411:1-5.</t>
  </si>
  <si>
    <t>87. Heath, M.E. 1992. Manis pentadactyla. Mammalian Species, 414:1-6.</t>
  </si>
  <si>
    <t>regression; males: head-body 515 (470-550); tail 385 (345-460); hindfoot 128.1 (121-133); ear 49.9 (44.8-57); females: head-body 366.7 (334-416); tail 327.3 (246-380); hindfoot 106.3 (103-110); ear 34.3 (32.2-37.3)</t>
  </si>
  <si>
    <t>www.earthscape.org/r3/robinson/robinson23.pdf</t>
  </si>
  <si>
    <t>205.  Cockrum, E. L.  1977.  Status of the hairy footed gerbil, Gerbillus latastei Thomas and Trouessart.  Mammalia 41:  75-80.</t>
  </si>
  <si>
    <t>110-155 mm</t>
  </si>
  <si>
    <t>60, walkers online</t>
  </si>
  <si>
    <t>http://members.vienna.at/shrew/itsesAP95-talpinae.html#scaptonyx</t>
  </si>
  <si>
    <t>http://members.vienna.at/shrew/itsesAP95-soriculus.html#macrurus</t>
  </si>
  <si>
    <t>Madeira isl (Portugal), Canary isls (Spain)</t>
  </si>
  <si>
    <t>maderensis</t>
  </si>
  <si>
    <t>sulawesi</t>
  </si>
  <si>
    <t>java, records from india and sri lanka are in error</t>
  </si>
  <si>
    <t>11, 39, 44</t>
  </si>
  <si>
    <t>1, 32</t>
  </si>
  <si>
    <t>23, 32, 58</t>
  </si>
  <si>
    <t>stenopterus</t>
  </si>
  <si>
    <t>Southern australia except south australia, tasmania (australia)</t>
  </si>
  <si>
    <t>26, 32, 33</t>
  </si>
  <si>
    <t>97. Adam, M.D. and Hayes, J.P. 1998. Arborimus pomo. Mammalian Species, 593:1-5.</t>
  </si>
  <si>
    <t>242.  Woodman, N.  And Díaz de Pascual, A.  2004.  Cryptotis meridensis.  Mammalian Species No. 761, pp. 1-5.  The American Society of Mammalogists.</t>
  </si>
  <si>
    <t>214.  Dobigny, G., Gradjon, L. Aniskin, V. Ba, K. and Volobouev, V.  2003.  A new sibling species of Taterillus (Muridae, Gerbillinae) from West Africa.  Mammalian Biology 68:299-316.</t>
  </si>
  <si>
    <t>150, 155</t>
  </si>
  <si>
    <t xml:space="preserve">156, 157 </t>
  </si>
  <si>
    <t>157, 158</t>
  </si>
  <si>
    <t>NW, S and E india, pakistan, perhaps Taiwan</t>
  </si>
  <si>
    <t>dormeri</t>
  </si>
  <si>
    <t>smithsonian book of NA mammals</t>
  </si>
  <si>
    <t>Smithsonian book of NA mammals</t>
  </si>
  <si>
    <t>regression; males: head-body 183 (154-226); tail: 173 (154-191); hindfoot: 34.3 (30-41); females: head-body: 168 (152-195); tail: 161 (152-170); hindfoot: 32.1 (31-33)</t>
  </si>
  <si>
    <t>67. Honacki, J.H., Kinman, K.E., and Koeppl, J.W.  1982.  Mammal species of the world:  a taxonomic and geographic reference. Lawrence:  Allen Press.</t>
  </si>
  <si>
    <t>68. Ernest, S.K.M.  Life history characteristics of placental nonvolant mammals.   Ecological Archives, in press.</t>
  </si>
  <si>
    <t xml:space="preserve">108. Kingdon, J. 1984. East African mammals. Volume IIA. Insectivores and Bats.  Chicago: University of Chicago Press. </t>
  </si>
  <si>
    <t>109. Kingdon, J. 1984. East African mammals. Volume IIB. Hares and Rodents. Chicago: University of Chicago Press.</t>
  </si>
  <si>
    <t>110. Flannery, T. 1995. Mammals of the Southwest Pacific and Moluccan Islands. New York:  Cornell University Press.</t>
  </si>
  <si>
    <t xml:space="preserve">111. Van Den Brink, F.H. 1968. A field guide to the mammals of Britain and Europe. Boston: Houghton Mifflin Company Boston. </t>
  </si>
  <si>
    <t>Thailand to New Guniea, Bismarck arch, solomon isls, vanuatu (New Hebrides) and N australia, cocos keeling isl and christmas isl (indian ocean)</t>
  </si>
  <si>
    <t>S Michoacan (Mexico)</t>
  </si>
  <si>
    <t>mira</t>
  </si>
  <si>
    <t>Tamaulipas (mexico) to N argentina and Venezuela, Trinidad</t>
  </si>
  <si>
    <t>114. Krystufek, Boris. 1991. Sesalci Slovenije. Slovenije:  Prirodoslovni muzej Slovenije.</t>
  </si>
  <si>
    <t xml:space="preserve">76. Jones, J. Knox Jr., and Baldassarre, G.A. 1982. Reithrodontyomys brevirostris and Reithrodontomys paradoxus. Mammalian Species, 192:1-3. </t>
  </si>
  <si>
    <t>116. Kingdon, J. 1982. Ostafrikanische Säugetiere. Frankfurt:  Senckenbergische Naturforschende Gesellschaft.</t>
  </si>
  <si>
    <t>117. Roberts, T.J. 1977. The mammals of Pakistan. London:  Ernest Benn Limited</t>
  </si>
  <si>
    <t>118. Payne, J., Frances, C.M., and Phillipps, K. 1985. A field guide to the mammals of Borneo. Kuala Lumpur:  The Sabah Society with World Wildlife Fund Malaysia.</t>
  </si>
  <si>
    <t>119. Harrison, J. 1966. An introduction to the mammals of Singapore and Malaya. Malayan Nature Society. Singapore: Tien Wah Press.</t>
  </si>
  <si>
    <t>180-250mm; http://members.tripod.com/~Ashey2/info.html</t>
  </si>
  <si>
    <t>100, 173</t>
  </si>
  <si>
    <t>111, 173</t>
  </si>
  <si>
    <t>regression</t>
  </si>
  <si>
    <t>194-250mm; walkers</t>
  </si>
  <si>
    <t>walkers, 60</t>
  </si>
  <si>
    <t>140mm</t>
  </si>
  <si>
    <t>66 mm; regression</t>
  </si>
  <si>
    <t>53. Giacchino, A. And Gurovich, Y. 2002.  Mamiferos gigantescos habitaron la region.   (January 2002; Http://Www.Miramar-Digital.Com/Egatur/Museo/Mamgig.Html).</t>
  </si>
  <si>
    <t>88. Jefferson, T.A. and Newcomer, M.W. 1993. Lissodelphis borealis. Mammalian Species, 425:1-6</t>
  </si>
  <si>
    <t>89. Best, R.C. and da Silva, V.M.F. 1993. Inia geoffrensis. Mammalian Species, 426:1-8</t>
  </si>
  <si>
    <t>90. Burt, S.L. and Best. T.L. 1994. Tamias rufus. Mammalian Species, 460:1-6.</t>
  </si>
  <si>
    <t xml:space="preserve">91. Kingswood, S.C. and Blank, D.A. 1996. Gazella subgutturosa. Mammalian Species, 518:1-10. </t>
  </si>
  <si>
    <t>92. Custodio, C.C., Lepiten, M.V. and Heaney, L.R. 1996. Bubalus mindorensis. Mammalian Species, 520:1-5</t>
  </si>
  <si>
    <t>82 mm; regression</t>
  </si>
  <si>
    <t>61-69mm; regression</t>
  </si>
  <si>
    <t>http://members.vienna.at/shrew/itsesAP95-soriculus.html#caudatus</t>
  </si>
  <si>
    <t>25, 58</t>
  </si>
  <si>
    <t>specimens from Indonesia</t>
  </si>
  <si>
    <t>the desert zone from morocco and niger through egypt and arabia to Tadzhikistan, afghanistan and kashmir</t>
  </si>
  <si>
    <t>Otonycteris</t>
  </si>
  <si>
    <t>hemprichi</t>
  </si>
  <si>
    <t>95. Sokolov, V.E. and Lushchekina, A.A. 1997. Procrapa gutterosa. Mammalian Species, 571:1-5</t>
  </si>
  <si>
    <t>96. Lariviere, S. 1998. Lontra felina. Mammalian Species, 575:1-5</t>
  </si>
  <si>
    <t>98. Alvarez-Castaneda, S.T. and Yensen, E. 1999. Neotoma bryanti. Mammalian Species, 619:1-3</t>
  </si>
  <si>
    <t>99. Norris, C.A. 1999. Phalanger lullulae. Mammalian Species, 620:1-4</t>
  </si>
  <si>
    <t>100. Mead, J.I. and Nadachowski, A. 1999. Alticola stoliczkanus. Mammalian Species, 624:1-4.</t>
  </si>
  <si>
    <t>101. Storz, J.F. and Wozencraft. W.C. 1999. Melogale moschata. Mammalian Species, 631:1-4</t>
  </si>
  <si>
    <t>102. Cortes-Calva, P., Alvarez-Castaneda, S.T., and Yensen, E. 2001. Neotoma anthonyi. Mammalian Species, 663:1-3</t>
  </si>
  <si>
    <t>103. McCay, T. S. 2001. Blarina carolinensis. Mammalian Species, 673:1-7.</t>
  </si>
  <si>
    <t>104. Fedosenko, A.K. and Blank, D.A. 2001. Capra sibirica. Mammalian Species, 675:1-13</t>
  </si>
  <si>
    <t>105. Belcher, R.L. and Lee, T, Jr. 2002. Arctocephalus townsendi. Mammalian Species, 700:1-5.</t>
  </si>
  <si>
    <t>44. Prado, J.L. and Alberdi, M.A. 1994. A quantitative review of the horse Equus from South America. Palaeontology, 37: 459-481.</t>
  </si>
  <si>
    <t>69. Damuth, J.  1987.  Interspecific allometry of population density in mammals and other animals:  the independence of body mass and population energy use.  Biological Journal of the Linnean Society, 31:193-246.</t>
  </si>
  <si>
    <t>70. Kingdon, J. 1997.  The Kingdon field guide to African Mammals. San Diego:  Academic Press.</t>
  </si>
  <si>
    <t xml:space="preserve">71. Van den Bergh, M.B. and M. Kappelle. Unpublished manuscript. Diversity and distribution of small terrestrial rodents along a disturbance gradient and montane Costa Rica. (March 2003: http://rbt.ots.ac.cr/revistas/46-2/bergh.htm) </t>
  </si>
  <si>
    <t>112. Stuart, A. J. 1999.  In Extinctions in near time: causes, contexts, and consequences (R.D.E. MacPhee, ed.), pp. 257-270. New York: Kluwer Academic/Plenum Press.</t>
  </si>
  <si>
    <t>113. Lynch, C.D. 1994. The mammals of Lesotho. Navorsinge: Van Die Nasionale Museum Bloemfontein. (Journal of the National Museum, Bloemfontein) 10:1- 241.</t>
  </si>
  <si>
    <t>74. Harvey, P.H. and Cluttonbrock, T.H. 1985. Life-history variation in primates.  Evolution, 39:559-581</t>
  </si>
  <si>
    <t xml:space="preserve">77. Jones, J. Knox Jr. 1982. Reithrodontomys spectabilis. Mammalian Species, 192:1. </t>
  </si>
  <si>
    <t>78. Palmeirim, J.M. and Hoffmann, R.S. 1983. Galemys pyrenaicus. Mammalian Species, 207:1-5.</t>
  </si>
  <si>
    <t xml:space="preserve">79. Nagorsen, D. 1985. Kogia simus. Mammalian Species, 239:1-6. </t>
  </si>
  <si>
    <t>80. Wang, X. and Hofmann, R.S. 1987. Pseudois nayaur and Pseudois schaeferi. Mammalian Specie,s 278:1-6.</t>
  </si>
  <si>
    <t xml:space="preserve">81. Jones, J. Knox. Jr. 1990. Peromyscus stirtoni. Mammalian Species, 361:1-2. </t>
  </si>
  <si>
    <t>82. Youngman, P.M. 1990. Mustela lutreola. Mammalian Species, 362:1-3.</t>
  </si>
  <si>
    <t>83. Baumgardner, G.D. 1991. Dipodomys compactus. Mammalian Species, 369:1-4.</t>
  </si>
  <si>
    <t>84. Best, T.L. and Thomas, H.H. 1991. Dipodomys insularis. Mammalian Species, 374:1-3.</t>
  </si>
  <si>
    <t>52. Farina, R.A. and Vizcaino, S.F. 1997. Allometry of the bones of living and extinct armadillos (Xenarthra, Dasypoda). Z. Saugetierkunde, 62: 65-70.</t>
  </si>
  <si>
    <t>33. Van Valkenburgh, B. 1991. Iterative evolution of hypercarnivory in canids (Mammalia: Carnivora): evolutionary interactions among sympatric predators. Paleobiology, 17: 340-362.</t>
  </si>
  <si>
    <t>54. Guerin, C. and Faure, M. 2000. The real nature of Megatherium laurillardi LUND, 1842 (Mammalia, Xenarthra): a dwarf amongst giants. Geobios, 33: 475-488.</t>
  </si>
  <si>
    <t>55. Bargo, M.S., Vizcaino, S.F., Archuby, F.M., and Blanco, R.E. 2000. Limb bone proportions, strength and digging in some Lujanian (Late Pleistocene-Early Holocene) mylodontid ground sloths (Mammalia, Xenarthra). Journal of Vertebrate Paleontology, 20: 601-610.</t>
  </si>
  <si>
    <t>56. Nowak, R.M. 1999. Walker’s Mammals of the World. Volume 1 and 2. Baltimore: John Hopkins University Press.</t>
  </si>
  <si>
    <t>57. Eisenberg, J.F. 1989. Mammals of the Neotropics. Volume 1. Chicago:  University of Chicago Press.</t>
  </si>
  <si>
    <t>93. Newcomer, M.W., Jefferson, T.A., and Brownell, R.L. Jr. 1996. Lissodephis peronii. Mammalian Species, 531:1-5</t>
  </si>
  <si>
    <t>94. Garcia-Perea, R. Ventura, J., Lopez-Fuster, J. and Gisbert, J. 1997. Soxes granarius. Mammalian Species, 554:1-4.</t>
  </si>
  <si>
    <t xml:space="preserve">62. Wilson, D.E., and Reeder, D.M.  1993. Mammal species of the world:  a taxonomic and geographic reference, 2nd Edition.  Washington, D.C.:  Smithsonian Institution Press.  </t>
  </si>
  <si>
    <t>63. Kingdon, J.  1982.  East African mammals:  an atlas of evolution in Africa, Volumes 1-3.  Chicago:  University of Chicago Press.</t>
  </si>
  <si>
    <t>64. Yom Tov, pers. comm.</t>
  </si>
  <si>
    <t>65. Haltenorth, T. and Diller, H.  1980.  A field guide to the mammals of Africa including Madagascar.  London:  Collins.</t>
  </si>
  <si>
    <t>66. Brown, J.H., and Nicoletto, P.F.  1991.  Spatial scaling of species assemblages:  body masses of North American land mammals.  American Naturalist, 138:1478-1512.</t>
  </si>
  <si>
    <t>43. Farina, R.A., Vizcaino, S.F., Bargo, M.S.  Body mass estimations in Lujanian (late Pleistocene-early Holocene of South America) mammal megafauna. Unpublished manuscript</t>
  </si>
  <si>
    <t>21. Kitchener, D.J. 1995. Broad-faced potoroo: Potorous platyops. In Mammals of Australia, Rev. Ed. (R. Strahan, ed.), pp. 300-301. Washington D.C.: Smithsonian Institution Press.</t>
  </si>
  <si>
    <t>45. MacFadden, B.J. 1997. Pleistocene horses from Tarija, Boliva, and the validity of the genus Onohippidium (Mammalia: Equidae). Journal of Vertebrate Paleontology, 17: 199-218.</t>
  </si>
  <si>
    <t>46. Cartelle, C., Hartwig, W.C. 1996. A new extinct primate among the Pleistocene megafauna of Bahia, Brazil. Proceedings of the National Academy of Sciences, 93: 6405-6409.</t>
  </si>
  <si>
    <t>47. MacFadden, B.J. and Shockey, B.J. 1997. Ancient feeding ecology and niche differentiation of Pleistocene mammalian herbivores from Tarija, Bolivia: morphological and isotopic evidence. Paleobiology, 23: 77-100.</t>
  </si>
  <si>
    <t>72. Morand, S., Hafner, M.S., Page, R.D.M., and Reed, D.L. 2000. Comparative body size relationships in pocket gophers and their chewing lice. Biological Journal of the Linnean Society, 70:239-249.</t>
  </si>
  <si>
    <t>73. Myers, P.  1995.  The animal diversity web.  (March 2003; http://animaldiversity.ummz.umich.edu)</t>
  </si>
  <si>
    <t>75. Wootten, J.T. 1987. The effects of body-mass, phylogeny, habitat, and trophic level on mammalian age at 1st reproduction. Evolution, 41:732-749.</t>
  </si>
  <si>
    <t>50. Lessa, E.P. and Farina, R.A. 1996. Reassessment of extinction patterns among the late Pleistocene mammals of South America. Palaeontology, 39: 651-662.</t>
  </si>
  <si>
    <t>51. De Iuliis, G., Bargo, M.S., and Vizcaino, S.F. 2000. Variation in skull morphology and mastication in the fossil giant armadillos Pampatherium spp. and allied genera (Mammalia, Xenarthra, Pampatheriidae), with comments on their systematics and distribution. Journal of Vertebrate Paleontology, 20: 743-754.</t>
  </si>
  <si>
    <t>31. Anyonge, W. 1993. Body mass in large extant and extinct carnivores. Journal of Zoology, London, 231: 339-350.</t>
  </si>
  <si>
    <t>32. Kurtén, B. 1988. Before the Indians, New York: Columbia University Press.</t>
  </si>
  <si>
    <t xml:space="preserve">10. Stuart, A.J. 1991. Mammalian extinctions in the late Pleistocene of northern Eurasia and North America. Biological Reviews, 66:453-562. </t>
  </si>
  <si>
    <t>34. Burke, A. and Cinqmars, J. 1996. Dental characteristics of late Pleistocene Equus lambei from the Bluefish Caves, Yukon Territory, and their comparison with Eurasian horses. Geographie Physique et Quaternaire, 50: 81-93.</t>
  </si>
  <si>
    <t>35. MacFadden, B.J. 1986. Fossil horses from "Eohippus" (Hyracotherium) to Equus: scaling, Cope's Law, and the evolution of body size. Paleobiology, 12: 355-369.</t>
  </si>
  <si>
    <t>58. Stuart, A.J.  1991. Mammalian extinctions in the late Pleistocene of northern Eurasia and North America.  Biological Reviews of the Cambridge Philosophical Society, 66: 453-562.</t>
  </si>
  <si>
    <t>59. Strahan, R. 1995. Mammals of Australia. Washington, D.C.:  Smithsonian Institution Press.</t>
  </si>
  <si>
    <t>60. Silva, M., and Downing, J.A. 1995. CRC Handbook of Mammalian Body Masses. Boca Raton:  CRC Press.</t>
  </si>
  <si>
    <t>61. Marquet, P.A., and Cofre, H.  1999.  Large temporal and spatial scales in the structure of mammalian assemblages in South America: a macroecological approach. Oikos, 85:299-309.</t>
  </si>
  <si>
    <t>39. Farina, R.A. 1995. Trophic relationships among Lujanian mammals. Evolutionary Theory, 11: 125-134.</t>
  </si>
  <si>
    <t>40. Farina, R.A. 2002. in litt.</t>
  </si>
  <si>
    <t>41. Martin, P.S. and Steadman, D.W. 1999. Prehistoric extinctions on islands and continents. In Extinctions in near time: causes, contexts, and consequences (R.D.E. MacPhee, ed.), pp. 17-55. New York : Kluwer Academic/Plenum Press.</t>
  </si>
  <si>
    <t>42. Berta, A. 1988. Quaternary evolution and biogeography of the large South American Canidae (Mammalia, Carnivora), Berkeley, CA: University of California Press.</t>
  </si>
  <si>
    <t>20. Smith, M.J. 1995. Desert rat-kangaroo: Caloprymnus campestris. In Mammals of Australia, Rev. Ed. (R. Strahan, ed.), pp. 296-297. Washington D.C.: Smithsonian Institution Press.</t>
  </si>
  <si>
    <t>19. Johnson, K.A. and Burbidge, A.A. 1995. Pig-footed bandicoot: Chaeropus ecaudatus. In Mammals of Australia, Rev. Ed. (R. Strahan, ed.), pp. 170-171. Washington D. C.: Smithsonian Institution Press.</t>
  </si>
  <si>
    <t>160. Evans, R.H. Anesthesia and restraint of raccoons and relatives (Carnivora, Procyonidae). In: Zoological Restraint and Anesthesia, (D. Heard, ed.), Ithaca:  International Veterinary Information Service, in press (preprint available at http://www.ivis.org/special_books/Heard/toc.asp)</t>
  </si>
  <si>
    <t>161. Wilson, D. E. and Ruff, S.  1999.  The Smithsonian book of North American mammals.  Washington, D.C.: Smithsonian Institution Press.</t>
  </si>
  <si>
    <t>22. Wroe, S., Myers, T.J., Wells, R.T., and Gillespie, A. 1999. Estimating the weight of the Pleistocene marsupial lion, Thylacoleo carnifex (Thylacoleonidae: Marsupialia): implications for the ecomorphology of a marsupial super-predator and hypotheses of impoverishment of Australian marsupial carnivore faunas. Australian Journal of Zoology, 47: 489-498.</t>
  </si>
  <si>
    <t>49. Marshall, L.G. 1994. L'Evolution et le contexte paleoecologique des faunes de mammiferes en amerique du sud pendant le Pleistocene. L'Anthropologie, 98: 55-80.</t>
  </si>
  <si>
    <t>27. Scott, K. 1990. Postcranial dimensions of ungulates as predictors of body mass. In Body size in mammalian paleobiology: estimation and biological implications. (J. Damuth and B.J. MacFadden, eds.), pp. 301-336. Cambridge: Cambridge University Press.</t>
  </si>
  <si>
    <t>28. Alroy, J. 2002. North American fossil mammal systematics database. (January 2003; www.nceas.ucsb.edu/~alroy/nafmsd.html)</t>
  </si>
  <si>
    <t>29. George C. Page Museum. 2002. La Brea tar pits. (January 2002; www.tarpits.org)</t>
  </si>
  <si>
    <t>30. FAUNMAP working group. 1994. FAUNMAP Database (October 2001; www.museum.state.il.us)</t>
  </si>
  <si>
    <t>9. Stuart, A.J. 1999. Late Pleistocene megafaunal extinctions: A European perspective. In Extinctions in near time: causes, contexts, and consequences (R.D. E. MacPhee, ed.), pp. 257-270. New York: Kluwer Academic/Plenum Press.</t>
  </si>
  <si>
    <t>26. Murray, P. 1991. The Pleistocene megafauna of Australia. In Vertebrate palaeontology of Australasia (P. Vickers-Rich, J.M. Mongahan, R.F. Baird, and T.H. Rich, eds.), pp. 1070-1164. Melbourne: Pioneer Design Studio.</t>
  </si>
  <si>
    <t>7. Churcher, C.S. and Richardson, M.L. 1978. Equidae. In Evolution of African Mammals (V.J. Maglio and H.B.S. Cooke, eds.), pp. 379-422. Cambridge, MA: Harvard University Press.</t>
  </si>
  <si>
    <t>8. Alberdi, M.T., Prado, J.L., and Ortiz-Jaureguizar, E. 1995. Patterns of body size changes in fossil and living Equini (Perissodactyla). Biological Journal of the Linnean Society, 54: 349-370.</t>
  </si>
  <si>
    <t>145. Mc Farlane, D.A. 1999. Late quaternary fossil mammals and last occurrence dates from caves at Barahona, Puerto Rico. Caribbean Journal of Science, 35:238-248</t>
  </si>
  <si>
    <t>11. Martin, P.S. 1984. Prehistoric overkill: The global model. In Quaternary extinctions: a prehistoric revolution (P.S. Martin and R.G. Klein, eds.), pp. 354-403. Tucson, AZ: University of Arizona Press.</t>
  </si>
  <si>
    <t>12. Coppens, Y., Maglio, V.J., Madden, C.T. and Beden, M. 1978. Proboscidea. In Evolution of African Mammals (V.J. Maglio and H.B.S. Cooke, eds.), pp. 336-367. Cambridge, MA: Harvard University Press.</t>
  </si>
  <si>
    <t>36. Haynes, G. 1991. Mammoths, mastodons and elephants: biology, behaviour and the fossil record, Cambridge: Cambridge University Press.</t>
  </si>
  <si>
    <t>38. Roth, L. 1990. Insular dwarf elephants: A case study in body mass estimation and ecological inference. In Body size in mammalian paleobiology: estimation and biological implications. (J. Damuth and B.J. MacFadden, eds.), pp. 151-180. Cambridge: Cambridge University Press.</t>
  </si>
  <si>
    <t>17. Smith, M.J. 1995. Toolache wallaby: Macropus greyi. In Mammals of Australia, Rev. Ed. (R. Strahan, ed.), pp. 339-340. Washington D.C.: Smithsonian Institution Press.</t>
  </si>
  <si>
    <t>18. Strahan, R. 1995. Eastern hare-wallaby: Lagorchestes leporides. In Mammals of Australia, Rev. Ed. (R. Strahan, ed.), pp. 319-320. Washington D.C.: Smithsonian Institution Press.</t>
  </si>
  <si>
    <t>157. Smith, F.A. 1992 Evolution of body size among woodrats from Baja California, Mexico. Functional Ecology, 6:265-273.</t>
  </si>
  <si>
    <t>158. Smith, FA, Bestelmeyer, B.T., Biardi, J. and Strong, M. 1993. Anthropgenic extinction of the endemic woodrat Netoma bunkeri Burt. Biodiversity Letters, 1:149-155.</t>
  </si>
  <si>
    <t>159. Choate, J,. 2002. in litt.</t>
  </si>
  <si>
    <t>127. Stanley, W.T., Goodman, S.M., Kihaule, P.M., and Howell, K.M. 2000. A survey of the small mammals of the Gonja forest reserve, Tanzania. Journal of East African Natural History, 89:73-83</t>
  </si>
  <si>
    <t>1. Anderson, E. 1984. Who’s who in the Pleistocene: A mammalian bestiary. In Quaternary extinctions: a prehistoric revolution (P.S. Martin and R.G. Klein, eds.), pp. 40-89. Tucson, AZ: University of Arizona Press.</t>
  </si>
  <si>
    <t>2. Klein, R.G. 1984. Mammalian extinctions and stone age people in Africa. In Quaternary extinctions: a prehistoric revolution (P.S. Martin and R.G. Klein, eds.), pp. 553-573. Tucson, AZ: University of Arizona Press.</t>
  </si>
  <si>
    <t>23. Grayson, D.K. 1993. The desert's past. A natural prehistory of the Great Basin, Washington, D.C.: Smithsonian Institution Press.</t>
  </si>
  <si>
    <t>24. Graham, R.W. and Lundelius Jr., E.L. 1984. Coevolutionary disequilibrium and Pleistocene extinctions. In Quaternary extinctions: a prehistoric revolution (P.S. Martin and R.G. Klein, eds.), pp. 223-249. Tucson, AZ: University of Arizona Press.</t>
  </si>
  <si>
    <t>48. Cantalamessa G., Di Celma C., Bianucci G., Carnevale G., Coltorti M., Delfino M., Ficcarelli G., Espinosa M.M., Naldini D., Pieruccini P., Ragaini L., Rook L., Rossi M., Tito G., Torre D., Valleri G., and Landini W. 2001. A new vertebrate fossiliferous site from the late Quaternary at San Jose on the north coast of Ecuador: preliminary note. Journal of South American Earth Sciences, 14: 331-334.</t>
  </si>
  <si>
    <t>25. Kurtén, B. and Anderson, E. 1980. Pleistocene mammals of North America, Columbia, NY : Columbia University Press.</t>
  </si>
  <si>
    <t>143. Furley, C.W.  1983. Potential Use of Gazelles for Game Ranching in the Arabian Peninsula.  Lecture was delivered at the Agro-Gulf Exhibition and Conference, Abu Dhabi. (March 2003; http://enhg5.4t.com/b/b22/22_06.htm)</t>
  </si>
  <si>
    <t>San Luis Potosi (Mexico) to Peru, Bolivia and E Brazil</t>
  </si>
  <si>
    <t>Vampyrodes</t>
  </si>
  <si>
    <t>Honduras to Peru, Bolivia, W Brazil and Venezuela</t>
  </si>
  <si>
    <t>Carollia</t>
  </si>
  <si>
    <t>castanea</t>
  </si>
  <si>
    <t>Peru, S Colombia, French Guiana</t>
  </si>
  <si>
    <t>melissa</t>
  </si>
  <si>
    <t>nymphaea</t>
  </si>
  <si>
    <t>Chiroderma</t>
  </si>
  <si>
    <t>144. Thai Society for the Conservation of Wild Animals. 2002. (March 2003; http://www.tscwa.org/wildlife/rare_or_extinct_09.html)</t>
  </si>
  <si>
    <t>148. Kappeler, P.M., and Pereira, M.A., eds. 2003. Primate life histories and socioecology.  Chicago:  University of Chicago Press.</t>
  </si>
  <si>
    <t>149. Bennet, D. and Hoffman, R.S. 1999. Equus callabus. Mammalian Species, 628:1-14.</t>
  </si>
  <si>
    <t>13. Murray, P. 1984. Extinctions down under: A bestiary of extinct Australian Late Pleistocene Monotremes and Marsupials.  In Quaternary extinctions: a prehistoric revolution (P.S. Martin and R.G. Klein, eds.), pp. 600-628. Tucson, AZ: University of Arizona Press.</t>
  </si>
  <si>
    <t>14. Ward, V.R. 2002.  Prehistoric data files. (November 2002; www.angellis.net).</t>
  </si>
  <si>
    <t>155. MacPhee, R.D.E. 1994. Morphology, adaptations, and relationships of Plesiorycteropus, and a diagnosis of a new order of Eutherian mammals. Bulletin of the American Museum of Natural History, 220:1-214.</t>
  </si>
  <si>
    <t>37. Burness, G.P., Diamond, J., and Flannery, T. 2001. Dinosaurs, dragons and dwarfs: the evolution of maximum body size. Proceedings of the National Academy of Sciences, 98: 14518-14523.</t>
  </si>
  <si>
    <t>15. Keast, A., Erk, F.C., and Glass, B. 1972. Evolution, mammals, and southern continents, Albany : State University of New York Press.</t>
  </si>
  <si>
    <t>16. Flannery, T.F. and Roberts, R.G. 1999. Late Quaternary extinctions in Australasia: A overview. In Extinctions in near time: causes, contexts, and consequences (R.D.E. MacPhee, ed.), pp. 239-256. New York: Kluwer Academic/Plenum Press.</t>
  </si>
  <si>
    <t>N Ecuador, Colombia; Venezuela (Including Margarita Isl); N Brazil; Guyana; Trindad and Tobago; Grenada, St Vincent, Curacao, Bonaire and Aruba (Lesser Antilles)</t>
  </si>
  <si>
    <t>129. Smithers, R.H.N. 1983. The mammals of the southern African subregion. Pretoria:  University of Pretoria Press.</t>
  </si>
  <si>
    <t>128. Osborn, D.J., and Helmy, I. 1980. The contemporary land mammals of Egypt (including Sinai). Fieldiana, 5:1-579.</t>
  </si>
  <si>
    <t>132. Phillips, W.W.A. 1935. Manual of the mammals of Ceylon. London:  Dulau and Company, Ltd.</t>
  </si>
  <si>
    <t>3. Flannery, T. and Schouten, P. 2001. A gap in nature: discovering the world’s extinct animals, New York, NY: Atlantic Monthly Press.</t>
  </si>
  <si>
    <t>4. MacPhee, R.D.E. and Flemming, C. 1999. Requiem æternam: The last five hundred years of mammalian species extinctions. In Extinctions in near time: causes, contexts, and consequences (R.D.E. MacPhee, ed.), pp. 333-372. New York: Kluwer Academic/Plenum Press.</t>
  </si>
  <si>
    <t>137. 1990. Grzimek's Encylopedia of Mammals, Volume 4. New York:  Mcgraw Hill.</t>
  </si>
  <si>
    <t>138. 1990. Grzimek's Encylopedia of Mammals, Volume 3. New York:  Mcgraw Hill.</t>
  </si>
  <si>
    <t>139. 1990. Grzimek's Encylopedia of Mammals, Volume 2. New York:  Mcgraw Hill.</t>
  </si>
  <si>
    <t>140. 1990. Grzimek's Encylopedia of Mammals, Volume 1. New York:  Mcgraw Hill.</t>
  </si>
  <si>
    <t>parnellii</t>
  </si>
  <si>
    <t>Cuba, Jamaica</t>
  </si>
  <si>
    <t>macleayii</t>
  </si>
  <si>
    <t>New Zealand</t>
  </si>
  <si>
    <t>5. Milewski, A.V. and Diamond, R.E. 2000. Why are very large herbivores absent from Australia? A new theory of micronutrients. Journal of Biogeography, 27: 957-978.</t>
  </si>
  <si>
    <t>6. Churcher, C.S. 1978. Giraffidae. In Evolution of African Mammals (V.J. Maglio and H.B.S. Cooke, eds.), pp. 509-535. Cambridge, MA: Harvard University Press.</t>
  </si>
  <si>
    <t>141. Macdonald, D. 1985. The Encyclopedia of Mammals. New York:  Facts on File Publications.</t>
  </si>
  <si>
    <t>142. Medway, L. 1969. The wild mammals of Malaya and offshore islands including Singapore. London:  Oxford University Press.</t>
  </si>
  <si>
    <t>S Brazil, paraguay</t>
  </si>
  <si>
    <t>W Brazil, Bolivia, Ecador, Peru</t>
  </si>
  <si>
    <t>anderseni</t>
  </si>
  <si>
    <t>146. Woodland Park Zoo, Seattle, WA.  2002.  Woodland Park Zoo – Animal fact sheets.  (March 2003; http://www.zoo.org/educate/fact_sheets).</t>
  </si>
  <si>
    <t>147. Whitehead, K.G.  1993.  The Whitehead Encyclopedia of Deer.  Stillwater: Voyageur Press, Inc.</t>
  </si>
  <si>
    <t>150. Garbutt, M. 1999. Mammals of Madagascar. New Haven:  Yale University Press.</t>
  </si>
  <si>
    <t>151. Flannery, T. 1995. Mammals of New Guinea: Ithaca: Cornell Unversity Press.</t>
  </si>
  <si>
    <t xml:space="preserve">152. Verts, B.J., and Carraway, L.N. 1998. Land mammals of Oregon. Berkeley:  University of California Press. </t>
  </si>
  <si>
    <t>153. Jones, K.E., Purvis, A., and Gittleman, J.L. 2003. Biological correlates of extinction risk in bats. American Naturalist, 161:601-614.</t>
  </si>
  <si>
    <t>154. Link Olson, 2002. in litt.</t>
  </si>
  <si>
    <t>124. Stanley, W.T., Goodman, S.M., and Hutterer, R. 1996. Notes on the insectivores and elephant shrews of the Chome Forest, South Pare Mountains, Tanzania (Mammalia: Insectivora et Macroscelidea). Zoologische Abhandlungen: Staatliches Museum fur Tierkunde Dresden, 49:131-147.</t>
  </si>
  <si>
    <t>Venezuela, Colombia, Peru</t>
  </si>
  <si>
    <t>Chiapas to Tlaxcala (Mexico)</t>
  </si>
  <si>
    <t>Glossophaga</t>
  </si>
  <si>
    <t>N India, nepal, Burma, S China, Vietnam, Laos, Thailand, Malay Peninsula, Taiwan</t>
  </si>
  <si>
    <t>armiger</t>
  </si>
  <si>
    <t>Pteralopex</t>
  </si>
  <si>
    <t>156. Smith, F.A. 1991. Nutritional ecology and body size of Neotoma populations. PhD dissertation, University of California.</t>
  </si>
  <si>
    <t>125. Stanley, W.T., Goodman, S.M., and Kihaule, P.M. 1998. Results of two surveys of rodents in the Chome Forest Reserve, South Pare Mountains, Tanzania (Mammalia: Rodentia). Zoologische Abhandlungen: Staatliches Museum fur Tierkunde Dresden, 50:145-160.</t>
  </si>
  <si>
    <t>126. Stanley, W.T. and Hutterer, R. 2000. A new species of Myosorex Gray, 1832 (Mammalia: Soricidae) from the Eastern Arc mountains, Tanzania. Bonner Zoologische Beiträge, 49:19-29.</t>
  </si>
  <si>
    <t>Liberia to Zambia</t>
  </si>
  <si>
    <t>Erophylla</t>
  </si>
  <si>
    <t>sezekorni</t>
  </si>
  <si>
    <t>Cuba, Jamaica, Hispaniola, Puerto Rico, Bahamas and Cayman Isls</t>
  </si>
  <si>
    <t>mahaganus</t>
  </si>
  <si>
    <t>130. Happold, D.C.D. 1987. The mammals of Nigeria. Oxford: Clarendon Press.</t>
  </si>
  <si>
    <t>131. Pocock, R.I. 1941. The fauna of British India, including Ceylon and Burma. Mammalia. Volume II. Carnivora.  London: Taylor and Francis, Ltd.</t>
  </si>
  <si>
    <t>133. Blandford, W.T. 1891. The fauna of British India, including Ceylon and Burma.  London: Taylor and Francis, Ltd.</t>
  </si>
  <si>
    <t>134. MacDonald, D.W., Barrett, P. McDonald, D. 1993. Mammals of Britain and Europe.  London: Harper and Collins.</t>
  </si>
  <si>
    <t>135. Delany, M.J. 1975. The Rodents of Uganda. British Museum of Natural History Publication No. 764, Kettering:  Staples Printers Ltd.</t>
  </si>
  <si>
    <t xml:space="preserve">136. 1990. Grzimek's Encylopedia of Mammals, Volume 5. New York:  Mcgraw Hill. </t>
  </si>
  <si>
    <t>Peru, Brazil, Guianas and Venezuela to S Sonora and S Tamaulipas (Mexico); Cuba; Jamaica; Puerto Rico; Hispaniola; Trindidad and Tobago; Margarita Isl (venezuela); La Gonave Is (Haiti)</t>
  </si>
  <si>
    <t>Burma, Vietnam, Thailand, Yunnan (China)</t>
  </si>
  <si>
    <t>W Malaysia, Thailand, adjacent small islands</t>
  </si>
  <si>
    <t>Sumatra to Philippines, New Guinea and Lesser Sundas</t>
  </si>
  <si>
    <t>Philippines (Luzon and Dinagat)</t>
  </si>
  <si>
    <t>Oxaca (Mexico) to SE Brazil, Peru and Ecuador; Trindad; perhaps New Providence Isl (Bahama Isls)</t>
  </si>
  <si>
    <t>Guerrero, Oaxaca (Mexico), Nicaragua to Colombia, Venezuela and Guyana</t>
  </si>
  <si>
    <t>pretiosus</t>
  </si>
  <si>
    <t>Malaysia to the Philippines, Timor (Indonesia) and adjacent small islands</t>
  </si>
  <si>
    <t>Senegal to ethiopia and Somalia, south to South africa and namibia; Bioko; Zanzibar</t>
  </si>
  <si>
    <t>landeri</t>
  </si>
  <si>
    <t>Pakistan to Vietnam and Borneo; adjacent small islands; probably the Philippines</t>
  </si>
  <si>
    <t>gilliardi</t>
  </si>
  <si>
    <t>Venezuela, Colombia</t>
  </si>
  <si>
    <t>Lonchorhina</t>
  </si>
  <si>
    <t>Honduras to French Guiana, Trinidad, Amazonian Brazil, Peru and Ecuador</t>
  </si>
  <si>
    <t>Sinaloa and Tamaulipas (Mexico) to s Brazil, N argentina and Bolivia, Trinidad and Tobago, s lesser Antilles, Tres Marias Isls</t>
  </si>
  <si>
    <t>lituratus</t>
  </si>
  <si>
    <t>magnirostrum</t>
  </si>
  <si>
    <t>Micropteropus</t>
  </si>
  <si>
    <t>humilis</t>
  </si>
  <si>
    <t>cirrhosus</t>
  </si>
  <si>
    <t>trinitatum</t>
  </si>
  <si>
    <t>Veracruz (Mexico) to Bolivia, NE Brazil and Trinidad</t>
  </si>
  <si>
    <t>Tonatia</t>
  </si>
  <si>
    <t>brasiliense</t>
  </si>
  <si>
    <t>macrophyllum</t>
  </si>
  <si>
    <t>New Guinea, Molucca and Kei Isls, Solomon Isls, N Queensland (Australia) Bismark Arch.</t>
  </si>
  <si>
    <t>Kenya and s sudan to Senegal and Guinea-Bissau; Bioko</t>
  </si>
  <si>
    <t>120. Marshall, P. 1967. Wild mammals of Hong Kong. Oxford:  Oxford University Press.</t>
  </si>
  <si>
    <t>122. Rickart, E.A., Heaney, L.R., Heideman, P.D., Utzurrum, R.C.B. 1993. The distribution and ecology of mammals on Leyte, Biliran, and Maripipi Islands, Philippines. Fieldiana, 72:1-62.</t>
  </si>
  <si>
    <t>123. Shukor, M.N. 1996. The mammalian fauna on the islands at the northern tip of Sabah, Borneo. Fieldiana, 83:1-51.</t>
  </si>
  <si>
    <t>Colombia, Venezuela, Guianas, Brazil, Ecuador, Peru, Bolivia, NW Argentina</t>
  </si>
  <si>
    <t>Anoura</t>
  </si>
  <si>
    <t>Sulu Arch, Basilan and Mindanao (Philippines), Solombo Besar and Mata Siri (Java Sea); Talaut Isls</t>
  </si>
  <si>
    <t>Reunion and Mauritus Isls</t>
  </si>
  <si>
    <t>alcyone</t>
  </si>
  <si>
    <t>Venezuela, E Brazil, paraguay, Uruguay, N argentina</t>
  </si>
  <si>
    <t>Gambia to Somalia, south to Botswanna, Malawi and Mozambique</t>
  </si>
  <si>
    <t>rendalli</t>
  </si>
  <si>
    <t>Cameroon, E Zaire, W Kenya</t>
  </si>
  <si>
    <t>Sarawak (Borneo, malaysia)</t>
  </si>
  <si>
    <t>coxi</t>
  </si>
  <si>
    <t>Timor (Indonesia)</t>
  </si>
  <si>
    <t>crumeniferus</t>
  </si>
  <si>
    <t>lombok, sumbawi, flores, sumba, and adjacent small islands</t>
  </si>
  <si>
    <t>nusatenggara</t>
  </si>
  <si>
    <t>cartilagonodus</t>
  </si>
  <si>
    <t>acrodonta</t>
  </si>
  <si>
    <t>Oaxaca and Veracruz (Mexico) to Guianas, SE Brazil, Paraguay, N Argentina and Peru, Trinidad; Margarita Isl (Venezeula)</t>
  </si>
  <si>
    <t>Hondurus and El Salvador to S California, Nevada, Arizona and New Mexico; a single record from S Texas; erhaps Venezuela</t>
  </si>
  <si>
    <t>Choeronycteris</t>
  </si>
  <si>
    <t>Veracruz (Mexico) to the Guinanas, S Brazil and N Argentina</t>
  </si>
  <si>
    <t>Amazonian Brazil, Guianas, Panama, Venezuela, Trinidad, Bonaire Isl (Netherlands Antilles)</t>
  </si>
  <si>
    <t>Phyllostomidae</t>
  </si>
  <si>
    <t>Ametrida</t>
  </si>
  <si>
    <t>intermedia</t>
  </si>
  <si>
    <t>Coasta Rica to Guerrero, Morelos and Tlaxcala (Mexico); Colima and Jalisco (Mexico)</t>
  </si>
  <si>
    <t>leachii</t>
  </si>
  <si>
    <t>Burma, s China, Thailand, Laos, Vietnam, W Malaysia</t>
  </si>
  <si>
    <t>W Panama to Nayarit and Veracruz (mexico)</t>
  </si>
  <si>
    <t>Hylonycteris</t>
  </si>
  <si>
    <t>alba</t>
  </si>
  <si>
    <t>SE New Guniea, NE Queensland (Australia)</t>
  </si>
  <si>
    <t>pluto</t>
  </si>
  <si>
    <t>New Britain Isl (Bismarch Arc)</t>
  </si>
  <si>
    <t>Vanuata (=New Hebrides) including Banks Isls</t>
  </si>
  <si>
    <t>anetianus</t>
  </si>
  <si>
    <t>nitendiensis</t>
  </si>
  <si>
    <t>Thailand, Vietman</t>
  </si>
  <si>
    <t>lylei</t>
  </si>
  <si>
    <t>Borneo, Sumatra, W Malaysia</t>
  </si>
  <si>
    <t>Angola to Rwanda, Tanzania, Malawi and N Botswana</t>
  </si>
  <si>
    <t>Guinea to Nigeria</t>
  </si>
  <si>
    <t>daviesi</t>
  </si>
  <si>
    <t>caraccioli</t>
  </si>
  <si>
    <t>behnii</t>
  </si>
  <si>
    <t>NW Brazil, E Colombia</t>
  </si>
  <si>
    <t>Hida;go (mexico) to S brazil, Bolivia and Peru, Trinidad and Tobago</t>
  </si>
  <si>
    <t>Surinam, Guyana, Amazonian Brazil, SE Colombia</t>
  </si>
  <si>
    <t>brocki</t>
  </si>
  <si>
    <t>W Ecuador to Nicaragua</t>
  </si>
  <si>
    <t>Transcaucasia to Israel and S Europe; Turkmenistan; Iran; Algeria; Morocco; Tunisia; various Mediterranean islands; perhaps Egypt</t>
  </si>
  <si>
    <t>euryale</t>
  </si>
  <si>
    <t>Vietnam, Thailand</t>
  </si>
  <si>
    <t>paradoxolophus</t>
  </si>
  <si>
    <t>Transvaal (South Africa), namibia, S Angola, N and W Botswana, Zaimbabwe, malawi, Mozambique, Tanzania</t>
  </si>
  <si>
    <t>darlingi</t>
  </si>
  <si>
    <t>Nicaragua, Panama and Columbia to Guianas, Amazonia Brazil, Peru and Bolivia</t>
  </si>
  <si>
    <t>Thyropteridae</t>
  </si>
  <si>
    <t>Thyroptera</t>
  </si>
  <si>
    <t>Most of the subsaharan Africa except the central forested region; Morocco; yemen; Zanzibar and Pemba</t>
  </si>
  <si>
    <t>ridleyi</t>
  </si>
  <si>
    <t>sedulus</t>
  </si>
  <si>
    <t>India to S china and West malaysia</t>
  </si>
  <si>
    <t>pomona</t>
  </si>
  <si>
    <t>Sonora and Hidalgo (Mexico) to Guatemala; Bahama Isls; Jamaica; Cuba; Cayman Isls (NW of Jamaica); Hispaniola and Beata Isls</t>
  </si>
  <si>
    <t>E Colombia to French Guiana</t>
  </si>
  <si>
    <t>marinkellei</t>
  </si>
  <si>
    <t>Venexuela, Amazonas, Pedro Pinato</t>
  </si>
  <si>
    <t>fernandezi</t>
  </si>
  <si>
    <t>N Sinaloa and SW Chihuahua (Mexico) to S Nevada, S California (USA); Baja California and Tamaulipas (Mexico)</t>
  </si>
  <si>
    <t>Macrotus</t>
  </si>
  <si>
    <t>jamaicensis</t>
  </si>
  <si>
    <t>Sinaloa and Tamaulipas (Mexico) to Ecuador and Venezuela; Trinidad and Tobago; Greater and Lasser Antilles, Amazonian Brazil (only if obscurus r planirostris is included in this species). Perhaps Florida keys as well</t>
  </si>
  <si>
    <t>Puerto Rico, Virgin Isls and throughout Lesser Antilles south to St. Vincent and Barbados</t>
  </si>
  <si>
    <t>cavernarum</t>
  </si>
  <si>
    <t>nicefori</t>
  </si>
  <si>
    <t>Oaxaca (Mexico) to French Guiana and Brazil; Trindad</t>
  </si>
  <si>
    <t>bilobatum</t>
  </si>
  <si>
    <t>Uroderma</t>
  </si>
  <si>
    <t>121. Heaney, L.R., Balete, D.S., Rickart, E.A., Utzurrum, R.C.B., and Gonzales, P.C. 1999. Mammalian diversity on Mount Isarog, a threatened center of endemism of souther Luzon Island, Philippines. Fieldiana, 95: 1-62.</t>
  </si>
  <si>
    <t>gallagheri</t>
  </si>
  <si>
    <t xml:space="preserve">Indonesia, Malaysia </t>
  </si>
  <si>
    <t>johorensis</t>
  </si>
  <si>
    <t>Djbouti and Central African Republic to Angola and Natal (South Africa), Madagascar</t>
  </si>
  <si>
    <t>martiensseni</t>
  </si>
  <si>
    <t>wroughtoni</t>
  </si>
  <si>
    <t>Panama to Nuevo Leon and Sinaloa (Mexico)</t>
  </si>
  <si>
    <t>Lichonycteris</t>
  </si>
  <si>
    <t>obscura</t>
  </si>
  <si>
    <t>Veracruz and Sinaloa (Mexico) to Ecuador and Guyana</t>
  </si>
  <si>
    <t>Australia, New Guinea</t>
  </si>
  <si>
    <t>whitleyi</t>
  </si>
  <si>
    <t>centurio</t>
  </si>
  <si>
    <t>clivosus</t>
  </si>
  <si>
    <t>nequam</t>
  </si>
  <si>
    <t>camerunensis</t>
  </si>
  <si>
    <t>NE Mindanao (Philippines)</t>
  </si>
  <si>
    <t>Senegal to uganda, SW Sudan, N zaire and Gabon; Bioko</t>
  </si>
  <si>
    <t>Australia but not Cape York Peninsula N of Cardwell, Tasmania, Norfolk Isl (australia, New Caledonia</t>
  </si>
  <si>
    <t>Zaire, Cameroon</t>
  </si>
  <si>
    <t>alboguttatus</t>
  </si>
  <si>
    <t>egeria</t>
  </si>
  <si>
    <t>Sumatra Borneo</t>
  </si>
  <si>
    <t>spinalatus</t>
  </si>
  <si>
    <t>Ethiopia, Djibouti, Somalia, Kenya, saudi Arabia</t>
  </si>
  <si>
    <t>New Guniea</t>
  </si>
  <si>
    <t>Selangor (malaysia)</t>
  </si>
  <si>
    <t>Sri Lanka, India, S China, SE Asia, W Malaysia, Sumatra adjacent small islands and perhaps Borneo</t>
  </si>
  <si>
    <t>Uruguay, N Argentia and N Chile to sonora, Nuevo Leon and Tamaulipas (Mexico), Margarita Isl (Venezuela), Trinidad</t>
  </si>
  <si>
    <t>Desmodus</t>
  </si>
  <si>
    <t>rotundus</t>
  </si>
  <si>
    <t>Honduras to Guianas, E Brazil, Paraguay, N Argentina and Peru; Trinidad and Tabago; Margarita Isl (Venezuela), Bolivia</t>
  </si>
  <si>
    <t>Chrotopterus</t>
  </si>
  <si>
    <t>Burma, Thailand, W Malaysia, Sumatra, Borneo</t>
  </si>
  <si>
    <t>tragata</t>
  </si>
  <si>
    <t>latifolius</t>
  </si>
  <si>
    <t>Platalina</t>
  </si>
  <si>
    <t>genovensium</t>
  </si>
  <si>
    <t>madagascar</t>
  </si>
  <si>
    <t>youngi</t>
  </si>
  <si>
    <t>hastatus</t>
  </si>
  <si>
    <t>Honduras to W Panama, also a record from W Colombia</t>
  </si>
  <si>
    <t>Ectophylla</t>
  </si>
  <si>
    <t>Senegal to Ethiopia, south to Zimbabwe, malawi and Mozambique, Zanzibar; Madagascar</t>
  </si>
  <si>
    <t>Java, Bali and Kangean Isl (Indonesia)</t>
  </si>
  <si>
    <t>Bismarck arch, New Guinea, Aru islands, Batanta and Mysol (offf W New Guinea) and Molucca Isls (including Waido isl) N Queensland (Australia)</t>
  </si>
  <si>
    <t>recifinus</t>
  </si>
  <si>
    <t>Haplonycteris</t>
  </si>
  <si>
    <t>S Mexico to Guianas, E Brazil, N Argentina and Peru</t>
  </si>
  <si>
    <t>S Mexico to Colombia; Guianas; SE Brazil</t>
  </si>
  <si>
    <t>hirsuta</t>
  </si>
  <si>
    <t>Coasta Rica to Peru and French Guinana</t>
  </si>
  <si>
    <t>temmincki</t>
  </si>
  <si>
    <t>aratathomasi</t>
  </si>
  <si>
    <t>Burma, Thailand, Malay Peninsula, Borneo</t>
  </si>
  <si>
    <t>Hesperoptenus</t>
  </si>
  <si>
    <t>rodricensis</t>
  </si>
  <si>
    <t>Colombia, Ecuador, Peru, Bolivia</t>
  </si>
  <si>
    <t>Oaxaca, veracruz and Yucatan Peninsula (Mexico) to Peru, Bolivia, Paraguay, SE Brazil and Guianas, Trinidad and Tobago; Grenada (lesser Antilles); perhaps Jamaica, N Lesser Antilles</t>
  </si>
  <si>
    <t>Ryukyu isls (japan), SE China, Thailand, W Malaysia, borneo, java, sulawesi, philippines, new guniea</t>
  </si>
  <si>
    <t>Somalia, Ethiopia, Kenya, Tanzania, uganda, Angola, Zanzibar, Mozambique, Yemen, Oman, Congo Republic, Iran, perhaps Egypt</t>
  </si>
  <si>
    <t>N and W Madagascar, Aldabra Isl.</t>
  </si>
  <si>
    <t>Guadeloupe (lesser Antilles)</t>
  </si>
  <si>
    <t>guadeloupensis</t>
  </si>
  <si>
    <t>Maldive Islands, India (include Andaman Isl), Sri Lanka, Pakistan, Burma, Tsinghai (China)</t>
  </si>
  <si>
    <t>maclaudi</t>
  </si>
  <si>
    <t>Guinea-Bissau, Sierra Leone, Liberia, Ghana, Ivory Coast, Nigeria, Cameroon, Rio Muni (Equatorial Guinea), Gabon, N zaire</t>
  </si>
  <si>
    <t>Tonga Isls, Tongatapu Isl</t>
  </si>
  <si>
    <t>tonganus</t>
  </si>
  <si>
    <t>Mindoro (philippines)</t>
  </si>
  <si>
    <t>halophyllus</t>
  </si>
  <si>
    <t>Sierra Leone and Guinea to Mail, Burkina Faso and Nigeria</t>
  </si>
  <si>
    <t>waterhousii</t>
  </si>
  <si>
    <t>Guianas, N Brazil</t>
  </si>
  <si>
    <t>Cuba, Hispaniola, Jamaica (extinct), Grand Cayman (Cayman Isls) Middle Caicos (SE Bahamas)</t>
  </si>
  <si>
    <t>Brachyphylla</t>
  </si>
  <si>
    <t>Michoacan (Mexico) to Venezuela, Peru, Bolivia and Brazil</t>
  </si>
  <si>
    <t>carrikeri</t>
  </si>
  <si>
    <t>Lombok, Sumbawa, Flores, Alor Isl, Sumba and Timor (Indonesia)</t>
  </si>
  <si>
    <t>mackloti</t>
  </si>
  <si>
    <t>Talaud isls (Indonesia)</t>
  </si>
  <si>
    <t>Guadeloupe (Lesser Antilles)</t>
  </si>
  <si>
    <t>Trachops</t>
  </si>
  <si>
    <t>megalophylla</t>
  </si>
  <si>
    <t>Cuba, Jamaica, Hispaniola, Puerto Rico</t>
  </si>
  <si>
    <t>Belize to N Colombia, Venezuela, Guianas, Amazonian Brazil and Peru; Trinidad</t>
  </si>
  <si>
    <t>S Mexico to Venezuela; NE Peru; NE Brazil</t>
  </si>
  <si>
    <t>Peru and SE Brazil to Nayarit and Veracruz (Mexico); Trinidad</t>
  </si>
  <si>
    <t>Mindanao and Bailan Isl (Philippines)</t>
  </si>
  <si>
    <t>Nicobar and Andaman Isls (Indoa) Engano Isls and Nias Isl (Indonesia); Christmas Isls</t>
  </si>
  <si>
    <t>Norfolk isl, SE Queensland, E New South Wales (australia)</t>
  </si>
  <si>
    <t>norfolkensis</t>
  </si>
  <si>
    <t>Sulawesi and Sangihe Isls</t>
  </si>
  <si>
    <t>celaeno</t>
  </si>
  <si>
    <t>anchietai</t>
  </si>
  <si>
    <t>Ptenochirus</t>
  </si>
  <si>
    <t>myrella</t>
  </si>
  <si>
    <t>marisae</t>
  </si>
  <si>
    <t>Angola, zaire</t>
  </si>
  <si>
    <t>Namibia</t>
  </si>
  <si>
    <t>Turkmenistan to Afghanistan; Arabia to Algeria; subsaharan Africa to Liberia, Cameroon and South Africa</t>
  </si>
  <si>
    <t>Sri Lanka, Pakistan to Vietnam and S Chnia, Sumatra, Java Bali and mentawai Isls (Indonesia)</t>
  </si>
  <si>
    <t>leschenaulti</t>
  </si>
  <si>
    <t>Louisiade Arch, And D'Entrecasteaux Isls (Papua New Guniea)</t>
  </si>
  <si>
    <t>agnella</t>
  </si>
  <si>
    <t>India, Thailand, W Malaysia; mentawai Isls, Java and lesser sunda isls (Indonesia), small adjacent islands</t>
  </si>
  <si>
    <t>Cameroon, Bioko, perhaps Nigeria</t>
  </si>
  <si>
    <t>curtus</t>
  </si>
  <si>
    <t>Borneo, peninsular Thailand</t>
  </si>
  <si>
    <t>dyacorum</t>
  </si>
  <si>
    <t>inexpectatus</t>
  </si>
  <si>
    <t>Uganda, Kenya, Tanzania, s Ethiopia, E Zaire, S Sudan</t>
  </si>
  <si>
    <t>Senegal to egypt, Cyrups and Turkey, sout to South Africa; Pakistan to Yemen, adjacent small islands</t>
  </si>
  <si>
    <t>Gambia to Ethiopia, south to namibia, Botswana, Transvaal (South Africa) and Mozambique; Madagascar; adjacent small islands; including Sao Thome</t>
  </si>
  <si>
    <t>Tamaulipas (Mexico) to N Argentina and E Brazil; Trinidad, Margarita Isl (Venezuela)</t>
  </si>
  <si>
    <t>Diaemus</t>
  </si>
  <si>
    <t>Guianas, SE Colombia</t>
  </si>
  <si>
    <t>S Venezuela, Columbia, Surinam</t>
  </si>
  <si>
    <t>aurarius</t>
  </si>
  <si>
    <t>N Brazil, Colombia to Guianas, Ecuador, Peru Bolivia</t>
  </si>
  <si>
    <t>brachycephalus</t>
  </si>
  <si>
    <t>Costa Rica to Venezuela, peru and Bolivia</t>
  </si>
  <si>
    <t>Colombia to Peru, Bolivia and NW Brazil</t>
  </si>
  <si>
    <t>Panama to Peru and Bolivia</t>
  </si>
  <si>
    <t>Molucca Isls, New Guinea, Bismarck Arch, solomon Isls (including santa Cruz Isls), Vanuatu (=New Hebrides), adjacent small islands</t>
  </si>
  <si>
    <t>Loyalty and New Caledonia Isls</t>
  </si>
  <si>
    <t>orinocensis</t>
  </si>
  <si>
    <t>Surinam, Bolivia, S Brazil, paraguay, N Argentina and reprort in North America is in error</t>
  </si>
  <si>
    <t>umbratus</t>
  </si>
  <si>
    <t>Kenya, NE Tanzania, Zanzibar</t>
  </si>
  <si>
    <t>Cuba, jamaica, Hispaniola, Providencia isl (Colombia)</t>
  </si>
  <si>
    <t>Buru, Amboina, Seram (Indonesia), Bismarck Arch (Papua New Guinea) nearby islands, perhaps Timor Isls (Indonesia)</t>
  </si>
  <si>
    <t>South africa to S Sudan and Ethiopia; Cameroon; Nigeria; Guinea</t>
  </si>
  <si>
    <t>aurantia</t>
  </si>
  <si>
    <t>W Malaysia, Sumatra and the Philippines to Vanuatu (= New Hebrides) and NE Australia</t>
  </si>
  <si>
    <t>Seychelle Is, Aldabra Isl Comoro Isls, Mafia Isl (off Tanzania)</t>
  </si>
  <si>
    <t>W and C New Guinea</t>
  </si>
  <si>
    <t>Taiwan, Ryukyu Isls, Daito Isls and extreme S Kyushu (Japan)</t>
  </si>
  <si>
    <t>Sulawesi, Saleyer Isl, Lombok, Bawean Isl, Kangean Isls, Sumba Isl, and Savu Isl (Indonesia) N and E Austraila, S New Guinea</t>
  </si>
  <si>
    <t>Senegal and Guinea to Ethiopia and NE Zaire, perhaps Tanzania</t>
  </si>
  <si>
    <t>Nigeria, Western Region, lagos</t>
  </si>
  <si>
    <t>NE India</t>
  </si>
  <si>
    <t>Northern territory, N western australia and N Queensland (australia)</t>
  </si>
  <si>
    <t>stenotis</t>
  </si>
  <si>
    <t>Sri Lanka; India to W Malaysia, through Philippines, ndonesia and New Guinea to N Queensland, N Northern Territory and N Western Australia (Australia)</t>
  </si>
  <si>
    <t>chrysoproctus</t>
  </si>
  <si>
    <t>rayneri</t>
  </si>
  <si>
    <t>E Australia from S Queensland to Victoria</t>
  </si>
  <si>
    <t>poliocephalus</t>
  </si>
  <si>
    <t>Veracruz and Oaxaca (Mexico) to Peru, Bolivia and Brazil, Trinidad</t>
  </si>
  <si>
    <t>Shimba Hills, Kenya; Niguru and Usambara Mtns, Tanzania</t>
  </si>
  <si>
    <t>vampyrus</t>
  </si>
  <si>
    <t>jonesi</t>
  </si>
  <si>
    <t>Sierra leone to W Kenya, south to Zambia and Angola, Bioko</t>
  </si>
  <si>
    <t>Hypsignathus</t>
  </si>
  <si>
    <t>monstrosus</t>
  </si>
  <si>
    <t>Latidens</t>
  </si>
  <si>
    <t>schulzi</t>
  </si>
  <si>
    <t>S Mexico, belize, Guatemale, Honduras</t>
  </si>
  <si>
    <t>evotis</t>
  </si>
  <si>
    <t>schmidtorum</t>
  </si>
  <si>
    <t>S Texas, S arizona (USA) and Baja California (Mexico) to NW Peru and N Venezuela; aruba, Curacao and Bonaire (netherlands Antilles); Trinidad; margarita isl (Venezuela)</t>
  </si>
  <si>
    <t>Malay Peninsula, SW Thailand, Burma, NE India, Borneo, Sumatra, Riau Archipelago, banguey Isl, Java, Banka Isl and Nias Isl</t>
  </si>
  <si>
    <t>trifoliatus</t>
  </si>
  <si>
    <t>kenyacola</t>
  </si>
  <si>
    <t>Burma, Thailand, W malaysia</t>
  </si>
  <si>
    <t>fumigatus</t>
  </si>
  <si>
    <t>Bismarck Arch and Admirality Isls (Papua New Guinea), New Guinea, Mysol and Ghebi Isls</t>
  </si>
  <si>
    <t>Inodchina, Malay Peninsula, Borneo, Philippines, Sumatra, Java and Lesser Sunda Isls adjacent small islands</t>
  </si>
  <si>
    <t>Biak Isl, W New Guniea and N Molucca Isls</t>
  </si>
  <si>
    <t>papua</t>
  </si>
  <si>
    <t>wallacei</t>
  </si>
  <si>
    <t>Rubiana, Ysabel, malaita and Bougainville isls (Solomon isls); peleng isls and sulawesi (Indonesia)</t>
  </si>
  <si>
    <t>dinops</t>
  </si>
  <si>
    <t>New South Wales and adjacent part of Queensland (Australia)</t>
  </si>
  <si>
    <t>Liberia to Congo Republic</t>
  </si>
  <si>
    <t>ophiodon</t>
  </si>
  <si>
    <t>Somlomon isls</t>
  </si>
  <si>
    <t>Waigo Isl (off west end of New Guinea)</t>
  </si>
  <si>
    <t>beauforti</t>
  </si>
  <si>
    <t xml:space="preserve"> Bismarck Arch</t>
  </si>
  <si>
    <t>praedatrix</t>
  </si>
  <si>
    <t>E Queensland and New South Wales (Australia), New Guinea, D'Entrecasteaux Isls, Trobriand Isls, Louisiade Arch and Bismarck Arch (Papua N Guinea) Molucca Isls, various adjacent islands</t>
  </si>
  <si>
    <t>Mountains of C New Guinea</t>
  </si>
  <si>
    <t>Halmahera Isls (Moluccas)</t>
  </si>
  <si>
    <t>carolinae</t>
  </si>
  <si>
    <t>Molucca Isls, Sulawesi and Sangihe Isls (Indonesia)</t>
  </si>
  <si>
    <t>Thoopterus</t>
  </si>
  <si>
    <t>Anthops</t>
  </si>
  <si>
    <t>Angola, Zambia, S Zaire</t>
  </si>
  <si>
    <t>Plerotes</t>
  </si>
  <si>
    <t>pulchra</t>
  </si>
  <si>
    <t>Ysabel and Guadalcana (Solomon Isls)</t>
  </si>
  <si>
    <t>Solomon Isls, Guadacanal, Mount Makaarakomburu</t>
  </si>
  <si>
    <t>Tamaulipas, Sonora and Tres Marias Isls (Mexico) to Guianas, SE Brazil, N Argentina and Peru; Margarita Isl (Venezuela); Trinidad; Grenada (Lesser Antilles); Jamaica; perhaps Bahama Isls</t>
  </si>
  <si>
    <t>Guinea-Bissau to SW Sudan and Uganda</t>
  </si>
  <si>
    <t>abae</t>
  </si>
  <si>
    <t>infuscus</t>
  </si>
  <si>
    <t>Rodrigues Isls, Round Isl near Mauritus Is (Mascarene Isls)</t>
  </si>
  <si>
    <t>Burma, thailand, W malyasia, borneo, SW Philiipines, Sumatra and N Molucca Isls</t>
  </si>
  <si>
    <t>Glischropus</t>
  </si>
  <si>
    <t>tylopus</t>
  </si>
  <si>
    <t>India to taiwan and vietnam, south to molucca isls, java and lesser sunda isls</t>
  </si>
  <si>
    <t>Harpiocephalus</t>
  </si>
  <si>
    <t>tristis</t>
  </si>
  <si>
    <t>innoxius</t>
  </si>
  <si>
    <t>kobayashii</t>
  </si>
  <si>
    <t>S Veracruz (Mexico) to Uruguay and N argentina</t>
  </si>
  <si>
    <t>javanus</t>
  </si>
  <si>
    <t>W Malaysia; Thailand; sumatra and java (Indonesia)</t>
  </si>
  <si>
    <t>stheno</t>
  </si>
  <si>
    <t>shameli</t>
  </si>
  <si>
    <t>New Guinea, Aru Isls (Indonesia)</t>
  </si>
  <si>
    <t>S Peru</t>
  </si>
  <si>
    <t>Colombia, Ecuador, NW Venezuela, Peru</t>
  </si>
  <si>
    <t>N Peru, Ecuador</t>
  </si>
  <si>
    <t>hesperia</t>
  </si>
  <si>
    <t>C and W New Guinea and adjacent small islands, Sulawesi</t>
  </si>
  <si>
    <t>moluccensis</t>
  </si>
  <si>
    <t>Bougainville and Ysabel Isls (Solomon Isls)</t>
  </si>
  <si>
    <t>Batchian Isl (Halmahera Isls), Seram, Goram Isl (SE of Seram), Kei Isls, Wetter Isl (Flores Sea) (indonesia)</t>
  </si>
  <si>
    <t>keyensis</t>
  </si>
  <si>
    <t>N India</t>
  </si>
  <si>
    <t>mitratus</t>
  </si>
  <si>
    <t>New South Wales, possibly Western Australia (Australia)</t>
  </si>
  <si>
    <t>Japan, Korea, SE Siberia, NE China</t>
  </si>
  <si>
    <t>bombinus</t>
  </si>
  <si>
    <t>C and S Chile</t>
  </si>
  <si>
    <t>Philippines, Borneo, W Malaysia</t>
  </si>
  <si>
    <t>S British Columbia, S Alberta, S Sakatchewan (Canada) to New Mexico (USA) and Baja California (Mexico)</t>
  </si>
  <si>
    <t>seabrai</t>
  </si>
  <si>
    <t>java, w malaysia, burma, NE India, SW China</t>
  </si>
  <si>
    <t>W and E Europe to E Siberia and NW China, north beyond Artic circle in Scandinavia, south to Bulgaria, Iraq, the Elburz Mtns (N Iran), The Pamirs and W China (not Tibet), Nepal, Honshu, Hokkaido (Japan), Sakhalin Isl (Russia)</t>
  </si>
  <si>
    <t>nilssoni</t>
  </si>
  <si>
    <t>Pakistan, india, sri lanka, burma, kwangsi and hainan (China), vietnam, borneo</t>
  </si>
  <si>
    <t>ceylonicus</t>
  </si>
  <si>
    <t>Sikkim (NE India)</t>
  </si>
  <si>
    <t>sicarius</t>
  </si>
  <si>
    <t>Halmahera Isls, New Guinea and adjacent islands, NE Queensland (Australia)</t>
  </si>
  <si>
    <t>Maldive Isls New Guniea through Indonesia to Vietman and Thialand and adjacent islands, Solomon Isls, Philippines</t>
  </si>
  <si>
    <t>Harpyionycteris</t>
  </si>
  <si>
    <t>Amboina Isls</t>
  </si>
  <si>
    <t>Ivory Coast, Ghana, NE Zaire</t>
  </si>
  <si>
    <t>N Western Australia, Northern Territory, queensland, new South Wales and South Australia</t>
  </si>
  <si>
    <t>Sulawesi, Ceram (Molucca isls) and Kangean (Java Sea)</t>
  </si>
  <si>
    <t>macrobullatus</t>
  </si>
  <si>
    <t>ivory Coast, Liberia, Guniea</t>
  </si>
  <si>
    <t>Mesophylla</t>
  </si>
  <si>
    <t>Tabasco (Mexico) to Peru, Boliva, SE Brazil and NE Argentina</t>
  </si>
  <si>
    <t>Macrophyllum</t>
  </si>
  <si>
    <t>Peninsular Thailand, Ishigaki Isl, Yonakuni Isl and Iriomote Isl (s Ryukyu Isls, japan)</t>
  </si>
  <si>
    <t>turpis</t>
  </si>
  <si>
    <t>Burma and Vietnam through Thailand, W Malaysia and indonesia to New Guniea, Bismarck Arch, solomon Isls and NE and NC Australia, Philippines; Nicobar Isls</t>
  </si>
  <si>
    <t>Sri Lanka, S and C India</t>
  </si>
  <si>
    <t>SE Australia, including Tasmania and Lord Howe Isl</t>
  </si>
  <si>
    <t>D'Entrecasteaux Isls, Trobriand Isls, Bismarck and Louisiade Archs. (Papua New Guniea) Solomon Isl and small islands off the north coast of New Guinea</t>
  </si>
  <si>
    <t>elongatus</t>
  </si>
  <si>
    <t xml:space="preserve">Somalia, Ethiopia, Sudan, Kenya, Tanzania, Rwanda, Burundi, Zaire, Nigeria, Sierra Leone, Togo, Benin, Senegal, Gambia, Guinea, Burkina Faso, Ghana, Niger, Nigeria, Cameroon, Central African Repulic, Zambia, Malawi, Zimbabwe, Mozambique, Angola, Namibia, </t>
  </si>
  <si>
    <t>Guniea, liberia, e Zaire, W uganda, Rwanda</t>
  </si>
  <si>
    <t>lucasi</t>
  </si>
  <si>
    <t>Liberia to Congo Republic and E Zaire, Bioko</t>
  </si>
  <si>
    <t>Scotonycteris</t>
  </si>
  <si>
    <t>Philippines, Borneo, S  Thailand, W Malaysia</t>
  </si>
  <si>
    <t>Chile, Argentina, Uruguay, W Boliva, S Peru, Ecuador, Colombia, Venezula perhaps N Peru and S Brazil</t>
  </si>
  <si>
    <t>Manchuria (China)</t>
  </si>
  <si>
    <t>dubiaquercus</t>
  </si>
  <si>
    <t>S China, Laos, Vietnam, Thailand, NE India</t>
  </si>
  <si>
    <t>Ia</t>
  </si>
  <si>
    <t>W Malaysia, S Thailand, Borneo</t>
  </si>
  <si>
    <t>tricolor</t>
  </si>
  <si>
    <t>Queretaro and Baja California (Mexcio) to Knasas (USA) and British Columbia (Canada) cuba</t>
  </si>
  <si>
    <t>grisea</t>
  </si>
  <si>
    <t>puta</t>
  </si>
  <si>
    <t>rozendaali</t>
  </si>
  <si>
    <t>Israel, s Yemen, Oman, perhaps Socotra Isl (Yemen)</t>
  </si>
  <si>
    <t>Buka Bouganville and Chiseul Isl (Solomon Isls)</t>
  </si>
  <si>
    <t>anceps</t>
  </si>
  <si>
    <t>Biak and Owii Isls (in Geelvink Bay)</t>
  </si>
  <si>
    <t>emersa</t>
  </si>
  <si>
    <t>Morocco and Senegal to Thailand; Sumatra</t>
  </si>
  <si>
    <t>harpia</t>
  </si>
  <si>
    <t>soricina</t>
  </si>
  <si>
    <t>Ndeni Isl (Santa Cruz Isl)</t>
  </si>
  <si>
    <t>commissarisi</t>
  </si>
  <si>
    <t>Platyrrhinus</t>
  </si>
  <si>
    <t>helleri</t>
  </si>
  <si>
    <t>morenoi</t>
  </si>
  <si>
    <t>vittatus</t>
  </si>
  <si>
    <t>n Ethiopia and islands in the Red sea</t>
  </si>
  <si>
    <t>NW Peru, W Ecuador, Puna Isl (Ecuador)</t>
  </si>
  <si>
    <t>Sumatra Java Lombok Timor and adjacent small islands</t>
  </si>
  <si>
    <t>titthaecheileus</t>
  </si>
  <si>
    <t>Oazaca and veracruz (mexico) to Peru, Bolivia and Amazonia Brazil; Trinidad. A paraguay record is error</t>
  </si>
  <si>
    <t>Sinaloa (Mexico) to Panama, SE Colombia, E Ecuador, E Peru; NW Brazil</t>
  </si>
  <si>
    <t>Pakistan to Vietnam, south to Sri Lanka</t>
  </si>
  <si>
    <t>Sri Lanka and india through SE Asia to Java and Borneo</t>
  </si>
  <si>
    <t>Costa Rica to Ecuador and NW Peru</t>
  </si>
  <si>
    <t>luisi</t>
  </si>
  <si>
    <t>tildae</t>
  </si>
  <si>
    <t>Pteronotus</t>
  </si>
  <si>
    <t>quadridens</t>
  </si>
  <si>
    <t>tickelli</t>
  </si>
  <si>
    <t>discifera</t>
  </si>
  <si>
    <t>Burma, Thailand, Cambodia, W Malaysia</t>
  </si>
  <si>
    <t>microphyllum</t>
  </si>
  <si>
    <t>Cape Prov. (south africa), Zambia, Mozambique, Tanzania</t>
  </si>
  <si>
    <t>melckorum</t>
  </si>
  <si>
    <t>Hidalgo, Morelos and Baja California (Mexico) north to British Columbia (Canada), east to Montana and W Texas (USA)</t>
  </si>
  <si>
    <t>N Argentina, Brazil and Guianas to Jalisco and Tamaulipas (Mexico)</t>
  </si>
  <si>
    <t>furinalis</t>
  </si>
  <si>
    <t>Arabia, Iran, Iraq, Afghanistan, Pakistan</t>
  </si>
  <si>
    <t>Europe east to Kamtschatka, Vlasivostok, Sakhalin and Kurile Isls (Russia), Japan, Korea, Manchuria, E and S China, Britiain and Ireland, Scandinavia, Assam (India)</t>
  </si>
  <si>
    <t>daubentoni</t>
  </si>
  <si>
    <t>stalkeri</t>
  </si>
  <si>
    <t>senegal and sierra leone east to somalia and s yemen and south to south africa and namibia</t>
  </si>
  <si>
    <t>dinganii</t>
  </si>
  <si>
    <t>sierra leone to kenya</t>
  </si>
  <si>
    <t>nux</t>
  </si>
  <si>
    <t>S Canada, USA (including SE Alaska, and except extreme southern parts), NE Mexico, Bermuda</t>
  </si>
  <si>
    <t>Lasionycteris</t>
  </si>
  <si>
    <t>SE China, Thailand, India (including Andaman Isls), perhaps Sri Lanka, W Malaysi, Java, bali and Sulawesi, Borneo, Philippines</t>
  </si>
  <si>
    <t>S California, Arizonia and S Texas (USA) to argentina, uruguay and brazil, trinidad</t>
  </si>
  <si>
    <t>Panama, Coasta Rica</t>
  </si>
  <si>
    <t>Halmahera Isls, Sulawesi and Sulu Isls (indonesia)</t>
  </si>
  <si>
    <t>Venezuela, Bolivar, Rio Mocho</t>
  </si>
  <si>
    <t>SE Asia Sumatra and Java adjacent small islands</t>
  </si>
  <si>
    <t>Costa Rica to peru, Bolivia and Amazonia Brazil; Trinidad</t>
  </si>
  <si>
    <t>N India to S China and Vietnam, south to W Malaysia, Borneo</t>
  </si>
  <si>
    <t>SE Brazil, Paraguay, NE Argentina</t>
  </si>
  <si>
    <t>Tamaulipas and Jalisco (Mexico) to Peru, Bolivia and Brazil; Trinidad and Tobago; margarita Isl (Venezuela); Grenada</t>
  </si>
  <si>
    <t>Micronycteris</t>
  </si>
  <si>
    <t>Borneo, Sumatra (including Nias and Engano Isls), Java, Lombok and Bali (Indonesia), Palawan (Philippines), Thailand, laos, Cambodia</t>
  </si>
  <si>
    <t>Borneo, W malaysia</t>
  </si>
  <si>
    <t>Bismarck Arch, Wetar Isl (Lesser Sunda Isls)</t>
  </si>
  <si>
    <t>beatrix</t>
  </si>
  <si>
    <t>NE India, Vietnam, W Malaysia, Sumatra, Java, Sulawesi, Borneo</t>
  </si>
  <si>
    <t>papillosa</t>
  </si>
  <si>
    <t>South africa</t>
  </si>
  <si>
    <t>vulturnus</t>
  </si>
  <si>
    <t>Kimberley (N Western Australia)</t>
  </si>
  <si>
    <t>douglasorum</t>
  </si>
  <si>
    <t>aerosa</t>
  </si>
  <si>
    <t>picatus</t>
  </si>
  <si>
    <t>SE Australia including Tasmania</t>
  </si>
  <si>
    <t>tubinaris</t>
  </si>
  <si>
    <t>W malaysia, borneo</t>
  </si>
  <si>
    <t>Inida, Sri Lanka, Burma, Tahiland , China, W Malaysia, Borneo, Java, Sumatra, Mentawai Isls, Sulawesi, Bali, Lesser Sundas, Kangean Isl and Talaud Isl (indonesia), Philippines</t>
  </si>
  <si>
    <t>N Baja California, Michoacan and Nuevo Leon (Mexico) to S British Columbia (Canada), east to Maine (USA) and S Quebec (Canada)</t>
  </si>
  <si>
    <t>leibii</t>
  </si>
  <si>
    <t>marshalli</t>
  </si>
  <si>
    <t>E Himalayas, Shensi, Szechwan, Fukien and Inner Mongolia (China), Upper Yenisei River (russia), Altai Mtns (Russia, Kazakhstan and Mongolia), Korea, Ussuri region (Russia), Sakhalin Isl (Russia), Honshu, Kyushu and Shikiku (japan)</t>
  </si>
  <si>
    <t>Borneo; Madura Isls, Java and Timor Indonesia)</t>
  </si>
  <si>
    <t>41, 53</t>
  </si>
  <si>
    <t>31, 43</t>
  </si>
  <si>
    <t>bodenheimeri</t>
  </si>
  <si>
    <t>arabicus</t>
  </si>
  <si>
    <t>Borneo; Labuan and Banguey Isl (Malaysia); Java, karimata Isls and South natuna Isls (Indonesia); Cambodia; Vietnam</t>
  </si>
  <si>
    <t>borneensis</t>
  </si>
  <si>
    <t>Sumba Timor Flores Sumbawa Nusa Penida (near Bali) Komodo, Alor Wetar, Babar (Indonesia)</t>
  </si>
  <si>
    <t>Oman, W Iran, S Afghanistan, perhaps Ethiopia</t>
  </si>
  <si>
    <t>Thailand, W Malaysia, Borneo, Java, Sumatra, Lesser Sunda Isls and adjacent small islands</t>
  </si>
  <si>
    <t>Hokkaido, Shikoku, Kyushu, Tsushima, Iki (Japan), Korea, E China</t>
  </si>
  <si>
    <t>aviator</t>
  </si>
  <si>
    <t>India to the philippines and moluccas, solomons to new caledonia, perhaps new guniea</t>
  </si>
  <si>
    <t>loyalty isls (E of New Caledonia)</t>
  </si>
  <si>
    <t>robustior</t>
  </si>
  <si>
    <t>Liberia to zaire</t>
  </si>
  <si>
    <t>Peninsular Thailand</t>
  </si>
  <si>
    <t>India (including Anadaman Isls), Sri Lanka, nepal, Bhutan, Burma, Thailand, perhaps SW China</t>
  </si>
  <si>
    <t>Palawan and Luzon (Philippines)</t>
  </si>
  <si>
    <t>Amboina, Buru, Seram and small islands east of Seram (Indonesia)</t>
  </si>
  <si>
    <t>W Colombia, lowlands between the western Cordillera of the Andes and the pacific coast</t>
  </si>
  <si>
    <t>chocoensis</t>
  </si>
  <si>
    <t>W Europe through S Asiatic Russia to Himalayas, Thailand and China, north to Korea, Taiwan, S England, N Africa, most islands in Mediterranean, perhaps Subsaharan Africa</t>
  </si>
  <si>
    <t>serotinus</t>
  </si>
  <si>
    <t>Honduras to Sinaloa (Mexico) and through Texas to Florida and New Jersey (USA) Cuba</t>
  </si>
  <si>
    <t>SE USA, north to Indiana and North Carolina</t>
  </si>
  <si>
    <t>austroriparius</t>
  </si>
  <si>
    <t>Alaska Panhandle to W Washington (USA), Mackenzie to Prince Edward isl (Canada) south to Arkansas and Florida Panhandle (USA)</t>
  </si>
  <si>
    <t>keenii</t>
  </si>
  <si>
    <t>23, 32</t>
  </si>
  <si>
    <t>Japan, Kurile Isls (Russia), S China, republics of the former USSR</t>
  </si>
  <si>
    <t>macrodactylus</t>
  </si>
  <si>
    <t>N and E Australia, SE New Guniea and adjacent small islands</t>
  </si>
  <si>
    <t>New Hampshire to Florida Panhandle, west to Wisconsin and Oklahoma (USA)</t>
  </si>
  <si>
    <t>sodalis</t>
  </si>
  <si>
    <t>Kei Isls (Molucca Isls)</t>
  </si>
  <si>
    <t>Colombia and venezuela to C Chile, Uruguay and C Argentina, Hawaii (USA), Guatemala and Mexico throughout the USA to S British Columbia, SE Mackensie, Hudson Bat and S Quebec (Canada), Galapagos, Bermuda, acciden</t>
  </si>
  <si>
    <t>namibensis</t>
  </si>
  <si>
    <t>Cameroon to Kenya, south to Angola and Tanzania</t>
  </si>
  <si>
    <t>Cameroon, Uganda</t>
  </si>
  <si>
    <t>Honshu and Shikoku (Japan)</t>
  </si>
  <si>
    <t>Martinique, barbados (Lesser Antilles)</t>
  </si>
  <si>
    <t>oxyotus</t>
  </si>
  <si>
    <t>Honduras to Uruguay and E Brazil, Trinidad</t>
  </si>
  <si>
    <t>S China, Burma, Thailand, Vietnam, W Malaysia</t>
  </si>
  <si>
    <t>pratti</t>
  </si>
  <si>
    <t>schistaceus</t>
  </si>
  <si>
    <t>C Vietnam</t>
  </si>
  <si>
    <t>Paracoelops</t>
  </si>
  <si>
    <t>Ireland, Iberia and Morocco through S europe and N africa to Kirghizia and kashmir; arbaia; Sudan; Ethiopia</t>
  </si>
  <si>
    <t>hipposideros</t>
  </si>
  <si>
    <t>luctus</t>
  </si>
  <si>
    <t>England and W  Europe to Caucasus, Turkey, Crimea (ukarine), Moroco, larger Mediterranean islands, Canary Isls, perhaps Senegal</t>
  </si>
  <si>
    <t>Guatemala, Mexico</t>
  </si>
  <si>
    <t>1, 26, 58</t>
  </si>
  <si>
    <t>1, 33</t>
  </si>
  <si>
    <t>26, 28, 58</t>
  </si>
  <si>
    <t>33, 42</t>
  </si>
  <si>
    <t>11, 47</t>
  </si>
  <si>
    <t>acuminatus</t>
  </si>
  <si>
    <t>Ivory coast, Kenya, congo republic, perhaps Guniea (Bissau)</t>
  </si>
  <si>
    <t>W Europe to urals and Caucasus, Britain, Ireland</t>
  </si>
  <si>
    <t>Nyctalus</t>
  </si>
  <si>
    <t>NW New South Wales, C and S Queensland and South Australia (Australia)</t>
  </si>
  <si>
    <t>S Europe, north to Netherlands and S Poland, Crimea, Caucasus and Kopet Dag Mtns, east to Uzbekistan and E Iran, Israel, Morocco, Algeria, Tunisia, Lebanon, Afghanistan</t>
  </si>
  <si>
    <t>Senegal to S Yemen, south to Angola, Zambia and Transvaal (South Africa)</t>
  </si>
  <si>
    <t>174.  www.iiasa.ac.at/~sendzim/MammalDataSets/ Trop%20Wet%20Forest%20Mamm.xls - Supplemental Result</t>
  </si>
  <si>
    <t>NE india (including Sikkim), burma, S China, thailand , vietnam</t>
  </si>
  <si>
    <t>Scotomanes</t>
  </si>
  <si>
    <t>india</t>
  </si>
  <si>
    <t>Madagascar, reunion isl (Mascarene isls)</t>
  </si>
  <si>
    <t>Afghanistan, pakistan, sri lanka, india (including Sikkim), nepal, bhutan, burma, vietnam, thailand</t>
  </si>
  <si>
    <t>S Canada to Colombia and N brazil, Greater Antilles, bahmas, Dominica and barbados (Lesser Antilles) perhaps Alaska</t>
  </si>
  <si>
    <t>Veracruz (mexico) south to N argentina and Uruguay, Trindad and tobago</t>
  </si>
  <si>
    <t>Washington to SW Oklahoma (USA) and baja California, south to Hidalgo and Guerrero (Mexico)</t>
  </si>
  <si>
    <t>hesperus</t>
  </si>
  <si>
    <t>liberia and ethiopia, south to South africa</t>
  </si>
  <si>
    <t>Java, Timor (Indonesia)</t>
  </si>
  <si>
    <t>canuti</t>
  </si>
  <si>
    <t>Java, madura, Bali, Timor, Sulawesi, sangihe and Talaud Isl (Indonesia)</t>
  </si>
  <si>
    <t>N Western Australia, Northern Territory and NW Queensland (australia)</t>
  </si>
  <si>
    <t>Rhinonicteris</t>
  </si>
  <si>
    <t>Peninsular India, sri Lanka</t>
  </si>
  <si>
    <t>S Europe and Morocco through the Caucasus and Iran to most of china and japan, most of indo-malayan region, new guniea, solomon isls (including bougainville isl), australia, subsaharan africa, madagascar, bismarck arch</t>
  </si>
  <si>
    <t>schreibersi</t>
  </si>
  <si>
    <t>Turkey, egypt, yemen, east to Mongolia and Pakistan</t>
  </si>
  <si>
    <t>gambia to kenya and mozambique</t>
  </si>
  <si>
    <t>Scotoecus</t>
  </si>
  <si>
    <t>SW china-java borneo philippines sulawesi timor</t>
  </si>
  <si>
    <t>findleyi</t>
  </si>
  <si>
    <t>Senegal to ethiopia, south to angola, zambia and malawi</t>
  </si>
  <si>
    <t>Britain to Kazakhstan, E Siberia including Sakhalin Isls, Kamchatka Peninsula and Kurile Isls (Russia), Mongolia south to Spain, Greece, Korea and Ussuri region (Russia), Japan</t>
  </si>
  <si>
    <t>baverstocki</t>
  </si>
  <si>
    <t>South Africa to angloa and Kenya</t>
  </si>
  <si>
    <t>C and S Australia</t>
  </si>
  <si>
    <t>yumanensis</t>
  </si>
  <si>
    <t>Florida and Texas to Oklahoma and Virginia, Pennsylvania and New York (USA), Bermuda</t>
  </si>
  <si>
    <t>Lasiurus</t>
  </si>
  <si>
    <t>seminolus</t>
  </si>
  <si>
    <t>ferrumequinum</t>
  </si>
  <si>
    <t>Transvaal (South Africa) and Mozambique to Ethiopia, s  Sudan and NE Zaire</t>
  </si>
  <si>
    <t>peninsularis</t>
  </si>
  <si>
    <t>Hopeh, Shantung, Honan and Kiangsu (China)</t>
  </si>
  <si>
    <t>pequinius</t>
  </si>
  <si>
    <t>riparius</t>
  </si>
  <si>
    <t>S Baja California (Mexico)</t>
  </si>
  <si>
    <t>W Europe to urals and caucasus and W Asia Minor, s England</t>
  </si>
  <si>
    <t>nathusii</t>
  </si>
  <si>
    <t>NW Kenya, perhaps ethiopia</t>
  </si>
  <si>
    <t>aero</t>
  </si>
  <si>
    <t>NE Burma, Yunnan (China), N India</t>
  </si>
  <si>
    <t>Afghanistan, Pakistan, N India, Nepal</t>
  </si>
  <si>
    <t>Sri Lnaka, India to Vietnam, W Malaysia and S China, Borneo, Sumatra, Java, Bali, Lombok and Molucca isls</t>
  </si>
  <si>
    <t>Colombia, Ecuador, Peru, N Brazil, Bolivia, Paraguay, NE Argentina</t>
  </si>
  <si>
    <t>martiniquensis</t>
  </si>
  <si>
    <t>egypt, N sudan, lybia, algeria, Burkina Faso</t>
  </si>
  <si>
    <t>aegyptius</t>
  </si>
  <si>
    <t>W europe to urals and caucasus, Asia minor, iran and Ust-Urt Plateau (Kazakhstan), Morocco, Libya</t>
  </si>
  <si>
    <t>Se new guinea, ne queensland, northern territory and N western australia</t>
  </si>
  <si>
    <t>N Burma</t>
  </si>
  <si>
    <t>11, 41</t>
  </si>
  <si>
    <t>1, 58</t>
  </si>
  <si>
    <t>39, 40</t>
  </si>
  <si>
    <t>24, 58</t>
  </si>
  <si>
    <t>26, 32, 58</t>
  </si>
  <si>
    <t>Senegal to somalia, south to south Africa</t>
  </si>
  <si>
    <t>W Malaysia, sumatra, riau arch, n borneo, mindanao (Philippines)</t>
  </si>
  <si>
    <t>Europe to Urals and Caucasus, Morocco, algeria, SE Asia Minor to Israel, Western Turkmenistan to SW Siberia, Himalayas and China, south to W Malaysia, Taiwan, Honshu (japan)</t>
  </si>
  <si>
    <t>noctula</t>
  </si>
  <si>
    <t>Fukien, Anhwei, Kiangsu, Shantung, Yunnan (China), Hong Kong</t>
  </si>
  <si>
    <t>ricketti</t>
  </si>
  <si>
    <t>W Malyasia, sumatra, borneo, bali, adjacent small islands</t>
  </si>
  <si>
    <t>Nicaragua to S Brazil; Peru; Guianas; trinidad; Boliva</t>
  </si>
  <si>
    <t>leisleri</t>
  </si>
  <si>
    <t>Hokkaido (Japan)</t>
  </si>
  <si>
    <t>fortidens</t>
  </si>
  <si>
    <t>China, Ussuri region (Russia), Korea, japan, taiwan</t>
  </si>
  <si>
    <t>Singapore</t>
  </si>
  <si>
    <t>oreias</t>
  </si>
  <si>
    <t>Liberia to Kenya and Somalia</t>
  </si>
  <si>
    <t>Pakistan, N India, Burma, Thailand, Loas, Vietnam</t>
  </si>
  <si>
    <t>tomesi</t>
  </si>
  <si>
    <t>Chiles, NW Argentina, S Boliva, S Peru</t>
  </si>
  <si>
    <t>Histiotus</t>
  </si>
  <si>
    <t>macrotus</t>
  </si>
  <si>
    <t>E Brazil, Paraguay</t>
  </si>
  <si>
    <t>velatus</t>
  </si>
  <si>
    <t>SE Brazil, Uruguay</t>
  </si>
  <si>
    <t>alienus</t>
  </si>
  <si>
    <t>N Veracruz (Mexico) to Nebraska, the great lakes and pennsylvania, south to florida and the gulf coast (USA) cuba</t>
  </si>
  <si>
    <t>humeralis</t>
  </si>
  <si>
    <t>Lesser sunda isls, sulawesi, new guniea, ne australia</t>
  </si>
  <si>
    <t>rueppellii</t>
  </si>
  <si>
    <t>Rhogeesa</t>
  </si>
  <si>
    <t>minutilla</t>
  </si>
  <si>
    <t>11, 26, 41</t>
  </si>
  <si>
    <t>23, 28, 58</t>
  </si>
  <si>
    <t>30, 58</t>
  </si>
  <si>
    <t>11, 49</t>
  </si>
  <si>
    <t>France and Sweden east to Yenisei River (Russia), south to Ukraine and NW Kazakhstan, a single record from manchuria (China)</t>
  </si>
  <si>
    <t>Szechwan, Yunnan, Hunana, Kiangsu, Fukien (China), Hong Kong, Thailand</t>
  </si>
  <si>
    <t>pulveratus</t>
  </si>
  <si>
    <t>cobanensis</t>
  </si>
  <si>
    <t>N Lesser Antilles</t>
  </si>
  <si>
    <t>chiloensis</t>
  </si>
  <si>
    <t>Szechwan and Yunnan to Kiangsu (China), Hong Kong, N thailand</t>
  </si>
  <si>
    <t>C Guatemala</t>
  </si>
  <si>
    <t>dominicensis</t>
  </si>
  <si>
    <t>Tres Marias Isls (Mexico)</t>
  </si>
  <si>
    <t>Honshu (Japan)</t>
  </si>
  <si>
    <t>tumida</t>
  </si>
  <si>
    <t>Portugal, Spain, France, Rumania, Yugoslavia, Bulgaria, Greece, Tanscaucasia; Morocco to Cyrenaica (Libya); Mediterranean islands, iran, Afghanistan, Asia Minor, Isreal, Egypt</t>
  </si>
  <si>
    <t>mehelyi</t>
  </si>
  <si>
    <t>hunting, persecution, habitat loss, changes in prey base</t>
  </si>
  <si>
    <t>129, 135</t>
  </si>
  <si>
    <t>2.6 tonnes</t>
  </si>
  <si>
    <t>last record 8000kya</t>
  </si>
  <si>
    <t>E New Guniea; Misima Isl (Louisiade Arch.) Goodenough Isl (D'Entrecasteaux isls) and Bismarck Arch (Papua New Guniea); E Queensland, E New South Wales and E Victoria (Australia)</t>
  </si>
  <si>
    <t>Azores (Portugal)</t>
  </si>
  <si>
    <t>azoreum</t>
  </si>
  <si>
    <t>ne india and se china to timor (Indonesia) and new guniea</t>
  </si>
  <si>
    <t>Sudan, mali</t>
  </si>
  <si>
    <t>demissus</t>
  </si>
  <si>
    <t>albofuscus</t>
  </si>
  <si>
    <t>Oaxaca to Sonora (Mexico), Trees Marias Isls (Mexico)</t>
  </si>
  <si>
    <t>Venezuela to Bolivia, panama, Coasta Rica</t>
  </si>
  <si>
    <t>Norway, ireland and spain to Sakhalin isl (Russia), Japan, N China and Nepal</t>
  </si>
  <si>
    <t>165.  Brook, B. W., and M. J. S. Bowman.  2004.  The uncertain blitzkrieg of Pleistocene megafauna.  Journal of Biogeography 31:517-523.</t>
  </si>
  <si>
    <t>Bolivia, Argentina, SE Brazil, Uruguay</t>
  </si>
  <si>
    <t>levis</t>
  </si>
  <si>
    <t>senegal to ethiopia aouth to namibia and south africa</t>
  </si>
  <si>
    <t>hirundo</t>
  </si>
  <si>
    <t>Jalisco and Zacatecas to Oaxaca (Mexico)</t>
  </si>
  <si>
    <t>mauritania and senegal to n kenya and ethiopia</t>
  </si>
  <si>
    <t>Chile, Argentina, Uruguay and Brazil to C Canada, Jamacia, Cuba, Hispaniola, Puerto Rico, bermuda, Bahmas, Trinidad and Tabago, Galapagos (Ecuador)</t>
  </si>
  <si>
    <t>hildebrandti</t>
  </si>
  <si>
    <t>All of australia including tasmania, e new guniea, probably timor (Indonesia)</t>
  </si>
  <si>
    <t>http://members.vienna.at/shrew/itsesAP95-soriculus.html#leucops</t>
  </si>
  <si>
    <t xml:space="preserve"> 110-15 mm; regression</t>
  </si>
  <si>
    <t>Lembata (lesser sundas)</t>
  </si>
  <si>
    <t>heran</t>
  </si>
  <si>
    <t>Coahuila, Nuevo Leon and Zacatecas (Mexico)</t>
  </si>
  <si>
    <t>41, 50</t>
  </si>
  <si>
    <t>29, 32, 58</t>
  </si>
  <si>
    <t>39, 43, 55</t>
  </si>
  <si>
    <t>1, 39</t>
  </si>
  <si>
    <t>afghanistan to s china, including Hainan isl, south to sri lanka and vietnam</t>
  </si>
  <si>
    <t>3, 59</t>
  </si>
  <si>
    <t>Java, Kangean isl, bali and lesser sunda isls, borneo</t>
  </si>
  <si>
    <t>imbricatus</t>
  </si>
  <si>
    <t>Saccopteryx</t>
  </si>
  <si>
    <t>kapalgensis</t>
  </si>
  <si>
    <t>hunting, habitat loss, natural disasters</t>
  </si>
  <si>
    <t>hilli</t>
  </si>
  <si>
    <t>N Queensland (Australia), Torres strait Isls, SE New Guinea</t>
  </si>
  <si>
    <t>Nayarit and Tamaulipas (Mexico) to peru, N Argentina and S Brail, Trinidad and Tobago, Grenada (Lesser Antilles)</t>
  </si>
  <si>
    <t>females forearm: 37.4 (36.8-38.1)</t>
  </si>
  <si>
    <t>Kerivoula</t>
  </si>
  <si>
    <t>lambertoni</t>
  </si>
  <si>
    <t>140-170g; estimated measurement</t>
  </si>
  <si>
    <t>originally described as T. brunii; 3000 ybp</t>
  </si>
  <si>
    <t>females: 10.3</t>
  </si>
  <si>
    <t>24, 58, 112</t>
  </si>
  <si>
    <t>S Alaska Panhandle (USA) to Baja California (Mexico) and Guatemala</t>
  </si>
  <si>
    <t>Afghanistan to Taiwan and New Guinea</t>
  </si>
  <si>
    <t>Distrito Federal (Mexico) to S utah and S Nevada (USA)</t>
  </si>
  <si>
    <t>Idionycteris</t>
  </si>
  <si>
    <t>suilla</t>
  </si>
  <si>
    <t>Barbastella</t>
  </si>
  <si>
    <t>barbastellus</t>
  </si>
  <si>
    <t>In the Holocene, only Transcaucasia and W Iran</t>
  </si>
  <si>
    <t>schaubi</t>
  </si>
  <si>
    <t>musciculus</t>
  </si>
  <si>
    <t>norway and britain to ussuri region (russia), china and afghanistan</t>
  </si>
  <si>
    <t>Vespertilio</t>
  </si>
  <si>
    <t>70-90mm, walkers</t>
  </si>
  <si>
    <t>169; 60</t>
  </si>
  <si>
    <t>walkers online, 60</t>
  </si>
  <si>
    <t>ozensis</t>
  </si>
  <si>
    <t>Nova Scotia, s Quebec (Canada) and Minnesota (USA), south to Florida (USA) and Honduras</t>
  </si>
  <si>
    <t>S Europe through the Caucasus to Kazakhstan and Pakistan, SW Asia, most of Africa, Canary Isls (Spain)</t>
  </si>
  <si>
    <t>8, 45</t>
  </si>
  <si>
    <t>NW Himalayas</t>
  </si>
  <si>
    <t>Honduruas to Knasas and Se California</t>
  </si>
  <si>
    <t>velifer</t>
  </si>
  <si>
    <t>Borneo, malay Peninsula</t>
  </si>
  <si>
    <t>gaskelli</t>
  </si>
  <si>
    <t>cameroon, zaire, S sudan, N angola</t>
  </si>
  <si>
    <t>crassulus</t>
  </si>
  <si>
    <t>Paucituberculata</t>
  </si>
  <si>
    <t>68; 154</t>
  </si>
  <si>
    <t>http://members.vienna.at/shrew/itsesAP95-erinaceidae.html#hylomys</t>
  </si>
  <si>
    <t>Veracruz (Mexico) to Guianas, E Brazil, Bolivia and Peru, Trinidad</t>
  </si>
  <si>
    <t>E Queensland and E New south wales (australia)</t>
  </si>
  <si>
    <t>NE India to Thailand</t>
  </si>
  <si>
    <t>annectans</t>
  </si>
  <si>
    <t>Taiwan and W Malaysia, south and east to New Guniea, Bismarck Arch, solomon Isls, Vanuatu (=New Hebrides), N and E coastal Australia, perhaps Tibet (China)</t>
  </si>
  <si>
    <t>welwitschii</t>
  </si>
  <si>
    <t>SW Argentina</t>
  </si>
  <si>
    <t>aelleni</t>
  </si>
  <si>
    <t>S Peru, N Chile</t>
  </si>
  <si>
    <t>New Guiinea, Bismarck Arch, solomon Isls, adjacent small islands</t>
  </si>
  <si>
    <t>N Queensland (Australia), E new Guniea</t>
  </si>
  <si>
    <t>C New Guinea</t>
  </si>
  <si>
    <t>semicaudata</t>
  </si>
  <si>
    <t>111, 114, 117</t>
  </si>
  <si>
    <t>males: 14; females: 17</t>
  </si>
  <si>
    <t>30-35g; estimated measurement</t>
  </si>
  <si>
    <t>Otomops</t>
  </si>
  <si>
    <t>20-30g</t>
  </si>
  <si>
    <t>117, 119</t>
  </si>
  <si>
    <t>albus</t>
  </si>
  <si>
    <t>hunting, habitat loss, changes in native competitors, human disturbance, low densities</t>
  </si>
  <si>
    <t>Seram Isl, Kei Isls and Sulawesi (Indonesia); New Guniea; Bismarck arch; Choiseul, Ysabel and Malaita isls (Solomon Isls)</t>
  </si>
  <si>
    <t>range370-570</t>
  </si>
  <si>
    <t>115, 133</t>
  </si>
  <si>
    <t>dolichobrachion</t>
  </si>
  <si>
    <t>isabellus</t>
  </si>
  <si>
    <t>N&amp;E Zaire, S Central African Republic, N. Gabon, S Cameroon</t>
  </si>
  <si>
    <t>avg. weight:  160g; seasonal variation: 140-220g</t>
  </si>
  <si>
    <t>Mirza</t>
  </si>
  <si>
    <t>close links to kuhlii-group of S. Africa</t>
  </si>
  <si>
    <t>Burney et al., 1997</t>
  </si>
  <si>
    <t>Sierra Leone to Ethiopia, south to Tanzania, Zambia and Angola; Bioko</t>
  </si>
  <si>
    <t>Mimetillus</t>
  </si>
  <si>
    <t xml:space="preserve">173.  JUN SHENG LI, YAN LING SONG* and ZHI GAO ZENG .  2003.  Elevational gradients of small mammal diversity on the  northern slopes of Mt. Qilian, China Global Ecology &amp; Biogeography  (2003)  12 , 449–460 </t>
  </si>
  <si>
    <t>170, 173</t>
  </si>
  <si>
    <t>borneo, sulawesi, buru and amboina (molucca issl), philippines</t>
  </si>
  <si>
    <t>W malaysia</t>
  </si>
  <si>
    <t>societatis</t>
  </si>
  <si>
    <t>Bonin isls (japan)</t>
  </si>
  <si>
    <t>Uganda and S kenya to Angola, namibia and Natal (south africa)</t>
  </si>
  <si>
    <t>San Luis Potosi (Mexico) to Costa Rica</t>
  </si>
  <si>
    <t>Mediterranean zone and islands of Europe and NW Africa, Turkey, Isreal, Iraq, Iran, Uzbekistan</t>
  </si>
  <si>
    <t>capaccinii</t>
  </si>
  <si>
    <t>Af</t>
  </si>
  <si>
    <t>Kenya, N Zaire, S Cameroon</t>
  </si>
  <si>
    <t>cuprosa</t>
  </si>
  <si>
    <t>eriophora</t>
  </si>
  <si>
    <t>aegyptiacus</t>
  </si>
  <si>
    <t>Mentawai Isls (Indonesia)</t>
  </si>
  <si>
    <t>senegal, algeria, egypt and iraq south to botswanna and transvaal (south africa), zanzibar</t>
  </si>
  <si>
    <t>lesueuri</t>
  </si>
  <si>
    <t>Afghanistan, Kashmir (India)</t>
  </si>
  <si>
    <t>weight at 30-45 in mammals of madagascar</t>
  </si>
  <si>
    <t>12-16g</t>
  </si>
  <si>
    <t>20-25g</t>
  </si>
  <si>
    <t>much larger than H. antimena</t>
  </si>
  <si>
    <t>20-40kg; 24000-14000 ybp</t>
  </si>
  <si>
    <t>hopei</t>
  </si>
  <si>
    <t>2.5-4g</t>
  </si>
  <si>
    <t>taiva</t>
  </si>
  <si>
    <t>10-25g</t>
  </si>
  <si>
    <t>resembled a small H. amphibius</t>
  </si>
  <si>
    <t>V. v. variegata: 3-4.5kg; V. variegata: 3-4.5kg; mammals of madagascar</t>
  </si>
  <si>
    <t>South Africa to Sudan and Somalia to Senegal; mauritius and Renunion islans (Mascarene isls); Madagascar, assumption isl and Aldabra Isl.</t>
  </si>
  <si>
    <t>habitat loss, pollution, loss of prey base</t>
  </si>
  <si>
    <t>habitat loss, restricted distribution</t>
  </si>
  <si>
    <t>hunting, habitat loss, invasive competitors/predators/parasites/pathogens</t>
  </si>
  <si>
    <t>30-40g</t>
  </si>
  <si>
    <t>Garbutt, N.  1999.  Mammals of Madagascar.  Yale University Press. New Haven, Conn.  320pp.</t>
  </si>
  <si>
    <t>12-85kg</t>
  </si>
  <si>
    <t>bilineata</t>
  </si>
  <si>
    <t>hunting, invasive competitors</t>
  </si>
  <si>
    <t>persecution, invasived predators</t>
  </si>
  <si>
    <t>Northern territory (Australia)</t>
  </si>
  <si>
    <t>persecution, changes in prey base</t>
  </si>
  <si>
    <t>Fergusson, Goodenough, Normanby, New Guinea</t>
  </si>
  <si>
    <t>N India, burma, thailand SW China</t>
  </si>
  <si>
    <t>paterculus</t>
  </si>
  <si>
    <t>peguensis</t>
  </si>
  <si>
    <t>tanzania</t>
  </si>
  <si>
    <t>permixtus</t>
  </si>
  <si>
    <t>thysanodes</t>
  </si>
  <si>
    <t>Chiapas (Mexico) to Sw South Dakota (USA) and SC British Columbia (Canada)</t>
  </si>
  <si>
    <t>benin, cameroon, zaire, uganda, kenya, perhaps sudan</t>
  </si>
  <si>
    <t>inexspectatus</t>
  </si>
  <si>
    <t>aenea</t>
  </si>
  <si>
    <t>41, 49</t>
  </si>
  <si>
    <t>39, 43</t>
  </si>
  <si>
    <t>8, 44</t>
  </si>
  <si>
    <t>vivesi</t>
  </si>
  <si>
    <t>Arizonia and New Mexico (USA) to jalisco and Veracruz (Mexico), Guatemala</t>
  </si>
  <si>
    <t>Nepal to SW china and burma</t>
  </si>
  <si>
    <t>Szechan, Kweichow (China), Thailand</t>
  </si>
  <si>
    <t>altarium</t>
  </si>
  <si>
    <t>Philippines, N Borneo</t>
  </si>
  <si>
    <t>macrotarsus</t>
  </si>
  <si>
    <t>Ethiopia and Zaire, south to South Africa</t>
  </si>
  <si>
    <t>cape province, natal and transvaal (south africa), malawi, zambia</t>
  </si>
  <si>
    <t>Australia, S New Guinea</t>
  </si>
  <si>
    <t>Western australia (excluding the south), northern territory, south australia, New south wales and queensland (australia)</t>
  </si>
  <si>
    <t>greyii</t>
  </si>
  <si>
    <t>rusticus</t>
  </si>
  <si>
    <t>pakistan, n india</t>
  </si>
  <si>
    <t>http://www.glirarium.org/dormouse/biology-chaetocauda.html</t>
  </si>
  <si>
    <t>jake</t>
  </si>
  <si>
    <t>Burma, Thailand, Cambodia, Vietnam, W Malaysia, Sumatra, mentawai isls, Riau Arch. Java, Borneo, Sri Lanka</t>
  </si>
  <si>
    <t>hasseltii</t>
  </si>
  <si>
    <t>Venezuela, SE Collombia, Guyana, NW Brazil</t>
  </si>
  <si>
    <t>New Guinea, Kei Isls, Trobriand isls</t>
  </si>
  <si>
    <t>Ghana, Gabon, Zaire, Uganada, perhaps Ethiopia</t>
  </si>
  <si>
    <t>aloysiisabaudiae</t>
  </si>
  <si>
    <t>600-700g; mammals of madagascar</t>
  </si>
  <si>
    <t>500-600g</t>
  </si>
  <si>
    <t>subfossils: 2.5-5 times larger than D. madagascariensis</t>
  </si>
  <si>
    <t>2-3kg; mammals of madagascar</t>
  </si>
  <si>
    <r>
      <t xml:space="preserve">200 </t>
    </r>
    <r>
      <rPr>
        <u/>
        <sz val="10"/>
        <color indexed="8"/>
        <rFont val="Arial"/>
      </rPr>
      <t>+</t>
    </r>
    <r>
      <rPr>
        <sz val="10"/>
        <color indexed="8"/>
        <rFont val="Arial"/>
      </rPr>
      <t>50kg</t>
    </r>
  </si>
  <si>
    <t>Babakotia</t>
  </si>
  <si>
    <t>Japen, Salawati, Waigeo</t>
  </si>
  <si>
    <t>Nicaragua, Costa Rica, Guyana, Amazonian Brazil</t>
  </si>
  <si>
    <t>Cyttarops</t>
  </si>
  <si>
    <t>Jalisco and Veracruz (Mexico) to Bolivia, Guianas and E Brazil south to Rio de Janiero; Trinidad and Tabago</t>
  </si>
  <si>
    <t>peninsular malaysia</t>
  </si>
  <si>
    <t>aequatorianus</t>
  </si>
  <si>
    <t>Surinam, Amazonian Brazil and Peru</t>
  </si>
  <si>
    <t>Bougainville, Buka, Choiseul</t>
  </si>
  <si>
    <t>UK</t>
  </si>
  <si>
    <t>range40-85g</t>
  </si>
  <si>
    <t>New Britain</t>
  </si>
  <si>
    <t>130, 135</t>
  </si>
  <si>
    <t>n=9</t>
  </si>
  <si>
    <t>n=35</t>
  </si>
  <si>
    <t>n=97</t>
  </si>
  <si>
    <t>n=100</t>
  </si>
  <si>
    <t>n=17</t>
  </si>
  <si>
    <t>n=3</t>
  </si>
  <si>
    <t>n=11</t>
  </si>
  <si>
    <t>Goodenough Island</t>
  </si>
  <si>
    <t>males: 17.1 (15-20.2); females: 17.6 (12-23)</t>
  </si>
  <si>
    <t>hobbit</t>
  </si>
  <si>
    <t>spelea</t>
  </si>
  <si>
    <t>probably not a good spp. Synonomous w/ C. ferox</t>
  </si>
  <si>
    <t>Assam (India), N Burma, N Thailand</t>
  </si>
  <si>
    <t>pachyotis</t>
  </si>
  <si>
    <t>yesoensis</t>
  </si>
  <si>
    <t>S England to Caucasus Mtns south to Morocco and Tunesia (but not Egypt) through Iran and Himalayas to China and Japan; adjacent small islands</t>
  </si>
  <si>
    <t>Lesser Sunda Isls (indonesia) Borneo</t>
  </si>
  <si>
    <t>flora</t>
  </si>
  <si>
    <t>schlieffeni</t>
  </si>
  <si>
    <t>2500g was the estimate from kj and me.  However, morgan has no record of a mass for this spp.</t>
  </si>
  <si>
    <t>extinct in wild</t>
  </si>
  <si>
    <t>68, 117</t>
  </si>
  <si>
    <t>68, 119</t>
  </si>
  <si>
    <t>weight at 6-8 in mammals of madagascar</t>
  </si>
  <si>
    <t>NW New Guinea</t>
  </si>
  <si>
    <t>males: 7.5</t>
  </si>
  <si>
    <t>wollastoni</t>
  </si>
  <si>
    <t>750-900g; mammals of madagascar</t>
  </si>
  <si>
    <t>average: 1.5-1.65kg</t>
  </si>
  <si>
    <t>2.2-2.5kg</t>
  </si>
  <si>
    <t>Rhinolophus</t>
  </si>
  <si>
    <t>North Caucasus, Kazakhstan, Uzbekistan and Turkmenistan</t>
  </si>
  <si>
    <t>bobrinskoi</t>
  </si>
  <si>
    <t>castaneus</t>
  </si>
  <si>
    <t>N Northern territory, N and E Queensland, N and W western asutralia, e new south wales and victoria (australia), new guniea</t>
  </si>
  <si>
    <t>gouldi</t>
  </si>
  <si>
    <t>SW Cape Province (South Africa)</t>
  </si>
  <si>
    <t>hunting, habitat loss, chgs in native predators, hybridizers</t>
  </si>
  <si>
    <t>head-body:  81mm</t>
  </si>
  <si>
    <t>longimanus</t>
  </si>
  <si>
    <t>Chalinolobus</t>
  </si>
  <si>
    <t>nigrogriseus</t>
  </si>
  <si>
    <t>Indochina &amp; Sunda Shelf (Peninsular Thailand, Malay Peninsula)</t>
  </si>
  <si>
    <t>perforatus</t>
  </si>
  <si>
    <t>hunting, changes in prey base</t>
  </si>
  <si>
    <t>Males 120kg, females 60kg</t>
  </si>
  <si>
    <t>Lama, not alpaca</t>
  </si>
  <si>
    <t>male mass</t>
  </si>
  <si>
    <t>forearm: 49.6-52</t>
  </si>
  <si>
    <t>ronaldi</t>
  </si>
  <si>
    <t>111, 114, 115</t>
  </si>
  <si>
    <t>115, 117, 133</t>
  </si>
  <si>
    <t>Salebabu, Butung, Muna (Raha), Peleng, Sulawesi, Togian</t>
  </si>
  <si>
    <t>males: 29.7 (27-33); females: 32</t>
  </si>
  <si>
    <t>sp. Cf. Cephalotes</t>
  </si>
  <si>
    <t>link olson</t>
  </si>
  <si>
    <t>male forearms: 33.1 (32.1-34.1); female forearms: 32.4 (31.4-34.5)</t>
  </si>
  <si>
    <t>females forearms: 49.2</t>
  </si>
  <si>
    <t>secundus</t>
  </si>
  <si>
    <t>hunting, habitat loss, natural disasters, skewed sex ratios</t>
  </si>
  <si>
    <t>Sri Lanka, Inida to Cambodia; malay Peninsula; sumatra, Borneo, java, Bali and Flores (Indonesia)</t>
  </si>
  <si>
    <t>hunting, habitat loss, parasites/pathogens, low reproduction, hybridizers</t>
  </si>
  <si>
    <t>Western Australia, South Australia and Northern Territory</t>
  </si>
  <si>
    <t>Arizona (USA) to Nicaragua</t>
  </si>
  <si>
    <t>Amazonian Brazil, perhaps Venezuela</t>
  </si>
  <si>
    <t>Caucasus to the Pamirs, N Iran, Afganistan, India and W China, Honshu, Hokkaido (Japan), Sinai (Egypt), N Ethiopia, perhaps Indo-China</t>
  </si>
  <si>
    <t>leucomelas</t>
  </si>
  <si>
    <t>Liberia, Ghana, Cameroon, Congo Republic, Zaire</t>
  </si>
  <si>
    <t>phalaena</t>
  </si>
  <si>
    <t>Coast of Sonora and Baja California (Mexico), cheifly on small islands</t>
  </si>
  <si>
    <t>female:5100, male: 9500</t>
  </si>
  <si>
    <t>syn. Zygomaturus nimborensia; uncertain age…thought to be Pleistocene; 200-400 kg</t>
  </si>
  <si>
    <t>males: 11.7 (11.5-11.7); females: no mass</t>
  </si>
  <si>
    <t>euryotis</t>
  </si>
  <si>
    <t>females: 16.6 (16-17)</t>
  </si>
  <si>
    <t>megaphyllus</t>
  </si>
  <si>
    <t>Indonesia, Java</t>
  </si>
  <si>
    <t>Taiwan, Hainan, Isl. China</t>
  </si>
  <si>
    <t>range 1.5-4g</t>
  </si>
  <si>
    <t>Comores Isls.</t>
  </si>
  <si>
    <t>Wokam, New Guinea</t>
  </si>
  <si>
    <t>75, 118</t>
  </si>
  <si>
    <t>Borneo, Philippines, Java and sumatra, W Malaysia</t>
  </si>
  <si>
    <t>Tibet, china (record may be doubtful), NW India to vietnam, Fukien (China), Thailand, W Malaysia</t>
  </si>
  <si>
    <t>huttoni</t>
  </si>
  <si>
    <t>japan, including Tsushima isls</t>
  </si>
  <si>
    <t>silvatica</t>
  </si>
  <si>
    <t>Tsushima isls (Japan), perhaps Yakushima (Ryukyu isls, Japan)</t>
  </si>
  <si>
    <t>tenebrosa</t>
  </si>
  <si>
    <t>Ethiopia, Somalia, kenya, Uganda, E Sudan, Tanzania, Zanzibar</t>
  </si>
  <si>
    <t>Megadermatidae</t>
  </si>
  <si>
    <t>Cardioderma</t>
  </si>
  <si>
    <t>cor</t>
  </si>
  <si>
    <t>Bat, Blup Blup Bougainville, Choiseul, Gebe, Guadalcanal, Karkar, Manus, New Britain, New Ireland, Nissan, Salawati, Tikopia, New Guinea</t>
  </si>
  <si>
    <t>males forearm: 156; females forearm: 185</t>
  </si>
  <si>
    <t>smaller than most other Pteropus; forearm 120-140mm</t>
  </si>
  <si>
    <t>Furipteridae</t>
  </si>
  <si>
    <t>Chiapas and Tabasco (Mexico) to E Brazil and Peru; Guianas; Margarita Isl (Venezuela); Trinidad and Tobago</t>
  </si>
  <si>
    <t>leptura</t>
  </si>
  <si>
    <t>sinaloae</t>
  </si>
  <si>
    <t>San Martin</t>
  </si>
  <si>
    <t>Fergusson</t>
  </si>
  <si>
    <t>Japen, Sideia, New Guinea</t>
  </si>
  <si>
    <t>only known from 5 specimens</t>
  </si>
  <si>
    <t>hunting, habitat loss, hybridizers</t>
  </si>
  <si>
    <t>S Veracruz and oxaca (Mexico) to EC Guatemala and belize</t>
  </si>
  <si>
    <t>Balantiopteryx</t>
  </si>
  <si>
    <t>111, 117</t>
  </si>
  <si>
    <t>Liberia to W Kenya south to Angola</t>
  </si>
  <si>
    <t>peli</t>
  </si>
  <si>
    <t>Conflict Group, Fergusson, Goodenough, Misima, Normanby, Sideia, Sudest, Woodlark, New Guinea</t>
  </si>
  <si>
    <t>Indonesia, Aru Islands, Batanta, Japen, Salawati, Waigeo, New Guinea</t>
  </si>
  <si>
    <t>118, 123</t>
  </si>
  <si>
    <t>112.  Grainger, M. , Gunn, E., and Watts., D.  1987.  Tasmanian mammals:  a field guide.  Tasmanian conservation trust inc.  Hobart, Tasmania.  111pp</t>
  </si>
  <si>
    <t>Philippines, Borneo, Sulawesi and Tanimbar (Indonesia) and adjacent small islands</t>
  </si>
  <si>
    <t>115, 119, 131</t>
  </si>
  <si>
    <t>tasmaniensis</t>
  </si>
  <si>
    <t>Vespadelus</t>
  </si>
  <si>
    <t>hunting, habitat loss, high juvenile mortality, low densities</t>
  </si>
  <si>
    <t>136, 141</t>
  </si>
  <si>
    <t>only a few photographs exists. 136</t>
  </si>
  <si>
    <t>Hadropithecus</t>
  </si>
  <si>
    <t>stenognathus</t>
  </si>
  <si>
    <t>Hipposideridae</t>
  </si>
  <si>
    <t>Rhodes, crete</t>
  </si>
  <si>
    <t>range2.5-6.5kg</t>
  </si>
  <si>
    <t>119, 138</t>
  </si>
  <si>
    <t>range1-2.2kg</t>
  </si>
  <si>
    <t>Sri Lanka, Indonesia, Taiwan</t>
  </si>
  <si>
    <t>132, 133</t>
  </si>
  <si>
    <t>range1.3-2.2kg</t>
  </si>
  <si>
    <t>dog introduced 2000 ybp to New Guinea</t>
  </si>
  <si>
    <t>Burney, D. A., H. F. James, F. V. Grady, J. Rafamantanantsoa, Ramilisonia, H. T. Wright, J. G. Cowart.  1997.  Environmental Change, Extinction and human activity:  evidence from caves in madagascar.  Journal of Biogeography, 24:755-767.</t>
  </si>
  <si>
    <t>total length: 2000mm; shoulder height 800mm</t>
  </si>
  <si>
    <t>hunting, habitat loss, invasive competitors/predators/parasites/pathogens, natural disasters</t>
  </si>
  <si>
    <t>Senegal to Botswana, Mozambique, Somalia and Egypt; s Arabia, s Iran; Pakistan; NW India</t>
  </si>
  <si>
    <t>thebaica</t>
  </si>
  <si>
    <t>New Guniea, Kei Isls, Halmahera isls, Schouten Isls, Sulawesi, Amboina and Buru (Indonesia), Bismarch Arch (Papua New Guniea), Solomon Isls; adjacent small islands</t>
  </si>
  <si>
    <t>Mosia</t>
  </si>
  <si>
    <t>Guerrero (Mexico) to New Mexico, Arizona, Calfornia (USA) and Baja California (Mexico)</t>
  </si>
  <si>
    <t>femorosaccus</t>
  </si>
  <si>
    <t>leucoptera</t>
  </si>
  <si>
    <t>Ghana, Nigeria, Cameroon, Zaire, Uganda, perhaps Gambia</t>
  </si>
  <si>
    <t>Sri Lanka and india through SE Asia to Lesser Sundas, the Philippines and Molucca Isls, various adjacent islands</t>
  </si>
  <si>
    <t>Megaderma</t>
  </si>
  <si>
    <t>spasma</t>
  </si>
  <si>
    <t>Ivory coast to NE Angola, W Tanzania, W Kenya and SW sudan</t>
  </si>
  <si>
    <t>Veracruz (Mexico) to NW Peru, N Argentina, Uruguay and Brazil -the patagonian record is probably in error</t>
  </si>
  <si>
    <t>hunting, habitat loss, changes in native competitors</t>
  </si>
  <si>
    <t>largest of 3 Malagasy hippos, but not as big as common hippo; 2/3 size of modern hippo</t>
  </si>
  <si>
    <t>Peropteryx</t>
  </si>
  <si>
    <t>hunting, habitat loss, changes in native competitors, hybridizers, low densities</t>
  </si>
  <si>
    <t xml:space="preserve">male (11, 700), female (9100) average </t>
  </si>
  <si>
    <t>range 3.5-7g</t>
  </si>
  <si>
    <t>range6-14g</t>
  </si>
  <si>
    <t>range9.5-14g</t>
  </si>
  <si>
    <t>10, 17.4</t>
  </si>
  <si>
    <t>range10-24g</t>
  </si>
  <si>
    <t>Japan, Taiwan</t>
  </si>
  <si>
    <t>hunting (past), habitat loss, pollution</t>
  </si>
  <si>
    <t>habitat loss, changes in prey base</t>
  </si>
  <si>
    <t>macrocneme</t>
  </si>
  <si>
    <t>males: 8.8 (8-10); females: 9.6 (8.5-10)</t>
  </si>
  <si>
    <t>NE&amp;E Zaire, W Uganda, Ruwanda</t>
  </si>
  <si>
    <t>New Britain Isl., Bismark Archipelago</t>
  </si>
  <si>
    <t>Ivory Coast &amp; Chana</t>
  </si>
  <si>
    <t>N Angola</t>
  </si>
  <si>
    <t>uk</t>
  </si>
  <si>
    <t>found Kelangurr Cave &amp; West Baliem River (41500 +- 1500 ybp)</t>
  </si>
  <si>
    <t>Cape Prov., E orange Free state, and S Transvaal (south Africa)</t>
  </si>
  <si>
    <t>Cape Prov., South Africa</t>
  </si>
  <si>
    <t>Pakistan &amp; NW India</t>
  </si>
  <si>
    <t>119, 133</t>
  </si>
  <si>
    <t>118, 119, 123</t>
  </si>
  <si>
    <t>Aproteles</t>
  </si>
  <si>
    <t>bulmerae</t>
  </si>
  <si>
    <t>extinct/historical?</t>
  </si>
  <si>
    <t>isignis</t>
  </si>
  <si>
    <t>8-10kg</t>
  </si>
  <si>
    <t>subfossils</t>
  </si>
  <si>
    <t>Megaladapis</t>
  </si>
  <si>
    <t>35-70kg</t>
  </si>
  <si>
    <t>75+kg</t>
  </si>
  <si>
    <t>Murina</t>
  </si>
  <si>
    <t>florium</t>
  </si>
  <si>
    <t>Secure</t>
  </si>
  <si>
    <t>W Peru, W Ecuador, Puna Isl (Ecuador) N Chile</t>
  </si>
  <si>
    <t>Venezuela, Guyana, C and NE Brazil</t>
  </si>
  <si>
    <t>mattogrossensis</t>
  </si>
  <si>
    <t>planirostris</t>
  </si>
  <si>
    <t>Colombia, Venezuela, Guianas, Ecuador, peru, Bolivia, brazil</t>
  </si>
  <si>
    <t>persecution, habitat loss, pollution, changes in prey base</t>
  </si>
  <si>
    <t>Honduras to Ecuador and Venezuela, Cozumel Isl (Mexico)</t>
  </si>
  <si>
    <t>bondae</t>
  </si>
  <si>
    <t>225.  Woodman, N., and R. M. Timm.  1993.  Intraspecific and interspecific variation in the Cryptotis nigrescens species complex of small-eared shrews (Insectivora: Soricidae), with the description of a new species from Colombia.  Fieldiana: Zoology  (new series), 74:1–30.</t>
  </si>
  <si>
    <t>224, 225, Neal Woodman, Pers com.</t>
  </si>
  <si>
    <t>223, Neal Woodman pers. Com</t>
  </si>
  <si>
    <t>WT:6.4</t>
  </si>
  <si>
    <t>60, 163, 130</t>
  </si>
  <si>
    <t>hunting, habitat loss, changes in prey base</t>
  </si>
  <si>
    <t>io</t>
  </si>
  <si>
    <t>Colombia, Peru, brazil and Surinam to S Sonora and S Tamaulipas (Mexico); Trinidad</t>
  </si>
  <si>
    <t>Craseonycteridae</t>
  </si>
  <si>
    <t>Craseonycteris</t>
  </si>
  <si>
    <t>thonglongyai</t>
  </si>
  <si>
    <t>Thailand to W Malaysia; Borneo; Sumatra, Rhio Arch., banka, Billiton, Engano, Babi Isls, Nias Isl, mentawai Isls, java, Sulawesi and Karimata isl (Indonesia)</t>
  </si>
  <si>
    <t>NW Brazil, Venezuela</t>
  </si>
  <si>
    <t>Nayarit (Mexico) to E Brazil and Trinidad</t>
  </si>
  <si>
    <t>described by Zimmermann et al., 1998</t>
  </si>
  <si>
    <t>males: 4.7 (4-5.4); females: 5.1</t>
  </si>
  <si>
    <t>secure</t>
  </si>
  <si>
    <t>males forearm: 40 (39.3-40.8); females forearm: 40 (39.2-41)</t>
  </si>
  <si>
    <t>~17kg</t>
  </si>
  <si>
    <t>AVERAGE(41.1, 38.6), N=32</t>
  </si>
  <si>
    <t>n=84</t>
  </si>
  <si>
    <t>n=103</t>
  </si>
  <si>
    <t>n=34</t>
  </si>
  <si>
    <t>63, 70, 135</t>
  </si>
  <si>
    <t>males forearm 46.8 (45-58); females forearm 45.9 (42-47.9)</t>
  </si>
  <si>
    <t>pupua</t>
  </si>
  <si>
    <t>semoni</t>
  </si>
  <si>
    <t>vulturnis</t>
  </si>
  <si>
    <t>males: 70 (68-72); females: 84.5 (73-90)</t>
  </si>
  <si>
    <t>Macroglossus</t>
  </si>
  <si>
    <t>darlingtoni</t>
  </si>
  <si>
    <t>sp</t>
  </si>
  <si>
    <t>Falsistrellus</t>
  </si>
  <si>
    <t>118, 119</t>
  </si>
  <si>
    <t>Iran, Afghanistan, Turkmenistan</t>
  </si>
  <si>
    <t>weight at 180-270g in mammals of madagascar</t>
  </si>
  <si>
    <t>Bahamas</t>
  </si>
  <si>
    <t>350-500g; mammals of madagascar</t>
  </si>
  <si>
    <t>68; link olson</t>
  </si>
  <si>
    <t>800-1200g; estimated by mammals of madagascar</t>
  </si>
  <si>
    <t>males forearm: 58; females forearm: 57.6 (57-58)</t>
  </si>
  <si>
    <t>kuboriensis</t>
  </si>
  <si>
    <t>Notes:</t>
  </si>
  <si>
    <t>habitat loss, hunting, accidental mortality</t>
  </si>
  <si>
    <t>Central Arabia; Israel; Sinai; Egypt to Morocco, Senegal, benin, Somalia and Kenya, thence south to South Africa in open country; Zanzibar and Pemba</t>
  </si>
  <si>
    <t>India and Sri Lanka to S China and Vietnam, southeast to Phillipines, Borneo and lesser sunda isls, hainan (China), Cocos Keeling Isl (Indian Ocean)</t>
  </si>
  <si>
    <t>New Guniea, N and C Australia, Solomon Isls, Vanuatu (=New Hebrides), Fiji, perhaps Bismarck Arch</t>
  </si>
  <si>
    <t>125, 129, 130</t>
  </si>
  <si>
    <t>WT:1250</t>
  </si>
  <si>
    <t>125, 129, 260, 130</t>
  </si>
  <si>
    <t>WT:8.25</t>
  </si>
  <si>
    <t>WT:27</t>
  </si>
  <si>
    <t>WT:75</t>
  </si>
  <si>
    <t>128, 130</t>
  </si>
  <si>
    <t>WT:63</t>
  </si>
  <si>
    <t>135, 130</t>
  </si>
  <si>
    <t>129, 260, 130</t>
  </si>
  <si>
    <t>WT:120</t>
  </si>
  <si>
    <t>WT:60</t>
  </si>
  <si>
    <t>WT:42.8</t>
  </si>
  <si>
    <t>WT:52</t>
  </si>
  <si>
    <t>WT:33.5</t>
  </si>
  <si>
    <t>WT:43</t>
  </si>
  <si>
    <t>63, 70, 135, 130</t>
  </si>
  <si>
    <t>75, 130</t>
  </si>
  <si>
    <t>WT:37</t>
  </si>
  <si>
    <t>WT:32</t>
  </si>
  <si>
    <t>WT:57</t>
  </si>
  <si>
    <t>persecution, habitat loss, change in prey base, pollution</t>
  </si>
  <si>
    <t>Cuba, Hispaniola; as fossil, Isle of Pines (Cuba)</t>
  </si>
  <si>
    <t>Phyllops</t>
  </si>
  <si>
    <t>falcatus</t>
  </si>
  <si>
    <t>Liberia, Cameroon, Sudan, Zaire, Uganad, Kenya, Tanzania</t>
  </si>
  <si>
    <t>known only from skulls</t>
  </si>
  <si>
    <t>males: 489 (410-600); females: 317 (460-444)</t>
  </si>
  <si>
    <t>males: 14.2 (13.2-15.5); females: 14.2 (13.4-15.3)</t>
  </si>
  <si>
    <t>island specific mass</t>
  </si>
  <si>
    <t>Pleistocene descendent of Protemnodon otibandus; 40-60kg</t>
  </si>
  <si>
    <t>Dobsonia</t>
  </si>
  <si>
    <t>Maokopia</t>
  </si>
  <si>
    <t>known only from one specimen, and is of uncertain taxonomic status</t>
  </si>
  <si>
    <t>Mangole, Taliabu</t>
  </si>
  <si>
    <t>vu</t>
  </si>
  <si>
    <t>subfossils, not completely extinct until 900 bp.  People did not arrive until ~500 AD or so, christian era, by 9th and 10th centuries people were widespread., no strong evidence of climate change 2-3000 year bp. Dewar 1984</t>
  </si>
  <si>
    <t>head-body: 46-52.4</t>
  </si>
  <si>
    <t>head-body:  101-111mm</t>
  </si>
  <si>
    <t>head-body:  91.5-96.3mm</t>
  </si>
  <si>
    <t>head-body:  49.4-62.1</t>
  </si>
  <si>
    <t>Batanta, Biak-Supiori, Fergusson, Goodenough, Japen, New Britain, Normanby, New Guinea</t>
  </si>
  <si>
    <t>Manus</t>
  </si>
  <si>
    <t>range135-200g</t>
  </si>
  <si>
    <t>68, 133</t>
  </si>
  <si>
    <t>Borneo, java</t>
  </si>
  <si>
    <t>range145-215g</t>
  </si>
  <si>
    <t>males forearm: 46.7; females forearm: 48.5</t>
  </si>
  <si>
    <t>magnater</t>
  </si>
  <si>
    <t>both sexes: 12.6 (13-14.5)</t>
  </si>
  <si>
    <t>males: 12.1; females: 11.3 (11-11.5)</t>
  </si>
  <si>
    <t>propitristis</t>
  </si>
  <si>
    <t>matambuai</t>
  </si>
  <si>
    <t>S Sudan, Chad, Kenya</t>
  </si>
  <si>
    <t>hamiltoni</t>
  </si>
  <si>
    <t>Panama to Peru, n Argentina, Paraguay, brazil and Surinam</t>
  </si>
  <si>
    <t>greenhalli</t>
  </si>
  <si>
    <t>Venezuela, Colombia, Peru, Boliva, S Brazil, Paraguay, N Argentina, uruguay</t>
  </si>
  <si>
    <t>Molossops</t>
  </si>
  <si>
    <t>213.  Kitchener, A.C., Clegg, T., Thompson, N. M. J., Wiik, H. and MacDonald, A. A.  1993.  First records of the Malay civit, Viverra tangalunga Gray, 1832, on Seram with notes on the Seram bandicoot Rhynchomeles prattorum Thomas, 1920.  Z. Säugetierkunde 58: 378-380.</t>
  </si>
  <si>
    <r>
      <t xml:space="preserve">269.  Barnett, A. A.  2005.  </t>
    </r>
    <r>
      <rPr>
        <i/>
        <sz val="10"/>
        <color indexed="8"/>
        <rFont val="Arial"/>
      </rPr>
      <t>Cacajao melanocephalus</t>
    </r>
    <r>
      <rPr>
        <sz val="10"/>
        <color indexed="8"/>
        <rFont val="Arial"/>
      </rPr>
      <t>.  Mammalian Species No. 776:1-6.  The American Society of Mammalogists.</t>
    </r>
  </si>
  <si>
    <t>WT:23</t>
  </si>
  <si>
    <t>163, 130</t>
  </si>
  <si>
    <t>WT:20.5</t>
  </si>
  <si>
    <t>WT:19.3</t>
  </si>
  <si>
    <t>63, 70, 130</t>
  </si>
  <si>
    <t>WT:61.5</t>
  </si>
  <si>
    <t>WT:2.5</t>
  </si>
  <si>
    <t>theobaldi</t>
  </si>
  <si>
    <t>Blup Blup, Duke of York, Japen, Karkar, Lamassa, Mioko, New Britain, New Ireland, Salawati, Sideia, Waigeo, New Guinea</t>
  </si>
  <si>
    <t>120, 133</t>
  </si>
  <si>
    <t>certans</t>
  </si>
  <si>
    <t>extint/historical</t>
  </si>
  <si>
    <t>Senegal to somalia, south to Angola, botswana and natal (South Africa), Madagascar</t>
  </si>
  <si>
    <t>Cameroon and Ghana, perhaps Sierra Leone</t>
  </si>
  <si>
    <t>condylurus</t>
  </si>
  <si>
    <t>range: 25-40g; avg. 30g</t>
  </si>
  <si>
    <t>range:40-70g; avg. 55g</t>
  </si>
  <si>
    <t>Dewar 1984.  Martin and Klien.</t>
  </si>
  <si>
    <t>muscina</t>
  </si>
  <si>
    <t>Afghanistan to s China, south to Sri Lanka and W Malaysia</t>
  </si>
  <si>
    <t>lyra</t>
  </si>
  <si>
    <t>hunting, habtat loss</t>
  </si>
  <si>
    <t>E. m. macaco: 2-2.5kg; E. m. flavifrons: 2-2.5kg; mammals of madagascar</t>
  </si>
  <si>
    <t>Jalisco and Yucatan (Mexico) to Peru, N Argtina and Surinam, Trinidad</t>
  </si>
  <si>
    <t>males: 16.8 (14-18.5); females: 18.1 (14.5-21)</t>
  </si>
  <si>
    <t>Nyctimene</t>
  </si>
  <si>
    <t>aello</t>
  </si>
  <si>
    <t>males: 82.6 (81.2-84); females: 92.3 (92-93)</t>
  </si>
  <si>
    <t>Misool, Salawati, Japen</t>
  </si>
  <si>
    <t>range4.5-8kg</t>
  </si>
  <si>
    <t>111, 133</t>
  </si>
  <si>
    <t>Peninsular Burma</t>
  </si>
  <si>
    <t>Guinea-Bissau to Somalia, south to angola, Zaire and Mozambique; Yemen</t>
  </si>
  <si>
    <t>Nicaragua to Peru and Brazil</t>
  </si>
  <si>
    <t>Cormura</t>
  </si>
  <si>
    <t>Liberia, mali, Burkina Faso, Ghana, Togo, Nigeria, Niger, Sudan, NE Zaire, Uganda, Tanzania</t>
  </si>
  <si>
    <t>Rennell and Malaita Isls (Solomon Isls), New Ireland (Bismarck Arch), New Guinea</t>
  </si>
  <si>
    <t>Sinaloa (Mexico) to Colombia and Surinam, Trinidad</t>
  </si>
  <si>
    <t>W Panama; Costa Rica; Honduras; Guatemale; Chiapas, Oaxaca to Nuevo Leon and Sinaloa (Mexico)</t>
  </si>
  <si>
    <t>dabbenei</t>
  </si>
  <si>
    <t>Guyana, Surinam</t>
  </si>
  <si>
    <t>maurus</t>
  </si>
  <si>
    <t>W Mexico</t>
  </si>
  <si>
    <t>niveiventer</t>
  </si>
  <si>
    <t>C India to Vietnam; Java, Borneo and Sulawesi</t>
  </si>
  <si>
    <t>Sinaloa (Mexico) to Columbia, Venezuela, Guyana and Surinam</t>
  </si>
  <si>
    <t>demonstrator</t>
  </si>
  <si>
    <t>S British Columbia (Canada) through W USA to Oaxaca (Mexico), east to Virginia</t>
  </si>
  <si>
    <t>taivanus</t>
  </si>
  <si>
    <t>WT:4000</t>
  </si>
  <si>
    <t>WT:6000</t>
  </si>
  <si>
    <t>WT:8500</t>
  </si>
  <si>
    <t>WT:10000</t>
  </si>
  <si>
    <t>WT:11000</t>
  </si>
  <si>
    <t>WT:40000</t>
  </si>
  <si>
    <t>139, 130</t>
  </si>
  <si>
    <t>WT:2000</t>
  </si>
  <si>
    <t>WT:2750</t>
  </si>
  <si>
    <t>WT:2500</t>
  </si>
  <si>
    <t>WT:650</t>
  </si>
  <si>
    <t>WT:47</t>
  </si>
  <si>
    <t>WT:12.7</t>
  </si>
  <si>
    <t>WT:48</t>
  </si>
  <si>
    <t>113, 129, 260, 130</t>
  </si>
  <si>
    <t>WT:7.75</t>
  </si>
  <si>
    <t>WT:21.5</t>
  </si>
  <si>
    <t>WT:18</t>
  </si>
  <si>
    <t>WT:83</t>
  </si>
  <si>
    <t>FA:84</t>
  </si>
  <si>
    <t>FA:55</t>
  </si>
  <si>
    <t>WT:16</t>
  </si>
  <si>
    <t>FA:33.75</t>
  </si>
  <si>
    <t>153, 259</t>
  </si>
  <si>
    <t>was loriae</t>
  </si>
  <si>
    <t>Peru, Colombia, N and E Brazil, Venezuela, French Guiana, Guyana and Surinam</t>
  </si>
  <si>
    <t>hunting, habitat loss, low reproduction, low pop density</t>
  </si>
  <si>
    <t>daubentonii</t>
  </si>
  <si>
    <t>hunting, human disturbance, restricted range</t>
  </si>
  <si>
    <t>Java; Sumatra</t>
  </si>
  <si>
    <t>males: 6.4 (5-7.3); females: 7.1 (6.2-8)</t>
  </si>
  <si>
    <t>Rhinolophidae</t>
  </si>
  <si>
    <t>111, 114, 115, 131</t>
  </si>
  <si>
    <t>range10-15kg</t>
  </si>
  <si>
    <t>60, 137</t>
  </si>
  <si>
    <t>63, 70, 115</t>
  </si>
  <si>
    <t>59, 117</t>
  </si>
  <si>
    <t>59, 118</t>
  </si>
  <si>
    <t>114, 115</t>
  </si>
  <si>
    <t>59, 118, 133</t>
  </si>
  <si>
    <t>changed from genus Microcebus to genus Mirza; Schwartz and Tattersall, 1985; MoM says that it should be changed; most authorities recognize the difference based on dental, morphological and behavioral differences290-320g; mammals of madagascar</t>
  </si>
  <si>
    <t>females:30-35g; males: 45-50g</t>
  </si>
  <si>
    <t>thomasettii</t>
  </si>
  <si>
    <t>Kolopsis</t>
  </si>
  <si>
    <t>watutense</t>
  </si>
  <si>
    <t>14000-10000 ybp - youngest specimen</t>
  </si>
  <si>
    <t>christenseni</t>
  </si>
  <si>
    <t>hunting, habitat loss, accidental mortality, changes in prey base</t>
  </si>
  <si>
    <t>habitat loss, restricted range, invasive competitors</t>
  </si>
  <si>
    <t>habitat loss, slow growth rates</t>
  </si>
  <si>
    <t>Zaire, Rwanda, Burundi, Tanzania, Angola, Zambia, Mozambique</t>
  </si>
  <si>
    <t>hunting, persecution, habitat loss, restricted range</t>
  </si>
  <si>
    <t>Nayarit (Mexico) to Ecuador and NE Brazil, Trinidad</t>
  </si>
  <si>
    <t xml:space="preserve">224.  Woodman, N.  2000.  Cryptotis merriami Choate in Costa Rica: syntopy with Cryptotis nigrescens (Allen) and possible character displacement.  Caribbean Journal of Science 36(3–4): 289–299.  </t>
  </si>
  <si>
    <t>pipistrellus</t>
  </si>
  <si>
    <t>196.  Woodland savanah mammals (excel file) Available at:  
www.iiasa.ac.at/~sendzim/MammalDataSets/ Woodland%20Savanna%20Mamm.xls</t>
  </si>
  <si>
    <t>178, 197</t>
  </si>
  <si>
    <t>87.3-104.4mm</t>
  </si>
  <si>
    <t>132.4mm (Bates, 1985 Mammalia)</t>
  </si>
  <si>
    <t>Head-Body: 99mm</t>
  </si>
  <si>
    <r>
      <t xml:space="preserve">266.  Krausman, P. R. and Morales, S. M.  2005.  </t>
    </r>
    <r>
      <rPr>
        <i/>
        <sz val="10"/>
        <color indexed="8"/>
        <rFont val="Arial"/>
      </rPr>
      <t>Acinonyx jubatus</t>
    </r>
    <r>
      <rPr>
        <sz val="10"/>
        <color indexed="8"/>
        <rFont val="Arial"/>
      </rPr>
      <t>.  Mammalian Species No. 771:1-6.  The American Society of Mammalogists.</t>
    </r>
  </si>
  <si>
    <r>
      <t xml:space="preserve">267.  Adam, P. J.  </t>
    </r>
    <r>
      <rPr>
        <i/>
        <sz val="10"/>
        <color indexed="8"/>
        <rFont val="Arial"/>
      </rPr>
      <t xml:space="preserve">Lobodon carcinophaga.  </t>
    </r>
    <r>
      <rPr>
        <sz val="10"/>
        <color indexed="8"/>
        <rFont val="Arial"/>
      </rPr>
      <t>Mammalian Species No. 772:1-14.  The American Society of Mammalogists.</t>
    </r>
  </si>
  <si>
    <r>
      <t xml:space="preserve">268.  Álvarez-Castañeda, S. T., and Méndez, L.  2005.  </t>
    </r>
    <r>
      <rPr>
        <i/>
        <sz val="10"/>
        <color indexed="8"/>
        <rFont val="Arial"/>
      </rPr>
      <t>Peromyscus madrensis</t>
    </r>
    <r>
      <rPr>
        <sz val="10"/>
        <color indexed="8"/>
        <rFont val="Arial"/>
      </rPr>
      <t>.  Mammalian Species No. 774:1-3.  The American Society of Mammalogists.</t>
    </r>
  </si>
  <si>
    <t>166.  Daniel, M. J. 1990.  New Zealand long-tailed bat. Pp. 117-122 IN:  The handbook of New Zealand Mammals (C. M. King, ed.).  Oxford University Press, Oxford.  600pp.</t>
  </si>
  <si>
    <t>Neal suggested that they are smaller than C. nigrescens in Costa Rica</t>
  </si>
  <si>
    <t>males forearm: 69.5; females forearm: 65</t>
  </si>
  <si>
    <t>http://members.vienna.at/shrew/itsesAP95-talpinae.html#scapanulus</t>
  </si>
  <si>
    <t>Palaeopropithecidae</t>
  </si>
  <si>
    <t>schreibersii</t>
  </si>
  <si>
    <t>males: 15.6 (14.8-16.4); females: 16.4 (15.3-17.5)</t>
  </si>
  <si>
    <t>Cape Prob. South Africa</t>
  </si>
  <si>
    <t>Hipposideros</t>
  </si>
  <si>
    <t>Aru Islands, Japen</t>
  </si>
  <si>
    <t>males: 91.8 (71-108); females: 85.7 (75-98)</t>
  </si>
  <si>
    <t>Syconycteris</t>
  </si>
  <si>
    <t>Bagabag,Batanta, Biak-Supirori,Blup Blup, apen, Kadovar, Karkar, Koil, Lou, Manus, Misool, New Britain, Owi, Sakar, Salawati, Su Mios, tolokiwa, Umboi, Vokeo, Waigeo</t>
  </si>
  <si>
    <t>fontoynontii</t>
  </si>
  <si>
    <t>Amazonian Brazil, Venezuela, peru, Guyana, Surinam</t>
  </si>
  <si>
    <t>Diclidurus</t>
  </si>
  <si>
    <t>scutatus</t>
  </si>
  <si>
    <t>Seychelle Isls, possibly Zanzibar</t>
  </si>
  <si>
    <t>Coleura</t>
  </si>
  <si>
    <t>seychellensis</t>
  </si>
  <si>
    <t>Sudan, Ethiopia, Uganda, Kenya, Tanzania, Zambia, Zimbabawe, Mozambique</t>
  </si>
  <si>
    <t>bivittata</t>
  </si>
  <si>
    <t>Ghana, Cameroon, Zaire, Kenya</t>
  </si>
  <si>
    <t>russata</t>
  </si>
  <si>
    <t>Mystacinidae</t>
  </si>
  <si>
    <t>Mystacina</t>
  </si>
  <si>
    <t>222.  Woodman, N., and R. M. Timm.  1999.  Geographic variation and evolutionary relationships among broad-clawed shrews of the Cryptotis goldmani-group (Mammalia: Insectivora: Soricidae).  Fieldiana: Zoology (new series) 91:1–35.</t>
  </si>
  <si>
    <t>Neal suggested that it was about the size of C. goldmani</t>
  </si>
  <si>
    <t>WT:22.5</t>
  </si>
  <si>
    <t>FA:75</t>
  </si>
  <si>
    <t>FA:41</t>
  </si>
  <si>
    <t>FA:60.5</t>
  </si>
  <si>
    <t>WT:6</t>
  </si>
  <si>
    <t>FA:40.5</t>
  </si>
  <si>
    <t>WT:8.5</t>
  </si>
  <si>
    <t>FA:47.5</t>
  </si>
  <si>
    <t>FA:57.5</t>
  </si>
  <si>
    <t>WT:14.5</t>
  </si>
  <si>
    <t>WT:13.5</t>
  </si>
  <si>
    <t>FA:46.5</t>
  </si>
  <si>
    <t>WT:7</t>
  </si>
  <si>
    <t>FA:41.5</t>
  </si>
  <si>
    <t>FA:61.5</t>
  </si>
  <si>
    <t>FA:42.5</t>
  </si>
  <si>
    <t>WT:9</t>
  </si>
  <si>
    <t>FA:45.5</t>
  </si>
  <si>
    <t>WT:6.5</t>
  </si>
  <si>
    <t>WT:77.5</t>
  </si>
  <si>
    <t>FA:106.5</t>
  </si>
  <si>
    <t>FA:52.5</t>
  </si>
  <si>
    <t>Wt:9</t>
  </si>
  <si>
    <t>FA:50</t>
  </si>
  <si>
    <t>WT:7.5</t>
  </si>
  <si>
    <t>FA:37</t>
  </si>
  <si>
    <t>WT:12.5</t>
  </si>
  <si>
    <t>FA:34.5</t>
  </si>
  <si>
    <t>WT:4.5</t>
  </si>
  <si>
    <t>FA:28.5</t>
  </si>
  <si>
    <t>WT:12</t>
  </si>
  <si>
    <t>FA:43</t>
  </si>
  <si>
    <t>FA:28</t>
  </si>
  <si>
    <t>FA:34</t>
  </si>
  <si>
    <t>FA:48.5</t>
  </si>
  <si>
    <t>259.  Bonaccorso, F. J.  1998.  Bats of Papua New Guinea.  Conservation International Tropical Field guide Series 2.  Conservation International, Washington D. C.</t>
  </si>
  <si>
    <t>specimens from New Guinea and Australia</t>
  </si>
  <si>
    <t>Ghana and Niger to sauida Arabia, ethiopia, south to namibia, Botswanna and Zimbabwe</t>
  </si>
  <si>
    <t>Senegal, Ivory Coast, NE Zaire</t>
  </si>
  <si>
    <r>
      <t xml:space="preserve">212.  Verheyen, W. N.  1964.  Description of </t>
    </r>
    <r>
      <rPr>
        <i/>
        <sz val="10"/>
        <color indexed="8"/>
        <rFont val="Arial"/>
      </rPr>
      <t>Lophuromys rahmi</t>
    </r>
    <r>
      <rPr>
        <sz val="10"/>
        <color indexed="8"/>
        <rFont val="Arial"/>
      </rPr>
      <t>a new species of Murdiae from Central Africa.  Revue de Zollogie et de Botanique Africaines  28:  206-213</t>
    </r>
  </si>
  <si>
    <t>142, 213</t>
  </si>
  <si>
    <t>Tamaulipas and Ja;isco (Mexico) to NW Peru, N Argentina and Brazil, Trinidad, cuba</t>
  </si>
  <si>
    <t>W Malaysia, Sumatra and Java, Borneo, SW Philippines, sulawesi and nearby small islands</t>
  </si>
  <si>
    <t>Cheiromeles</t>
  </si>
  <si>
    <t>S Brazil, Argentina and Chile to oregon, s Nebraska and Ohio (USA), Greater and Lesser Antilles</t>
  </si>
  <si>
    <t>Diprotodontidae</t>
  </si>
  <si>
    <t>Hulitherium</t>
  </si>
  <si>
    <t>Literature cited</t>
  </si>
  <si>
    <t>small; size of Dorcopsulus vanheurni; 3000 ybp</t>
  </si>
  <si>
    <t>S Veracruz (mexico) to E brazil and Peru</t>
  </si>
  <si>
    <t>Jalisco (Mexico) to Peru, N Argentina and Brazil, Jamaica, Cuba, Florida (USA)</t>
  </si>
  <si>
    <t>glaucinus</t>
  </si>
  <si>
    <t>head-body:  128-129mm</t>
  </si>
  <si>
    <t>perotis</t>
  </si>
  <si>
    <r>
      <t xml:space="preserve">265.  Mantooth, S. J. and Best, T. L.  2005.  </t>
    </r>
    <r>
      <rPr>
        <i/>
        <sz val="10"/>
        <color indexed="8"/>
        <rFont val="Arial"/>
      </rPr>
      <t>Chaetodipus penicillatus</t>
    </r>
    <r>
      <rPr>
        <sz val="10"/>
        <color indexed="8"/>
        <rFont val="Arial"/>
      </rPr>
      <t>.  Mammalian Species No. 767:1-7.  The American Society of Mammalogists.</t>
    </r>
  </si>
  <si>
    <t>63, 70, 266</t>
  </si>
  <si>
    <t>WT:16.5</t>
  </si>
  <si>
    <t>WT:17</t>
  </si>
  <si>
    <t>WT:5</t>
  </si>
  <si>
    <t>64, 130</t>
  </si>
  <si>
    <t>WT:2</t>
  </si>
  <si>
    <t>WT:4</t>
  </si>
  <si>
    <t>WT:70</t>
  </si>
  <si>
    <t>236.  Cain III, J. W., Krausman, P. R. and Germaine, H. L.  2004.  Antidorcas marsupialis.  Mammalian Species No. 753, pp. 1-7.  The American Society of Mammalogists.</t>
  </si>
  <si>
    <t>66, 237</t>
  </si>
  <si>
    <t>http://cons-dev.univ-lyon1.fr/MARMOTTE/MARMOT.EN/SAGA.EN/WORLD.MARMOT/Species/entexthima.html</t>
  </si>
  <si>
    <t>80-100mm, regression</t>
  </si>
  <si>
    <t>239.  Bennett, N. C. and Jarvis, J. U. M. 2004.  Cryptomys damarensis.  Mammalian Species No. 756, pp. 1-5.  The American Society of Mammalogists.</t>
  </si>
  <si>
    <t>234.  Waterman, J. M. and Herron, M. D.  2004.  Xerus princeps.  Mammalian Species No. 751, pp. 1-3.  The American Society of Mammalogists.</t>
  </si>
  <si>
    <t>153, 235</t>
  </si>
  <si>
    <t>60, 163, 226, 130</t>
  </si>
  <si>
    <t>WT:5.5</t>
  </si>
  <si>
    <t>WT:4.3</t>
  </si>
  <si>
    <t>listed as bulteri</t>
  </si>
  <si>
    <t>WT:51</t>
  </si>
  <si>
    <t>WT:21</t>
  </si>
  <si>
    <t>WT:14</t>
  </si>
  <si>
    <t>WT:3</t>
  </si>
  <si>
    <t>WT:6.7</t>
  </si>
  <si>
    <t>132, 60</t>
  </si>
  <si>
    <t>151, 60</t>
  </si>
  <si>
    <t>98-108mm, regression</t>
  </si>
  <si>
    <t>235.  Haynes, M. A. and Lee Jr., T. E. 2004.  Artibeus obscurus.  Mammalian Species No. 752, pp. 1-5.  The American Society of Mammalogists.</t>
  </si>
  <si>
    <t>www.iiasa.ac.at/~sendzim/MammalDataSets/ Trop%20Wet%20Forest%20Mamm.xls</t>
  </si>
  <si>
    <t>24.5 and 36</t>
  </si>
  <si>
    <t>237.  Hunt, J. L., Morris, J. E., and Best, T. L.  2004.  Nyctomys sumichrasti.  Mammalian Species No. 754, pp. 1-6.  The American Society of Mammalogists.</t>
  </si>
  <si>
    <t>sturdeei</t>
  </si>
  <si>
    <t>Sinaloa and Coahuila (Mexico) to Peru, N Argentina, uruguay, brazil and Guinanas, greater and lesser antilles, margarita isl (Venezuela), Curacao and Bonaire (netherlands Antilles); Trinidad and Taboago</t>
  </si>
  <si>
    <t>Molossus</t>
  </si>
  <si>
    <t>molossus</t>
  </si>
  <si>
    <t>217.  Yom-Tov, Y., and Dayan, T.  1996.  Body mass overlap and interspecific interference competition among desert gerbils?  Oikos 75:536-538.</t>
  </si>
  <si>
    <t>168, 60</t>
  </si>
  <si>
    <t>260.  Taylor, P.  1998.  The smaller mammals of KwaZulu-Natal.  University of Natal Press.  Pietermaritzburg</t>
  </si>
  <si>
    <t>257, 121</t>
  </si>
  <si>
    <t>257, 122</t>
  </si>
  <si>
    <t>153, 122</t>
  </si>
  <si>
    <t>68, 122</t>
  </si>
  <si>
    <t>125, 129, 260</t>
  </si>
  <si>
    <t>260, 109</t>
  </si>
  <si>
    <t>135, 260</t>
  </si>
  <si>
    <t>129, 130, 260</t>
  </si>
  <si>
    <t>60, 188, 260</t>
  </si>
  <si>
    <t>223.  Pine, R. H., N. Woodman, and R. M. Timm.  2002.  Rediscovery of Enders’s small-eared shrew, Cryptotis endersi (Insectivora: Soricidae), with a  redescription of the species.  Mammalian Biology  67:372 –377.</t>
  </si>
  <si>
    <t>233.  Jass, C. N. and Mead, J. I.  2004.  Capricornis crispus.  Mammalian Species No. 750, pp. 1-10.  The American Society of Mammalogists.</t>
  </si>
  <si>
    <t>Kenya, Tanzania, S Zaire, Mozambique, Zambia, Zimbabwe, SE Botswana, Swaziland, Transvall (South Africa)</t>
  </si>
  <si>
    <t>was bifax</t>
  </si>
  <si>
    <t>http://www.animalinfo.org/species/bat/embadian.htm, 259</t>
  </si>
  <si>
    <t>60, 260</t>
  </si>
  <si>
    <t>106, 260</t>
  </si>
  <si>
    <t>113, 260</t>
  </si>
  <si>
    <t>129, 260</t>
  </si>
  <si>
    <t>60, 129, 260</t>
  </si>
  <si>
    <t>113, 129, 260</t>
  </si>
  <si>
    <t>215.  Burton, J. A., and Pearson, B.  1987.  The collins guide to the rare mammals of the world.  The Stephen Greene Press.  Lexington, Massachusetts.  240pp.</t>
  </si>
  <si>
    <t>26, 58</t>
  </si>
  <si>
    <t>39. 43, 55</t>
  </si>
  <si>
    <t>25, 26, 28, 58</t>
  </si>
  <si>
    <t>1, 23, 58</t>
  </si>
  <si>
    <t>1, 32, 58</t>
  </si>
  <si>
    <t>26, 29, 58</t>
  </si>
  <si>
    <t>35, 43</t>
  </si>
  <si>
    <t>43, 55</t>
  </si>
  <si>
    <t>1, 39, 43</t>
  </si>
  <si>
    <t>36, 37, 58, 112</t>
  </si>
  <si>
    <t>120-160mm</t>
  </si>
  <si>
    <t>11, 39</t>
  </si>
  <si>
    <t>36, 37, 38, 58, 112</t>
  </si>
  <si>
    <t>28, 58</t>
  </si>
  <si>
    <t>British isls, s Scandinavia and W europe to the Volga and Caucasus, morocco, asia minor and israel to kashmir, kazakhstan and sinkiang (China). Perhaps Korea, japan and taiwan</t>
  </si>
  <si>
    <t>N Baja California (Mexico)</t>
  </si>
  <si>
    <t>Ethiopia, Nigeria</t>
  </si>
  <si>
    <t>morrisi</t>
  </si>
  <si>
    <t>233, http://www.traveltaiwan.com/e/em.html</t>
  </si>
  <si>
    <t>204.  Costa, D. P. and Gales, N. J.  2000.  Foraging energetics and diving behavior of lactating New Zealand sea lions, Phocarctos hookeri.  The Journal of Experimental Biology.  203: 3655-3665.</t>
  </si>
  <si>
    <t>regression; head body length: 108mm, tail: 130mm, hindfoot: 20mm</t>
  </si>
  <si>
    <t>238.  Maston, J. O., and McCarthy, T. J.  2004.  Sturnira mordax.  Mammalian Species No. 755, pp. 1-3.  The American Society of Mammalogists.</t>
  </si>
  <si>
    <t>SE Arizona and W Texas (USA) to S Mexico, perhaps Guatemala</t>
  </si>
  <si>
    <t>240.  Hwang, Y. T. and Lariviére, S.  2004.  Mydays marchei.  Mammalian Species No. 757, pp. 1-3.  The American Society of Mammalogists.</t>
  </si>
  <si>
    <t>Guatemala and Belize to Boliva and Amazonian Brazil</t>
  </si>
  <si>
    <t>fischerae</t>
  </si>
  <si>
    <t>S Mexico to Bolivia and S brazil; Trinidad and Tobago; grenada (Lesser Antilles)</t>
  </si>
  <si>
    <t>Artibeus</t>
  </si>
  <si>
    <t>E Panama, Colombia, Venezuela, Guianas, Amazonian Peru and Brazil</t>
  </si>
  <si>
    <t>Lionycteris</t>
  </si>
  <si>
    <r>
      <t xml:space="preserve">181.  Barrioneuvo, F. J., Zurita, F., Burgos, M. and Jimenez, R.  2004.  Developmental stages and growth rate of the mole </t>
    </r>
    <r>
      <rPr>
        <sz val="10"/>
        <color indexed="8"/>
        <rFont val="Arial"/>
      </rPr>
      <t xml:space="preserve">Talpa occidentalis (Insectivora, Mammalia).  Journal of Mammalogy.  85:120-125.  </t>
    </r>
  </si>
  <si>
    <t>241.  Spotorno, A. E., Zuleta, C. A., Valladares, J. P., Deane, A. L., and Jiménez, J. E.  2004.  Chinchilla laniger.  Mammalian Species No. 758, pp. 1-9.  The American Society of Mammalogists.</t>
  </si>
  <si>
    <t>61, 242</t>
  </si>
  <si>
    <t>WT:11</t>
  </si>
  <si>
    <t>WT:1100</t>
  </si>
  <si>
    <t>WT:210</t>
  </si>
  <si>
    <t>WT:300</t>
  </si>
  <si>
    <t>WT:260</t>
  </si>
  <si>
    <t>WT:265</t>
  </si>
  <si>
    <t>WT:61</t>
  </si>
  <si>
    <t>WT:4250</t>
  </si>
  <si>
    <t>65, 130</t>
  </si>
  <si>
    <t>mfa:131, female:123</t>
  </si>
  <si>
    <t>mwt:339, fwt:297.5</t>
  </si>
  <si>
    <t>mwt:254, fwt:114</t>
  </si>
  <si>
    <t>FA:120</t>
  </si>
  <si>
    <t>mwt:131, fwt:84</t>
  </si>
  <si>
    <t>FA: 94.5</t>
  </si>
  <si>
    <t>FA: 73</t>
  </si>
  <si>
    <t>mwt:80, fwt:73</t>
  </si>
  <si>
    <t>mfa:75, ffa:70.5</t>
  </si>
  <si>
    <t>listed as anurus</t>
  </si>
  <si>
    <t>WT:101</t>
  </si>
  <si>
    <t>FA:85</t>
  </si>
  <si>
    <t>WT:102</t>
  </si>
  <si>
    <t>FA:86</t>
  </si>
  <si>
    <t>WT:34</t>
  </si>
  <si>
    <t>FA:53</t>
  </si>
  <si>
    <t>WT:24</t>
  </si>
  <si>
    <t>FA:48</t>
  </si>
  <si>
    <t>wt:22</t>
  </si>
  <si>
    <t>fa:53</t>
  </si>
  <si>
    <t>WT:38</t>
  </si>
  <si>
    <t>WT:13</t>
  </si>
  <si>
    <t>FA:42</t>
  </si>
  <si>
    <t>WT:30</t>
  </si>
  <si>
    <t>FA:61</t>
  </si>
  <si>
    <t>WT:32.5</t>
  </si>
  <si>
    <t>FA:72.5</t>
  </si>
  <si>
    <t>Jake Goheen, 130</t>
  </si>
  <si>
    <t>FA:63.5</t>
  </si>
  <si>
    <t>south africa, Namibia, botswana, zimbabwe, mozambique, perhaps Ghana</t>
  </si>
  <si>
    <t>petrophilus</t>
  </si>
  <si>
    <t>Senegal to Kenya, Zimbabwe and Mozambique; Zanzibar and Pemba</t>
  </si>
  <si>
    <t>Liberia to W Tanzania and south to Angola</t>
  </si>
  <si>
    <t>E Brazil. A guyana record is erronous</t>
  </si>
  <si>
    <t>Seychelles, Aldabra Isl.</t>
  </si>
  <si>
    <t>aldabrensis</t>
  </si>
  <si>
    <t>W Malaysia, Borneo</t>
  </si>
  <si>
    <t>FA:52</t>
  </si>
  <si>
    <t>Diprotodonidae</t>
  </si>
  <si>
    <t>spp</t>
  </si>
  <si>
    <t>258.  Kitchener, D. J., and Maharadtunkamsi. 1996.   Geographic variation in morphology of Cynopterus nusatenggara (Chiroptera; Pteropodidae) in south-eastern Indonesia and description of two new subspecies. Mammalia. Vol:60, page:255-276. 1996 1996. </t>
  </si>
  <si>
    <t>palau Isls</t>
  </si>
  <si>
    <t>Taiwan</t>
  </si>
  <si>
    <t>Leontopithecus</t>
  </si>
  <si>
    <t>bairdii</t>
  </si>
  <si>
    <t>pinchaque</t>
  </si>
  <si>
    <t>lankadiva</t>
  </si>
  <si>
    <t>New Ireland (Bismarck Arch)</t>
  </si>
  <si>
    <t>masalai</t>
  </si>
  <si>
    <t>pselaphon</t>
  </si>
  <si>
    <t>cyclops</t>
  </si>
  <si>
    <t>sagittula</t>
  </si>
  <si>
    <t>Mt Nimba on Guinea-Liberia border, but probably more widespread</t>
  </si>
  <si>
    <t>Negros Isl</t>
  </si>
  <si>
    <t>Malaita Isl (Solomon Isls)</t>
  </si>
  <si>
    <t>malaitensis</t>
  </si>
  <si>
    <t>Cynopterus</t>
  </si>
  <si>
    <t>Phyllostomus</t>
  </si>
  <si>
    <t>218.  McCain, C. M. and R. M. Timm. Sigmodontomys aphrastus (Rodentia: Muridae): Re-evaluation and re-description of the species. For Submittal to Proceedings of the Biological Society of Washington.</t>
  </si>
  <si>
    <t>July-Aug 2004 - added reference 166-218 by SKL.</t>
  </si>
  <si>
    <t>n=2; only 7 known specimens</t>
  </si>
  <si>
    <t>68, 173</t>
  </si>
  <si>
    <t>65-90mm; regression</t>
  </si>
  <si>
    <r>
      <t xml:space="preserve">264.  Álvarez-Castañeda, S. T.  2005.  </t>
    </r>
    <r>
      <rPr>
        <i/>
        <sz val="10"/>
        <color indexed="8"/>
        <rFont val="Arial"/>
      </rPr>
      <t>Peromyscus winkelmanni</t>
    </r>
    <r>
      <rPr>
        <sz val="10"/>
        <color indexed="8"/>
        <rFont val="Arial"/>
      </rPr>
      <t>.  Mammalian Species No. 765:1-3.  The American Society of Mammalogists.</t>
    </r>
  </si>
  <si>
    <r>
      <t xml:space="preserve">282.  Webala, P. W., Oguge, N. O. and Bekele, A.  2004.  Bat species diversity and distribution in three vegetation communities of Meru National Park, Kenya.  </t>
    </r>
    <r>
      <rPr>
        <i/>
        <sz val="10"/>
        <color indexed="8"/>
        <rFont val="Arial"/>
      </rPr>
      <t>African Journal of Ecology</t>
    </r>
    <r>
      <rPr>
        <sz val="10"/>
        <color indexed="8"/>
        <rFont val="Arial"/>
      </rPr>
      <t xml:space="preserve"> 42: 171-179.</t>
    </r>
  </si>
  <si>
    <t>MOM Metadata - Date, what and person</t>
  </si>
  <si>
    <t>Brazil, Minas Gerais, Jaboticatubas, Serra do Cipo</t>
  </si>
  <si>
    <t>bokermanni</t>
  </si>
  <si>
    <t>E Brazil</t>
  </si>
  <si>
    <t>dekeyseri</t>
  </si>
  <si>
    <t>S and C Australia, new Guniea</t>
  </si>
  <si>
    <t>Colombia and Venezuela, south to N Argentina and east to E Brazil</t>
  </si>
  <si>
    <t>Venezuela to Bolivia</t>
  </si>
  <si>
    <t>Sturnira</t>
  </si>
  <si>
    <t>erythromos</t>
  </si>
  <si>
    <t>Peru, Ecuador, SE Colombia, Amazonia Brazil</t>
  </si>
  <si>
    <t>Senegal to Yemen, south to South Africa, Bioko, Pemba and Zanzibar, Comoro Isls, Aldabra and Amirante Isls (seychellas), Madagascar</t>
  </si>
  <si>
    <t>phrudus</t>
  </si>
  <si>
    <t>S Sudan, Ethiopia, Kenya</t>
  </si>
  <si>
    <t>Reunion and Mauritius (Mascarene Isls), Madagascar, south Africa, Ethiopia</t>
  </si>
  <si>
    <t>Peru, N Chile</t>
  </si>
  <si>
    <t>Peru</t>
  </si>
  <si>
    <t>Myopterus</t>
  </si>
  <si>
    <t>toltecus</t>
  </si>
  <si>
    <t>Guinanas, Venezuela, N Brazil</t>
  </si>
  <si>
    <t>curasoae</t>
  </si>
  <si>
    <t>South American coasts from Peru to Uruguay; Falkland Isl; occasionally north to coast of Brazil</t>
  </si>
  <si>
    <t>Jamaica</t>
  </si>
  <si>
    <t>China</t>
  </si>
  <si>
    <t>China, Nepal, Sikkim, N Burma</t>
  </si>
  <si>
    <t>Caenolestidae</t>
  </si>
  <si>
    <t>Caenolestes</t>
  </si>
  <si>
    <t>Paucituberculat</t>
  </si>
  <si>
    <t>carcinophagus</t>
  </si>
  <si>
    <t>dorcas</t>
  </si>
  <si>
    <t>microdon</t>
  </si>
  <si>
    <t>raviventris</t>
  </si>
  <si>
    <t>Rheomys</t>
  </si>
  <si>
    <t>pygargus</t>
  </si>
  <si>
    <t>Dorcatragus</t>
  </si>
  <si>
    <t>megalotis</t>
  </si>
  <si>
    <t>Gazella</t>
  </si>
  <si>
    <t>fulviventer</t>
  </si>
  <si>
    <t>convelatus</t>
  </si>
  <si>
    <t>Lestoros</t>
  </si>
  <si>
    <t>rufifrons</t>
  </si>
  <si>
    <t>Coelops</t>
  </si>
  <si>
    <t>leucopterus</t>
  </si>
  <si>
    <t>Colombia, Ecuador, Peru and Bolivia to Guianas and E Brazil</t>
  </si>
  <si>
    <t>Rhinophylla</t>
  </si>
  <si>
    <t>W Columbia, W Ecador</t>
  </si>
  <si>
    <t>alethina</t>
  </si>
  <si>
    <t>cultrata</t>
  </si>
  <si>
    <t>SW British Columbia and Iowa (USA) to Peru, N Argentina and Uruguay, Cuba, Jamaica, Hispanila</t>
  </si>
  <si>
    <t>Peru, Bolivia, SE Brazil, French Guiana and Ecuador to Tamaulipas and Sinaloa (Mexico); Trinidad; Grenada (Lesser Antilles)</t>
  </si>
  <si>
    <t>Costa Rica, Panama, Venezuela, Colombia, Ecuador, Peru, Bolivia</t>
  </si>
  <si>
    <t>subniger</t>
  </si>
  <si>
    <t>Solomon Isls, Santa Cruz Isls, Vanikoro Isl</t>
  </si>
  <si>
    <t>obliviosus</t>
  </si>
  <si>
    <t>Bolivia, E Peru, Ecuador and Colombia to Guianas and E brazil</t>
  </si>
  <si>
    <t>jagori</t>
  </si>
  <si>
    <t>Fiji Isls</t>
  </si>
  <si>
    <t>Jalisco, Colima, Michoacan and Guerrero (Mexico)</t>
  </si>
  <si>
    <t>Musonycteris</t>
  </si>
  <si>
    <t>harrisoni</t>
  </si>
  <si>
    <t>C Brazil, S Peru</t>
  </si>
  <si>
    <t>Guianas, Venezuela, N Brazil, C Colombia, Ecuador, Peru, Bolivia</t>
  </si>
  <si>
    <t>W and N Sulawesi</t>
  </si>
  <si>
    <t>villosum</t>
  </si>
  <si>
    <t>crenulatum</t>
  </si>
  <si>
    <t>Venezuela, Guyana, Surinam, Peru, brazil, Bolivia, paraguay, N Argentina</t>
  </si>
  <si>
    <t>abrasus</t>
  </si>
  <si>
    <t>Ecuador</t>
  </si>
  <si>
    <t>S Veracruz (Mexico) to Peru, NE Brazil and Guyana</t>
  </si>
  <si>
    <t>Bolivia and Venezuela to Hidalgo and Chihuahua (Mexico)</t>
  </si>
  <si>
    <t>Venezuela to Tamaulipas and Sinaloa (Mexico); Trinidad and Tabago</t>
  </si>
  <si>
    <t>Centurio</t>
  </si>
  <si>
    <t>tuberculata</t>
  </si>
  <si>
    <t>Madgascar</t>
  </si>
  <si>
    <t>Natalidae</t>
  </si>
  <si>
    <t>Natalus</t>
  </si>
  <si>
    <t>tumidifrons</t>
  </si>
  <si>
    <t>El Salvador, Honduras, Nicaragua</t>
  </si>
  <si>
    <t>Mortlock Isls (C Caroline Isls)</t>
  </si>
  <si>
    <t>phaeocephalus</t>
  </si>
  <si>
    <t>Steppes and deserts of SE Europe, Caucasus, Kazakhstan, Middle Asia; SW Asia (excl. Arabia); N China and S Mongolia</t>
  </si>
  <si>
    <t>fumeus</t>
  </si>
  <si>
    <t>Alopex</t>
  </si>
  <si>
    <t>lagopus</t>
  </si>
  <si>
    <t>phaeotis</t>
  </si>
  <si>
    <t>rex</t>
  </si>
  <si>
    <t>Penang Isl, Tuangku Isl, Borneo (Sarawak and Sabah)</t>
  </si>
  <si>
    <t>India, Burma, China, Thailand, Laos, Vietnam, Malay Peninsula</t>
  </si>
  <si>
    <t>Juan Fernandez and San Felix Isls</t>
  </si>
  <si>
    <t>Egypt &amp; Libya</t>
  </si>
  <si>
    <t>China, Tibet, Burma, India, Bhutan, Nepal</t>
  </si>
  <si>
    <t>regina</t>
  </si>
  <si>
    <t>pales</t>
  </si>
  <si>
    <t>atlas</t>
  </si>
  <si>
    <t>Kangurus</t>
  </si>
  <si>
    <t>Sri Lanka, India, SE Asia, Malysia, Philippines, Nicobar and Andaman Isl, Borneo, Sumatra, Sulawesi, Talaud Isl and adjacent small islands</t>
  </si>
  <si>
    <t>Bolivia and Venezuela to Jalisco and Tamaulipas (Mexico); Arizona (USA); trinidad</t>
  </si>
  <si>
    <t>hartii</t>
  </si>
  <si>
    <t>Curacao, Bonaire and Aruba (Netherlands Antilles), NE Colombia, N Venezuela (inc. Margarita Isl); El Salvador to Arizona and New Mexico (USA)</t>
  </si>
  <si>
    <t>Leptonycteris</t>
  </si>
  <si>
    <t>teniotis</t>
  </si>
  <si>
    <t>E Panama, Colombia, Venezuela, Guianas, Amazonian Brazil, Peru, Bolivia</t>
  </si>
  <si>
    <t>Lonchophylla</t>
  </si>
  <si>
    <t>Peru, Ecuador, Colombia, Venezuela, perhaps Amazonian Brazil</t>
  </si>
  <si>
    <t>Costa Rica to Ecuador, E brazil, perhaps Peru and Bolivia</t>
  </si>
  <si>
    <t>Nicaragua to Venezuela and Ecuador</t>
  </si>
  <si>
    <t>2, 5</t>
  </si>
  <si>
    <t>montivaga</t>
  </si>
  <si>
    <t>theresa</t>
  </si>
  <si>
    <t>unistriata</t>
  </si>
  <si>
    <t>Thylamys</t>
  </si>
  <si>
    <t>elegans</t>
  </si>
  <si>
    <t>macrura</t>
  </si>
  <si>
    <t>velutinus</t>
  </si>
  <si>
    <t>Diprotodontia</t>
  </si>
  <si>
    <t>Borneo, Philippines Mentawai Isl (Indonesia)</t>
  </si>
  <si>
    <t>peurto Rico and Virgin isls (St. John and St. Thomas)</t>
  </si>
  <si>
    <t>Stenoderma</t>
  </si>
  <si>
    <t>rufum</t>
  </si>
  <si>
    <t>Lesser Antilles, from St Eustatius to st Vincent</t>
  </si>
  <si>
    <t>Ardops</t>
  </si>
  <si>
    <t>nichollsi</t>
  </si>
  <si>
    <t>Romerolagus</t>
  </si>
  <si>
    <t>diazi</t>
  </si>
  <si>
    <t>Sylvilagus</t>
  </si>
  <si>
    <t>Protemnodon</t>
  </si>
  <si>
    <t>brehus</t>
  </si>
  <si>
    <t>roechus</t>
  </si>
  <si>
    <t>Simosthenurus</t>
  </si>
  <si>
    <t>brownei</t>
  </si>
  <si>
    <t>maddocki</t>
  </si>
  <si>
    <t>gilli</t>
  </si>
  <si>
    <t>Sthenurus</t>
  </si>
  <si>
    <t>1, 16</t>
  </si>
  <si>
    <t>Walker's-Nowak, p. 161</t>
  </si>
  <si>
    <t>Yom Tov</t>
  </si>
  <si>
    <t>Walker's-Nowak, Vol.I, p.182</t>
  </si>
  <si>
    <t>Walker's-Nowak, Vol.I, p.466</t>
  </si>
  <si>
    <t>Ethiopia, Zaire, Uganda, Angola, Naminia, Botswanna, Zimbabwe, Zambia</t>
  </si>
  <si>
    <t>chapini</t>
  </si>
  <si>
    <t>Guinanas, Venezuela, Colombia, N Brazil, Peru</t>
  </si>
  <si>
    <t>Muskeget Isl, off Nantucket, Mass. USA</t>
  </si>
  <si>
    <t>Ethiopia, Sudan, Kenya</t>
  </si>
  <si>
    <t>angola</t>
  </si>
  <si>
    <t>Borneo</t>
  </si>
  <si>
    <t>Hispaniola</t>
  </si>
  <si>
    <t>Russia, China, Burma, Thailand</t>
  </si>
  <si>
    <t>Tawain</t>
  </si>
  <si>
    <t>flaviceps</t>
  </si>
  <si>
    <t>Hemiechinus</t>
  </si>
  <si>
    <t>hypomelas</t>
  </si>
  <si>
    <t>Callithrix</t>
  </si>
  <si>
    <t>argentata</t>
  </si>
  <si>
    <t>ansellorum</t>
  </si>
  <si>
    <t>attila</t>
  </si>
  <si>
    <t>Genetta</t>
  </si>
  <si>
    <t>buettikoferi</t>
  </si>
  <si>
    <t>caliginea</t>
  </si>
  <si>
    <t>cinderella</t>
  </si>
  <si>
    <t>crossei</t>
  </si>
  <si>
    <t>cyanea</t>
  </si>
  <si>
    <t>denti</t>
  </si>
  <si>
    <t>Procyonidae</t>
  </si>
  <si>
    <t>Bassariscus</t>
  </si>
  <si>
    <t>astutus</t>
  </si>
  <si>
    <t>Chrysochloris</t>
  </si>
  <si>
    <t>asiatica</t>
  </si>
  <si>
    <t>gigantea</t>
  </si>
  <si>
    <t>temminckii</t>
  </si>
  <si>
    <t>tetradactyla</t>
  </si>
  <si>
    <t>Sri Lanka; India; Burma; Thailand, Laos, Vietnam, S China; malay Peninsula and adjacent islands; Borneo; sumatra, java, savu isl, Lombok, Sumbawa, Timor, kei isls and sulawesi (Indonesia)</t>
  </si>
  <si>
    <t>melanopogon</t>
  </si>
  <si>
    <t>australia</t>
  </si>
  <si>
    <t>georgianus</t>
  </si>
  <si>
    <t>Sierra Leone to Rwanda, Bioko, perhaps Mozambique and Zanzibar</t>
  </si>
  <si>
    <t>thersites</t>
  </si>
  <si>
    <t>Noctilionidae</t>
  </si>
  <si>
    <t>Cuba, Hispaniola, Puerto Rico, Jamaica, S Bahama Isls</t>
  </si>
  <si>
    <t>Monophyllus</t>
  </si>
  <si>
    <t>redmani</t>
  </si>
  <si>
    <t>Trinidad, Peru, Guianas, Amazonia Brazil</t>
  </si>
  <si>
    <t>Choeroniscus</t>
  </si>
  <si>
    <t>S Mexico to SE Brazil, Bolivia and Peru</t>
  </si>
  <si>
    <t>Chiapas and Campeche (Mexico) to Guianas, E Brazil, Bolivia, Ecuador and E Peru; Trindad</t>
  </si>
  <si>
    <t>panama to Amazonia Brazil, Bolivia and Peru, Trindad</t>
  </si>
  <si>
    <t>Vampyrum</t>
  </si>
  <si>
    <t>Sulawesi, Saleyer isl and Sula Mangoli (Indonesia)</t>
  </si>
  <si>
    <t>Acerodon</t>
  </si>
  <si>
    <t>Surinam, Venezula, Columbia, Trinidad and Tobago, Curacoa and Bonaire (Netherlands Antilles)</t>
  </si>
  <si>
    <t>tumidirostris</t>
  </si>
  <si>
    <t>St. Lawrence Island, Alaska</t>
  </si>
  <si>
    <t>Wrangel isl</t>
  </si>
  <si>
    <t>India &amp; Nepal</t>
  </si>
  <si>
    <t>former Soviet Union</t>
  </si>
  <si>
    <t>Thailand, peninsular Burma, China</t>
  </si>
  <si>
    <t>Burma, Tibet, China</t>
  </si>
  <si>
    <t xml:space="preserve">Ecuador, GALAPAGOS </t>
  </si>
  <si>
    <t>New Guinea, Papua New Guinea</t>
  </si>
  <si>
    <t>E New Guinea</t>
  </si>
  <si>
    <t>china to Mongolia</t>
  </si>
  <si>
    <t>S Angola, C&amp;N NAMIBIA</t>
  </si>
  <si>
    <t>S&amp;N Namibia</t>
  </si>
  <si>
    <t>S India, Malaysia, Sinapore, Vietnam</t>
  </si>
  <si>
    <t>Indonesia (Boreno, Sumatra)</t>
  </si>
  <si>
    <t>Taiwan, Hainan Isl, China</t>
  </si>
  <si>
    <t>New Guinea</t>
  </si>
  <si>
    <t>S Baja California, nuevo leon and Sonora (mexico) to Brazil, Lesser antilles, Hispaniola, Jamaica, Cuba (subfossil)</t>
  </si>
  <si>
    <t>Brazil, Minas Gerais</t>
  </si>
  <si>
    <t>wakefieldi</t>
  </si>
  <si>
    <t>Cercartetus</t>
  </si>
  <si>
    <t>lepidus</t>
  </si>
  <si>
    <t>concinnus</t>
  </si>
  <si>
    <t>nanus</t>
  </si>
  <si>
    <t>caudatus</t>
  </si>
  <si>
    <t>Burramys</t>
  </si>
  <si>
    <t>Talpidae</t>
  </si>
  <si>
    <t>Arcobatidae</t>
  </si>
  <si>
    <t>palustris</t>
  </si>
  <si>
    <t>levipes</t>
  </si>
  <si>
    <t>pardus</t>
  </si>
  <si>
    <t>Puma</t>
  </si>
  <si>
    <t>burbidgei</t>
  </si>
  <si>
    <t>24, 26</t>
  </si>
  <si>
    <t>Condylura</t>
  </si>
  <si>
    <t>incanus</t>
  </si>
  <si>
    <t>floridanus</t>
  </si>
  <si>
    <t>graysoni</t>
  </si>
  <si>
    <t>insonus</t>
  </si>
  <si>
    <t>nuttallii</t>
  </si>
  <si>
    <t>vagrans</t>
  </si>
  <si>
    <t>Zaire, Rwanda, Burundi</t>
  </si>
  <si>
    <t>Uganda, Zaire</t>
  </si>
  <si>
    <t>Equatorial Guinea</t>
  </si>
  <si>
    <t>Canary Isl</t>
  </si>
  <si>
    <t>Kashmir</t>
  </si>
  <si>
    <t>middle east &amp; china, Mongolia</t>
  </si>
  <si>
    <t>Mozambique, Malawi, Zambia</t>
  </si>
  <si>
    <t>China &amp; Vietnam</t>
  </si>
  <si>
    <t>Falkland Islands</t>
  </si>
  <si>
    <t>Chad, Tibesti region</t>
  </si>
  <si>
    <t>Turkmenistan, Afghanistan, NE Iran, Pakistan</t>
  </si>
  <si>
    <t>albocinereus</t>
  </si>
  <si>
    <t>brachyurus</t>
  </si>
  <si>
    <t>Pseudalopex</t>
  </si>
  <si>
    <t>culpaeus</t>
  </si>
  <si>
    <t>griseus</t>
  </si>
  <si>
    <t>Monodelphis</t>
  </si>
  <si>
    <t>meridensis</t>
  </si>
  <si>
    <t>congrous</t>
  </si>
  <si>
    <t>ventralis</t>
  </si>
  <si>
    <t>veraepacis</t>
  </si>
  <si>
    <t>avia</t>
  </si>
  <si>
    <t>Palorchestes</t>
  </si>
  <si>
    <t>azeal</t>
  </si>
  <si>
    <t>priscus</t>
  </si>
  <si>
    <t>antiquus</t>
  </si>
  <si>
    <t>tindalei</t>
  </si>
  <si>
    <t>merriami</t>
  </si>
  <si>
    <t>milleri</t>
  </si>
  <si>
    <t>China, India, Burma, Indochina, Thailand, Sumatra, Malaya</t>
  </si>
  <si>
    <t>audubonii</t>
  </si>
  <si>
    <t>bachmani</t>
  </si>
  <si>
    <t>cunicularius</t>
  </si>
  <si>
    <t>flavigularis</t>
  </si>
  <si>
    <t>othus</t>
  </si>
  <si>
    <t>Isla Wellington, Chile</t>
  </si>
  <si>
    <t>E Himalaya</t>
  </si>
  <si>
    <t>Madacasgar</t>
  </si>
  <si>
    <t>inca</t>
  </si>
  <si>
    <t>raphanurus</t>
  </si>
  <si>
    <t>equinus</t>
  </si>
  <si>
    <t>Kobus</t>
  </si>
  <si>
    <t>Tadzhikistan, Uzbezistan, Kirghizistan, Kazakhstan</t>
  </si>
  <si>
    <t>China, Nepal, N India</t>
  </si>
  <si>
    <t>weight at 110-230g in mammals of madagascar</t>
  </si>
  <si>
    <t>West Indies</t>
  </si>
  <si>
    <t>mexico</t>
  </si>
  <si>
    <t xml:space="preserve">S. China, Vietnam, Laos, Cambodia, Thailand, Malay Peninsula (probably introduced to Malay) </t>
  </si>
  <si>
    <t>Sikotan, Daikoku, Rishiri</t>
  </si>
  <si>
    <t>Burma, Thailand, Vietnam, C Laos</t>
  </si>
  <si>
    <t>average of 30 known w. species</t>
  </si>
  <si>
    <t>China, Tibet</t>
  </si>
  <si>
    <t>floridanum</t>
  </si>
  <si>
    <t>mexicanum</t>
  </si>
  <si>
    <t>Honudas, (possibly Guatemala, El Salvador, Nicaraqua)</t>
  </si>
  <si>
    <t>Spain</t>
  </si>
  <si>
    <t>Afghanistan, China, India, Indochina, Japan, Korea, Laos, Nepal, Pakistan, Taiwan, Thailand, Russia (SE Primorski Krai), Vietnam</t>
  </si>
  <si>
    <t>Spain, Portugal, &amp; French side of Pyrenees</t>
  </si>
  <si>
    <t>S Yogoslavia &amp; Greece</t>
  </si>
  <si>
    <t>Indonesia, Java, Lesser Sunda Isls, and Amboina</t>
  </si>
  <si>
    <t>Walker's-Nowak, Vol.I, p.411</t>
  </si>
  <si>
    <t>Papua new Guinea</t>
  </si>
  <si>
    <t>California</t>
  </si>
  <si>
    <t>Roatan Isl (Honduras)</t>
  </si>
  <si>
    <t>allex</t>
  </si>
  <si>
    <t>baileyi</t>
  </si>
  <si>
    <t>bottegi</t>
  </si>
  <si>
    <t>gunnii</t>
  </si>
  <si>
    <t>Status Reference</t>
  </si>
  <si>
    <t>Callimico</t>
  </si>
  <si>
    <t>goeldii</t>
  </si>
  <si>
    <t>elgonius</t>
  </si>
  <si>
    <t>erica</t>
  </si>
  <si>
    <t>fischeri</t>
  </si>
  <si>
    <t>Paraceros</t>
  </si>
  <si>
    <t>jeffersonii</t>
  </si>
  <si>
    <t>americanum</t>
  </si>
  <si>
    <t>Arctic seas: south as far as New England (USA), Great Britain, Scandinavia, Pribilof Isls, and Honshu (Japan) at least occasionally</t>
  </si>
  <si>
    <t>N Niger, N Nigeria, NE Cameroon</t>
  </si>
  <si>
    <t>Iran, Turkmenistan, Iskander, Uzbekistan</t>
  </si>
  <si>
    <t>Sumatra, Indonesia</t>
  </si>
  <si>
    <t>Thailand</t>
  </si>
  <si>
    <t>Caribbean Sea &amp; Yucatan</t>
  </si>
  <si>
    <t>costa rica</t>
  </si>
  <si>
    <t>panama</t>
  </si>
  <si>
    <t>fulvorufula</t>
  </si>
  <si>
    <t>brumbacki</t>
  </si>
  <si>
    <t>Yemen, Saudi Arabia</t>
  </si>
  <si>
    <t>Russia, Kazakhstan</t>
  </si>
  <si>
    <t>Russia to E Mongolia, NE&amp;C China</t>
  </si>
  <si>
    <t>Turkey, Armenia, Georgia</t>
  </si>
  <si>
    <t>Indonesia, SE Sulawesi</t>
  </si>
  <si>
    <t>Britain and Ireland; N and W Europe to W Siberia, south to Sicily, Sardinia, Corsica, the Elburz Mtns (Iran), and the Caucasus Mtns.</t>
  </si>
  <si>
    <t>Ivory Coast</t>
  </si>
  <si>
    <t>Europe and Asia and middle east</t>
  </si>
  <si>
    <t>N. Africa</t>
  </si>
  <si>
    <t>N Zaire &amp; S Cameroon</t>
  </si>
  <si>
    <t>Siberia</t>
  </si>
  <si>
    <t>SE Victoria Island, Canada</t>
  </si>
  <si>
    <t>W Alaska &amp; Alaskan Peninsula</t>
  </si>
  <si>
    <t>NC Yukon Territory, Canada</t>
  </si>
  <si>
    <t>Mafia and Zanzibar Isls, Africa</t>
  </si>
  <si>
    <t>Burma, Thailand, Laos, S Vietnam, China</t>
  </si>
  <si>
    <t>weight at 60-90g in mammals of madagascar</t>
  </si>
  <si>
    <t>Chana, Ivory Coast, Liberia</t>
  </si>
  <si>
    <t>Tanzania</t>
  </si>
  <si>
    <t>Transcaucasia</t>
  </si>
  <si>
    <t>males: 44.2 (40.5-48); females: 40</t>
  </si>
  <si>
    <t>cyclotis</t>
  </si>
  <si>
    <t>Uganda, Zaire, NW Burundi</t>
  </si>
  <si>
    <t>female:5800, male:5600</t>
  </si>
  <si>
    <t>female:2900, male:4200</t>
  </si>
  <si>
    <t>Nigeria and Cameroon</t>
  </si>
  <si>
    <t>Malaysia (Sabah, Sarawak)</t>
  </si>
  <si>
    <t>trowbridgii</t>
  </si>
  <si>
    <t>Russia, Mongolia, China</t>
  </si>
  <si>
    <t>microtis</t>
  </si>
  <si>
    <t>Cerdocyon</t>
  </si>
  <si>
    <t>thous</t>
  </si>
  <si>
    <t>Indonesia (Sipora Isl)</t>
  </si>
  <si>
    <t>Cameroon, Equatorial Guinea, Gabon</t>
  </si>
  <si>
    <t>Mentawai Archipelago, Indonesia</t>
  </si>
  <si>
    <t>Zaire &amp; Rwanda</t>
  </si>
  <si>
    <t>SW Kenya, NW Tanzania, Rwanda</t>
  </si>
  <si>
    <t>Ethiopia, Somalia, Djibouti</t>
  </si>
  <si>
    <t>Yemen</t>
  </si>
  <si>
    <t>Castoroides</t>
  </si>
  <si>
    <t>labiatus</t>
  </si>
  <si>
    <t>cochrani</t>
  </si>
  <si>
    <t>mcnowni</t>
  </si>
  <si>
    <t>aristus</t>
  </si>
  <si>
    <t xml:space="preserve">Holmesina </t>
  </si>
  <si>
    <t>Micoureus</t>
  </si>
  <si>
    <t>alstoni</t>
  </si>
  <si>
    <t>rufus</t>
  </si>
  <si>
    <t>Urocyon</t>
  </si>
  <si>
    <t>cinereoargenteus</t>
  </si>
  <si>
    <t>velox</t>
  </si>
  <si>
    <t>Atelocynus</t>
  </si>
  <si>
    <t>breweri</t>
  </si>
  <si>
    <t>spp 1</t>
  </si>
  <si>
    <t>Capromeryx</t>
  </si>
  <si>
    <t>Warenja</t>
  </si>
  <si>
    <t>Afghanistan, Bangladesh, China, India, Indonesia (Sumatra, Java, and Borneo), Iraq, Malaysia, Nepal, Pakistan, Thailand, Vietnam</t>
  </si>
  <si>
    <t>EC Angola</t>
  </si>
  <si>
    <t>Congo</t>
  </si>
  <si>
    <t>auratus</t>
  </si>
  <si>
    <t>Eremotherium</t>
  </si>
  <si>
    <t>rusconii</t>
  </si>
  <si>
    <t>Navahoceros</t>
  </si>
  <si>
    <t>fricki</t>
  </si>
  <si>
    <t>Mammutidae</t>
  </si>
  <si>
    <t>Oman, United Arab Emirates</t>
  </si>
  <si>
    <t>nasuta</t>
  </si>
  <si>
    <t>macrourus</t>
  </si>
  <si>
    <t>Ceratotherium</t>
  </si>
  <si>
    <t>Chrysochloridae</t>
  </si>
  <si>
    <t>Amblysomus</t>
  </si>
  <si>
    <t>obtusirostris</t>
  </si>
  <si>
    <t>Chlorotalpa</t>
  </si>
  <si>
    <t>arendsi</t>
  </si>
  <si>
    <t>Size Reference</t>
  </si>
  <si>
    <t>oedipus</t>
  </si>
  <si>
    <t>julianae</t>
  </si>
  <si>
    <t>Megatheriidae</t>
  </si>
  <si>
    <t>Leptonychotes</t>
  </si>
  <si>
    <t>weddellii</t>
  </si>
  <si>
    <t>Thailand, Laos, &amp; Peninsular Malaysia</t>
  </si>
  <si>
    <t>Chilean archipelago</t>
  </si>
  <si>
    <t>India, Nepal, Burma, S China, Thailand, Laos, Vietnam</t>
  </si>
  <si>
    <t>Ivory Coast &amp; Liberia</t>
  </si>
  <si>
    <t>Ghana</t>
  </si>
  <si>
    <t>Burma &amp; China</t>
  </si>
  <si>
    <t>8-10g; esitmated measurement</t>
  </si>
  <si>
    <t>Myzopodidae</t>
  </si>
  <si>
    <t>Saint Vincent, Lesser Antilles</t>
  </si>
  <si>
    <t>Panama to Costa Rica</t>
  </si>
  <si>
    <t>Nepal to India, Burma, Thailand, Laos, Cambodia, &amp; Vietnam</t>
  </si>
  <si>
    <t>125-200g; female avg. 150g; male avg. 175g</t>
  </si>
  <si>
    <t>audeberti</t>
  </si>
  <si>
    <t>Middle East</t>
  </si>
  <si>
    <t>Kenya</t>
  </si>
  <si>
    <t>commersoni</t>
  </si>
  <si>
    <t>Little Swan Island (gulf of Honduras)</t>
  </si>
  <si>
    <t>SW France, Pyrenees Mnts. Of France and Spain</t>
  </si>
  <si>
    <t>S Bulgaria, S Yugoslavia, E Greece, W Turkey</t>
  </si>
  <si>
    <t>Haiti, Dominican Republic, La Gonave Island</t>
  </si>
  <si>
    <t>Puerto Rico</t>
  </si>
  <si>
    <t>Bangladesh, Burma, S China, India, Indonesia, Malaysia, Nepal, Pakistan, Sri Lanka, Taiwan, Thailand, and Vietnam</t>
  </si>
  <si>
    <t>Walker's-Nowak, Vol.I, p.158</t>
  </si>
  <si>
    <t>Canary Islands</t>
  </si>
  <si>
    <t>NE Turkey</t>
  </si>
  <si>
    <t>Russia, China, Korea</t>
  </si>
  <si>
    <t>Tibet, India, Nepal, China</t>
  </si>
  <si>
    <t>Haltenorth</t>
  </si>
  <si>
    <t>Version June05 2002. (MOMv3.0)</t>
  </si>
  <si>
    <t>Bangladesk, Bhutan, Burma, China, India, Indonesia, Malaysia, Nepal, PI</t>
  </si>
  <si>
    <t>Scelidodon</t>
  </si>
  <si>
    <t>iolensis</t>
  </si>
  <si>
    <t>11, 12</t>
  </si>
  <si>
    <t>Thylacoleo</t>
  </si>
  <si>
    <t>Switzerland, Austria, Italy, France, Yugoslavia</t>
  </si>
  <si>
    <t>Sakhalin Isl, Russia</t>
  </si>
  <si>
    <t>France, Italy</t>
  </si>
  <si>
    <t>Sicily, Elba</t>
  </si>
  <si>
    <t>Azerbaijan</t>
  </si>
  <si>
    <t>Himalayas from W Nepal to Tibet, India</t>
  </si>
  <si>
    <t>hispaniola</t>
  </si>
  <si>
    <t>China, Burma, India</t>
  </si>
  <si>
    <t>SE Guinea to Ghana</t>
  </si>
  <si>
    <t>Introduced</t>
  </si>
  <si>
    <t>France, Spain, Portugal</t>
  </si>
  <si>
    <t>Italy</t>
  </si>
  <si>
    <t>leptonyx</t>
  </si>
  <si>
    <t>Nothrotheriops</t>
  </si>
  <si>
    <t>hershkovitzi</t>
  </si>
  <si>
    <t>Primorski Krai (Russia); Korea; China, west along Himalayan foothills to NW Pakistan; isolates in S India, SE Asia, Taiwan, Sumatra, Java, and Borneo.</t>
  </si>
  <si>
    <t>E Zaire &amp; W Uganda</t>
  </si>
  <si>
    <t>China, India, Pakistan</t>
  </si>
  <si>
    <t>monticolus</t>
  </si>
  <si>
    <t>lagotricha</t>
  </si>
  <si>
    <t>Pithecia</t>
  </si>
  <si>
    <t>lyelli</t>
  </si>
  <si>
    <t>Eulamaops</t>
  </si>
  <si>
    <t>parallelus</t>
  </si>
  <si>
    <t>paradoxa</t>
  </si>
  <si>
    <t>Agalmaceros</t>
  </si>
  <si>
    <t>Charitoceros</t>
  </si>
  <si>
    <t>Stephanorhinus</t>
  </si>
  <si>
    <t>mitchelli</t>
  </si>
  <si>
    <t>sclateri</t>
  </si>
  <si>
    <t>oreopolus</t>
  </si>
  <si>
    <t>Troposodon</t>
  </si>
  <si>
    <t>longirostris</t>
  </si>
  <si>
    <t>depressus</t>
  </si>
  <si>
    <t>elevatus</t>
  </si>
  <si>
    <t>Neosclerocalyptus</t>
  </si>
  <si>
    <t xml:space="preserve">Sumatra, Java, Christmas Isl, Batan Isl., </t>
  </si>
  <si>
    <t>Sumatra, Java, Borneo</t>
  </si>
  <si>
    <t>Sumatra, Borneo, Sunda Shelf</t>
  </si>
  <si>
    <t>Sri Lanka</t>
  </si>
  <si>
    <t>N Pacific from near the Mexico-Guatemala border to British Columbia (Canada); Japan; Galapagos Isls</t>
  </si>
  <si>
    <t>texasensis</t>
  </si>
  <si>
    <t>Steppe and semidesert from Caspian Sea to Kashmir, Transbaikalia, Mongolia, and C China, north to Inner Mongolia and east to Hopei</t>
  </si>
  <si>
    <t>Korea to NE China, Siberia</t>
  </si>
  <si>
    <t>Kingdon</t>
  </si>
  <si>
    <t>apella</t>
  </si>
  <si>
    <t>capucinus</t>
  </si>
  <si>
    <t>olivaceus</t>
  </si>
  <si>
    <t>Chiropotes</t>
  </si>
  <si>
    <t>stizodon</t>
  </si>
  <si>
    <t>tenellus</t>
  </si>
  <si>
    <t>Islands off the Pacific coast of S California (USA)</t>
  </si>
  <si>
    <t>Peninsular Burma, Malaysia, Thailand</t>
  </si>
  <si>
    <t>Papua New Guinea</t>
  </si>
  <si>
    <t>Tunisia</t>
  </si>
  <si>
    <t>Sinai</t>
  </si>
  <si>
    <t>Algeria</t>
  </si>
  <si>
    <t>Morenelaphus</t>
  </si>
  <si>
    <t>India, Pakistan</t>
  </si>
  <si>
    <t>Libya</t>
  </si>
  <si>
    <t>Morocco</t>
  </si>
  <si>
    <t>Nigeria, Mali, Niger to Chad, Sudan, Kenya</t>
  </si>
  <si>
    <t xml:space="preserve">N Atlantic and Arctic oceans from E Canada to the White Sea (Russia). </t>
  </si>
  <si>
    <t>Endemic to Lake Baikal (Russia)</t>
  </si>
  <si>
    <t>Glyptodontidae</t>
  </si>
  <si>
    <t>cristata</t>
  </si>
  <si>
    <t>13, 14, 16</t>
  </si>
  <si>
    <t>Nototherium</t>
  </si>
  <si>
    <t>hoyi</t>
  </si>
  <si>
    <t>preblei</t>
  </si>
  <si>
    <t>onca</t>
  </si>
  <si>
    <t>1, 7</t>
  </si>
  <si>
    <t>Ramsaya</t>
  </si>
  <si>
    <t>Phascolomys</t>
  </si>
  <si>
    <t>angustidens</t>
  </si>
  <si>
    <t>2, 7</t>
  </si>
  <si>
    <t>Hipparion</t>
  </si>
  <si>
    <t>libycum</t>
  </si>
  <si>
    <t>Peninsular Malaysia</t>
  </si>
  <si>
    <t>Borneo, Java</t>
  </si>
  <si>
    <t>constantiae</t>
  </si>
  <si>
    <t>Megaloceros</t>
  </si>
  <si>
    <t>algericus</t>
  </si>
  <si>
    <t>Metridiochoerus</t>
  </si>
  <si>
    <t>6, 13, 16</t>
  </si>
  <si>
    <t>13, 16</t>
  </si>
  <si>
    <t>Euowenia</t>
  </si>
  <si>
    <t>grata</t>
  </si>
  <si>
    <t>Mixotoxodon</t>
  </si>
  <si>
    <t>Glyptodon</t>
  </si>
  <si>
    <t>clavipes</t>
  </si>
  <si>
    <t>reticulatus</t>
  </si>
  <si>
    <t>Hoplophorus</t>
  </si>
  <si>
    <t>noctivagus</t>
  </si>
  <si>
    <t>parvidens</t>
  </si>
  <si>
    <t>Metachirus</t>
  </si>
  <si>
    <t>nudicaudatus</t>
  </si>
  <si>
    <t>Parascalops</t>
  </si>
  <si>
    <t>China, Indonesia (Sumatra, Rhio-Lingga Arch., Bangka Isl, Borneo, Karimata Isl, Sulawesi, Buru, Amboina), Cambodia, Malaysia, Philippines, Thailand. Introduced to many SE Asian Islands.</t>
  </si>
  <si>
    <t>Gambia, Ghana, Ivory Coast, Niger, Nigeria, Senegal, Sierra Leone, Togo</t>
  </si>
  <si>
    <t>Mormopterus</t>
  </si>
  <si>
    <t>jugularis</t>
  </si>
  <si>
    <t>10-12g</t>
  </si>
  <si>
    <t>acetabulosus</t>
  </si>
  <si>
    <t>Sumatra, java, Metawi Isls</t>
  </si>
  <si>
    <t>Tadarida</t>
  </si>
  <si>
    <t>fulminans</t>
  </si>
  <si>
    <t>25-30g</t>
  </si>
  <si>
    <t>Sumatra (indonesia)</t>
  </si>
  <si>
    <t>Ethopia</t>
  </si>
  <si>
    <t>Pantelleria Isl</t>
  </si>
  <si>
    <t>Japan, Sri Lanka, Hainan Isl, Taiwan</t>
  </si>
  <si>
    <t>Sudan, Senegal, Ivory coast</t>
  </si>
  <si>
    <t>Ural Mtns to Siberia, Kamchatka, Sakhalin (Russia); Mongolia; Sinkiang and NE China; N Korea; Hokkaido (Japan); originally west to N Scandanavia and W Poland</t>
  </si>
  <si>
    <t>SE Alaska to California (USA) and Baja California (Mexico)</t>
  </si>
  <si>
    <t>Mediterranean and Black Seas; NW Africa to Cape Blanc</t>
  </si>
  <si>
    <t>Umnak and Unalask Islands, Alaska</t>
  </si>
  <si>
    <t>lagotis</t>
  </si>
  <si>
    <t>Calcochloris</t>
  </si>
  <si>
    <t>Rhinocerotidae</t>
  </si>
  <si>
    <t>rossii</t>
  </si>
  <si>
    <t>Mirounga</t>
  </si>
  <si>
    <t>leonina</t>
  </si>
  <si>
    <t>stuhlmanni</t>
  </si>
  <si>
    <t>lujanensis</t>
  </si>
  <si>
    <t>Mammut</t>
  </si>
  <si>
    <t>Andaman Isls, Bay of Bengal</t>
  </si>
  <si>
    <t>peninsular India, Nepal, Pakistan</t>
  </si>
  <si>
    <t>Cervalces</t>
  </si>
  <si>
    <t>Burma, Cambodia, China (Anhui, Shaanxi, Zhejiang and Jiangsu), India, Indonesia, Laos, Western Malaysia, Nepal, Thailand, Vietnam</t>
  </si>
  <si>
    <t>Saudi Arabia, Kuwait, S. Iraq (extinct in wild)</t>
  </si>
  <si>
    <t>India</t>
  </si>
  <si>
    <t>500-750g</t>
  </si>
  <si>
    <t>mammals of madacasgar</t>
  </si>
  <si>
    <t>Eidolog</t>
  </si>
  <si>
    <t>dupreanum</t>
  </si>
  <si>
    <t>E Kazakhstan, S and SE Siberia, Primorski Krai (Russia); Mongolia; Tibet, W and N China; Korea</t>
  </si>
  <si>
    <t>Molossidae</t>
  </si>
  <si>
    <t>Vietnam, Cambodia, Laos, Thailand, China, Burma</t>
  </si>
  <si>
    <t>Angola and S Zaire</t>
  </si>
  <si>
    <t>South Andaman Isl</t>
  </si>
  <si>
    <t>Cuba</t>
  </si>
  <si>
    <t>Java</t>
  </si>
  <si>
    <t>Sumatra</t>
  </si>
  <si>
    <t>Sulawesi</t>
  </si>
  <si>
    <t>Iran, Pakistan, Afghanistan</t>
  </si>
  <si>
    <t>NE Sinai Peninsula</t>
  </si>
  <si>
    <t>Sudan &amp; Kenya</t>
  </si>
  <si>
    <t>Sudan</t>
  </si>
  <si>
    <t>albinasus</t>
  </si>
  <si>
    <t>satanas</t>
  </si>
  <si>
    <t>Lagothrix</t>
  </si>
  <si>
    <t>insulatus</t>
  </si>
  <si>
    <t>neogeus</t>
  </si>
  <si>
    <t>carnifex</t>
  </si>
  <si>
    <t>Peramelemorphia</t>
  </si>
  <si>
    <t>Peramelidae</t>
  </si>
  <si>
    <t>Perameles</t>
  </si>
  <si>
    <t>bougainville</t>
  </si>
  <si>
    <t>Macrotis</t>
  </si>
  <si>
    <t>leucura</t>
  </si>
  <si>
    <t>Isoodon</t>
  </si>
  <si>
    <t>Equidae</t>
  </si>
  <si>
    <t>Equus</t>
  </si>
  <si>
    <t>asinus</t>
  </si>
  <si>
    <t>caballus</t>
  </si>
  <si>
    <t>grevyi</t>
  </si>
  <si>
    <t>Temperate and subarctic waters around Britain, Canada (Newfoundland area), Iceland, Greenland, Norway, Russia (Kola Peninsula), and Baltic Sea.</t>
  </si>
  <si>
    <t>Himalayas in NW Pakistan, India, Nepal, Tibet</t>
  </si>
  <si>
    <t>Afghanistan, Pakistan, Iran, Armenia, Turkmenia</t>
  </si>
  <si>
    <t>S India</t>
  </si>
  <si>
    <t>Asiatic Turkey</t>
  </si>
  <si>
    <t>crete</t>
  </si>
  <si>
    <t>Cyprus</t>
  </si>
  <si>
    <t>extinct before 2000 ybp, made it to holocene; Australian weight for T. cynocephalus</t>
  </si>
  <si>
    <t>75-200Kg; 38600 +- 500 ybp</t>
  </si>
  <si>
    <t>SE Costa Rica and Panama</t>
  </si>
  <si>
    <t>Afghanistan, Bangladesh, Bhutan, Burma, Cambodia, China, India, Indonesia, Malaysia, Nepal, Pakistan, Thailand, Vietnam. Introduced to Cuba, Dominican Republic, Fiji Isls, Hawaiian Isls, Jamacia, Japan, Puerto Rico, Surinam, West Indies, and many other tropical regions</t>
  </si>
  <si>
    <t>South Africa (Transvaal), possibly Mozambique</t>
  </si>
  <si>
    <t>Great Nicobar Isl</t>
  </si>
  <si>
    <t>South Africa</t>
  </si>
  <si>
    <t>S. China</t>
  </si>
  <si>
    <t>Central African Republic</t>
  </si>
  <si>
    <t>Indonesia; E. Timor</t>
  </si>
  <si>
    <t>Uganda</t>
  </si>
  <si>
    <t>Crete</t>
  </si>
  <si>
    <t>Panama</t>
  </si>
  <si>
    <t>Santa Margarita Island</t>
  </si>
  <si>
    <t>NE Spain, France; disjunct populations throughout Europe to the Irtysh and Ob Rivers (Russia, Kazakhstan)</t>
  </si>
  <si>
    <t>Ivory Coast, Equatorical Guinea</t>
  </si>
  <si>
    <t>Glyptotherium</t>
  </si>
  <si>
    <t>13, 14</t>
  </si>
  <si>
    <t>13, 15</t>
  </si>
  <si>
    <t>Diprotodon</t>
  </si>
  <si>
    <t>Nothrotherium</t>
  </si>
  <si>
    <t>Ocnopus</t>
  </si>
  <si>
    <t>EA</t>
  </si>
  <si>
    <t>Madagascar</t>
  </si>
  <si>
    <t>Insular</t>
  </si>
  <si>
    <t>Madacascar</t>
  </si>
  <si>
    <t>Ussuri region (Russia), Korea, China, Japan, and N Indochina</t>
  </si>
  <si>
    <t>hottentotus</t>
  </si>
  <si>
    <t>iris</t>
  </si>
  <si>
    <t>S Peru, W Bolivia, NW Argentina</t>
  </si>
  <si>
    <t>Indonesia</t>
  </si>
  <si>
    <t>E china</t>
  </si>
  <si>
    <t>11, 16</t>
  </si>
  <si>
    <t>Euryzygoma</t>
  </si>
  <si>
    <t>Kurile Isls and Kamchatka (Russia); south to Kiangsu (China); Alaska to Mexico; Greenland and E Canada to NE USA; Iceland; Britain and Europe; Seal Lakes, Ungava Peninsula (Canada); Iliamna Lake, Alaska (USA).</t>
  </si>
  <si>
    <t>Cuvieronius</t>
  </si>
  <si>
    <t>tripartitus</t>
  </si>
  <si>
    <t>crenata</t>
  </si>
  <si>
    <t>Guadalupe Islands, Channel Isls</t>
  </si>
  <si>
    <t>S. Zaire</t>
  </si>
  <si>
    <t>Somalia</t>
  </si>
  <si>
    <t>China, India</t>
  </si>
  <si>
    <t>Steppes and subdeserts of E Europe, and republics of the former USSR; Mongolia; W, C and NE China.</t>
  </si>
  <si>
    <t>between Tana River (Kenya) and Shebele River (Somalia)</t>
  </si>
  <si>
    <t>Middle Andaman Isl</t>
  </si>
  <si>
    <t>Cameroon</t>
  </si>
  <si>
    <t>given full spp. Status; was subspp.</t>
  </si>
  <si>
    <t>Coiba Island, Panama</t>
  </si>
  <si>
    <t>W. Papua New Guinea</t>
  </si>
  <si>
    <t>N Angola, Zaire, Cameroon, Central African Repulic</t>
  </si>
  <si>
    <t>Bangladesh, Thailand, Vietnam, Cambodia, Laos, Malay Peninsula</t>
  </si>
  <si>
    <t>Sulawesi (Indonesia)</t>
  </si>
  <si>
    <t>Phillipines</t>
  </si>
  <si>
    <t>Malay Peninsula</t>
  </si>
  <si>
    <t>N&amp;W New Guinea, Yapen Isl</t>
  </si>
  <si>
    <t>Turkey &amp; Iran</t>
  </si>
  <si>
    <t>china</t>
  </si>
  <si>
    <t>Korea</t>
  </si>
  <si>
    <t>SE Kenya, NE Tanzania</t>
  </si>
  <si>
    <t>Malawi, Tanzania, Mozambique, SE Zimbabwe</t>
  </si>
  <si>
    <t>gleni</t>
  </si>
  <si>
    <t>1, 11</t>
  </si>
  <si>
    <t>Bangladesh, Burma, Cambodia, China (Hainan Dao north to Hopei, Shanxi and the vicinity of Beijing), India (and S Andaman Isls), Indonesia (N Borneo, Sumatra), Japan (introduced), Laos, Malaysia, Nepal, Pakistan, Singapore, Taiwan, Thailand, Vietnam.</t>
  </si>
  <si>
    <t>Vampyressa</t>
  </si>
  <si>
    <t>Guianas to Colombia to Peru, N Bolivia, Amazonian Brazil</t>
  </si>
  <si>
    <t>Solomon Isls</t>
  </si>
  <si>
    <t>N Angola, SE Zaire</t>
  </si>
  <si>
    <t>Sierra Leone to Uganada, south to nagola and Zambia; Bioko</t>
  </si>
  <si>
    <t>Myonycteris</t>
  </si>
  <si>
    <t>torquata</t>
  </si>
  <si>
    <t>Guinea-Bissau to Somalia, south to Namibia and South Africa, madagascar</t>
  </si>
  <si>
    <t>santaeelenae</t>
  </si>
  <si>
    <t>Onohippidium</t>
  </si>
  <si>
    <t>Caipora</t>
  </si>
  <si>
    <t>bambuiorum</t>
  </si>
  <si>
    <t>Lomaphorus</t>
  </si>
  <si>
    <t>Neothoracophorus</t>
  </si>
  <si>
    <t>Afghanistan, Bhutan, China, India, Mongolia, Nepal, Pakistan, republics of the former USSR</t>
  </si>
  <si>
    <t>arctic ocean</t>
  </si>
  <si>
    <t>Okhotsk, W Bering, Chukchiand Japan Seas</t>
  </si>
  <si>
    <t>Hippidion</t>
  </si>
  <si>
    <t>saldiasi</t>
  </si>
  <si>
    <t>principale</t>
  </si>
  <si>
    <t>AUS</t>
  </si>
  <si>
    <t>Sicily, Egadi Isl, Gozo (Malta)</t>
  </si>
  <si>
    <t>Pakistan, India, Afghanistan</t>
  </si>
  <si>
    <t>mass ranges from 30-100g across it's range (mammals of madagascar)</t>
  </si>
  <si>
    <t>Nepal, Vietnam, S China</t>
  </si>
  <si>
    <t>Ukrain, Czech Republic, Slovakia, Poland</t>
  </si>
  <si>
    <t>Coastal Yugoslavia to Greece</t>
  </si>
  <si>
    <t>Turkmenistan, Afghanistan, Iran</t>
  </si>
  <si>
    <t>Burma</t>
  </si>
  <si>
    <t>China, India, Nepal, Tibet</t>
  </si>
  <si>
    <t>Chiroptera</t>
  </si>
  <si>
    <t>furculus</t>
  </si>
  <si>
    <t>4-7g</t>
  </si>
  <si>
    <t>NE Angola, S &amp; E Zaire, Rwanda, Burundi, NE Zambia, SE Kenya, E Tanzania</t>
  </si>
  <si>
    <t>Iran</t>
  </si>
  <si>
    <t>S. New Guinea</t>
  </si>
  <si>
    <t>Cuba &amp; Isla Juventud</t>
  </si>
  <si>
    <t>Mongolia, China, Iran, Afghanistan</t>
  </si>
  <si>
    <t>1.5-1.8kg</t>
  </si>
  <si>
    <t>Sierra de Juarez, NC Oaxaca, Mexico</t>
  </si>
  <si>
    <t>Veracruz Mexico</t>
  </si>
  <si>
    <t>8-11g</t>
  </si>
  <si>
    <t>Commander Isl, Bering Isl, Bering Sea</t>
  </si>
  <si>
    <t>Phoniscus</t>
  </si>
  <si>
    <t>Costa Rica</t>
  </si>
  <si>
    <t>800-1000g</t>
  </si>
  <si>
    <t>700-800g</t>
  </si>
  <si>
    <t>600-800g</t>
  </si>
  <si>
    <t>500-800g</t>
  </si>
  <si>
    <t>500-700g</t>
  </si>
  <si>
    <t>Zaire, Zambia, Zimbabwe, Transvaal of South Africa, Mozambique, Tanzania</t>
  </si>
  <si>
    <t>190-230g; female avg. 200g; male avg. 225g</t>
  </si>
  <si>
    <t>males: 11; females: 11.5 (10-13)</t>
  </si>
  <si>
    <t>maggietaylorae</t>
  </si>
  <si>
    <t>males: 15.8 (14.5-17); females: 19.3 (18-20.5)</t>
  </si>
  <si>
    <t>muscinus</t>
  </si>
  <si>
    <t>padre Isl, Mustang Isl, Texas; barrier isl of N Tamaulipas, Mexico</t>
  </si>
  <si>
    <t>obesulus</t>
  </si>
  <si>
    <t>Lestodon</t>
  </si>
  <si>
    <t>Valgipes</t>
  </si>
  <si>
    <t>mirifica</t>
  </si>
  <si>
    <t>Nothropus</t>
  </si>
  <si>
    <t>howensis</t>
  </si>
  <si>
    <t>patrizii</t>
  </si>
  <si>
    <t>Rhinopoma</t>
  </si>
  <si>
    <t>muscatellum</t>
  </si>
  <si>
    <t>Guniea, Sierra Leone, Liberia</t>
  </si>
  <si>
    <t>Burma to Morocco, south to mauritania, Nigeria and kenya; Socotra Isl (Yemen)</t>
  </si>
  <si>
    <t>hardwickei</t>
  </si>
  <si>
    <t>Japan (including Ryukyu Isls) perhaps SE China</t>
  </si>
  <si>
    <t>cornutus</t>
  </si>
  <si>
    <t>males: 16 (14.7-17.1); females 16.1 (14-17.5)</t>
  </si>
  <si>
    <t>brachypterus</t>
  </si>
  <si>
    <t>Peninsular Malaysia and Thailand</t>
  </si>
  <si>
    <t>Kazakhstan, Kirgizia</t>
  </si>
  <si>
    <t>65-115g; E. tanala &amp; E. Majori are biggest members of the genus</t>
  </si>
  <si>
    <t>males: 3.3 (3-4); no female info</t>
  </si>
  <si>
    <t>Pipistrellus</t>
  </si>
  <si>
    <t>spp.1</t>
  </si>
  <si>
    <t>spp.2</t>
  </si>
  <si>
    <t>spp.3</t>
  </si>
  <si>
    <t>closely related to P. nanus</t>
  </si>
  <si>
    <t>250-340g</t>
  </si>
  <si>
    <t>Rousettus</t>
  </si>
  <si>
    <t>Bulgaria, Thrace, Turkey</t>
  </si>
  <si>
    <t>Maylay Peninsula</t>
  </si>
  <si>
    <t>Mentawi Isl, Indonesia</t>
  </si>
  <si>
    <t>Hydrurga</t>
  </si>
  <si>
    <t>Gomphotheriidae</t>
  </si>
  <si>
    <t>Zambia, Malawi, &amp; Tanzania</t>
  </si>
  <si>
    <t>Angola, Zambia, Zaire</t>
  </si>
  <si>
    <t>NE Angola &amp; SW Zaire</t>
  </si>
  <si>
    <t>madagas ariensis</t>
  </si>
  <si>
    <t>50-80g</t>
  </si>
  <si>
    <t>Nepal, tibet, Burma, India, Bhutan</t>
  </si>
  <si>
    <t>Boreno and Banggi Isls</t>
  </si>
  <si>
    <t>Miniopterus</t>
  </si>
  <si>
    <t>manavi</t>
  </si>
  <si>
    <t>6-8g; estimated measurement</t>
  </si>
  <si>
    <t>8-12g</t>
  </si>
  <si>
    <t>Japan, Quelpart Isl., Taiwan</t>
  </si>
  <si>
    <t>Vietnam, Laos</t>
  </si>
  <si>
    <t>Oman</t>
  </si>
  <si>
    <t>Himalayas of N. Afghanistan, N Pakistan, N India &amp; Nepal, C tibet to C China</t>
  </si>
  <si>
    <t>Tunisia &amp; Libya</t>
  </si>
  <si>
    <t>Nepal to China, &amp; N Indochina</t>
  </si>
  <si>
    <t>Laos, C Burma</t>
  </si>
  <si>
    <t>Eudiscopus</t>
  </si>
  <si>
    <t>denticulus</t>
  </si>
  <si>
    <t>Asellia</t>
  </si>
  <si>
    <t>Afghanistan, Pakistan, India, Sri Lanka, Nepal, Bhutan, Burma, China, Taiwan, Japan, continental and peninsular Indomalayan Region</t>
  </si>
  <si>
    <t>male mass 6-10kg; female mass 5-7kg; mammals of madagascar</t>
  </si>
  <si>
    <t>2-4kg</t>
  </si>
  <si>
    <t>males: 24.5 (21.8, 33); females: 25.7 (24.3-26.8)</t>
  </si>
  <si>
    <t>Superagui Isl, Brazil</t>
  </si>
  <si>
    <t>NW Hawaiin Isls</t>
  </si>
  <si>
    <t>weight at 1.1-1.3kg in mammals of madagascar</t>
  </si>
  <si>
    <t>NC New Guinea</t>
  </si>
  <si>
    <t>550-750g; estimated measurement</t>
  </si>
  <si>
    <t>Burma, China (Yunnan and Szechwan), India, Indonesia (Sumatra, Borneo), Laos, Taiwan, Malaysia, Thailand, Vietnam.</t>
  </si>
  <si>
    <t>laurentius</t>
  </si>
  <si>
    <t>alaskae</t>
  </si>
  <si>
    <t>niobrarensis</t>
  </si>
  <si>
    <t>copei</t>
  </si>
  <si>
    <t>lasallei</t>
  </si>
  <si>
    <t>flavicauda</t>
  </si>
  <si>
    <t>Liberia to uganada, S Zaire and N Angola, Bioko</t>
  </si>
  <si>
    <t>Megaloglossus</t>
  </si>
  <si>
    <t>woermanni</t>
  </si>
  <si>
    <t>Florida and Choiseul Isls (Solomon Isls)</t>
  </si>
  <si>
    <t>Melonycteris</t>
  </si>
  <si>
    <t>aurantius</t>
  </si>
  <si>
    <t>Zaire, Zambia, Malawi, Botswanna, zimbabawe, Transvaal (South Africa)</t>
  </si>
  <si>
    <t>kusnotoi</t>
  </si>
  <si>
    <t>Aru Isl, Buru, Amboina, Seram and Timor Laut Isls, Kei isls, halmahera and Sulaesi (Indonesia); New Guinea; Bismarck Arch; adjacent small islands</t>
  </si>
  <si>
    <t>New Zealand and adjacent small islands</t>
  </si>
  <si>
    <t>kenya, tanzania, zaire, congo republic, madagascar, sao tome isls, comoro isls</t>
  </si>
  <si>
    <t>Philippines, borneo and java, southeast to Vanuatu (New Hebrides) and E australia</t>
  </si>
  <si>
    <t>Angola, Burundi</t>
  </si>
  <si>
    <t>Brazil, Franch Guinana, Panama</t>
  </si>
  <si>
    <t>egregius</t>
  </si>
  <si>
    <t>Pemba Isls</t>
  </si>
  <si>
    <t>voeltzkowi</t>
  </si>
  <si>
    <t>salimalii</t>
  </si>
  <si>
    <r>
      <t>BATS</t>
    </r>
    <r>
      <rPr>
        <sz val="10"/>
        <color indexed="8"/>
        <rFont val="Arial"/>
      </rPr>
      <t xml:space="preserve">: Data are averaged across continents, thus each species appears only once. These data are averaged across gender when both were available; otherwise female mass is used in preference to male mass </t>
    </r>
  </si>
  <si>
    <t>AF</t>
  </si>
  <si>
    <t>silvicola</t>
  </si>
  <si>
    <t>Oaxaca and Veracruz (Mexico) to Bolivia and Guianas; paraguay and SE Brazil</t>
  </si>
  <si>
    <t>China, Nepal, India, Pakistan, Afghanistan, Kirghizistan, Tadzhikistan, Kazakhstan</t>
  </si>
  <si>
    <t>Isle of Youth, near Cuba</t>
  </si>
  <si>
    <t>Senegal</t>
  </si>
  <si>
    <t>Coiba Isl</t>
  </si>
  <si>
    <t>Peninsular India, Nepal, C Burma</t>
  </si>
  <si>
    <t>Angola, Zaire</t>
  </si>
  <si>
    <t>Megalonyx</t>
  </si>
  <si>
    <t>Mauritania</t>
  </si>
  <si>
    <t>Chiapas (Mexico) and Belize to N Argentina, Paraguay and Brazil; Trindad</t>
  </si>
  <si>
    <t>honduras-N argentina</t>
  </si>
  <si>
    <t>Bangladesh to Vietnam; Yunnan, Kwangsi and hainana (China); and through W malaysia to Sumatra, java Borneo and Sumba (Indonesia) and adjacent small islands</t>
  </si>
  <si>
    <t>lekaguli</t>
  </si>
  <si>
    <t>E. f. fulvus: 2-3kg; E. f. sandfordi: 2-2.5kg; E. f. albifrons:  2-2.6kg; E. f. rufus:  2-2.75kf; E. f. albocollaris: 2-2.5kg; E. f. collaris:  2.25-2.5kg; mammals of madagascar</t>
  </si>
  <si>
    <t>males: 36.5 (33.5-42.5); females: 38.8 (34.5-43)</t>
  </si>
  <si>
    <t>edwardshilli</t>
  </si>
  <si>
    <t>females: 11.4</t>
  </si>
  <si>
    <t>Sumatra, Java, Borneo, (Indonesia)</t>
  </si>
  <si>
    <t>Tibet, China</t>
  </si>
  <si>
    <t>Mentawai Isls, Indonesia</t>
  </si>
  <si>
    <t>Equatorial Guinea &amp; Cameroon</t>
  </si>
  <si>
    <t>Russia (Tataria, Dalnevostochny Rayon), Ural Mtns, Siberia; Pakistan east to N Burma; N Thailand; Taiwan; China; Korea; Japan; introduced to Sakhalin, Russia</t>
  </si>
  <si>
    <t>2, 9, 10</t>
  </si>
  <si>
    <t>Sclerocalyptus</t>
  </si>
  <si>
    <t>Bangladesh, Burma, China, India, Indonesia, Laos, Malaysia, Thailand, Vietnam</t>
  </si>
  <si>
    <t>myloides</t>
  </si>
  <si>
    <t>Sulawesi, Muluccas and nearby islands</t>
  </si>
  <si>
    <t>viridis</t>
  </si>
  <si>
    <t>Sulawesi and adjacent small islands</t>
  </si>
  <si>
    <t>exoleta</t>
  </si>
  <si>
    <t>Ontong Java Isl (Solomon Isls)</t>
  </si>
  <si>
    <t>Halmahera Isls (Indonesia)</t>
  </si>
  <si>
    <t>New Caledonia</t>
  </si>
  <si>
    <t>Guam</t>
  </si>
  <si>
    <t>Australia, Queensland, Percy Isl</t>
  </si>
  <si>
    <t>Banks Isls (N Vanuatu)</t>
  </si>
  <si>
    <t>fundatus</t>
  </si>
  <si>
    <t>Seram and Buru (Indonesia)</t>
  </si>
  <si>
    <t>peroni</t>
  </si>
  <si>
    <t>coelophyllus</t>
  </si>
  <si>
    <t>Uganda, Kenya, Tazania, Zanzibar and Pemba</t>
  </si>
  <si>
    <t>deckenii</t>
  </si>
  <si>
    <t>guineensis</t>
  </si>
  <si>
    <t>Iriomote Isl (Ryukyu Isls)</t>
  </si>
  <si>
    <t>subrufus</t>
  </si>
  <si>
    <t>South Africa to S zaire and Zanzibar</t>
  </si>
  <si>
    <t>swinnyi</t>
  </si>
  <si>
    <t>Cambodia, Thailand</t>
  </si>
  <si>
    <t>rosseti</t>
  </si>
  <si>
    <t>Assam (India), Nepal, Vietnam, Burma</t>
  </si>
  <si>
    <t>tridens</t>
  </si>
  <si>
    <t>gabon, congo republic</t>
  </si>
  <si>
    <t>SE New Guniea, Queensland, New South Wales (australia)</t>
  </si>
  <si>
    <t>muricola</t>
  </si>
  <si>
    <t>Burma, Thailand, S Vietnam, Malaysia</t>
  </si>
  <si>
    <t>63, 70</t>
  </si>
  <si>
    <t>males: 5.5 (5.1-5.8); females: 6.4 (5.9-6.9)</t>
  </si>
  <si>
    <t>papuanus</t>
  </si>
  <si>
    <t>females forearm: 45.8</t>
  </si>
  <si>
    <t>Emballonuridae</t>
  </si>
  <si>
    <t>Emballonura</t>
  </si>
  <si>
    <t>4-5g</t>
  </si>
  <si>
    <t>SW Canada and Montana (USA) to Queretaro (Mexico)</t>
  </si>
  <si>
    <t>Euderma</t>
  </si>
  <si>
    <t>maculatum</t>
  </si>
  <si>
    <t>Panama, N and W Colombia, N Venezuela</t>
  </si>
  <si>
    <t>siligorensis</t>
  </si>
  <si>
    <t>Borneo, Malay Peninsula</t>
  </si>
  <si>
    <t>Anamba and North Natuna Isls (Indonesia)</t>
  </si>
  <si>
    <t>Borneo, Java, Bali, sulawesi and Lesser Sunda Isls, samar Isl (Philippines)</t>
  </si>
  <si>
    <t>Tres Marias Isls, Jalisco, Veracruz and Chiapas (mexico), Belize, Honduras, Coasta Rica</t>
  </si>
  <si>
    <t>Pakistan to Arabia, sinai peninsula (NE egypt) and Israel; Egypt to Morocco, Senegal, Chad, Sudan and S Somalia; Socotra (Yemen); perhaps Zanzibar</t>
  </si>
  <si>
    <t>pellucida</t>
  </si>
  <si>
    <t>Antrozous</t>
  </si>
  <si>
    <t>nereis</t>
  </si>
  <si>
    <t>Yunnan (China)</t>
  </si>
  <si>
    <t>ethiopia, somalia, kenya, uganda, e and s Zaire, cameroon, gabon, mozambique, burundi, liberia perhaps nigeria</t>
  </si>
  <si>
    <t>Transvaal (South Africa) to s zaire; Ethiopia; Somalia; Morocco; algeria; Tunisia; Turkey; Yemen; Israel; Jordan; Syria; Iran; Yugoslavia; albania; bulgaria; rumania; Tanscaucasia and turkmenistan; afghanistan; Pakistan; italy; Greece; Cyprus</t>
  </si>
  <si>
    <t>blasii</t>
  </si>
  <si>
    <t>Megaerops</t>
  </si>
  <si>
    <t>dasymallus</t>
  </si>
  <si>
    <t>inops</t>
  </si>
  <si>
    <t>Borneo, Sumatra, W Malaysia, Thailand perhaps Vietman</t>
  </si>
  <si>
    <t>Thailand, Vietnam, NE India</t>
  </si>
  <si>
    <t>Capr Prov., Natal (South Africa); Zimbabwe; Mozambique.</t>
  </si>
  <si>
    <t>India to S China through Malaysia to Borneo and Lesser Sunda Isls; adaman Isls (Inida); perhaps sri Lanka</t>
  </si>
  <si>
    <t>woodfordi</t>
  </si>
  <si>
    <t>Comoro Isls</t>
  </si>
  <si>
    <t>livingstonei</t>
  </si>
  <si>
    <t>niphanae</t>
  </si>
  <si>
    <t xml:space="preserve">Aru Isls, Kei Isls, Amboina, Buru, Seram, Banda Isls, Timor Laut and adjacent Isls (Indonesia) </t>
  </si>
  <si>
    <t>SW and SE Australia, including Tasmania</t>
  </si>
  <si>
    <t>Senegal to Kenya, south to angola and Zaire</t>
  </si>
  <si>
    <t>tenuipinnis</t>
  </si>
  <si>
    <t>Guniea to Ethiopia, south to south Africa, madasgcar</t>
  </si>
  <si>
    <t>botswanae</t>
  </si>
  <si>
    <t>males: 10.3 (9-11); females: 9.5 (8.1-11)</t>
  </si>
  <si>
    <t>Hungary, rumania, Yugoslavia, Bulgaria, Crimea, Ukraine</t>
  </si>
  <si>
    <t xml:space="preserve"> Kenya</t>
  </si>
  <si>
    <t>philippines, sulawesi, new guniea, bismarck arch, solomon isls, vanuatu (New Hebrides)</t>
  </si>
  <si>
    <t>N India, Burma, szechwan, Anhwei and Fukien (China) to Vietnam; Thailand; w Malaysia</t>
  </si>
  <si>
    <t>Thailand to Philippines, New Guinea, Bismarck Arch (Papua N Guinea) Solomon Isls and N Australia</t>
  </si>
  <si>
    <t>Afghanistan, Bangladesh, Burma, Cambodia, China, India, Indonesia, Japan (Tsushima and Iriomote Isls), Korea, Laos, Malaysia, Nepal, Pakistan, Philippine Isls, Taiwan, Thailand, republics of the former USSR, and Vietnam</t>
  </si>
  <si>
    <t>Meixco &amp; Gyatemala</t>
  </si>
  <si>
    <t>Senegal and Angola to Ethiopia and Mozambique, Bioko</t>
  </si>
  <si>
    <t>Afghanistan to Kweichow, Kwangsi, Kiangsu and Fukien (China), Taiwan, Korea, Tsushima Isl (Japan), Philippines, Sumatra, Java, Sulawesi and Bali</t>
  </si>
  <si>
    <t>Sri lanka and India to S china and vietnam</t>
  </si>
  <si>
    <t>rouxi</t>
  </si>
  <si>
    <t>dwyeri</t>
  </si>
  <si>
    <t>Senegal to Uganda, Bioko</t>
  </si>
  <si>
    <t>Southern Australia, Tasmania</t>
  </si>
  <si>
    <t>S Thailand, W Malaysia, Sumatra, Borneo</t>
  </si>
  <si>
    <t>Cambodia, Thailand, Malay Peninsula through Indonesia to New Guinea, Bismarck Arch and Solomon Isls, Timor Isls</t>
  </si>
  <si>
    <t>Sulawesi, C Moluccas</t>
  </si>
  <si>
    <t>Santa Cruz Isls</t>
  </si>
  <si>
    <t>sanctacrucis</t>
  </si>
  <si>
    <t>Luzon (Philippines)</t>
  </si>
  <si>
    <t>Otopteropus</t>
  </si>
  <si>
    <t>W Malaysia Sarawak</t>
  </si>
  <si>
    <t>Penthetor</t>
  </si>
  <si>
    <t>Alaska (USA) to Labrador and Newfoundland (Canada), south to Distrito Federal (mexico)</t>
  </si>
  <si>
    <t>lucifugus</t>
  </si>
  <si>
    <t>Nycticeius</t>
  </si>
  <si>
    <t>Europe (except Scandinavia), NW Africa, Turkey, Israel, Iraq, Crimea and Caucasus to Turkmenistan</t>
  </si>
  <si>
    <t>N India to S China, Vietnam and W Malaysia; Sumatra; Philippines</t>
  </si>
  <si>
    <t>Fauro Isl to Guadalcanal Isl</t>
  </si>
  <si>
    <t>Lombok, sumbawa and Komodo Isl (Lesser Sunda Isls)</t>
  </si>
  <si>
    <t>W malaysia, Thailand, laos, Vietnam</t>
  </si>
  <si>
    <t>W Malaysia, Thailand, Burma</t>
  </si>
  <si>
    <t>Burma, Karin hills</t>
  </si>
  <si>
    <t>Sphaerias</t>
  </si>
  <si>
    <t>Styloctenium</t>
  </si>
  <si>
    <t>Congo Republic</t>
  </si>
  <si>
    <t>adami</t>
  </si>
  <si>
    <t>Afghanistan, N India, Burma, Thailand, Saechwan and Yunnan (China), W Malaysia, Sumatra</t>
  </si>
  <si>
    <t>virgo</t>
  </si>
  <si>
    <t>Andaman isls (India)</t>
  </si>
  <si>
    <t>cognatus</t>
  </si>
  <si>
    <t>creaghi</t>
  </si>
  <si>
    <t>119, 120</t>
  </si>
  <si>
    <t>Ussuri region, Kurile isls and Sakhalin (Russia), Korea</t>
  </si>
  <si>
    <t>ussuriensis</t>
  </si>
  <si>
    <t>imaizumii</t>
  </si>
  <si>
    <t>SW China</t>
  </si>
  <si>
    <t>Nigeria, Cameroon, N and E Zaire, Kenya, Ivory Coast, Liberia</t>
  </si>
  <si>
    <t>smithi</t>
  </si>
  <si>
    <t>Rhinopomatidae</t>
  </si>
  <si>
    <t>Liberia to Ethiopia, south to South Africa</t>
  </si>
  <si>
    <t>Colombia to peru, Bolivia, uruguay, N Argentina and S and E Brazil; French Guyana, Surinam</t>
  </si>
  <si>
    <t>smaller than all New Guinea Pteropus except P. scapulatus and P. macrotis; forearm 125-137mm</t>
  </si>
  <si>
    <t>neohibernicus</t>
  </si>
  <si>
    <t>boehmi</t>
  </si>
  <si>
    <t>Menetes</t>
  </si>
  <si>
    <t>Spermophilus</t>
  </si>
  <si>
    <t>adocetus</t>
  </si>
  <si>
    <t>annulatus</t>
  </si>
  <si>
    <t>Dasyprocta</t>
  </si>
  <si>
    <t>kalinowskii</t>
  </si>
  <si>
    <t>megalonyx</t>
  </si>
  <si>
    <t>laminatus</t>
  </si>
  <si>
    <t>C and S Europe, east to Ukarine, S England, most mediterranean islands,, Azores (portugual), Asia Minor, Lebanon, Israel</t>
  </si>
  <si>
    <t>myotis</t>
  </si>
  <si>
    <t>dasycneme</t>
  </si>
  <si>
    <t>South Africa to Ethiopia</t>
  </si>
  <si>
    <t>auriculus</t>
  </si>
  <si>
    <t>abei</t>
  </si>
  <si>
    <t>atacamensis</t>
  </si>
  <si>
    <t>males: 995 (725-1450); females: 1078 (1000-1360)</t>
  </si>
  <si>
    <t>amplexicaudatus</t>
  </si>
  <si>
    <t>6-7.5kg; mammals of madagascar</t>
  </si>
  <si>
    <t>Mariana Isls and Caroline Isls (including Palau Isls), Ryukyu Isls (Japan)</t>
  </si>
  <si>
    <t>sobrinus</t>
  </si>
  <si>
    <t>Mascarene Isls (Reunion Isl, Mauritius isl)</t>
  </si>
  <si>
    <t>Oaxaca (Mexico) to Guianas, SE Brazil, Bolivia and Ecuador; Trinidad</t>
  </si>
  <si>
    <t>afghanistan, pakistan, india (including Nicobar isls), sri lanka, nepal, bhutan, burma, s China, thailand, vietnam</t>
  </si>
  <si>
    <t>coromandra</t>
  </si>
  <si>
    <t>south africa to ethiopia, sudan, niger, mali and senegal, madagascar, pemba and zanzibar</t>
  </si>
  <si>
    <t>Senegal to Ethiopia, south to nagola, Zambia, malawi and Mozambique; Bioko; sao Tome and Principe</t>
  </si>
  <si>
    <t>ruber</t>
  </si>
  <si>
    <t>wetmorei</t>
  </si>
  <si>
    <t>speoris</t>
  </si>
  <si>
    <t>Maiana isls and Caroline Isls (including palau Isls), Vanuatu (=New Hebrides), Fiji Isls, Samoa</t>
  </si>
  <si>
    <t>globiceps</t>
  </si>
  <si>
    <t>prithecoides</t>
  </si>
  <si>
    <t>Angola, Zambia, Malawi, Zimbabwe</t>
  </si>
  <si>
    <t>shows resemblence to Pipistrellus, but probably warrents its own genus</t>
  </si>
  <si>
    <t>forearm: 63-67mm</t>
  </si>
  <si>
    <t>Aselliscus</t>
  </si>
  <si>
    <t>tricuspidatus</t>
  </si>
  <si>
    <t>males: 3.8 (3-4.1); females: 5 (4-7)</t>
  </si>
  <si>
    <t>males: 8.3</t>
  </si>
  <si>
    <t>calcaratus</t>
  </si>
  <si>
    <t>131, 132</t>
  </si>
  <si>
    <t>115, 117, 119, 120</t>
  </si>
  <si>
    <t>115, 131, 133</t>
  </si>
  <si>
    <t>115, 119</t>
  </si>
  <si>
    <t>115, 117</t>
  </si>
  <si>
    <t>1.6-2.4kg; mammals of madagascar</t>
  </si>
  <si>
    <t>2.3-3.5kg; mammals of madagascar</t>
  </si>
  <si>
    <t>moloneyi</t>
  </si>
  <si>
    <t>java, sumatra, borneo, w malaysia, nearby small islands</t>
  </si>
  <si>
    <t>Inida (including Sikkim), Nepal, Burma, Sri Lnka, S China, Taiwan, Vietnam, Laos, Thailand, Malay Peninsula, Borneo, Sumatra, java and bali</t>
  </si>
  <si>
    <t>ordii</t>
  </si>
  <si>
    <t>phenax</t>
  </si>
  <si>
    <t>Neotomodon</t>
  </si>
  <si>
    <t>Nyctomys</t>
  </si>
  <si>
    <t>pernix</t>
  </si>
  <si>
    <t>spinatus</t>
  </si>
  <si>
    <t>albinucha</t>
  </si>
  <si>
    <t>duodecimcostatus</t>
  </si>
  <si>
    <t>evoronensis</t>
  </si>
  <si>
    <t>NW Cape Province (South Africa), Naminia, SW Angola</t>
  </si>
  <si>
    <t>sapiens</t>
  </si>
  <si>
    <t>salvanius</t>
  </si>
  <si>
    <t>ernstmayri</t>
  </si>
  <si>
    <t>ustus</t>
  </si>
  <si>
    <t>Leptomys</t>
  </si>
  <si>
    <t>semitorquatus</t>
  </si>
  <si>
    <t>elephantinus</t>
  </si>
  <si>
    <t>Hyperacrius</t>
  </si>
  <si>
    <t>swalius</t>
  </si>
  <si>
    <t>Artiodactyla</t>
  </si>
  <si>
    <t>nigroviridis</t>
  </si>
  <si>
    <t>galeritus</t>
  </si>
  <si>
    <t>fertilis</t>
  </si>
  <si>
    <t>wynnei</t>
  </si>
  <si>
    <t>Lagurus</t>
  </si>
  <si>
    <t>lagurus</t>
  </si>
  <si>
    <t>panamintinus</t>
  </si>
  <si>
    <t>arenicola</t>
  </si>
  <si>
    <t>torridus</t>
  </si>
  <si>
    <t>Dipodomys</t>
  </si>
  <si>
    <t>deserti</t>
  </si>
  <si>
    <t>atrox</t>
  </si>
  <si>
    <t>circumdatus</t>
  </si>
  <si>
    <t>lasiopterus</t>
  </si>
  <si>
    <t>Afghanistan, Uzbekistan and S Siberia to Korea, Heilungkiang (China), SE China and replubics of the SE former USSR, Japan</t>
  </si>
  <si>
    <t>Ethiopia, Kenya, SW Cape Province (South Africa)</t>
  </si>
  <si>
    <t>Laephotis</t>
  </si>
  <si>
    <t>Ireland and Scandinavia to N China, south to Morocco, Iran, NW Himalayas and s China</t>
  </si>
  <si>
    <t>N Cape Prov (South Africa), Namibia, Botswana, Zimbabwe, Mozambique, Guinea, Ivory Coast, Ghana</t>
  </si>
  <si>
    <t>Uganda, S Somalia, s Sudan, NE Zaire, Kenya, Rwanda, N Tanzania, Zanzibar and Pemba</t>
  </si>
  <si>
    <t>eloquens</t>
  </si>
  <si>
    <t>Yunnan (China), Thailand, NE India</t>
  </si>
  <si>
    <t>yunanensis</t>
  </si>
  <si>
    <t>argenteocinereus</t>
  </si>
  <si>
    <t>Heterocephalus</t>
  </si>
  <si>
    <t>ebii</t>
  </si>
  <si>
    <t>Funisciurus</t>
  </si>
  <si>
    <t>anerythrus</t>
  </si>
  <si>
    <t>carruthersi</t>
  </si>
  <si>
    <t>kivu</t>
  </si>
  <si>
    <t>Pedetidae</t>
  </si>
  <si>
    <t>Pedetes</t>
  </si>
  <si>
    <t>kathiah</t>
  </si>
  <si>
    <t>Diplogale</t>
  </si>
  <si>
    <t>substriatus</t>
  </si>
  <si>
    <t>Heliosciurus</t>
  </si>
  <si>
    <t>punctatus</t>
  </si>
  <si>
    <t>Cryptomys</t>
  </si>
  <si>
    <t>spixii</t>
  </si>
  <si>
    <t>Kerodon</t>
  </si>
  <si>
    <t>aubinnii</t>
  </si>
  <si>
    <t>stangeri</t>
  </si>
  <si>
    <t>Xerus</t>
  </si>
  <si>
    <t>Galapagos Islands</t>
  </si>
  <si>
    <t>range24-62g</t>
  </si>
  <si>
    <t>range32-68g</t>
  </si>
  <si>
    <t>Thailand, Maylay Peninsula</t>
  </si>
  <si>
    <t>Russia</t>
  </si>
  <si>
    <t>radofilai</t>
  </si>
  <si>
    <t>Mesopropithecus</t>
  </si>
  <si>
    <t>female:12000, male: 14800</t>
  </si>
  <si>
    <t>female:9000, male:10700</t>
  </si>
  <si>
    <t>male:6900, female:6500</t>
  </si>
  <si>
    <t>Yunnan to Fukien and Chihli (China), India, Burma, W Malaysia, Borneo</t>
  </si>
  <si>
    <t>montivagus</t>
  </si>
  <si>
    <t>NE Venezuela, Curacao and Bonaire (Netherlands Antilles)</t>
  </si>
  <si>
    <t>nesopolus</t>
  </si>
  <si>
    <t>W Malaysia, sumatra, borneo</t>
  </si>
  <si>
    <t>subbadius</t>
  </si>
  <si>
    <t>males: 625 (600-650); females: 600</t>
  </si>
  <si>
    <t>derbianus</t>
  </si>
  <si>
    <t>Chironectes</t>
  </si>
  <si>
    <t>Hylochoerus</t>
  </si>
  <si>
    <t>griseoflavus</t>
  </si>
  <si>
    <t>Isthmomys</t>
  </si>
  <si>
    <t>chacarius</t>
  </si>
  <si>
    <t>magnus</t>
  </si>
  <si>
    <t>saundersiae</t>
  </si>
  <si>
    <t>lacustris</t>
  </si>
  <si>
    <t>beecheyi</t>
  </si>
  <si>
    <t>lis</t>
  </si>
  <si>
    <t>petteri</t>
  </si>
  <si>
    <t>Abditomys</t>
  </si>
  <si>
    <t>latidens</t>
  </si>
  <si>
    <t>cilicicus</t>
  </si>
  <si>
    <t>isseli</t>
  </si>
  <si>
    <t>minor</t>
  </si>
  <si>
    <t>Petromyscus</t>
  </si>
  <si>
    <t>steinbachi</t>
  </si>
  <si>
    <t>talarum</t>
  </si>
  <si>
    <t>tuconax</t>
  </si>
  <si>
    <t>mephistophiles</t>
  </si>
  <si>
    <t>Rhabdomys</t>
  </si>
  <si>
    <t>saturatus</t>
  </si>
  <si>
    <t>spilosoma</t>
  </si>
  <si>
    <t>tereticaudus</t>
  </si>
  <si>
    <t>tridecemlineatus</t>
  </si>
  <si>
    <t>variegatus</t>
  </si>
  <si>
    <t>washingtoni</t>
  </si>
  <si>
    <t>Tamias</t>
  </si>
  <si>
    <t>alpinus</t>
  </si>
  <si>
    <t>beldingi</t>
  </si>
  <si>
    <t>columbianus</t>
  </si>
  <si>
    <t>115, 131</t>
  </si>
  <si>
    <t>once included in H. sanguinea</t>
  </si>
  <si>
    <t>malaya</t>
  </si>
  <si>
    <t xml:space="preserve">Guadalcanal </t>
  </si>
  <si>
    <t>range600-1700g</t>
  </si>
  <si>
    <t>mixtus</t>
  </si>
  <si>
    <t>males forearm: 61.5</t>
  </si>
  <si>
    <t>saccolaimus</t>
  </si>
  <si>
    <t>forearm: 72-76mm</t>
  </si>
  <si>
    <t>Nyctophilus</t>
  </si>
  <si>
    <t>females forearm: 44.4mm</t>
  </si>
  <si>
    <t>Palaeopropithecus</t>
  </si>
  <si>
    <t>40-55kg</t>
  </si>
  <si>
    <t>Archaeoindris</t>
  </si>
  <si>
    <t>hypomelanus</t>
  </si>
  <si>
    <t>scapulatus</t>
  </si>
  <si>
    <t>Kashmir, India &amp; Pakistan</t>
  </si>
  <si>
    <t>N Pakistan</t>
  </si>
  <si>
    <t>mass avg. 60g; range 45-85; mammals of madagascar</t>
  </si>
  <si>
    <t>males forearm: 76</t>
  </si>
  <si>
    <t>Brazil, Minas Gerais, Pleistocene cave deposits near Lagoa Santa</t>
  </si>
  <si>
    <t>males: 18.5 (17-20); females: 16.6 (15-17.5)</t>
  </si>
  <si>
    <t>3.5kg</t>
  </si>
  <si>
    <t>Stenella</t>
  </si>
  <si>
    <t>Cyclopes</t>
  </si>
  <si>
    <t>Myrmecophaga</t>
  </si>
  <si>
    <t>elvira</t>
  </si>
  <si>
    <t>Crossomys</t>
  </si>
  <si>
    <t>firouzi</t>
  </si>
  <si>
    <t>compactus</t>
  </si>
  <si>
    <t>moncktoni</t>
  </si>
  <si>
    <t>Peponocephala</t>
  </si>
  <si>
    <t>melanius</t>
  </si>
  <si>
    <t>Dacnomys</t>
  </si>
  <si>
    <t>amphichoricus</t>
  </si>
  <si>
    <t>Burma, Thailand, Cambodia, NW Vietnam</t>
  </si>
  <si>
    <t>Cameroon, Angola, Zaire, Uganda, Kenya, Tanzania</t>
  </si>
  <si>
    <t>males 5.5 (4-5); females 5.4 (4.2-6)</t>
  </si>
  <si>
    <t>Saccolaimus</t>
  </si>
  <si>
    <t>imogene</t>
  </si>
  <si>
    <t>115, 120, 133</t>
  </si>
  <si>
    <t>grandidieri</t>
  </si>
  <si>
    <t>Kadarsanomys</t>
  </si>
  <si>
    <t>tuvinicus</t>
  </si>
  <si>
    <t>pomo</t>
  </si>
  <si>
    <t>Blanfordimys</t>
  </si>
  <si>
    <t>corozalus</t>
  </si>
  <si>
    <t>hinpoon</t>
  </si>
  <si>
    <t>langbianis</t>
  </si>
  <si>
    <t>submicrus</t>
  </si>
  <si>
    <t>Heteropsomys</t>
  </si>
  <si>
    <t>Elasmodontomys</t>
  </si>
  <si>
    <t>females forearm: 38.1 (37.5-38.6); no male info</t>
  </si>
  <si>
    <t>Philetor</t>
  </si>
  <si>
    <t>angulatus</t>
  </si>
  <si>
    <t>SW Yunnan, China to 19°N Vietnam</t>
  </si>
  <si>
    <t>SE Thailand &amp; Cambodia</t>
  </si>
  <si>
    <t>Sierra leone to E Zaire</t>
  </si>
  <si>
    <t>Malaysia, Thailand, Vietnam</t>
  </si>
  <si>
    <t>Neotoma</t>
  </si>
  <si>
    <t>nelsoni</t>
  </si>
  <si>
    <t>penicillatus</t>
  </si>
  <si>
    <t>floridana</t>
  </si>
  <si>
    <t>heermanni</t>
  </si>
  <si>
    <t>ingens</t>
  </si>
  <si>
    <t>microps</t>
  </si>
  <si>
    <t>nitratoides</t>
  </si>
  <si>
    <t>couesi</t>
  </si>
  <si>
    <t>Osgoodomys</t>
  </si>
  <si>
    <t>Cercopithecus</t>
  </si>
  <si>
    <t>Lorentzimys</t>
  </si>
  <si>
    <t>nouhuysi</t>
  </si>
  <si>
    <t>Peromyscus</t>
  </si>
  <si>
    <t>Ototylomys</t>
  </si>
  <si>
    <t>phyllotis</t>
  </si>
  <si>
    <t>marsupialis</t>
  </si>
  <si>
    <t>Capra</t>
  </si>
  <si>
    <t>ibex</t>
  </si>
  <si>
    <t>Cephalophus</t>
  </si>
  <si>
    <t>adersi</t>
  </si>
  <si>
    <t>anomalus</t>
  </si>
  <si>
    <t>adspersus</t>
  </si>
  <si>
    <t>Hydrochaeridae</t>
  </si>
  <si>
    <t>Procolobus</t>
  </si>
  <si>
    <t>badius</t>
  </si>
  <si>
    <t>gelada</t>
  </si>
  <si>
    <t>cahirinus</t>
  </si>
  <si>
    <t>louisae</t>
  </si>
  <si>
    <t>russatus</t>
  </si>
  <si>
    <t>spinosissimus</t>
  </si>
  <si>
    <t>wilsoni</t>
  </si>
  <si>
    <t>Aethomys</t>
  </si>
  <si>
    <t>chrysophilus</t>
  </si>
  <si>
    <t>hindei</t>
  </si>
  <si>
    <t>kaiseri</t>
  </si>
  <si>
    <t>namaquensis</t>
  </si>
  <si>
    <t>lovati</t>
  </si>
  <si>
    <t>mystacalis</t>
  </si>
  <si>
    <t>abyssinicus</t>
  </si>
  <si>
    <t>blicki</t>
  </si>
  <si>
    <t>spicilegus</t>
  </si>
  <si>
    <t>Onychomys</t>
  </si>
  <si>
    <t>Antilocapridae</t>
  </si>
  <si>
    <t>Antilocapra</t>
  </si>
  <si>
    <t>daghestanicus</t>
  </si>
  <si>
    <t>aroaensis</t>
  </si>
  <si>
    <t>gunung</t>
  </si>
  <si>
    <t>istapantap</t>
  </si>
  <si>
    <t>Malpaisomys</t>
  </si>
  <si>
    <t>Margaretamys</t>
  </si>
  <si>
    <t>cansdalei</t>
  </si>
  <si>
    <t>lukolelae</t>
  </si>
  <si>
    <t>Macruromys</t>
  </si>
  <si>
    <t>boylii</t>
  </si>
  <si>
    <t>attwateri</t>
  </si>
  <si>
    <t>eremicus</t>
  </si>
  <si>
    <t>eva</t>
  </si>
  <si>
    <t>furvus</t>
  </si>
  <si>
    <t>gossypinus</t>
  </si>
  <si>
    <t>gymnotis</t>
  </si>
  <si>
    <t>hooperi</t>
  </si>
  <si>
    <t>Colobus</t>
  </si>
  <si>
    <t>guereza</t>
  </si>
  <si>
    <t>polykomos</t>
  </si>
  <si>
    <t>Erythrocebus</t>
  </si>
  <si>
    <t>patas</t>
  </si>
  <si>
    <t>Lophocebus</t>
  </si>
  <si>
    <t>hellwaldii</t>
  </si>
  <si>
    <t>hylomyoides</t>
  </si>
  <si>
    <t>Gorilla</t>
  </si>
  <si>
    <t>gorilla</t>
  </si>
  <si>
    <t>Theropithecus</t>
  </si>
  <si>
    <t>Loridae</t>
  </si>
  <si>
    <t>pyrrhonotus</t>
  </si>
  <si>
    <t>rhoadsi</t>
  </si>
  <si>
    <t>Heliophobius</t>
  </si>
  <si>
    <t>Yemen &amp; Saudi Arabia</t>
  </si>
  <si>
    <t>female:3560, male: 4750</t>
  </si>
  <si>
    <t>117, 131</t>
  </si>
  <si>
    <t>75, 133</t>
  </si>
  <si>
    <t>males: 8.3 (7.5-9); females: 7.6 (7-8)</t>
  </si>
  <si>
    <t>Mexiso, Guatemala, Honduras, El Salvador, Nicaragua</t>
  </si>
  <si>
    <t>Bibymalagasia</t>
  </si>
  <si>
    <t>Borneo and Philippines</t>
  </si>
  <si>
    <t>S China, N Laos, S Vietnam</t>
  </si>
  <si>
    <t>Sunda Shelf (Balabac, Palawan, Busuanga, Culion Isls…part of Philippines politically, but not faunally</t>
  </si>
  <si>
    <t>clymene</t>
  </si>
  <si>
    <t>Zalophus</t>
  </si>
  <si>
    <t>Rubrisciurus</t>
  </si>
  <si>
    <t>sericeus</t>
  </si>
  <si>
    <t>fuliginosa</t>
  </si>
  <si>
    <t>Dasyproctidae</t>
  </si>
  <si>
    <t>Chelemys</t>
  </si>
  <si>
    <t>macronyx</t>
  </si>
  <si>
    <t>unisulcatus</t>
  </si>
  <si>
    <t>Delomys</t>
  </si>
  <si>
    <t>personatus</t>
  </si>
  <si>
    <t>guamara</t>
  </si>
  <si>
    <t>females: 29; no male weight</t>
  </si>
  <si>
    <t>Paranyctimene</t>
  </si>
  <si>
    <t>Batjan, Halmahera, Morotai</t>
  </si>
  <si>
    <t>Sunda shelf (Borneo, Sumatra, Java)</t>
  </si>
  <si>
    <t>65-115g</t>
  </si>
  <si>
    <t>85-100g</t>
  </si>
  <si>
    <t>Hainan Isl, China</t>
  </si>
  <si>
    <t>S China, Burma, N Vietnam</t>
  </si>
  <si>
    <t>fossor</t>
  </si>
  <si>
    <t>petersoni</t>
  </si>
  <si>
    <t>Galenomys</t>
  </si>
  <si>
    <t>garleppi</t>
  </si>
  <si>
    <t>Geoxus</t>
  </si>
  <si>
    <t>prymnolopha</t>
  </si>
  <si>
    <t>Suidae</t>
  </si>
  <si>
    <t>Ichthyomys</t>
  </si>
  <si>
    <t>hydrobates</t>
  </si>
  <si>
    <t>Myoprocta</t>
  </si>
  <si>
    <t>labilis</t>
  </si>
  <si>
    <t>Nectomys</t>
  </si>
  <si>
    <t>Neotomys</t>
  </si>
  <si>
    <t>Xeromys</t>
  </si>
  <si>
    <t>myoides</t>
  </si>
  <si>
    <t>pagurus</t>
  </si>
  <si>
    <t>Kannabateomys</t>
  </si>
  <si>
    <t>amblyonyx</t>
  </si>
  <si>
    <t>Lonchothrix</t>
  </si>
  <si>
    <t>Makalata</t>
  </si>
  <si>
    <t>armata</t>
  </si>
  <si>
    <t>Mesomys</t>
  </si>
  <si>
    <t>Choloepus</t>
  </si>
  <si>
    <t>didactylus</t>
  </si>
  <si>
    <t>hoffmanni</t>
  </si>
  <si>
    <t>Myrmecophagidae</t>
  </si>
  <si>
    <t>tricinctus</t>
  </si>
  <si>
    <t>Zaedyus</t>
  </si>
  <si>
    <t>schadenbergi</t>
  </si>
  <si>
    <t>Cremnomys</t>
  </si>
  <si>
    <t>cutchicus</t>
  </si>
  <si>
    <t>momonga</t>
  </si>
  <si>
    <t>Pteromyscus</t>
  </si>
  <si>
    <t>pulverulentus</t>
  </si>
  <si>
    <t>longicaudatus</t>
  </si>
  <si>
    <t>Trogopterus</t>
  </si>
  <si>
    <t>xanthipes</t>
  </si>
  <si>
    <t>Orcinus</t>
  </si>
  <si>
    <t>orca</t>
  </si>
  <si>
    <t>Tamandua</t>
  </si>
  <si>
    <t>albispinus</t>
  </si>
  <si>
    <t>subflavus</t>
  </si>
  <si>
    <t>Olallamys</t>
  </si>
  <si>
    <t>acouchy</t>
  </si>
  <si>
    <t>exilis</t>
  </si>
  <si>
    <t>Dinomyidae</t>
  </si>
  <si>
    <t>Dinomys</t>
  </si>
  <si>
    <t>domorum</t>
  </si>
  <si>
    <t>edithae</t>
  </si>
  <si>
    <t>mearnsi</t>
  </si>
  <si>
    <t>Sekeetamys</t>
  </si>
  <si>
    <t>calurus</t>
  </si>
  <si>
    <t>Steatomys</t>
  </si>
  <si>
    <t>krebsii</t>
  </si>
  <si>
    <t>blainvillei</t>
  </si>
  <si>
    <t>braziliensis</t>
  </si>
  <si>
    <t>macrurus</t>
  </si>
  <si>
    <t>nigrispinus</t>
  </si>
  <si>
    <t>rhipidurus</t>
  </si>
  <si>
    <t>saturnus</t>
  </si>
  <si>
    <t>bistriata</t>
  </si>
  <si>
    <t>Euryzygomatomys</t>
  </si>
  <si>
    <t>ebriosus</t>
  </si>
  <si>
    <t>Leggadina</t>
  </si>
  <si>
    <t>laborifex</t>
  </si>
  <si>
    <t>bolami</t>
  </si>
  <si>
    <t>swinderianus</t>
  </si>
  <si>
    <t>Cabassous</t>
  </si>
  <si>
    <t>pichiy</t>
  </si>
  <si>
    <t>Megalonychidae</t>
  </si>
  <si>
    <t>matacus</t>
  </si>
  <si>
    <t>kinlochii</t>
  </si>
  <si>
    <t>alborufus</t>
  </si>
  <si>
    <t>magnificus</t>
  </si>
  <si>
    <t>electra</t>
  </si>
  <si>
    <t>Pseudorca</t>
  </si>
  <si>
    <t>crassidens</t>
  </si>
  <si>
    <t>Megaladapidae</t>
  </si>
  <si>
    <t>Eremodipus</t>
  </si>
  <si>
    <t>Ctenodactylidae</t>
  </si>
  <si>
    <t>Moschidae</t>
  </si>
  <si>
    <t>castanops</t>
  </si>
  <si>
    <t>fumosus</t>
  </si>
  <si>
    <t>tylorhinus</t>
  </si>
  <si>
    <t>Physeteridae</t>
  </si>
  <si>
    <t>Platanistidae</t>
  </si>
  <si>
    <t>Lenomys</t>
  </si>
  <si>
    <t>Dusicyon</t>
  </si>
  <si>
    <t>corsac</t>
  </si>
  <si>
    <t>lutescens</t>
  </si>
  <si>
    <t>talpinus</t>
  </si>
  <si>
    <t>devia</t>
  </si>
  <si>
    <t>LogMass</t>
  </si>
  <si>
    <t>Mellivora</t>
  </si>
  <si>
    <t>americana</t>
  </si>
  <si>
    <t/>
  </si>
  <si>
    <t>africa</t>
  </si>
  <si>
    <t>Bovidae</t>
  </si>
  <si>
    <t>Addax</t>
  </si>
  <si>
    <t>nasomaculatus</t>
  </si>
  <si>
    <t>Aepyceros</t>
  </si>
  <si>
    <t>melampus</t>
  </si>
  <si>
    <t>ascanius</t>
  </si>
  <si>
    <t>campbelli</t>
  </si>
  <si>
    <t>cephus</t>
  </si>
  <si>
    <t>diana</t>
  </si>
  <si>
    <t>erythrogaster</t>
  </si>
  <si>
    <t>fulvescens</t>
  </si>
  <si>
    <t>Ondatra</t>
  </si>
  <si>
    <t>zibethicus</t>
  </si>
  <si>
    <t>lervia</t>
  </si>
  <si>
    <t>Antidorcas</t>
  </si>
  <si>
    <t>mephitis</t>
  </si>
  <si>
    <t>erminea</t>
  </si>
  <si>
    <t>obliquus</t>
  </si>
  <si>
    <t>Quemisia</t>
  </si>
  <si>
    <t>hainanensis</t>
  </si>
  <si>
    <t>Podogymnura</t>
  </si>
  <si>
    <t>aureospinula</t>
  </si>
  <si>
    <t>andamanensis</t>
  </si>
  <si>
    <t>beatus</t>
  </si>
  <si>
    <t>bottegoides</t>
  </si>
  <si>
    <t>Nelsonia</t>
  </si>
  <si>
    <t>neotomodon</t>
  </si>
  <si>
    <t>lineatus</t>
  </si>
  <si>
    <t>rahmi</t>
  </si>
  <si>
    <t>sabanus</t>
  </si>
  <si>
    <t>siporanus</t>
  </si>
  <si>
    <t>elator</t>
  </si>
  <si>
    <t>zarhynchus</t>
  </si>
  <si>
    <t>glaber</t>
  </si>
  <si>
    <t>Anomaluridae</t>
  </si>
  <si>
    <t>Anomalurus</t>
  </si>
  <si>
    <t>beecrofti</t>
  </si>
  <si>
    <t>pelii</t>
  </si>
  <si>
    <t>Idiurus</t>
  </si>
  <si>
    <t>zenkeri</t>
  </si>
  <si>
    <t>Oryzomys</t>
  </si>
  <si>
    <t>alfaroi</t>
  </si>
  <si>
    <t>Leimacomys</t>
  </si>
  <si>
    <t>kofordi</t>
  </si>
  <si>
    <t>Grammomys</t>
  </si>
  <si>
    <t>personata</t>
  </si>
  <si>
    <t>Mydaus</t>
  </si>
  <si>
    <t>javanensis</t>
  </si>
  <si>
    <t>dolores</t>
  </si>
  <si>
    <t>cursor</t>
  </si>
  <si>
    <t>rufa</t>
  </si>
  <si>
    <t>Bathyergidae</t>
  </si>
  <si>
    <t>Bathyergus</t>
  </si>
  <si>
    <t>suillus</t>
  </si>
  <si>
    <t>auricularis</t>
  </si>
  <si>
    <t>Lagidium</t>
  </si>
  <si>
    <t>setzeri</t>
  </si>
  <si>
    <t>Taurotragus</t>
  </si>
  <si>
    <t>eurycerus</t>
  </si>
  <si>
    <t>imberbis</t>
  </si>
  <si>
    <t>minnae</t>
  </si>
  <si>
    <t>rutilans</t>
  </si>
  <si>
    <t>Heimyscus</t>
  </si>
  <si>
    <t>Hybomys</t>
  </si>
  <si>
    <t>richardsonii</t>
  </si>
  <si>
    <t>Dasyuromorphia</t>
  </si>
  <si>
    <t>Dasyuridae</t>
  </si>
  <si>
    <t>pyrropus</t>
  </si>
  <si>
    <t>lanosus</t>
  </si>
  <si>
    <t>wolffsohni</t>
  </si>
  <si>
    <t>Lagostomus</t>
  </si>
  <si>
    <t>maximus</t>
  </si>
  <si>
    <t>shortridgei</t>
  </si>
  <si>
    <t>albicaudatus</t>
  </si>
  <si>
    <t>Nannospalax</t>
  </si>
  <si>
    <t>temchuki</t>
  </si>
  <si>
    <t>burti</t>
  </si>
  <si>
    <t>Petromuridae</t>
  </si>
  <si>
    <t>Petromus</t>
  </si>
  <si>
    <t>typicus</t>
  </si>
  <si>
    <t>Sciuridae</t>
  </si>
  <si>
    <t>Atlantoxerus</t>
  </si>
  <si>
    <t>getulus</t>
  </si>
  <si>
    <t>Epixerus</t>
  </si>
  <si>
    <t>newtoni</t>
  </si>
  <si>
    <t>raddei</t>
  </si>
  <si>
    <t>roborovskii</t>
  </si>
  <si>
    <t>erythropus</t>
  </si>
  <si>
    <t>inauris</t>
  </si>
  <si>
    <t>Melogale</t>
  </si>
  <si>
    <t>Tscherskia</t>
  </si>
  <si>
    <t>kahuziensis</t>
  </si>
  <si>
    <t>longipilis</t>
  </si>
  <si>
    <t>Gerbillurus</t>
  </si>
  <si>
    <t>paeba</t>
  </si>
  <si>
    <t>female:5900, male: 5700</t>
  </si>
  <si>
    <t>Grampus</t>
  </si>
  <si>
    <t>cruciger</t>
  </si>
  <si>
    <t>soricipes</t>
  </si>
  <si>
    <t>betsileoensis</t>
  </si>
  <si>
    <t>ramirohitra</t>
  </si>
  <si>
    <t>Eliurus</t>
  </si>
  <si>
    <t>myoxinus</t>
  </si>
  <si>
    <t>tanala</t>
  </si>
  <si>
    <t>gunnisoni</t>
  </si>
  <si>
    <t>ludovicianus</t>
  </si>
  <si>
    <t>Glaucomys</t>
  </si>
  <si>
    <t>sabrinus</t>
  </si>
  <si>
    <t>caligata</t>
  </si>
  <si>
    <t>riggenbachi</t>
  </si>
  <si>
    <t>Sciurus</t>
  </si>
  <si>
    <t>aberti</t>
  </si>
  <si>
    <t>Callorhinus</t>
  </si>
  <si>
    <t>Eumetopias</t>
  </si>
  <si>
    <t>peregusna</t>
  </si>
  <si>
    <t>Odobenus</t>
  </si>
  <si>
    <t>Acrobatidae</t>
  </si>
  <si>
    <t>Thylacinidae</t>
  </si>
  <si>
    <t>Okapia</t>
  </si>
  <si>
    <t>Caluromysiops</t>
  </si>
  <si>
    <t>irrupta</t>
  </si>
  <si>
    <t>meinertzhageni</t>
  </si>
  <si>
    <t>Phacochoerus</t>
  </si>
  <si>
    <t>aethiopicus</t>
  </si>
  <si>
    <t>Potamochoerus</t>
  </si>
  <si>
    <t>porcus</t>
  </si>
  <si>
    <t>Sus</t>
  </si>
  <si>
    <t>scrofa</t>
  </si>
  <si>
    <t>pittieri</t>
  </si>
  <si>
    <t>valdivianus</t>
  </si>
  <si>
    <t>albocaudata</t>
  </si>
  <si>
    <t>Tatera</t>
  </si>
  <si>
    <t>afra</t>
  </si>
  <si>
    <t>guineae</t>
  </si>
  <si>
    <t>inclusa</t>
  </si>
  <si>
    <t>Chaetomys</t>
  </si>
  <si>
    <t>subspinosus</t>
  </si>
  <si>
    <t>Clyomys</t>
  </si>
  <si>
    <t>griseicauda</t>
  </si>
  <si>
    <t>Stochomys</t>
  </si>
  <si>
    <t>Tachyoryctes</t>
  </si>
  <si>
    <t>centralis</t>
  </si>
  <si>
    <t>Dasypus</t>
  </si>
  <si>
    <t>novemcinctus</t>
  </si>
  <si>
    <t>tatouay</t>
  </si>
  <si>
    <t>gouazoupira</t>
  </si>
  <si>
    <t>nana</t>
  </si>
  <si>
    <t>brantsii</t>
  </si>
  <si>
    <t>Eligmodontia</t>
  </si>
  <si>
    <t>Pelomys</t>
  </si>
  <si>
    <t>puerulus</t>
  </si>
  <si>
    <t>typus</t>
  </si>
  <si>
    <t>Pudu</t>
  </si>
  <si>
    <t>instans</t>
  </si>
  <si>
    <t>Chinchillula</t>
  </si>
  <si>
    <t>maculatus</t>
  </si>
  <si>
    <t>pumilio</t>
  </si>
  <si>
    <t>Saccostomus</t>
  </si>
  <si>
    <t>Euneomys</t>
  </si>
  <si>
    <t>chinchilloides</t>
  </si>
  <si>
    <t>dimidiatus</t>
  </si>
  <si>
    <t>gorgonae</t>
  </si>
  <si>
    <t>splendens</t>
  </si>
  <si>
    <t>Juscelinomys</t>
  </si>
  <si>
    <t>candango</t>
  </si>
  <si>
    <t>pratensis</t>
  </si>
  <si>
    <t>Stenocephalemys</t>
  </si>
  <si>
    <t>chrysurus</t>
  </si>
  <si>
    <t>caniceps</t>
  </si>
  <si>
    <t>Introduction</t>
  </si>
  <si>
    <t>bulleri</t>
  </si>
  <si>
    <t>nitela</t>
  </si>
  <si>
    <t>wetzeli</t>
  </si>
  <si>
    <t>Odobenidae</t>
  </si>
  <si>
    <t>Scolomys</t>
  </si>
  <si>
    <t>melanops</t>
  </si>
  <si>
    <t>ucayalensis</t>
  </si>
  <si>
    <t>inopinatus</t>
  </si>
  <si>
    <t>zinseri</t>
  </si>
  <si>
    <t>Thomomys</t>
  </si>
  <si>
    <t>Ziphiidae</t>
  </si>
  <si>
    <t>Dermoptera</t>
  </si>
  <si>
    <t>Cynocephalidae</t>
  </si>
  <si>
    <t>Solenodontidae</t>
  </si>
  <si>
    <t>bieti</t>
  </si>
  <si>
    <t>Pardofelis</t>
  </si>
  <si>
    <t>proditor</t>
  </si>
  <si>
    <t>regulus</t>
  </si>
  <si>
    <t>Salanoia</t>
  </si>
  <si>
    <t>alexandri</t>
  </si>
  <si>
    <t>brahma</t>
  </si>
  <si>
    <t>pulla</t>
  </si>
  <si>
    <t>Oryzorictes</t>
  </si>
  <si>
    <t>hova</t>
  </si>
  <si>
    <t>Puertoricomys</t>
  </si>
  <si>
    <t>visagiei</t>
  </si>
  <si>
    <t>Cryptochloris</t>
  </si>
  <si>
    <t>Mesocapromys</t>
  </si>
  <si>
    <t>Trichechus</t>
  </si>
  <si>
    <t>niviventer</t>
  </si>
  <si>
    <t>rapit</t>
  </si>
  <si>
    <t>dauuricus</t>
  </si>
  <si>
    <t>hughi</t>
  </si>
  <si>
    <t>villosissimus</t>
  </si>
  <si>
    <t>palatilis</t>
  </si>
  <si>
    <t>Oxymycterus</t>
  </si>
  <si>
    <t>akodontius</t>
  </si>
  <si>
    <t>Daubentoniidae</t>
  </si>
  <si>
    <t>Hylobatidae</t>
  </si>
  <si>
    <t>talamancae</t>
  </si>
  <si>
    <t>paramensis</t>
  </si>
  <si>
    <t>concolor</t>
  </si>
  <si>
    <t>tigrinus</t>
  </si>
  <si>
    <t>rufulus</t>
  </si>
  <si>
    <t>andium</t>
  </si>
  <si>
    <t>amicus</t>
  </si>
  <si>
    <t>magister</t>
  </si>
  <si>
    <t>Tarsiidae</t>
  </si>
  <si>
    <t>andrewsi</t>
  </si>
  <si>
    <t>Eschrichtiidae</t>
  </si>
  <si>
    <t>Monodontidae</t>
  </si>
  <si>
    <t>delacouri</t>
  </si>
  <si>
    <t>medicaudatus</t>
  </si>
  <si>
    <t>Limnomys</t>
  </si>
  <si>
    <t>sibuanus</t>
  </si>
  <si>
    <t>Zygogeomys</t>
  </si>
  <si>
    <t>Trichechidae</t>
  </si>
  <si>
    <t>formosus</t>
  </si>
  <si>
    <t>palatina</t>
  </si>
  <si>
    <t>intermedius</t>
  </si>
  <si>
    <t>Continent</t>
  </si>
  <si>
    <t>libyca</t>
  </si>
  <si>
    <t>Genus</t>
  </si>
  <si>
    <t>Neofiber</t>
  </si>
  <si>
    <t>Macroscelides</t>
  </si>
  <si>
    <t>macrocephala</t>
  </si>
  <si>
    <t>Cercocebus</t>
  </si>
  <si>
    <t>squamicaudata</t>
  </si>
  <si>
    <t>micropus</t>
  </si>
  <si>
    <t>putorius</t>
  </si>
  <si>
    <t>Poecilogale</t>
  </si>
  <si>
    <t>albigula</t>
  </si>
  <si>
    <t>Combined Mass (g)</t>
  </si>
  <si>
    <t>rubidus</t>
  </si>
  <si>
    <t>maniculatus</t>
  </si>
  <si>
    <t>megalops</t>
  </si>
  <si>
    <t>mekisturus</t>
  </si>
  <si>
    <t>melanocarpus</t>
  </si>
  <si>
    <t>melanophrys</t>
  </si>
  <si>
    <t>melanurus</t>
  </si>
  <si>
    <t>Desmodilliscus</t>
  </si>
  <si>
    <t>braueri</t>
  </si>
  <si>
    <t>Arctocebus</t>
  </si>
  <si>
    <t>Perodicticus</t>
  </si>
  <si>
    <t>potto</t>
  </si>
  <si>
    <t>Elephantidae</t>
  </si>
  <si>
    <t>Loxodonta</t>
  </si>
  <si>
    <t>lemniscatus</t>
  </si>
  <si>
    <t>leucogenys</t>
  </si>
  <si>
    <t>kempi</t>
  </si>
  <si>
    <t>Rodentia</t>
  </si>
  <si>
    <t>Abrocomidae</t>
  </si>
  <si>
    <t>Abrocoma</t>
  </si>
  <si>
    <t>dolichurus</t>
  </si>
  <si>
    <t>budini</t>
  </si>
  <si>
    <t>paca</t>
  </si>
  <si>
    <t>taczanowskii</t>
  </si>
  <si>
    <t>gerbillus</t>
  </si>
  <si>
    <t>henleyi</t>
  </si>
  <si>
    <t>pyramidum</t>
  </si>
  <si>
    <t>campestris</t>
  </si>
  <si>
    <t>callipygus</t>
  </si>
  <si>
    <t>dorsalis</t>
  </si>
  <si>
    <t>Alcelaphus</t>
  </si>
  <si>
    <t>banderanus</t>
  </si>
  <si>
    <t>Otonyctomys</t>
  </si>
  <si>
    <t>hatti</t>
  </si>
  <si>
    <t>Ammotragus</t>
  </si>
  <si>
    <t>natalensis</t>
  </si>
  <si>
    <t>verus</t>
  </si>
  <si>
    <t>Muridae</t>
  </si>
  <si>
    <t>Acomys</t>
  </si>
  <si>
    <t>Deomys</t>
  </si>
  <si>
    <t>ferrugineus</t>
  </si>
  <si>
    <t>Dephomys</t>
  </si>
  <si>
    <t>defua</t>
  </si>
  <si>
    <t>Aplodontidae</t>
  </si>
  <si>
    <t>Aplodontia</t>
  </si>
  <si>
    <t>chrysopsis</t>
  </si>
  <si>
    <t>yucatanicus</t>
  </si>
  <si>
    <t>messorius</t>
  </si>
  <si>
    <t>vernayi</t>
  </si>
  <si>
    <t>Dendroprionomys</t>
  </si>
  <si>
    <t>rousseloti</t>
  </si>
  <si>
    <t>unicolor</t>
  </si>
  <si>
    <t>callosus</t>
  </si>
  <si>
    <t>hummelincki</t>
  </si>
  <si>
    <t>webbi</t>
  </si>
  <si>
    <t>Gymnuromys</t>
  </si>
  <si>
    <t>Macrotarsomys</t>
  </si>
  <si>
    <t>Nesophontidae</t>
  </si>
  <si>
    <t>Nannosciurus</t>
  </si>
  <si>
    <t>obliquidens</t>
  </si>
  <si>
    <t>Lissodelphis</t>
  </si>
  <si>
    <t>Sotalia</t>
  </si>
  <si>
    <t>fluviatilis</t>
  </si>
  <si>
    <t>Sousa</t>
  </si>
  <si>
    <t>teuszii</t>
  </si>
  <si>
    <t>Pseudocheiridae</t>
  </si>
  <si>
    <t>vexillaris</t>
  </si>
  <si>
    <t>Rhombomys</t>
  </si>
  <si>
    <t>Sciurotamias</t>
  </si>
  <si>
    <t>pearsoni</t>
  </si>
  <si>
    <t>tamariscinus</t>
  </si>
  <si>
    <t>sociabilis</t>
  </si>
  <si>
    <t>validus</t>
  </si>
  <si>
    <t>porteousi</t>
  </si>
  <si>
    <t>saltarius</t>
  </si>
  <si>
    <t>tarandus</t>
  </si>
  <si>
    <t>Blastocerus</t>
  </si>
  <si>
    <t>suaveolens</t>
  </si>
  <si>
    <t>bisulcus</t>
  </si>
  <si>
    <t>Hippocamelus</t>
  </si>
  <si>
    <t>sahamae</t>
  </si>
  <si>
    <t>Chroeomys</t>
  </si>
  <si>
    <t>religiosa</t>
  </si>
  <si>
    <t>roosevelti</t>
  </si>
  <si>
    <t>Calomys</t>
  </si>
  <si>
    <t>boliviae</t>
  </si>
  <si>
    <t>callidus</t>
  </si>
  <si>
    <t>magellanicus</t>
  </si>
  <si>
    <t>maulinus</t>
  </si>
  <si>
    <t>latro</t>
  </si>
  <si>
    <t>leucodon</t>
  </si>
  <si>
    <t>lewisi</t>
  </si>
  <si>
    <t>flaviventris</t>
  </si>
  <si>
    <t>olympus</t>
  </si>
  <si>
    <t>arizonensis</t>
  </si>
  <si>
    <t>ruberrimus</t>
  </si>
  <si>
    <t>Otaria</t>
  </si>
  <si>
    <t>byronia</t>
  </si>
  <si>
    <t>meridianus</t>
  </si>
  <si>
    <t>sacramenti</t>
  </si>
  <si>
    <t>heavisidii</t>
  </si>
  <si>
    <t>stankovici</t>
  </si>
  <si>
    <t>Meles</t>
  </si>
  <si>
    <t>meles</t>
  </si>
  <si>
    <t>rufina</t>
  </si>
  <si>
    <t>sublineatus</t>
  </si>
  <si>
    <t>morgani</t>
  </si>
  <si>
    <t>bilobidens</t>
  </si>
  <si>
    <t>burmeisteri</t>
  </si>
  <si>
    <t>3, 4</t>
  </si>
  <si>
    <t>varius</t>
  </si>
  <si>
    <t>torquatus</t>
  </si>
  <si>
    <t>collinus</t>
  </si>
  <si>
    <t>Praomys</t>
  </si>
  <si>
    <t>delectorum</t>
  </si>
  <si>
    <t>morio</t>
  </si>
  <si>
    <t>tullbergi</t>
  </si>
  <si>
    <t>johnstoni</t>
  </si>
  <si>
    <t>Hippopotamidae</t>
  </si>
  <si>
    <t>Hexaprotodon</t>
  </si>
  <si>
    <t>liberiensis</t>
  </si>
  <si>
    <t>Hippopotamus</t>
  </si>
  <si>
    <t>amphibius</t>
  </si>
  <si>
    <t>Giraffidae</t>
  </si>
  <si>
    <t>Giraffa</t>
  </si>
  <si>
    <t>camelopardalis</t>
  </si>
  <si>
    <t>Taterillus</t>
  </si>
  <si>
    <t>johnsoni</t>
  </si>
  <si>
    <t>cayennensis</t>
  </si>
  <si>
    <t>chrysaeolus</t>
  </si>
  <si>
    <t>guianae</t>
  </si>
  <si>
    <t>tenuipes</t>
  </si>
  <si>
    <t>griseolus</t>
  </si>
  <si>
    <t>albigularis</t>
  </si>
  <si>
    <t>fieldi</t>
  </si>
  <si>
    <t>mitchellii</t>
  </si>
  <si>
    <t>Conilurus</t>
  </si>
  <si>
    <t>Uromys</t>
  </si>
  <si>
    <t>guairae</t>
  </si>
  <si>
    <t>gularis</t>
  </si>
  <si>
    <t>cervinipes</t>
  </si>
  <si>
    <t>maini</t>
  </si>
  <si>
    <t>oralis</t>
  </si>
  <si>
    <t>keaysi</t>
  </si>
  <si>
    <t>rubicola</t>
  </si>
  <si>
    <t>angularis</t>
  </si>
  <si>
    <t>delator</t>
  </si>
  <si>
    <t>hiska</t>
  </si>
  <si>
    <t>Profelis</t>
  </si>
  <si>
    <t>oniscus</t>
  </si>
  <si>
    <t>bonaeriensis</t>
  </si>
  <si>
    <t>caprinus</t>
  </si>
  <si>
    <t>darwini</t>
  </si>
  <si>
    <t>billardierii</t>
  </si>
  <si>
    <t>Macropus</t>
  </si>
  <si>
    <t>Dologale</t>
  </si>
  <si>
    <t>unicinctus</t>
  </si>
  <si>
    <t>Chaetophractus</t>
  </si>
  <si>
    <t>nationi</t>
  </si>
  <si>
    <t>Chlamyphorus</t>
  </si>
  <si>
    <t>retusus</t>
  </si>
  <si>
    <t>truncatus</t>
  </si>
  <si>
    <t>hendeei</t>
  </si>
  <si>
    <t>hoplomyoides</t>
  </si>
  <si>
    <t>bolivianus</t>
  </si>
  <si>
    <t>canicollis</t>
  </si>
  <si>
    <t>magdalenae</t>
  </si>
  <si>
    <t>mincae</t>
  </si>
  <si>
    <t>tridactyla</t>
  </si>
  <si>
    <t>decumanus</t>
  </si>
  <si>
    <t>Oreailurus</t>
  </si>
  <si>
    <t>Phaenomys</t>
  </si>
  <si>
    <t>Oncifelis</t>
  </si>
  <si>
    <t>colocolo</t>
  </si>
  <si>
    <t>asomatus</t>
  </si>
  <si>
    <t>hirsutus</t>
  </si>
  <si>
    <t>geoffroyi</t>
  </si>
  <si>
    <t>guigna</t>
  </si>
  <si>
    <t>Capromyidae</t>
  </si>
  <si>
    <t>pinetorum</t>
  </si>
  <si>
    <t>quasiater</t>
  </si>
  <si>
    <t>fallax</t>
  </si>
  <si>
    <t>Ictonyx</t>
  </si>
  <si>
    <t>cinereiventer</t>
  </si>
  <si>
    <t>daphne</t>
  </si>
  <si>
    <t>gracilis</t>
  </si>
  <si>
    <t>Dactylopsila</t>
  </si>
  <si>
    <t>trivirgata</t>
  </si>
  <si>
    <t>australis</t>
  </si>
  <si>
    <t>princeps</t>
  </si>
  <si>
    <t>Macroscelidea</t>
  </si>
  <si>
    <t>cristatus</t>
  </si>
  <si>
    <t>Phalangeridae</t>
  </si>
  <si>
    <t>Wyulda</t>
  </si>
  <si>
    <t>lutra</t>
  </si>
  <si>
    <t>Potorous</t>
  </si>
  <si>
    <t>Phalanger</t>
  </si>
  <si>
    <t>norfolcensis</t>
  </si>
  <si>
    <t>Trichosurus</t>
  </si>
  <si>
    <t>proboscideus</t>
  </si>
  <si>
    <t>Petrodromus</t>
  </si>
  <si>
    <t>Ornithorhynchidae</t>
  </si>
  <si>
    <t>Ornithorhynchus</t>
  </si>
  <si>
    <t>tetradactylus</t>
  </si>
  <si>
    <t>orientalis</t>
  </si>
  <si>
    <t>nivalis</t>
  </si>
  <si>
    <t>striatus</t>
  </si>
  <si>
    <t>longipes</t>
  </si>
  <si>
    <t>vulpecula</t>
  </si>
  <si>
    <t>caninus</t>
  </si>
  <si>
    <t>felipei</t>
  </si>
  <si>
    <t>Pteronura</t>
  </si>
  <si>
    <t>Mesechinus</t>
  </si>
  <si>
    <t>luteogaster</t>
  </si>
  <si>
    <t>Comments</t>
  </si>
  <si>
    <t>NA</t>
  </si>
  <si>
    <t>extant</t>
  </si>
  <si>
    <t>maculicollis</t>
  </si>
  <si>
    <t>Eira</t>
  </si>
  <si>
    <t>barbara</t>
  </si>
  <si>
    <t>Galictis</t>
  </si>
  <si>
    <t>vittata</t>
  </si>
  <si>
    <t>Gulo</t>
  </si>
  <si>
    <t>gulo</t>
  </si>
  <si>
    <t>Ochrotomys</t>
  </si>
  <si>
    <t>nuttalli</t>
  </si>
  <si>
    <t>Oligoryzomys</t>
  </si>
  <si>
    <t>Martes</t>
  </si>
  <si>
    <t>Bettongia</t>
  </si>
  <si>
    <t>lesueur</t>
  </si>
  <si>
    <t>pennanti</t>
  </si>
  <si>
    <t>Mephitis</t>
  </si>
  <si>
    <t>macroura</t>
  </si>
  <si>
    <t>bullatus</t>
  </si>
  <si>
    <t>crinitus</t>
  </si>
  <si>
    <t>difficilis</t>
  </si>
  <si>
    <t>niger</t>
  </si>
  <si>
    <t>nigrifrons</t>
  </si>
  <si>
    <t>ogilbyi</t>
  </si>
  <si>
    <t>platensis</t>
  </si>
  <si>
    <t>tarijensis</t>
  </si>
  <si>
    <t>Protocyon</t>
  </si>
  <si>
    <t>saltiana</t>
  </si>
  <si>
    <t>Lophuromys</t>
  </si>
  <si>
    <t>fumosa</t>
  </si>
  <si>
    <t>fuscomurina</t>
  </si>
  <si>
    <t>glassi</t>
  </si>
  <si>
    <t>gracilipes</t>
  </si>
  <si>
    <t>grandiceps</t>
  </si>
  <si>
    <t>kivuana</t>
  </si>
  <si>
    <t>sanctipaulensis</t>
  </si>
  <si>
    <t>serrensis</t>
  </si>
  <si>
    <t>siberiae</t>
  </si>
  <si>
    <t>simulator</t>
  </si>
  <si>
    <t>spegazzinii</t>
  </si>
  <si>
    <t>subfuscus</t>
  </si>
  <si>
    <t>surdus</t>
  </si>
  <si>
    <t>toba</t>
  </si>
  <si>
    <t>Lophiomys</t>
  </si>
  <si>
    <t>flavopunctatus</t>
  </si>
  <si>
    <t>melanonyx</t>
  </si>
  <si>
    <t>sikapusi</t>
  </si>
  <si>
    <t>elaphus</t>
  </si>
  <si>
    <t>Axis</t>
  </si>
  <si>
    <t>porcinus</t>
  </si>
  <si>
    <t>Dama</t>
  </si>
  <si>
    <t>punctulatus</t>
  </si>
  <si>
    <t>vicugna</t>
  </si>
  <si>
    <t>guanicoe</t>
  </si>
  <si>
    <t>Vicugna</t>
  </si>
  <si>
    <t>Dasykaluta</t>
  </si>
  <si>
    <t>rosamondae</t>
  </si>
  <si>
    <t>Parantechinus</t>
  </si>
  <si>
    <t>bilarni</t>
  </si>
  <si>
    <t>mendocinus</t>
  </si>
  <si>
    <t>minutus</t>
  </si>
  <si>
    <t>nattereri</t>
  </si>
  <si>
    <t>simoni</t>
  </si>
  <si>
    <t>oculatus</t>
  </si>
  <si>
    <t>flavovittis</t>
  </si>
  <si>
    <t>vexillarius</t>
  </si>
  <si>
    <t>Rheithrosciurus</t>
  </si>
  <si>
    <t>buxtoni</t>
  </si>
  <si>
    <t>imbellis</t>
  </si>
  <si>
    <t>Brachiones</t>
  </si>
  <si>
    <t>tytonis</t>
  </si>
  <si>
    <t>grassei</t>
  </si>
  <si>
    <t>Sylvicapra</t>
  </si>
  <si>
    <t>grimmia</t>
  </si>
  <si>
    <t>Poiana</t>
  </si>
  <si>
    <t>walleri</t>
  </si>
  <si>
    <t>Madoqua</t>
  </si>
  <si>
    <t>beddardi</t>
  </si>
  <si>
    <t>tumbalensis</t>
  </si>
  <si>
    <t>guentheri</t>
  </si>
  <si>
    <t>kirkii</t>
  </si>
  <si>
    <t>latebricola</t>
  </si>
  <si>
    <t>imhausi</t>
  </si>
  <si>
    <t>oryx</t>
  </si>
  <si>
    <t>Tragelaphus</t>
  </si>
  <si>
    <t>angasii</t>
  </si>
  <si>
    <t>ruppi</t>
  </si>
  <si>
    <t>verreauxii</t>
  </si>
  <si>
    <t>Mystromys</t>
  </si>
  <si>
    <t>Cervidae</t>
  </si>
  <si>
    <t>Cervus</t>
  </si>
  <si>
    <t>Megadendromus</t>
  </si>
  <si>
    <t>axis</t>
  </si>
  <si>
    <t>timorensis</t>
  </si>
  <si>
    <t>oenanthe</t>
  </si>
  <si>
    <t>primigenius</t>
  </si>
  <si>
    <t>sublimis</t>
  </si>
  <si>
    <t>Bibimys</t>
  </si>
  <si>
    <t>chacoensis</t>
  </si>
  <si>
    <t>torresi</t>
  </si>
  <si>
    <t>Blarinomys</t>
  </si>
  <si>
    <t>Dasycercus</t>
  </si>
  <si>
    <t>cristicauda</t>
  </si>
  <si>
    <t>byrnei</t>
  </si>
  <si>
    <t>tapoatafa</t>
  </si>
  <si>
    <t>butleri</t>
  </si>
  <si>
    <t>GUESS</t>
  </si>
  <si>
    <t>bricenii</t>
  </si>
  <si>
    <t>chunyi</t>
  </si>
  <si>
    <t>geoffroii</t>
  </si>
  <si>
    <t>zaphiri</t>
  </si>
  <si>
    <t>zarudnyi</t>
  </si>
  <si>
    <t>Myrmecobiidae</t>
  </si>
  <si>
    <t>yankariensis</t>
  </si>
  <si>
    <t>1, 2</t>
  </si>
  <si>
    <t>historical</t>
  </si>
  <si>
    <t>cafer</t>
  </si>
  <si>
    <t>Cebus</t>
  </si>
  <si>
    <t>Sarcophilus</t>
  </si>
  <si>
    <t>viverrinus</t>
  </si>
  <si>
    <t>Ozotoceros</t>
  </si>
  <si>
    <t>bezoarticus</t>
  </si>
  <si>
    <t>moreni</t>
  </si>
  <si>
    <t>Graomys</t>
  </si>
  <si>
    <t>colletti</t>
  </si>
  <si>
    <t>Melomys</t>
  </si>
  <si>
    <t>burtoni</t>
  </si>
  <si>
    <t>gracilicaudatus</t>
  </si>
  <si>
    <t>bolivaris</t>
  </si>
  <si>
    <t>russula</t>
  </si>
  <si>
    <t>andinus</t>
  </si>
  <si>
    <t>jelskii</t>
  </si>
  <si>
    <t>pirrensis</t>
  </si>
  <si>
    <t>Pecari</t>
  </si>
  <si>
    <t>tajacu</t>
  </si>
  <si>
    <t>Tragulidae</t>
  </si>
  <si>
    <t>Hyemoschus</t>
  </si>
  <si>
    <t>aquaticus</t>
  </si>
  <si>
    <t>Carnivora</t>
  </si>
  <si>
    <t>Canidae</t>
  </si>
  <si>
    <t>Canis</t>
  </si>
  <si>
    <t>adustus</t>
  </si>
  <si>
    <t>Kunsia</t>
  </si>
  <si>
    <t>fronto</t>
  </si>
  <si>
    <t>tomentosus</t>
  </si>
  <si>
    <t>Lenoxus</t>
  </si>
  <si>
    <t>Melanomys</t>
  </si>
  <si>
    <t>caliginosus</t>
  </si>
  <si>
    <t>robustulus</t>
  </si>
  <si>
    <t>macrocephalus</t>
  </si>
  <si>
    <t>Dactylomys</t>
  </si>
  <si>
    <t>dactylinus</t>
  </si>
  <si>
    <t>Diplomys</t>
  </si>
  <si>
    <t>vellerosus</t>
  </si>
  <si>
    <t>valida</t>
  </si>
  <si>
    <t>oeconomus</t>
  </si>
  <si>
    <t>mastacalis</t>
  </si>
  <si>
    <t>Mungos</t>
  </si>
  <si>
    <t>chinanteco</t>
  </si>
  <si>
    <t>lepturus</t>
  </si>
  <si>
    <t>lophurus</t>
  </si>
  <si>
    <t>simulatus</t>
  </si>
  <si>
    <t>Hodomys</t>
  </si>
  <si>
    <t>Lemmiscus</t>
  </si>
  <si>
    <t>curtatus</t>
  </si>
  <si>
    <t>caucensis</t>
  </si>
  <si>
    <t>leucodactylus</t>
  </si>
  <si>
    <t>Liberiictis</t>
  </si>
  <si>
    <t>kuhni</t>
  </si>
  <si>
    <t>montanus</t>
  </si>
  <si>
    <t>Rhynchogale</t>
  </si>
  <si>
    <t>melleri</t>
  </si>
  <si>
    <t>xanthognathus</t>
  </si>
  <si>
    <t>okuensis</t>
  </si>
  <si>
    <t>shanseius</t>
  </si>
  <si>
    <t>Thalpomys</t>
  </si>
  <si>
    <t>baeodon</t>
  </si>
  <si>
    <t>bartelsii</t>
  </si>
  <si>
    <t>dollmani</t>
  </si>
  <si>
    <t>ansorgei</t>
  </si>
  <si>
    <t>manatus</t>
  </si>
  <si>
    <t>linulus</t>
  </si>
  <si>
    <t>Tupaiidae</t>
  </si>
  <si>
    <t>bellieri</t>
  </si>
  <si>
    <t>tancrei</t>
  </si>
  <si>
    <t>Eothenomys</t>
  </si>
  <si>
    <t>dariensis</t>
  </si>
  <si>
    <t>Phocoenidae</t>
  </si>
  <si>
    <t>sodyi</t>
  </si>
  <si>
    <t>trichopus</t>
  </si>
  <si>
    <t>angustapalata</t>
  </si>
  <si>
    <t>Heteromyidae</t>
  </si>
  <si>
    <t>Chaetodipus</t>
  </si>
  <si>
    <t>Wallabia</t>
  </si>
  <si>
    <t>bicolor</t>
  </si>
  <si>
    <t>crocuta</t>
  </si>
  <si>
    <t>Hyaena</t>
  </si>
  <si>
    <t>hyaena</t>
  </si>
  <si>
    <t>mexicanus</t>
  </si>
  <si>
    <t>norvegicus</t>
  </si>
  <si>
    <t>Leporillus</t>
  </si>
  <si>
    <t>conditor</t>
  </si>
  <si>
    <t>Lagostrophus</t>
  </si>
  <si>
    <t>Setonix</t>
  </si>
  <si>
    <t>jacobita</t>
  </si>
  <si>
    <t>hadrourus</t>
  </si>
  <si>
    <t>Mesembriomys</t>
  </si>
  <si>
    <t>rattus</t>
  </si>
  <si>
    <t>tunneyi</t>
  </si>
  <si>
    <t>macconnelli</t>
  </si>
  <si>
    <t>nitidus</t>
  </si>
  <si>
    <t>higginsi</t>
  </si>
  <si>
    <t>edax</t>
  </si>
  <si>
    <t>Proechimys</t>
  </si>
  <si>
    <t>pedunculatus</t>
  </si>
  <si>
    <t>Arborimus</t>
  </si>
  <si>
    <t>albipes</t>
  </si>
  <si>
    <t>wintoni</t>
  </si>
  <si>
    <t>zyli</t>
  </si>
  <si>
    <t>nudiventris</t>
  </si>
  <si>
    <t>chinensis</t>
  </si>
  <si>
    <t>custos</t>
  </si>
  <si>
    <t>signatus</t>
  </si>
  <si>
    <t>oregoni</t>
  </si>
  <si>
    <t>pennsylvanicus</t>
  </si>
  <si>
    <t>buselaphus</t>
  </si>
  <si>
    <t>Ammodorcas</t>
  </si>
  <si>
    <t>clarkei</t>
  </si>
  <si>
    <t>jentinki</t>
  </si>
  <si>
    <t>leucogaster</t>
  </si>
  <si>
    <t>maxwellii</t>
  </si>
  <si>
    <t>monticola</t>
  </si>
  <si>
    <t>rostratus</t>
  </si>
  <si>
    <t>provocax</t>
  </si>
  <si>
    <t>Lyncodon</t>
  </si>
  <si>
    <t>patagonicus</t>
  </si>
  <si>
    <t>africana</t>
  </si>
  <si>
    <t>lanosa</t>
  </si>
  <si>
    <t>latona</t>
  </si>
  <si>
    <t>dolichura</t>
  </si>
  <si>
    <t>jacksoni</t>
  </si>
  <si>
    <t>Ningaui</t>
  </si>
  <si>
    <t>Planigale</t>
  </si>
  <si>
    <t>Malacomys</t>
  </si>
  <si>
    <t>edwardsi</t>
  </si>
  <si>
    <t>Malacothrix</t>
  </si>
  <si>
    <t>typica</t>
  </si>
  <si>
    <t>spekii</t>
  </si>
  <si>
    <t>strepsiceros</t>
  </si>
  <si>
    <t>Australia</t>
  </si>
  <si>
    <t>hircus</t>
  </si>
  <si>
    <t>Bos</t>
  </si>
  <si>
    <t>torques</t>
  </si>
  <si>
    <t>xanthorhinus</t>
  </si>
  <si>
    <t>Andalgalomys</t>
  </si>
  <si>
    <t>olrogi</t>
  </si>
  <si>
    <t>indutus</t>
  </si>
  <si>
    <t>mahomet</t>
  </si>
  <si>
    <t>minutoides</t>
  </si>
  <si>
    <t>granulipes</t>
  </si>
  <si>
    <t>rufilatus</t>
  </si>
  <si>
    <t>silvicultor</t>
  </si>
  <si>
    <t>spadix</t>
  </si>
  <si>
    <t>zebra</t>
  </si>
  <si>
    <t>Arctocephalus</t>
  </si>
  <si>
    <t>tropicalis</t>
  </si>
  <si>
    <t>forsteri</t>
  </si>
  <si>
    <t>ochraventer</t>
  </si>
  <si>
    <t>Proboscidea</t>
  </si>
  <si>
    <t>lotor</t>
  </si>
  <si>
    <t>Bassaricyon</t>
  </si>
  <si>
    <t>alleni</t>
  </si>
  <si>
    <t>vallinus</t>
  </si>
  <si>
    <t>Desmodillus</t>
  </si>
  <si>
    <t>bullaris</t>
  </si>
  <si>
    <t>nudicaudus</t>
  </si>
  <si>
    <t>nyikae</t>
  </si>
  <si>
    <t>fusca</t>
  </si>
  <si>
    <t>sara</t>
  </si>
  <si>
    <t>Theriodictis</t>
  </si>
  <si>
    <t>virginiae</t>
  </si>
  <si>
    <t>vincenti</t>
  </si>
  <si>
    <t>mullah</t>
  </si>
  <si>
    <t>nesiotes</t>
  </si>
  <si>
    <t>weberi</t>
  </si>
  <si>
    <t>Pachyuromys</t>
  </si>
  <si>
    <t>duprasi</t>
  </si>
  <si>
    <t>stigmonyx</t>
  </si>
  <si>
    <t>somalicus</t>
  </si>
  <si>
    <t>angoniensis</t>
  </si>
  <si>
    <t>carolinensis</t>
  </si>
  <si>
    <t>tener</t>
  </si>
  <si>
    <t>indica</t>
  </si>
  <si>
    <t>Chibchanomys</t>
  </si>
  <si>
    <t>trichotis</t>
  </si>
  <si>
    <t>Chilomys</t>
  </si>
  <si>
    <t>occultus</t>
  </si>
  <si>
    <t>sloggetti</t>
  </si>
  <si>
    <t>virginianus</t>
  </si>
  <si>
    <t>Rangifer</t>
  </si>
  <si>
    <t>yvonnae</t>
  </si>
  <si>
    <t>ridei</t>
  </si>
  <si>
    <t>Sminthopsis</t>
  </si>
  <si>
    <t>lactens</t>
  </si>
  <si>
    <t>Ovis</t>
  </si>
  <si>
    <t>canadensis</t>
  </si>
  <si>
    <t>bellus</t>
  </si>
  <si>
    <t>woolleyae</t>
  </si>
  <si>
    <t>arachnoides</t>
  </si>
  <si>
    <t>Cacajao</t>
  </si>
  <si>
    <t>calvus</t>
  </si>
  <si>
    <t>dubius</t>
  </si>
  <si>
    <t>nigricans</t>
  </si>
  <si>
    <t>nigrofusca</t>
  </si>
  <si>
    <t>leander</t>
  </si>
  <si>
    <t>Auliscomys</t>
  </si>
  <si>
    <t>hoffmannsi</t>
  </si>
  <si>
    <t>thalia</t>
  </si>
  <si>
    <t>theresae</t>
  </si>
  <si>
    <t>thomensis</t>
  </si>
  <si>
    <t>Bolomys</t>
  </si>
  <si>
    <t>amoenus</t>
  </si>
  <si>
    <t>donacophilus</t>
  </si>
  <si>
    <t>olivieri</t>
  </si>
  <si>
    <t>laniarius</t>
  </si>
  <si>
    <t>macrotis</t>
  </si>
  <si>
    <t>Feresa</t>
  </si>
  <si>
    <t>fontanierii</t>
  </si>
  <si>
    <t>myospalax</t>
  </si>
  <si>
    <t>psilurus</t>
  </si>
  <si>
    <t>Brachytarsomys</t>
  </si>
  <si>
    <t>peronii</t>
  </si>
  <si>
    <t>colliaei</t>
  </si>
  <si>
    <t>acticola</t>
  </si>
  <si>
    <t>agag</t>
  </si>
  <si>
    <t>musteloides</t>
  </si>
  <si>
    <t>illuteus</t>
  </si>
  <si>
    <t>iniscatus</t>
  </si>
  <si>
    <t>planifrons</t>
  </si>
  <si>
    <t>univittatus</t>
  </si>
  <si>
    <t>Hylomyscus</t>
  </si>
  <si>
    <t>aeta</t>
  </si>
  <si>
    <t>denniae</t>
  </si>
  <si>
    <t>Mastomys</t>
  </si>
  <si>
    <t>coucha</t>
  </si>
  <si>
    <t>erythroleucus</t>
  </si>
  <si>
    <t>hildebrandtii</t>
  </si>
  <si>
    <t>fumatus</t>
  </si>
  <si>
    <t>Lama</t>
  </si>
  <si>
    <t>nigeriae</t>
  </si>
  <si>
    <t>selina</t>
  </si>
  <si>
    <t>silacea</t>
  </si>
  <si>
    <t>smithii</t>
  </si>
  <si>
    <t>somalica</t>
  </si>
  <si>
    <t>Toxodon</t>
  </si>
  <si>
    <t>minimus</t>
  </si>
  <si>
    <t>Phascogale</t>
  </si>
  <si>
    <t>didelphoides</t>
  </si>
  <si>
    <t>hispidus</t>
  </si>
  <si>
    <t>leniceps</t>
  </si>
  <si>
    <t>stimulax</t>
  </si>
  <si>
    <t>Pogonomys</t>
  </si>
  <si>
    <t>rothschildi</t>
  </si>
  <si>
    <t>conspicillatus</t>
  </si>
  <si>
    <t>Herpestidae</t>
  </si>
  <si>
    <t>Atilax</t>
  </si>
  <si>
    <t>paludinosus</t>
  </si>
  <si>
    <t>Bdeogale</t>
  </si>
  <si>
    <t>crassicauda</t>
  </si>
  <si>
    <t>oaxacensis</t>
  </si>
  <si>
    <t>bernardus</t>
  </si>
  <si>
    <t>rufogriseus</t>
  </si>
  <si>
    <t>Suricata</t>
  </si>
  <si>
    <t>suricatta</t>
  </si>
  <si>
    <t>Crocuta</t>
  </si>
  <si>
    <t>Neobalaenidae</t>
  </si>
  <si>
    <t>Scandentia</t>
  </si>
  <si>
    <t>bottae</t>
  </si>
  <si>
    <t>mazama</t>
  </si>
  <si>
    <t>talpoides</t>
  </si>
  <si>
    <t>umbrinus</t>
  </si>
  <si>
    <t>Lamottemys</t>
  </si>
  <si>
    <t>sapidus</t>
  </si>
  <si>
    <t>rintjanus</t>
  </si>
  <si>
    <t>Komodomys</t>
  </si>
  <si>
    <t>Parahyaena</t>
  </si>
  <si>
    <t>brunnea</t>
  </si>
  <si>
    <t>Proteles</t>
  </si>
  <si>
    <t>baeops</t>
  </si>
  <si>
    <t>bombycinus</t>
  </si>
  <si>
    <t>richardsoni</t>
  </si>
  <si>
    <t>capito</t>
  </si>
  <si>
    <t>concinna</t>
  </si>
  <si>
    <t>idahoensis</t>
  </si>
  <si>
    <t>cuniculus</t>
  </si>
  <si>
    <t>Poelagus</t>
  </si>
  <si>
    <t>marjorita</t>
  </si>
  <si>
    <t>Pronolagus</t>
  </si>
  <si>
    <t>crassicaudatus</t>
  </si>
  <si>
    <t>randensis</t>
  </si>
  <si>
    <t>osilae</t>
  </si>
  <si>
    <t>xanthopygus</t>
  </si>
  <si>
    <t>Podoxymys</t>
  </si>
  <si>
    <t>roraimae</t>
  </si>
  <si>
    <t>taylori</t>
  </si>
  <si>
    <t>Clethrionomys</t>
  </si>
  <si>
    <t>longicaudus</t>
  </si>
  <si>
    <t>Order</t>
  </si>
  <si>
    <t>bennettianus</t>
  </si>
  <si>
    <t>parryi</t>
  </si>
  <si>
    <t>Cynictis</t>
  </si>
  <si>
    <t>Megadontomys</t>
  </si>
  <si>
    <t>Microtus</t>
  </si>
  <si>
    <t>canicaudus</t>
  </si>
  <si>
    <t>chrotorrhinus</t>
  </si>
  <si>
    <t>guatemalensis</t>
  </si>
  <si>
    <t>raptor</t>
  </si>
  <si>
    <t>Rhipidomys</t>
  </si>
  <si>
    <t>brachyrhynchus</t>
  </si>
  <si>
    <t>Macroscelididae</t>
  </si>
  <si>
    <t>antilopinus</t>
  </si>
  <si>
    <t>huerfanensis</t>
  </si>
  <si>
    <t>hesternus</t>
  </si>
  <si>
    <t>Ochotona</t>
  </si>
  <si>
    <t>collaris</t>
  </si>
  <si>
    <t>Scapanus</t>
  </si>
  <si>
    <t>latimanus</t>
  </si>
  <si>
    <t>rozeti</t>
  </si>
  <si>
    <t>Euceratherium</t>
  </si>
  <si>
    <t>Hemiauchenia</t>
  </si>
  <si>
    <t>Rhynchocyon</t>
  </si>
  <si>
    <t>3, 17</t>
  </si>
  <si>
    <t>ferragus</t>
  </si>
  <si>
    <t>13, 15, 16</t>
  </si>
  <si>
    <t>anatinus</t>
  </si>
  <si>
    <t>Spilocuscus</t>
  </si>
  <si>
    <t>miurus</t>
  </si>
  <si>
    <t>Ichneumia</t>
  </si>
  <si>
    <t>austrinus</t>
  </si>
  <si>
    <t>giganteus</t>
  </si>
  <si>
    <t>Elephantulus</t>
  </si>
  <si>
    <t>Mustelidae</t>
  </si>
  <si>
    <t>Aonyx</t>
  </si>
  <si>
    <t>capensis</t>
  </si>
  <si>
    <t>congicus</t>
  </si>
  <si>
    <t>leadbeateri</t>
  </si>
  <si>
    <t>edwardii</t>
  </si>
  <si>
    <t>fuscipes</t>
  </si>
  <si>
    <t>intufi</t>
  </si>
  <si>
    <t>myurus</t>
  </si>
  <si>
    <t>revoili</t>
  </si>
  <si>
    <t>Petauridae</t>
  </si>
  <si>
    <t>Petaurus</t>
  </si>
  <si>
    <t>breviceps</t>
  </si>
  <si>
    <t>Gymnobelideus</t>
  </si>
  <si>
    <t>Palaeolama</t>
  </si>
  <si>
    <t>chrysopygus</t>
  </si>
  <si>
    <t>cirnei</t>
  </si>
  <si>
    <t>Microbiotheria</t>
  </si>
  <si>
    <t>Hydromys</t>
  </si>
  <si>
    <t>chrysogaster</t>
  </si>
  <si>
    <t>Scapteromys</t>
  </si>
  <si>
    <t>tumidus</t>
  </si>
  <si>
    <t>mungo</t>
  </si>
  <si>
    <t>Paracynictis</t>
  </si>
  <si>
    <t>selousi</t>
  </si>
  <si>
    <t>confucianus</t>
  </si>
  <si>
    <t>coxingi</t>
  </si>
  <si>
    <t>culturatus</t>
  </si>
  <si>
    <t>eha</t>
  </si>
  <si>
    <t>excelsior</t>
  </si>
  <si>
    <t>inez</t>
  </si>
  <si>
    <t>olitor</t>
  </si>
  <si>
    <t>everetti</t>
  </si>
  <si>
    <t>inunguis</t>
  </si>
  <si>
    <t>vison</t>
  </si>
  <si>
    <t>Spilogale</t>
  </si>
  <si>
    <t>pygmaea</t>
  </si>
  <si>
    <t>Taxidea</t>
  </si>
  <si>
    <t>taxus</t>
  </si>
  <si>
    <t>chinga</t>
  </si>
  <si>
    <t>humboldtii</t>
  </si>
  <si>
    <t>cuja</t>
  </si>
  <si>
    <t>harveyi</t>
  </si>
  <si>
    <t>sanborni</t>
  </si>
  <si>
    <t>Syncerus</t>
  </si>
  <si>
    <t>dasyurus</t>
  </si>
  <si>
    <t>albiventer</t>
  </si>
  <si>
    <t>bogotensis</t>
  </si>
  <si>
    <t>lamottei</t>
  </si>
  <si>
    <t>murina</t>
  </si>
  <si>
    <t>musculus</t>
  </si>
  <si>
    <t>setulosus</t>
  </si>
  <si>
    <t>Mylomys</t>
  </si>
  <si>
    <t>Myomys</t>
  </si>
  <si>
    <t>daltoni</t>
  </si>
  <si>
    <t>derooi</t>
  </si>
  <si>
    <t>mutesae</t>
  </si>
  <si>
    <t>nanilla</t>
  </si>
  <si>
    <t>macdonnellensis</t>
  </si>
  <si>
    <t>triton</t>
  </si>
  <si>
    <t>Alces</t>
  </si>
  <si>
    <t>laucha</t>
  </si>
  <si>
    <t>musculinus</t>
  </si>
  <si>
    <t>vancouverensis</t>
  </si>
  <si>
    <t>Oenomys</t>
  </si>
  <si>
    <t>hypoxanthus</t>
  </si>
  <si>
    <t>Otomys</t>
  </si>
  <si>
    <t>aureogaster</t>
  </si>
  <si>
    <t>sorellus</t>
  </si>
  <si>
    <t>calura</t>
  </si>
  <si>
    <t>douglasi</t>
  </si>
  <si>
    <t>apicalis</t>
  </si>
  <si>
    <t>godmani</t>
  </si>
  <si>
    <t>nimbae</t>
  </si>
  <si>
    <t>niobe</t>
  </si>
  <si>
    <t>alces</t>
  </si>
  <si>
    <t>Mazama</t>
  </si>
  <si>
    <t>Odocoileus</t>
  </si>
  <si>
    <t>hemionus</t>
  </si>
  <si>
    <t>ehrenbergi</t>
  </si>
  <si>
    <t>Nesokia</t>
  </si>
  <si>
    <t>psammophila</t>
  </si>
  <si>
    <t>perrensis</t>
  </si>
  <si>
    <t>New Guniea, New Britain (Bismarck Arch)</t>
  </si>
  <si>
    <t>melanotus</t>
  </si>
  <si>
    <t>Sulawesi, Timor, Molucca Isls and Numfoor Isls (Off N coast New Guniea); extreme S New Guinea</t>
  </si>
  <si>
    <t>cephalotes</t>
  </si>
  <si>
    <t>Bonin and Volcano Isls (Japan)</t>
  </si>
  <si>
    <t>Molucca isls, New Guniea, adjacent small isls, N australia</t>
  </si>
  <si>
    <t>New Guinea, Irian Jaya, Geelvink Bay, Legarar River</t>
  </si>
  <si>
    <t>discolor</t>
  </si>
  <si>
    <t>E Queensland (Australia)</t>
  </si>
  <si>
    <t>Nyctinomops</t>
  </si>
  <si>
    <t>South Africa to Nigeria, Algeria and Egypt to Yemen and Oman, east to India and Sri Lanka</t>
  </si>
  <si>
    <t>aegyptiaca</t>
  </si>
  <si>
    <t>France, Portugal and Morocco to Japan, S China and Taiwan, maderia (Portugal) and Canary Isl (Spain)</t>
  </si>
  <si>
    <t>aitkeni</t>
  </si>
  <si>
    <t>Ruwenzorisorex</t>
  </si>
  <si>
    <t>suncoides</t>
  </si>
  <si>
    <t>Scutisorex</t>
  </si>
  <si>
    <t>olallae</t>
  </si>
  <si>
    <t>tansaniana</t>
  </si>
  <si>
    <t>tarfayensis</t>
  </si>
  <si>
    <t>telfordi</t>
  </si>
  <si>
    <t>turba</t>
  </si>
  <si>
    <t>antisensis</t>
  </si>
  <si>
    <t>zimmeri</t>
  </si>
  <si>
    <t>Myosorex</t>
  </si>
  <si>
    <t>Caluromys</t>
  </si>
  <si>
    <t>virginiana</t>
  </si>
  <si>
    <t>Eutatus</t>
  </si>
  <si>
    <t>Myrmecobius</t>
  </si>
  <si>
    <t>fasciatus</t>
  </si>
  <si>
    <t>Didelphimorphia</t>
  </si>
  <si>
    <t>Didelphidae</t>
  </si>
  <si>
    <t>puda</t>
  </si>
  <si>
    <t>Marmosa</t>
  </si>
  <si>
    <t>canescens</t>
  </si>
  <si>
    <t>mexicana</t>
  </si>
  <si>
    <t>Philander</t>
  </si>
  <si>
    <t>opossum</t>
  </si>
  <si>
    <t>lanatus</t>
  </si>
  <si>
    <t>albiventris</t>
  </si>
  <si>
    <t>aurita</t>
  </si>
  <si>
    <t>opimus</t>
  </si>
  <si>
    <t>peruanus</t>
  </si>
  <si>
    <t>pontifex</t>
  </si>
  <si>
    <t>variegatoides</t>
  </si>
  <si>
    <t>yucatanensis</t>
  </si>
  <si>
    <t>littledalei</t>
  </si>
  <si>
    <t>stenocephala</t>
  </si>
  <si>
    <t>dichotomus</t>
  </si>
  <si>
    <t>Dasyurus</t>
  </si>
  <si>
    <t>hallucatus</t>
  </si>
  <si>
    <t>flavipes</t>
  </si>
  <si>
    <t>poensis</t>
  </si>
  <si>
    <t>raineyi</t>
  </si>
  <si>
    <t>swainsonii</t>
  </si>
  <si>
    <t>lasiurus</t>
  </si>
  <si>
    <t>Catagonus</t>
  </si>
  <si>
    <t>wagneri</t>
  </si>
  <si>
    <t>megalura</t>
  </si>
  <si>
    <t>agilis</t>
  </si>
  <si>
    <t>dryas</t>
  </si>
  <si>
    <t>Lutreolina</t>
  </si>
  <si>
    <t>andersoni</t>
  </si>
  <si>
    <t>lepida</t>
  </si>
  <si>
    <t>californicus</t>
  </si>
  <si>
    <t>callotis</t>
  </si>
  <si>
    <t>gapperi</t>
  </si>
  <si>
    <t>rutilus</t>
  </si>
  <si>
    <t>Dicrostonyx</t>
  </si>
  <si>
    <t>groenlandicus</t>
  </si>
  <si>
    <t>Habromys</t>
  </si>
  <si>
    <t>lateralis</t>
  </si>
  <si>
    <t>dybowskii</t>
  </si>
  <si>
    <t>horrens</t>
  </si>
  <si>
    <t>Ecuador and Guyana to Sonora and Tamaulipas (Mexico)</t>
  </si>
  <si>
    <t>frithi</t>
  </si>
  <si>
    <t>franqueti</t>
  </si>
  <si>
    <t>121, 122</t>
  </si>
  <si>
    <t>range275-520g</t>
  </si>
  <si>
    <t>Coronado</t>
  </si>
  <si>
    <t>Biak-Supiori, Japen, Owi</t>
  </si>
  <si>
    <t>Guadalcanal</t>
  </si>
  <si>
    <t>Tamaulipas and Sinaloa (Mexico) to Peru, N Argentina, Brazil and Guinanas, Trinidad</t>
  </si>
  <si>
    <t>davyi</t>
  </si>
  <si>
    <t>fuliginosus</t>
  </si>
  <si>
    <t>lasiotis</t>
  </si>
  <si>
    <t>Thomasomys</t>
  </si>
  <si>
    <t>cerradensis</t>
  </si>
  <si>
    <t>W Angola, NW Nambia</t>
  </si>
  <si>
    <t>Ethiopia to Uganda and Tanzania</t>
  </si>
  <si>
    <t>umbrosus</t>
  </si>
  <si>
    <t>Status</t>
  </si>
  <si>
    <t>Timor, Samao Isl, Dyampea Isl, Bonerato Isls, Saleyer Isl, Sulawesi and Banda Isls (Indonesia) perhaps S Luzon (Philippines)</t>
  </si>
  <si>
    <t>admiralitatum</t>
  </si>
  <si>
    <t>NE India to S China and Vietnam, south to W Malaysia, Taiwan and Java and Bali</t>
  </si>
  <si>
    <t>Japen Isl (off NW New Guinea)</t>
  </si>
  <si>
    <t>pohlei</t>
  </si>
  <si>
    <t>hunting, habitat loss, changes in native competitors/parasites/pathogens</t>
  </si>
  <si>
    <t>Gambia to Kenya, Tanzania (including Zanzibar), Mozambique</t>
  </si>
  <si>
    <t>Mops</t>
  </si>
  <si>
    <t>Cuba, bahama Isls</t>
  </si>
  <si>
    <t>Mauritania, senegal and Guinea-Bissau to Egypt, south to Tanzania and east to Burma</t>
  </si>
  <si>
    <t>New Guinea, Bismarck Arch</t>
  </si>
  <si>
    <t>Noctilio</t>
  </si>
  <si>
    <t>Conepatus</t>
  </si>
  <si>
    <t>leuconotus</t>
  </si>
  <si>
    <t>rufescens</t>
  </si>
  <si>
    <t>Lontra</t>
  </si>
  <si>
    <t>Petauroides</t>
  </si>
  <si>
    <t>volans</t>
  </si>
  <si>
    <t>Petropseudes</t>
  </si>
  <si>
    <t>Aztlanolagus</t>
  </si>
  <si>
    <t>leonensis</t>
  </si>
  <si>
    <t>Notoryctes</t>
  </si>
  <si>
    <t>typhlops</t>
  </si>
  <si>
    <t>caniventer</t>
  </si>
  <si>
    <t>longicaudis</t>
  </si>
  <si>
    <t>dahli</t>
  </si>
  <si>
    <t>Tarsipedidae</t>
  </si>
  <si>
    <t>Tarsipes</t>
  </si>
  <si>
    <t>Rhyncholestes</t>
  </si>
  <si>
    <t>Vombatidae</t>
  </si>
  <si>
    <t>Lasiorhinus</t>
  </si>
  <si>
    <t>krefftii</t>
  </si>
  <si>
    <t>latifrons</t>
  </si>
  <si>
    <t>eremiana</t>
  </si>
  <si>
    <t>guess</t>
  </si>
  <si>
    <t>brasiliensis</t>
  </si>
  <si>
    <t>Otariidae</t>
  </si>
  <si>
    <t>Vombatus</t>
  </si>
  <si>
    <t>ursinus</t>
  </si>
  <si>
    <t>Hyracoidea</t>
  </si>
  <si>
    <t>Procaviidae</t>
  </si>
  <si>
    <t>pusillus</t>
  </si>
  <si>
    <t>Neophoca</t>
  </si>
  <si>
    <t>Tachyglossidae</t>
  </si>
  <si>
    <t>Tachyglossus</t>
  </si>
  <si>
    <t>tridactylus</t>
  </si>
  <si>
    <t>Aepyprymnus</t>
  </si>
  <si>
    <t>Mustela</t>
  </si>
  <si>
    <t>Lutra</t>
  </si>
  <si>
    <t>Species</t>
  </si>
  <si>
    <t>mesoleucus</t>
  </si>
  <si>
    <t>semistriatus</t>
  </si>
  <si>
    <t>Phascolarctos</t>
  </si>
  <si>
    <t>cinereus</t>
  </si>
  <si>
    <t>Potoroidae</t>
  </si>
  <si>
    <t>Hypsiprymnodon</t>
  </si>
  <si>
    <t>frenata</t>
  </si>
  <si>
    <t>brooksi</t>
  </si>
  <si>
    <t>Dendromus</t>
  </si>
  <si>
    <t>caraya</t>
  </si>
  <si>
    <t>fulvastra</t>
  </si>
  <si>
    <t>orophilus</t>
  </si>
  <si>
    <t>puer</t>
  </si>
  <si>
    <t>ingrami</t>
  </si>
  <si>
    <t>tenuirostris</t>
  </si>
  <si>
    <t>scriptus</t>
  </si>
  <si>
    <t>Litopterna</t>
  </si>
  <si>
    <t>Macraucheniidae</t>
  </si>
  <si>
    <t>Macrauchenia</t>
  </si>
  <si>
    <t>patachonica</t>
  </si>
  <si>
    <t>lucina</t>
  </si>
  <si>
    <t>crassicaudata</t>
  </si>
  <si>
    <t>Cameroon to Ethiopia, south to angola and Natal (South Africa)</t>
  </si>
  <si>
    <t>stenops</t>
  </si>
  <si>
    <t>Phyllonycteris</t>
  </si>
  <si>
    <t>aphylla</t>
  </si>
  <si>
    <t>Cuba, Isle of Pines, Hispaniola</t>
  </si>
  <si>
    <t>faunulus</t>
  </si>
  <si>
    <t>Truk Isls (C Caroline Isls)</t>
  </si>
  <si>
    <t>Neopteryx</t>
  </si>
  <si>
    <t>frosti</t>
  </si>
  <si>
    <t>Alionycteris</t>
  </si>
  <si>
    <t>paucidentata</t>
  </si>
  <si>
    <t>vizcaccia</t>
  </si>
  <si>
    <t>Sao Tome Isl (Gulf of Guinea)</t>
  </si>
  <si>
    <t>Mimon</t>
  </si>
  <si>
    <t>Balabac, Palawan, Busuanga Isl (Philippines)</t>
  </si>
  <si>
    <t>Philippines, Panay, Concepcion</t>
  </si>
  <si>
    <t>Vanuata (=New Hebrides) New Caledonia, Fiji Isls, Caroline Isls</t>
  </si>
  <si>
    <t>Notopteris</t>
  </si>
  <si>
    <t>macdonaldi</t>
  </si>
  <si>
    <t>Gambia to Ethiopia, south to Angola, Zambia, Burundi and Tanzania</t>
  </si>
  <si>
    <t>Mortlock and Ponape Isls (Caroline Isls)</t>
  </si>
  <si>
    <t>molossinus</t>
  </si>
  <si>
    <t>Sonora and Tamaulipas (Mexico) to Peru, Bolivia and Brazil</t>
  </si>
  <si>
    <t>aurispinosus</t>
  </si>
  <si>
    <t>bemmeleni</t>
  </si>
  <si>
    <t>setiger</t>
  </si>
  <si>
    <t>Ghana, Nigeria, Cameroon, zaire, Uganda</t>
  </si>
  <si>
    <t>Venezuela, Trinidad, Surinam, brazil, Ecuador, Peru, Bolivia, paraguay, N Argentina</t>
  </si>
  <si>
    <t>Promops</t>
  </si>
  <si>
    <t>Guerrero and Yucatan (Mexico) to Peru, paraguay and s and E Brazil; Trinidad and Tobago, margarita Isl (venezuela); Aruba Isl (Netherlands Antilles); Grenada</t>
  </si>
  <si>
    <t>E Oaxaca and C Veracruz (Mexico) to C and E brazil, peru, Bolivia, French Guiana, Guyana and Surinam, trinidad</t>
  </si>
  <si>
    <t>Rhynchonycteris</t>
  </si>
  <si>
    <t>Eumops</t>
  </si>
  <si>
    <t>Coasta Rica, Panama, Venezuela, Guyana, French Guiana, Peru, Bolivia, Brazil</t>
  </si>
  <si>
    <t>hansae</t>
  </si>
  <si>
    <t>Oaxaca and Yutcatan (Mexico) to Peru, N Argentina, E Brazil and Trinidad</t>
  </si>
  <si>
    <t>auripendulus</t>
  </si>
  <si>
    <t>hunting, persecution, habitat loss, hybridizers, parasites/pathogens</t>
  </si>
  <si>
    <t>robinsoni</t>
  </si>
  <si>
    <t>rubra</t>
  </si>
  <si>
    <t>Vulpes</t>
  </si>
  <si>
    <t>chama</t>
  </si>
  <si>
    <t>pallida</t>
  </si>
  <si>
    <t>zunigae</t>
  </si>
  <si>
    <t>Glironia</t>
  </si>
  <si>
    <t>venusta</t>
  </si>
  <si>
    <t>Gracilinanus</t>
  </si>
  <si>
    <t>stolzmanni</t>
  </si>
  <si>
    <t>tweedii</t>
  </si>
  <si>
    <t>Irenomys</t>
  </si>
  <si>
    <t>tarsalis</t>
  </si>
  <si>
    <t>aceramarcae</t>
  </si>
  <si>
    <t>lixus</t>
  </si>
  <si>
    <t>murinus</t>
  </si>
  <si>
    <t>canaliculatus</t>
  </si>
  <si>
    <t>11, 52</t>
  </si>
  <si>
    <t>remyi</t>
  </si>
  <si>
    <t>Tayassuidae</t>
  </si>
  <si>
    <t>Tayassu</t>
  </si>
  <si>
    <t>pecari</t>
  </si>
  <si>
    <t>Brachylagus</t>
  </si>
  <si>
    <t>bombifrons</t>
  </si>
  <si>
    <t>W Venezuela, Colombia, Ecuador, peru, Bolivia, NW Argentina</t>
  </si>
  <si>
    <t>Amorphochilus</t>
  </si>
  <si>
    <t>schnablii</t>
  </si>
  <si>
    <t>Costa Rica to Peru and E brazil, Trinidad</t>
  </si>
  <si>
    <t>Furipterus</t>
  </si>
  <si>
    <t>wahlbergi</t>
  </si>
  <si>
    <t>Senegal to W Ethiopia, S Tanzania to Angola and South Africa</t>
  </si>
  <si>
    <t>Ariteus</t>
  </si>
  <si>
    <t>Luisiade Arch, D'Entrecasteaux Isls and Trobriand Isls (Papua New Guinea)</t>
  </si>
  <si>
    <t>pannietensis</t>
  </si>
  <si>
    <t>Colombia to Venezuela, peru and Bolivia, amazonian Brazil</t>
  </si>
  <si>
    <t>Sphaeronycteris</t>
  </si>
  <si>
    <t>toxophyllum</t>
  </si>
  <si>
    <t>Pygoderma</t>
  </si>
  <si>
    <t>bilabiatum</t>
  </si>
  <si>
    <t>Sumatra, Borneo, W Malaysia, Luzon and Mindanao (Philippines)</t>
  </si>
  <si>
    <t>Dyacopterus</t>
  </si>
  <si>
    <t>Eidolon</t>
  </si>
  <si>
    <t>helvum</t>
  </si>
  <si>
    <t>N Angola, S Congo Republic</t>
  </si>
  <si>
    <t>Epomophorus</t>
  </si>
  <si>
    <t>Nigeria to Ethiopia and south to Congo Republic and Malawi</t>
  </si>
  <si>
    <t>Fiji Isls, Tutuila Isl (american Samoa)</t>
  </si>
  <si>
    <t>samoensis</t>
  </si>
  <si>
    <t>Cloeotis</t>
  </si>
  <si>
    <t>Solomon Isls, Admirality Isls, New Britain and Tabar Isls (Bismarck Arch.)</t>
  </si>
  <si>
    <t>NW Peru and N Venezuela to S Baja California, S Sonora and Nuevo Leon (Mexico); Trinidad; S Lesser antilles</t>
  </si>
  <si>
    <t>Colombia, Venezuela, Guianas, N Brazil, Peru</t>
  </si>
  <si>
    <t>Jalisco (Mexico) to NW Nicaragua, Guyana</t>
  </si>
  <si>
    <t>subrufa</t>
  </si>
  <si>
    <t>gymnonotus</t>
  </si>
  <si>
    <t>leporinus</t>
  </si>
  <si>
    <t>Senegal, Dialakoto</t>
  </si>
  <si>
    <t>gambiensis</t>
  </si>
  <si>
    <t>Sierra leone to Ethiopia and Kenya</t>
  </si>
  <si>
    <t>nanulus</t>
  </si>
  <si>
    <t>Zambia and South Africa to SW Tanzania; Ethiopia, Somalia; Cameroon</t>
  </si>
  <si>
    <t>woodi</t>
  </si>
  <si>
    <t>Guaseloupe and Montserrat (Lesser Antilles)</t>
  </si>
  <si>
    <t>improvisum</t>
  </si>
  <si>
    <t>sinaloa (Mexico) to Guianas, s Brazil, N Argentina, and Peru, Trinidad; Greater and Lesser Antilles; s Bahamas</t>
  </si>
  <si>
    <t>W Malaysia, Sumatra, Borneo, perhaps Java</t>
  </si>
  <si>
    <t>mops</t>
  </si>
  <si>
    <t>Sudan, Zaire, Uganda, Burkina Faso</t>
  </si>
  <si>
    <t>cooperi</t>
  </si>
  <si>
    <t>Tylomys</t>
  </si>
  <si>
    <t>cinerea</t>
  </si>
  <si>
    <t>Phocidae</t>
  </si>
  <si>
    <t>Lobodon</t>
  </si>
  <si>
    <t>simulus</t>
  </si>
  <si>
    <t>Connochaetes</t>
  </si>
  <si>
    <t>narica</t>
  </si>
  <si>
    <t>Nasuella</t>
  </si>
  <si>
    <t>olivacea</t>
  </si>
  <si>
    <t>lunatus</t>
  </si>
  <si>
    <t>pectoralis</t>
  </si>
  <si>
    <t>perfulvus</t>
  </si>
  <si>
    <t>polionotus</t>
  </si>
  <si>
    <t>polius</t>
  </si>
  <si>
    <t>incomtus</t>
  </si>
  <si>
    <t>Delanymys</t>
  </si>
  <si>
    <t>borealis</t>
  </si>
  <si>
    <t>Eremitalpa</t>
  </si>
  <si>
    <t>gabbii</t>
  </si>
  <si>
    <t>bennetti</t>
  </si>
  <si>
    <t>Agoutidae</t>
  </si>
  <si>
    <t>Agouti</t>
  </si>
  <si>
    <t>melanotis</t>
  </si>
  <si>
    <t>dayi</t>
  </si>
  <si>
    <t>africaeaustralis</t>
  </si>
  <si>
    <t>trivirgatus</t>
  </si>
  <si>
    <t>Solomon Isl, Santa Cruz Isls, Ndeni Isl.</t>
  </si>
  <si>
    <t>Sierra leone to s and E Zaire; W Kenya; SW Sudan; NE Angola; Bioko</t>
  </si>
  <si>
    <t>arge</t>
  </si>
  <si>
    <t>Indonesia, Batjan, Halmahera, Morotai, Ternate, Tidore</t>
  </si>
  <si>
    <t>hunting, pollution</t>
  </si>
  <si>
    <t xml:space="preserve">Nusa Tenggara: islands of Rintja, Padar, and Flores; probably occurs on other islands in the Lesser Sunda chain (e.g., Komodo). </t>
  </si>
  <si>
    <t>Russia, China</t>
  </si>
  <si>
    <t>China, Mongolia, Russia (Siberia), Korea</t>
  </si>
  <si>
    <t>Ukraine, Kazakhstan, Mongolia, NW China</t>
  </si>
  <si>
    <t>kuhlii</t>
  </si>
  <si>
    <t>fuscicollis</t>
  </si>
  <si>
    <t>imperator</t>
  </si>
  <si>
    <t>inustus</t>
  </si>
  <si>
    <t>N Pacific, from Hokkaido (Japan) to S California (USA)</t>
  </si>
  <si>
    <t>Veracruz (Mexico) to Ecuador and Peru, N and SW Brazil and Guinanas, Trinidad, perhaps Jamaica</t>
  </si>
  <si>
    <t>Umboi Isl, Bismarck Arch, Solomon Isl</t>
  </si>
  <si>
    <t>Megasorex</t>
  </si>
  <si>
    <t>optatum</t>
  </si>
  <si>
    <t>latrans</t>
  </si>
  <si>
    <t>edwardsii</t>
  </si>
  <si>
    <t>Oecomys</t>
  </si>
  <si>
    <t>cleberi</t>
  </si>
  <si>
    <t>flavicans</t>
  </si>
  <si>
    <t>mamorae</t>
  </si>
  <si>
    <t>paricola</t>
  </si>
  <si>
    <t>Notiomys</t>
  </si>
  <si>
    <t>novaehollandiae</t>
  </si>
  <si>
    <t>apodemoides</t>
  </si>
  <si>
    <t>roberti</t>
  </si>
  <si>
    <t>speciosus</t>
  </si>
  <si>
    <t>S&amp;C China, Tibet, N Vietnam</t>
  </si>
  <si>
    <t>superans</t>
  </si>
  <si>
    <t>Chrysocyon</t>
  </si>
  <si>
    <t>demerarae</t>
  </si>
  <si>
    <t>arizonae</t>
  </si>
  <si>
    <t>cracens</t>
  </si>
  <si>
    <t>dorothea</t>
  </si>
  <si>
    <t>lupus</t>
  </si>
  <si>
    <t>rueppelli</t>
  </si>
  <si>
    <t>vulpes</t>
  </si>
  <si>
    <t>zerda</t>
  </si>
  <si>
    <t>altissimus</t>
  </si>
  <si>
    <t>brevicaudata</t>
  </si>
  <si>
    <t>domestica</t>
  </si>
  <si>
    <t>iheringi</t>
  </si>
  <si>
    <t>kunsi</t>
  </si>
  <si>
    <t>osgoodi</t>
  </si>
  <si>
    <t>Acinonyx</t>
  </si>
  <si>
    <t>Greater Antilles, adjacent small islands</t>
  </si>
  <si>
    <t>Mormoopidae</t>
  </si>
  <si>
    <t>Mormoops</t>
  </si>
  <si>
    <t>blainvillii</t>
  </si>
  <si>
    <t>Colobia, Venezuela, Paraguay, N Argentina</t>
  </si>
  <si>
    <t>E Zaire, Rwanda, Kenya, Tanzania, Zambia, Malawi, Zimbabwe, Transvaal (South africa), Madagascar</t>
  </si>
  <si>
    <t>brazil</t>
  </si>
  <si>
    <t>espiritosantensis</t>
  </si>
  <si>
    <t>Kenya, zimbabwe</t>
  </si>
  <si>
    <t>lobata</t>
  </si>
  <si>
    <t>Ethiopia to south Africa</t>
  </si>
  <si>
    <t>hunting, persecution, habitat loss, parasites/pathogens, chgs in native species dynamics</t>
  </si>
  <si>
    <t>hunting, habitat loss, civil war, poor reproduction</t>
  </si>
  <si>
    <t>hunting, chgs in prey base</t>
  </si>
  <si>
    <t>Microryzomys</t>
  </si>
  <si>
    <t>nigricauda</t>
  </si>
  <si>
    <t>robusta</t>
  </si>
  <si>
    <t>Neusticomys</t>
  </si>
  <si>
    <t>mussoi</t>
  </si>
  <si>
    <t>hucucha</t>
  </si>
  <si>
    <t>nasutus</t>
  </si>
  <si>
    <t>yunganus</t>
  </si>
  <si>
    <t>hacketti</t>
  </si>
  <si>
    <t>Megalibgwilia</t>
  </si>
  <si>
    <t>ramsayi</t>
  </si>
  <si>
    <t>spp1</t>
  </si>
  <si>
    <t>Bunolagus</t>
  </si>
  <si>
    <t>monticularis</t>
  </si>
  <si>
    <t>rupestris</t>
  </si>
  <si>
    <t>Cameroon to Somalia, south to Angola and South Africa; Pemba and Zanzibar isls</t>
  </si>
  <si>
    <t>Guatemala, El Salvador, Honduras, NC Nicaragua</t>
  </si>
  <si>
    <t>tawitawiensis</t>
  </si>
  <si>
    <t>turkestanicus</t>
  </si>
  <si>
    <t>xanthurus</t>
  </si>
  <si>
    <t>salamonis</t>
  </si>
  <si>
    <t>Pygathrix</t>
  </si>
  <si>
    <t>feliceus</t>
  </si>
  <si>
    <t>foramineus</t>
  </si>
  <si>
    <t>entellus</t>
  </si>
  <si>
    <t>Trachypithecus</t>
  </si>
  <si>
    <t>giluwensis</t>
  </si>
  <si>
    <t>hainaldi</t>
  </si>
  <si>
    <t>sicula</t>
  </si>
  <si>
    <t>susiana</t>
  </si>
  <si>
    <t>tarella</t>
  </si>
  <si>
    <t>zimmermanni</t>
  </si>
  <si>
    <t>Diplomesodon</t>
  </si>
  <si>
    <t>jobiensis</t>
  </si>
  <si>
    <t>Senegal to Somalia; S to S Africa, Botswana and Nambia</t>
  </si>
  <si>
    <t>San Salvador Isls., Galapagos Archipelago</t>
  </si>
  <si>
    <t>Nepal, India, Burma, China</t>
  </si>
  <si>
    <t>Senegal to Ethiopia to South Africa; SW Arabia, islands in the Guinea Gulf and off E Africa</t>
  </si>
  <si>
    <t>Alor Isls (near Timor) Lombok and Flores (Indonesia)</t>
  </si>
  <si>
    <t>lombocensis</t>
  </si>
  <si>
    <t>males: 95.1 (75-117); females: 85 (72-97.5)</t>
  </si>
  <si>
    <t>soemmerringii</t>
  </si>
  <si>
    <t>spekei</t>
  </si>
  <si>
    <t>thomsonii</t>
  </si>
  <si>
    <t>cuvieri</t>
  </si>
  <si>
    <t>Hippotragus</t>
  </si>
  <si>
    <t>Scotinomys</t>
  </si>
  <si>
    <t>teguina</t>
  </si>
  <si>
    <t>Sigmodon</t>
  </si>
  <si>
    <t>villosus</t>
  </si>
  <si>
    <t>sumichrasti</t>
  </si>
  <si>
    <t>Nasua</t>
  </si>
  <si>
    <t>Taiwan, Hainan Isl., China</t>
  </si>
  <si>
    <t>Korea, China</t>
  </si>
  <si>
    <t>Angola</t>
  </si>
  <si>
    <t>Espiritu Santo Island, Mexico</t>
  </si>
  <si>
    <t>Senegal to Somalia and south to Angola and South Africa; Zanzibar; Bioko</t>
  </si>
  <si>
    <t>S Texas (USA) to Venezuela, Peru, Bolivia and E Brazil</t>
  </si>
  <si>
    <t>Diphylla</t>
  </si>
  <si>
    <t>ecaudata</t>
  </si>
  <si>
    <t>spurrelli</t>
  </si>
  <si>
    <t>NW Zaire, Uganda</t>
  </si>
  <si>
    <t>trevori</t>
  </si>
  <si>
    <t>N and C Australia</t>
  </si>
  <si>
    <t>Macroderma</t>
  </si>
  <si>
    <t>New Guinea, Bismarck Arch.</t>
  </si>
  <si>
    <t>Senegal to saudi arabia, south to Botswana and Tansvall (South africa), Madagascar</t>
  </si>
  <si>
    <t>Senegal to Somalia, south to Zambia and Malawi; Zanzibar</t>
  </si>
  <si>
    <t>Lavia</t>
  </si>
  <si>
    <t>frons</t>
  </si>
  <si>
    <t>niangarae</t>
  </si>
  <si>
    <t>Sulawesi (Indonesia) and adjacent small islands, Philippines</t>
  </si>
  <si>
    <t>sarasinorum</t>
  </si>
  <si>
    <t>Liberia, Ivory Coast, Ghana, Togo, Benin, Rio Muni and Bioko (Equatorial Guinea) Zaire</t>
  </si>
  <si>
    <t>Centronycteris</t>
  </si>
  <si>
    <t>Neotragus</t>
  </si>
  <si>
    <t>Gerbillus</t>
  </si>
  <si>
    <t>Xenomys</t>
  </si>
  <si>
    <t>Abrawayaomys</t>
  </si>
  <si>
    <t>ruschii</t>
  </si>
  <si>
    <t>melanocephalus</t>
  </si>
  <si>
    <t>Callicebus</t>
  </si>
  <si>
    <t>brunneus</t>
  </si>
  <si>
    <t>caligatus</t>
  </si>
  <si>
    <t>cinerascens</t>
  </si>
  <si>
    <t>cupreus</t>
  </si>
  <si>
    <t>lichtensteinii</t>
  </si>
  <si>
    <t>lemurinus</t>
  </si>
  <si>
    <t>nancymaae</t>
  </si>
  <si>
    <t>nigriceps</t>
  </si>
  <si>
    <t>Rwanda, Uganda, Kenya</t>
  </si>
  <si>
    <t>scandens</t>
  </si>
  <si>
    <t>slevini</t>
  </si>
  <si>
    <t>mayori</t>
  </si>
  <si>
    <t>neavei</t>
  </si>
  <si>
    <t>orangiae</t>
  </si>
  <si>
    <t>oubanguii</t>
  </si>
  <si>
    <t>pahari</t>
  </si>
  <si>
    <t>platythrix</t>
  </si>
  <si>
    <t>saxicola</t>
  </si>
  <si>
    <t>sorella</t>
  </si>
  <si>
    <t>thibetana</t>
  </si>
  <si>
    <t>New Ireland, Bishmarch Arch</t>
  </si>
  <si>
    <t>Pakistan, Nepal, India, Bangladesh</t>
  </si>
  <si>
    <t>Tadzhikistan</t>
  </si>
  <si>
    <t>used P. orientalis mass from mammals of New Guinea</t>
  </si>
  <si>
    <t>clara</t>
  </si>
  <si>
    <t>davidi</t>
  </si>
  <si>
    <t>zacatecae</t>
  </si>
  <si>
    <t>pallasi</t>
  </si>
  <si>
    <t>rutila</t>
  </si>
  <si>
    <t>NW Nicaragua, Honduras</t>
  </si>
  <si>
    <t>poliopus</t>
  </si>
  <si>
    <t>quadruplicatus</t>
  </si>
  <si>
    <t>setosus</t>
  </si>
  <si>
    <t>simonsi</t>
  </si>
  <si>
    <t>steerei</t>
  </si>
  <si>
    <t>Peroryctes</t>
  </si>
  <si>
    <t>orii</t>
  </si>
  <si>
    <t>osorio</t>
  </si>
  <si>
    <t>palawanensis</t>
  </si>
  <si>
    <t>terrestris</t>
  </si>
  <si>
    <t>Pholidota</t>
  </si>
  <si>
    <t>Manidae</t>
  </si>
  <si>
    <t>bendirii</t>
  </si>
  <si>
    <t>dispar</t>
  </si>
  <si>
    <t>emarginatus</t>
  </si>
  <si>
    <t>Sakhalin Isls, Russia; Kurile Isls</t>
  </si>
  <si>
    <t>St. Lawrence Isls., Bering Sea</t>
  </si>
  <si>
    <t>Tibet</t>
  </si>
  <si>
    <t>Paramushir Isl., Russia</t>
  </si>
  <si>
    <t>offella</t>
  </si>
  <si>
    <t>torrei</t>
  </si>
  <si>
    <t>Brotomys</t>
  </si>
  <si>
    <t>contractus</t>
  </si>
  <si>
    <t>voratus</t>
  </si>
  <si>
    <t>urichi</t>
  </si>
  <si>
    <t>jubatus</t>
  </si>
  <si>
    <t>Caracal</t>
  </si>
  <si>
    <t>caracal</t>
  </si>
  <si>
    <t>Felis</t>
  </si>
  <si>
    <t>chaus</t>
  </si>
  <si>
    <t>buccinatus</t>
  </si>
  <si>
    <t>Burramyidae</t>
  </si>
  <si>
    <t>occidentalis</t>
  </si>
  <si>
    <t>Notomys</t>
  </si>
  <si>
    <t>alexis</t>
  </si>
  <si>
    <t>cervinus</t>
  </si>
  <si>
    <t>fuscus</t>
  </si>
  <si>
    <t>trinitatis</t>
  </si>
  <si>
    <t>arenalis</t>
  </si>
  <si>
    <t>destructor</t>
  </si>
  <si>
    <t>squamipes</t>
  </si>
  <si>
    <t>thomasi</t>
  </si>
  <si>
    <t>rubida</t>
  </si>
  <si>
    <t>scalops</t>
  </si>
  <si>
    <t>margarita</t>
  </si>
  <si>
    <t>nigripes</t>
  </si>
  <si>
    <t>silvestris</t>
  </si>
  <si>
    <t>Leptailurus</t>
  </si>
  <si>
    <t>serval</t>
  </si>
  <si>
    <t>Panthera</t>
  </si>
  <si>
    <t>leo</t>
  </si>
  <si>
    <t>aurata</t>
  </si>
  <si>
    <t>xantheolus</t>
  </si>
  <si>
    <t>India and Sri Lanka throug SE Asia to Borneo, Sumatra, Java and Timor (Indonesia); New Guinea, NE Queensland (Australia); Guadalcanal Isl (Solomon Isls)</t>
  </si>
  <si>
    <t>Australia (except Tasmania), SE New Guinea</t>
  </si>
  <si>
    <t>Ecuador, Peru, S Colombia</t>
  </si>
  <si>
    <t>Epomops</t>
  </si>
  <si>
    <t>Venezuela, N Colombia</t>
  </si>
  <si>
    <t>Brazil, Guianas, Venezuela, Trindad, Colombia, Ecuador, peru, Bolivia</t>
  </si>
  <si>
    <t>spelaea</t>
  </si>
  <si>
    <t>ludovici</t>
  </si>
  <si>
    <t>Ivory Coast to Sudan, Uganda, NW Tanzania, N Zambia and Angola</t>
  </si>
  <si>
    <t>California and Texas (USA) to Zacatecas and Hidalgo (Mexico), Colombia to N argentina and E Brazil, Cuba</t>
  </si>
  <si>
    <t>Lesser Antilles, sonora and Tamaulipas (Mexico) to N Argentina, uruguay and E Brazil, Trindad and Tobago, perhaps Jamaica</t>
  </si>
  <si>
    <t>lilium</t>
  </si>
  <si>
    <t>Scleronycteris</t>
  </si>
  <si>
    <t>ega</t>
  </si>
  <si>
    <t>larger than P. dorsalis</t>
  </si>
  <si>
    <t>Nepal, India, China, Burma, Laos, Vietnam, Malay Penninsula</t>
  </si>
  <si>
    <t>Additional species in North and South America derived from Silva and Downing CRC Body Masses for Mammals (supervision of data input by D. Kaufman).</t>
  </si>
  <si>
    <t>Coronados Isls, Baja California</t>
  </si>
  <si>
    <t>rufomitratus</t>
  </si>
  <si>
    <t>tatarica</t>
  </si>
  <si>
    <t>Santa Cruze and Fernandinan Isls., Galapagos Archipelago</t>
  </si>
  <si>
    <t>Bangladesh, Burma, Cambodia, China, India, Laos, Malaysia, Pakistan, Thailand, Vietnam, Hong Kong</t>
  </si>
  <si>
    <t>Germany, Czechoslovakia, Poland, SE Europe, turkey, Moldova, Ukraine</t>
  </si>
  <si>
    <t>males: head-body: 369 (317-447); tail: 148 (131-173); hindfoot: 64.8 (61-70); females: head-body 341 (337-345); tail: 133; hindfoot: 60.5 (58-63)</t>
  </si>
  <si>
    <t>Philipines</t>
  </si>
  <si>
    <t>Podomys</t>
  </si>
  <si>
    <t>Reithrodontomys</t>
  </si>
  <si>
    <t>dama</t>
  </si>
  <si>
    <t>humulis</t>
  </si>
  <si>
    <t>calabarensis</t>
  </si>
  <si>
    <t>niloticus</t>
  </si>
  <si>
    <t>Beamys</t>
  </si>
  <si>
    <t>Colomys</t>
  </si>
  <si>
    <t>goslingi</t>
  </si>
  <si>
    <t>Cricetomys</t>
  </si>
  <si>
    <t>emini</t>
  </si>
  <si>
    <t>gambianus</t>
  </si>
  <si>
    <t>leche</t>
  </si>
  <si>
    <t>megaceros</t>
  </si>
  <si>
    <t>vardonii</t>
  </si>
  <si>
    <t>Litocranius</t>
  </si>
  <si>
    <t>Soricidae</t>
  </si>
  <si>
    <t>Tremarctos</t>
  </si>
  <si>
    <t>ornatus</t>
  </si>
  <si>
    <t>Viverridae</t>
  </si>
  <si>
    <t>Civettictis</t>
  </si>
  <si>
    <t>civetta</t>
  </si>
  <si>
    <t>angolensis</t>
  </si>
  <si>
    <t>genetta</t>
  </si>
  <si>
    <t>maculata</t>
  </si>
  <si>
    <t>congobelgica</t>
  </si>
  <si>
    <t>servalina</t>
  </si>
  <si>
    <t>thierryi</t>
  </si>
  <si>
    <t>tigrina</t>
  </si>
  <si>
    <t>victoriae</t>
  </si>
  <si>
    <t>Chrysospalax</t>
  </si>
  <si>
    <t>Thailand, W Malysia, Borneo, Durian and Galang Isls</t>
  </si>
  <si>
    <t>Balionycteris</t>
  </si>
  <si>
    <t>N Sulawesi (Indonesia)</t>
  </si>
  <si>
    <t>Boneia</t>
  </si>
  <si>
    <t>Cameroon to E Zaire</t>
  </si>
  <si>
    <t>Casinycteris</t>
  </si>
  <si>
    <t>argynnis</t>
  </si>
  <si>
    <t>Thailand, W Malaysia, Borneo, Sumatra, Java, Nias Isl and Sulawesi</t>
  </si>
  <si>
    <t>Lesser Antilles from Anguilla to St Vincent and Barbados. Fossils known from Puerto Rico</t>
  </si>
  <si>
    <t>plethodon</t>
  </si>
  <si>
    <t>W Malaysia, Borneo, Sumatra, Java and Lombok</t>
  </si>
  <si>
    <t>Aethalops</t>
  </si>
  <si>
    <t>Mindanao (Philippines)</t>
  </si>
  <si>
    <t>maximiliani</t>
  </si>
  <si>
    <t>Costa Rica to C Sonora and S Baja California (Mexico); N Colombia</t>
  </si>
  <si>
    <t>plicata</t>
  </si>
  <si>
    <t>W Ecuador</t>
  </si>
  <si>
    <t>infusca</t>
  </si>
  <si>
    <t>S Veracruz (Mexico) to Peru, brazil and Guianas</t>
  </si>
  <si>
    <t>Chironax</t>
  </si>
  <si>
    <t>Oaxaca (Mexico) to Peru, Bolivia and N Brazil; Trindad and Tobago</t>
  </si>
  <si>
    <t>relicta</t>
  </si>
  <si>
    <t>usambarae</t>
  </si>
  <si>
    <t>watsoni</t>
  </si>
  <si>
    <t>nehringi</t>
  </si>
  <si>
    <t>males: 10366 (7500-14500); females: 8796 (6500-10000)</t>
  </si>
  <si>
    <t>S China, Vietnam, Laos, Thailand, Cambodia, Burma</t>
  </si>
  <si>
    <t>Christmas Isl., Australia</t>
  </si>
  <si>
    <t>China, Laos, Thailand, Burma, India, Bangladesh, Nepal</t>
  </si>
  <si>
    <t>India, Banladesh, Burma, S China</t>
  </si>
  <si>
    <t>Taiwan, Hainan Isl., china</t>
  </si>
  <si>
    <t>stephani</t>
  </si>
  <si>
    <t>stirtoni</t>
  </si>
  <si>
    <t>creper</t>
  </si>
  <si>
    <t>mattheyi</t>
  </si>
  <si>
    <t>introduction</t>
  </si>
  <si>
    <t>Vietnam</t>
  </si>
  <si>
    <t>Cameroon, Gabon, Bioko, Congo Republic, Zaire, Uganda, Tanzania, Burundi</t>
  </si>
  <si>
    <t>China, Nepal</t>
  </si>
  <si>
    <t>Canada (Alberta, Saskatchewan, Manitoba), USA (Montana, to Kansas, east to Minnesota)</t>
  </si>
  <si>
    <t>uncia</t>
  </si>
  <si>
    <t>paradoxura</t>
  </si>
  <si>
    <t>macrocercus</t>
  </si>
  <si>
    <t>Males: head-body: 363 (345-380); tail: 285; hindfoot: 55; ear: 36 (30-41); females: head-body: 305; tail: 250; hindfoot: 54; ear: 36</t>
  </si>
  <si>
    <t>Sudan, Kenya, Tanzania</t>
  </si>
  <si>
    <t>Mozambique</t>
  </si>
  <si>
    <t>EC Africa, Uganda to N Malawi and Zambia to EC tanzania</t>
  </si>
  <si>
    <t>sinensis</t>
  </si>
  <si>
    <t>ankoliae</t>
  </si>
  <si>
    <t>annectens</t>
  </si>
  <si>
    <t>audax</t>
  </si>
  <si>
    <t>daemon</t>
  </si>
  <si>
    <t>males: 2500 (1600-3500); females: 2475 (2000-3000)</t>
  </si>
  <si>
    <t>oriundus</t>
  </si>
  <si>
    <t>Nesolagus</t>
  </si>
  <si>
    <t>netscheri</t>
  </si>
  <si>
    <t>Pentalagus</t>
  </si>
  <si>
    <t>Nigeria, Cameroon</t>
  </si>
  <si>
    <t>males: 2039 (1750-2405); females: 1967 (1900-2000)</t>
  </si>
  <si>
    <t>smallest dasyurid in New Guinea</t>
  </si>
  <si>
    <t>Acrobates</t>
  </si>
  <si>
    <t>Neurotrichus</t>
  </si>
  <si>
    <t>gibbsii</t>
  </si>
  <si>
    <t>sorex</t>
  </si>
  <si>
    <t>macrodon</t>
  </si>
  <si>
    <t>unguifera</t>
  </si>
  <si>
    <t>Dendrolagus</t>
  </si>
  <si>
    <t>lumholtzi</t>
  </si>
  <si>
    <t>irma</t>
  </si>
  <si>
    <t>xanthopus</t>
  </si>
  <si>
    <t>transitionalis</t>
  </si>
  <si>
    <t>goliah</t>
  </si>
  <si>
    <t>rapha</t>
  </si>
  <si>
    <t>Pseudoryzomys</t>
  </si>
  <si>
    <t>collinum</t>
  </si>
  <si>
    <t>26, 28</t>
  </si>
  <si>
    <t>24, 25</t>
  </si>
  <si>
    <t>Tetrameryx</t>
  </si>
  <si>
    <t>shuleri</t>
  </si>
  <si>
    <t>gaspensis</t>
  </si>
  <si>
    <t>fuscatus</t>
  </si>
  <si>
    <t>handleyi</t>
  </si>
  <si>
    <t>impavidus</t>
  </si>
  <si>
    <t>invictus</t>
  </si>
  <si>
    <t>saussurei</t>
  </si>
  <si>
    <t>thor</t>
  </si>
  <si>
    <t>piltonesis</t>
  </si>
  <si>
    <t>Procoptodon</t>
  </si>
  <si>
    <t>North Pacific, Bering Seas</t>
  </si>
  <si>
    <t>N. gen</t>
  </si>
  <si>
    <t>Propleopus</t>
  </si>
  <si>
    <t>oscillans</t>
  </si>
  <si>
    <t>1, 3</t>
  </si>
  <si>
    <t>N India, Burma, S China, Thailand, W malaysia, Borneo, Sumatra, Java, Sumba, Timpr, and Sulawesi (Indonesia), Philippines, Andaman Isls (India)</t>
  </si>
  <si>
    <t>Eonycteris</t>
  </si>
  <si>
    <t>Amazonian Brazil, S Venezuela</t>
  </si>
  <si>
    <t>S Ukraine, Caucasus; turkey, Iran</t>
  </si>
  <si>
    <t>N Korea, China, Russia</t>
  </si>
  <si>
    <t>NE Siberia</t>
  </si>
  <si>
    <t>males: 212, no weight for females</t>
  </si>
  <si>
    <t>Fernandina Isl., Galapagos Archipelago</t>
  </si>
  <si>
    <t>Mongolia</t>
  </si>
  <si>
    <t>Paksitan, Nepal, India</t>
  </si>
  <si>
    <t>Malay peninsula</t>
  </si>
  <si>
    <t>Siberia from Vladivostok to the Amur</t>
  </si>
  <si>
    <t>Kirgizistan, Kazakhstan</t>
  </si>
  <si>
    <t>vegetus</t>
  </si>
  <si>
    <t>victus</t>
  </si>
  <si>
    <t>Chana, SW Nigeria</t>
  </si>
  <si>
    <t>tundra west of hudson bay, Canada; Alaska USA</t>
  </si>
  <si>
    <t>indefessus</t>
  </si>
  <si>
    <t>India, Burma, thailand, Laos, Vietnam</t>
  </si>
  <si>
    <t>Massoutiera</t>
  </si>
  <si>
    <t>mzabi</t>
  </si>
  <si>
    <t>ladacensis</t>
  </si>
  <si>
    <t>sanfelipensis</t>
  </si>
  <si>
    <t>paramicrus</t>
  </si>
  <si>
    <t>migratorius</t>
  </si>
  <si>
    <t>Trinkat, Little Nicobar and Great Nicobar Isls., India</t>
  </si>
  <si>
    <t>napaea</t>
  </si>
  <si>
    <t>bulbivorus</t>
  </si>
  <si>
    <t>Body mass algorithm: A single body mass estimate per continent was derived by averaging male and female adult mass; if both were unavailable male mass was used in preference to female mass. Within continents, estimates were averaged across geographic localities. See J.Haskell and F.Smith for details.</t>
  </si>
  <si>
    <t>Species Distribution</t>
  </si>
  <si>
    <t>Taxonomy follows Wilson and Reeder (1993) -All 4629 species are included here even those with no body mass. Note that species may occur multiple times if a separate body mass estimate is available for different continents</t>
  </si>
  <si>
    <t>E Ukraine, N Caucasus, Turkmenistan, Uzbekistan, Kazakhstan</t>
  </si>
  <si>
    <t>Malaysian subregion</t>
  </si>
  <si>
    <t>trevelyani</t>
  </si>
  <si>
    <t>Manis</t>
  </si>
  <si>
    <t>Glossotherium</t>
  </si>
  <si>
    <t>harlani</t>
  </si>
  <si>
    <t>Crocidura</t>
  </si>
  <si>
    <t>Bangladesh, Burma, china, Indonesia, India, cambodia, Laos, Malaysia, Nepal, Thailand, Vietnam</t>
  </si>
  <si>
    <t>China, Laos, Vietnam</t>
  </si>
  <si>
    <t>manengubae</t>
  </si>
  <si>
    <t>fusciceps</t>
  </si>
  <si>
    <t>Hydrochoeridae</t>
  </si>
  <si>
    <t>avus</t>
  </si>
  <si>
    <t>Cebidae</t>
  </si>
  <si>
    <t>Alouatta</t>
  </si>
  <si>
    <t>palliata</t>
  </si>
  <si>
    <t>Neocherus</t>
  </si>
  <si>
    <t>oesopi</t>
  </si>
  <si>
    <t>Neochoerus</t>
  </si>
  <si>
    <t>pinckneyi</t>
  </si>
  <si>
    <t>Turkey</t>
  </si>
  <si>
    <t>Coastal plains of S. Arabian Peninsula</t>
  </si>
  <si>
    <t>Armenia</t>
  </si>
  <si>
    <t>Canada</t>
  </si>
  <si>
    <t>ultima</t>
  </si>
  <si>
    <t>Phylloderma</t>
  </si>
  <si>
    <t>W Colombia, W Ecuador</t>
  </si>
  <si>
    <t>periosus</t>
  </si>
  <si>
    <t>poeyi</t>
  </si>
  <si>
    <t>brachycephala</t>
  </si>
  <si>
    <t>Nicobar Isls (Bay of Bengal, India)</t>
  </si>
  <si>
    <t>Guinea to central african ruplic</t>
  </si>
  <si>
    <t>Nanonycteris</t>
  </si>
  <si>
    <t>veldkampi</t>
  </si>
  <si>
    <t>Sigmodontomys</t>
  </si>
  <si>
    <t>aphrastus</t>
  </si>
  <si>
    <t>panamensis</t>
  </si>
  <si>
    <t>Costa Rica, Panama</t>
  </si>
  <si>
    <t>dominator</t>
  </si>
  <si>
    <t>Paulamys</t>
  </si>
  <si>
    <t>campanae</t>
  </si>
  <si>
    <t>Sakhalin, Isl., Russia</t>
  </si>
  <si>
    <t>Portugal and Spain</t>
  </si>
  <si>
    <t>semispinosus</t>
  </si>
  <si>
    <t>males: 211 (140-284); females 68 (577-88)</t>
  </si>
  <si>
    <t>gabriellae</t>
  </si>
  <si>
    <t>FAMILY</t>
  </si>
  <si>
    <t xml:space="preserve"> </t>
  </si>
  <si>
    <t>extinct</t>
  </si>
  <si>
    <t>ugyunak</t>
  </si>
  <si>
    <t>volnuchini</t>
  </si>
  <si>
    <t>cephalophus</t>
  </si>
  <si>
    <t>Elaphurus</t>
  </si>
  <si>
    <t>davidianus</t>
  </si>
  <si>
    <t>leucops</t>
  </si>
  <si>
    <t>attenuata</t>
  </si>
  <si>
    <t>vandeuseni</t>
  </si>
  <si>
    <t>onager</t>
  </si>
  <si>
    <t>quagga</t>
  </si>
  <si>
    <t>ruatanica</t>
  </si>
  <si>
    <t>excelsus</t>
  </si>
  <si>
    <t>gracillimus</t>
  </si>
  <si>
    <t>Semnopithecus</t>
  </si>
  <si>
    <t>palpator</t>
  </si>
  <si>
    <t>tatei</t>
  </si>
  <si>
    <t>Megaptera</t>
  </si>
  <si>
    <t>medius</t>
  </si>
  <si>
    <t>corinnae</t>
  </si>
  <si>
    <t>Thylacinus</t>
  </si>
  <si>
    <t>garnettii</t>
  </si>
  <si>
    <t>Pongo</t>
  </si>
  <si>
    <t>Galidia</t>
  </si>
  <si>
    <t>Mogera</t>
  </si>
  <si>
    <t>nubrica</t>
  </si>
  <si>
    <t>N. and S. San Lorenzo Isls., and Salsipuedes Isls. Gulf of California</t>
  </si>
  <si>
    <t>Mexico, Guatemala, El Salvador, Hondura</t>
  </si>
  <si>
    <t>Tres Marias Isls, Mexico</t>
  </si>
  <si>
    <t>Guatemala</t>
  </si>
  <si>
    <t>ludia</t>
  </si>
  <si>
    <t>mindorus</t>
  </si>
  <si>
    <t>minuta</t>
  </si>
  <si>
    <t>miya</t>
  </si>
  <si>
    <t>muricauda</t>
  </si>
  <si>
    <t>closest in size and appearance to Phascolosorex dorsalis</t>
  </si>
  <si>
    <t>males: 59 (32-102); females: 48.5</t>
  </si>
  <si>
    <t>no weight for males; females: 200</t>
  </si>
  <si>
    <t>males: 39.1 (38-41.5); females: 49.1 (38-62)</t>
  </si>
  <si>
    <t>males: head-body 183 (154-226); tail: 173 (154-191); hindfoot: 34.3 (30-41); females: head-body: 168 (152-195); tail: 161 (152-170); hindfoot: 32.1 (31-33)</t>
  </si>
  <si>
    <t>called Phalanger gymnotis in mammals of New Guinea</t>
  </si>
  <si>
    <t>Africa -supervision of data input by T.Dayan (see original archive files for species specific body mass references and geographic data)</t>
  </si>
  <si>
    <t>vae</t>
  </si>
  <si>
    <t>Pectinator</t>
  </si>
  <si>
    <t>christyi</t>
  </si>
  <si>
    <t>enganus</t>
  </si>
  <si>
    <t>Nepal to China and to N Burma and Vietnam</t>
  </si>
  <si>
    <t>Sumatra, Borneo (Indonesia)</t>
  </si>
  <si>
    <t>Burma, Malaya</t>
  </si>
  <si>
    <t>S. Thailand to Sumatra</t>
  </si>
  <si>
    <t>Alaska, USA; Yukon, Northwest Territories, Canada</t>
  </si>
  <si>
    <t>Boreno, Sumatra (Indonesia)</t>
  </si>
  <si>
    <t>Kazakhstan, Russia, C Asia, Mongolia, Transbaikalia, China, Afghanistan</t>
  </si>
  <si>
    <t>China, Tibet, Nepal</t>
  </si>
  <si>
    <t>Thylacoleonidae</t>
  </si>
  <si>
    <t>orarius</t>
  </si>
  <si>
    <t>townsendii</t>
  </si>
  <si>
    <t>13, 16, 22</t>
  </si>
  <si>
    <t>misonnei</t>
  </si>
  <si>
    <t>mutoni</t>
  </si>
  <si>
    <t>Surdisorex</t>
  </si>
  <si>
    <t>Taiga zone from Norway, Sweden and Estonia to E Siberia, Mongolia, China, S. Korea</t>
  </si>
  <si>
    <t>Selevinia</t>
  </si>
  <si>
    <t>Glirulus</t>
  </si>
  <si>
    <t>Santa Cruz Island, Galapgos Archipelago</t>
  </si>
  <si>
    <t>annandalei</t>
  </si>
  <si>
    <t>ponceleti</t>
  </si>
  <si>
    <t>philippii</t>
  </si>
  <si>
    <t>Armenia, Azerbaijan, Georgia, maybe Turkey and Iran</t>
  </si>
  <si>
    <t>walie</t>
  </si>
  <si>
    <t>strigidorsa</t>
  </si>
  <si>
    <t>schauinslandi</t>
  </si>
  <si>
    <t>Microperoryctes</t>
  </si>
  <si>
    <t>blarina</t>
  </si>
  <si>
    <t>geata</t>
  </si>
  <si>
    <t>Haiti and Gonave Isl.</t>
  </si>
  <si>
    <t>leucorhina</t>
  </si>
  <si>
    <t>Microhydromys</t>
  </si>
  <si>
    <t>Cuba, Haiti, Pinos Isl.</t>
  </si>
  <si>
    <t>zeylanicus</t>
  </si>
  <si>
    <t>simalurensis</t>
  </si>
  <si>
    <t>steini</t>
  </si>
  <si>
    <t>stoicus</t>
  </si>
  <si>
    <t>tanezumi</t>
  </si>
  <si>
    <t>maura</t>
  </si>
  <si>
    <t>ochreata</t>
  </si>
  <si>
    <t>Hydropotes</t>
  </si>
  <si>
    <t>dicei</t>
  </si>
  <si>
    <t>mansuetus</t>
  </si>
  <si>
    <t>pentadactyla</t>
  </si>
  <si>
    <t>novaeguineae</t>
  </si>
  <si>
    <t>klossi</t>
  </si>
  <si>
    <t>micrura</t>
  </si>
  <si>
    <t>ranjiniae</t>
  </si>
  <si>
    <t>sanila</t>
  </si>
  <si>
    <t>sikkimensis</t>
  </si>
  <si>
    <t>corsicanus</t>
  </si>
  <si>
    <t>angelcabrerai</t>
  </si>
  <si>
    <t>males: 9; females: 11.5 (11-12)</t>
  </si>
  <si>
    <t>Enggano Isl., Indonesia</t>
  </si>
  <si>
    <t>Seram Isl., Indonesia</t>
  </si>
  <si>
    <t>Flores Isls., Indonesia</t>
  </si>
  <si>
    <t>Peleng Isl., Indonesia</t>
  </si>
  <si>
    <t>Allactaga</t>
  </si>
  <si>
    <t>Hexolobodon</t>
  </si>
  <si>
    <t>Isolobodon</t>
  </si>
  <si>
    <t>portoricensis</t>
  </si>
  <si>
    <t>araeum</t>
  </si>
  <si>
    <t>Reference</t>
  </si>
  <si>
    <t>Easternmost panama</t>
  </si>
  <si>
    <t>Trinidad</t>
  </si>
  <si>
    <t>South America -P. Marquet</t>
  </si>
  <si>
    <t>Mysateles</t>
  </si>
  <si>
    <t>garridoi</t>
  </si>
  <si>
    <t>gundlachi</t>
  </si>
  <si>
    <t>meridionalis</t>
  </si>
  <si>
    <t>females: 33 (31-35)</t>
  </si>
  <si>
    <t>males: 16.2 (13-17.6); females: 17.4 (14.5-19.9)</t>
  </si>
  <si>
    <t>males: 24 ; females: 19.8 (19-20.5)</t>
  </si>
  <si>
    <t>Himalayas, china, Tibet, Nepal, India, bhutan, Burma</t>
  </si>
  <si>
    <t>males: head-body 519 (455-615); tail 478 (408-555); hindfoot 103 (91.3-124); ear 54.4 (48-62); females: head-body 559 (412-625); tail 566 (455-685); hindfoot 112 (97-125); ear 54.9 (51-57)</t>
  </si>
  <si>
    <t xml:space="preserve">males: 19.5 (19-20); females: 18 </t>
  </si>
  <si>
    <t>smaller than any other endemic New Guinea murid; only Lorentzimys nouhuysi is similar in body and form</t>
  </si>
  <si>
    <t>Nicobar Isls., India</t>
  </si>
  <si>
    <t>vanheurni</t>
  </si>
  <si>
    <t>ohiensis</t>
  </si>
  <si>
    <t>females: head-body 193; tail 171, hindfoot 48; ear 22</t>
  </si>
  <si>
    <t>Mongolia, China, Kazakhstan, Iran, Afghanistan, Pakistan</t>
  </si>
  <si>
    <t>Spain, Italy</t>
  </si>
  <si>
    <t>Kenya, Tanzania</t>
  </si>
  <si>
    <t>Taiga and Tundra zones of E Europe; Ukraine, Sibiria, Kazakhstan, Mongolia, China, Korea, Sakhalin</t>
  </si>
  <si>
    <t>Rhizomys</t>
  </si>
  <si>
    <t>pruinosus</t>
  </si>
  <si>
    <t>spinipinnis</t>
  </si>
  <si>
    <t>Kogia</t>
  </si>
  <si>
    <t>Inia</t>
  </si>
  <si>
    <t>geoffrensis</t>
  </si>
  <si>
    <t>Platanista</t>
  </si>
  <si>
    <t>indicus</t>
  </si>
  <si>
    <t>Vandeleuria</t>
  </si>
  <si>
    <t>hydrodromus</t>
  </si>
  <si>
    <t>Siberia to N Korea, Manchuria</t>
  </si>
  <si>
    <t>francoisi</t>
  </si>
  <si>
    <t>geei</t>
  </si>
  <si>
    <t>tardigradus</t>
  </si>
  <si>
    <t>callitrichus</t>
  </si>
  <si>
    <t>hamatus</t>
  </si>
  <si>
    <t>punicans</t>
  </si>
  <si>
    <t>korinchi</t>
  </si>
  <si>
    <t>losea</t>
  </si>
  <si>
    <t>macleari</t>
  </si>
  <si>
    <t>marmosurus</t>
  </si>
  <si>
    <t>mollicomulus</t>
  </si>
  <si>
    <t>morotaiensis</t>
  </si>
  <si>
    <t>lowii</t>
  </si>
  <si>
    <t>Tupaia</t>
  </si>
  <si>
    <t>dobsoni</t>
  </si>
  <si>
    <t>pennatus</t>
  </si>
  <si>
    <t>Sicista</t>
  </si>
  <si>
    <t>euphratica</t>
  </si>
  <si>
    <t>Dipus</t>
  </si>
  <si>
    <t>sagitta</t>
  </si>
  <si>
    <t>bonariensis</t>
  </si>
  <si>
    <t>zamicrus</t>
  </si>
  <si>
    <t>cowani</t>
  </si>
  <si>
    <t>principula</t>
  </si>
  <si>
    <t>leporides</t>
  </si>
  <si>
    <t>greyi</t>
  </si>
  <si>
    <t>strelzowi</t>
  </si>
  <si>
    <t>Apodemus</t>
  </si>
  <si>
    <t>agrarius</t>
  </si>
  <si>
    <t>Talpa</t>
  </si>
  <si>
    <t>europaea</t>
  </si>
  <si>
    <t>sondaicus</t>
  </si>
  <si>
    <t>tenuis</t>
  </si>
  <si>
    <t>Dorcopsulus</t>
  </si>
  <si>
    <t>Ailurops</t>
  </si>
  <si>
    <t>carmelitae</t>
  </si>
  <si>
    <t>Nycticebus</t>
  </si>
  <si>
    <t>males: 392 (355-440); females: 378 (354-395)</t>
  </si>
  <si>
    <t>SW British Columbia, W Washington</t>
  </si>
  <si>
    <t>matanim</t>
  </si>
  <si>
    <t>pelengensis</t>
  </si>
  <si>
    <t>rufoniger</t>
  </si>
  <si>
    <t>lorraineus</t>
  </si>
  <si>
    <t>monardi</t>
  </si>
  <si>
    <t>olga</t>
  </si>
  <si>
    <t>kelleni</t>
  </si>
  <si>
    <t>japonicus</t>
  </si>
  <si>
    <t>zechi</t>
  </si>
  <si>
    <t>crassispinis</t>
  </si>
  <si>
    <t>rupicola</t>
  </si>
  <si>
    <t>Dryomys</t>
  </si>
  <si>
    <t>salebrosus</t>
  </si>
  <si>
    <t>mongoz</t>
  </si>
  <si>
    <t>vali</t>
  </si>
  <si>
    <t>Felovia</t>
  </si>
  <si>
    <t>cynocephalus</t>
  </si>
  <si>
    <t>soricoides</t>
  </si>
  <si>
    <t>Solomys</t>
  </si>
  <si>
    <t>phocaenoides</t>
  </si>
  <si>
    <t>Capromys</t>
  </si>
  <si>
    <t>palmipes</t>
  </si>
  <si>
    <t>males: 3000 (1500-4850); females: 2410 (1800-3000)</t>
  </si>
  <si>
    <t>intercastellanus</t>
  </si>
  <si>
    <t>males: head-body 515 (470-550); tail 385 (345-460); hindfoot 128.1 (121-133); ear 49.9 (44.8-57); females: head-body 366.7 (334-416); tail 327.3 (246-380); hindfoot 106.3 (103-110); ear 34.3 (32.2-37.3)</t>
  </si>
  <si>
    <t>males: 1870 (1700-2000); females: 2225 (2000-2600)</t>
  </si>
  <si>
    <t>San Pedro Isls, Mexico</t>
  </si>
  <si>
    <t>Himalayas and NE Tibet</t>
  </si>
  <si>
    <t>desmarestianus</t>
  </si>
  <si>
    <t xml:space="preserve">60, 61 </t>
  </si>
  <si>
    <t>arcuatus</t>
  </si>
  <si>
    <t>avunculus</t>
  </si>
  <si>
    <t>brelichi</t>
  </si>
  <si>
    <t>nolthenii</t>
  </si>
  <si>
    <t>albopunctatus</t>
  </si>
  <si>
    <t>spartacus</t>
  </si>
  <si>
    <t>oleracea</t>
  </si>
  <si>
    <t>Vernaya</t>
  </si>
  <si>
    <t>Cameroon, Equatorial Guinea, Gabon, Central African Republic</t>
  </si>
  <si>
    <t>theodorverhoeveni</t>
  </si>
  <si>
    <t>Parahydromys</t>
  </si>
  <si>
    <t>goodfellowi</t>
  </si>
  <si>
    <t>Nepal, India, Bangladesh, S China, Indochina, peninsular thailand, Malay peninsular</t>
  </si>
  <si>
    <t>nitedula</t>
  </si>
  <si>
    <t>sichuanensis</t>
  </si>
  <si>
    <t>Myomimus</t>
  </si>
  <si>
    <t>roachi</t>
  </si>
  <si>
    <t>Caloprymnus</t>
  </si>
  <si>
    <t>martinensis</t>
  </si>
  <si>
    <t>varia</t>
  </si>
  <si>
    <t>Nesoryzomys</t>
  </si>
  <si>
    <t>bailwardi</t>
  </si>
  <si>
    <t>micrus</t>
  </si>
  <si>
    <t>Zaire, Uganda, Rwanda, Kenya, Tanzania, Cameroon</t>
  </si>
  <si>
    <t>no weight in mammals of new guinea</t>
  </si>
  <si>
    <t>nebulosa</t>
  </si>
  <si>
    <t>Enhydra</t>
  </si>
  <si>
    <t>lutris</t>
  </si>
  <si>
    <t>Lutrogale</t>
  </si>
  <si>
    <t>Platacanthomys</t>
  </si>
  <si>
    <t>hondurensis</t>
  </si>
  <si>
    <t>Nectogale</t>
  </si>
  <si>
    <t>parca</t>
  </si>
  <si>
    <t>groenlandica</t>
  </si>
  <si>
    <t>hispida</t>
  </si>
  <si>
    <t>vitulina</t>
  </si>
  <si>
    <t>Ailuropoda</t>
  </si>
  <si>
    <t>davensis</t>
  </si>
  <si>
    <t>fraterculus</t>
  </si>
  <si>
    <t>hoogstraali</t>
  </si>
  <si>
    <t>melanoleuca</t>
  </si>
  <si>
    <t>Ailurus</t>
  </si>
  <si>
    <t>fulgens</t>
  </si>
  <si>
    <t>Helarctos</t>
  </si>
  <si>
    <t>malayanus</t>
  </si>
  <si>
    <t>Melursus</t>
  </si>
  <si>
    <t>Eupleres</t>
  </si>
  <si>
    <t>samarensis</t>
  </si>
  <si>
    <t>dentatus</t>
  </si>
  <si>
    <t>salomonseni</t>
  </si>
  <si>
    <t>Berylmys</t>
  </si>
  <si>
    <t>Archboldomys</t>
  </si>
  <si>
    <t>luzonensis</t>
  </si>
  <si>
    <t>nairobae</t>
  </si>
  <si>
    <t>savilei</t>
  </si>
  <si>
    <t>Batomys</t>
  </si>
  <si>
    <t>Nasalis</t>
  </si>
  <si>
    <t>carlhubbsi</t>
  </si>
  <si>
    <t>mizura</t>
  </si>
  <si>
    <t>lokriah</t>
  </si>
  <si>
    <t>pernyi</t>
  </si>
  <si>
    <t>Sudan, Zaire, Uganda, Kenya, Tanzania, Zambia</t>
  </si>
  <si>
    <t>Siberia, China</t>
  </si>
  <si>
    <t>Turner Island, Sonora, Mexico</t>
  </si>
  <si>
    <t>Zaire, Rwanda, Uganda</t>
  </si>
  <si>
    <t>Erethizontidae</t>
  </si>
  <si>
    <t>Erethizon</t>
  </si>
  <si>
    <t>perspicillata</t>
  </si>
  <si>
    <t>flavigula</t>
  </si>
  <si>
    <t>bedfordiae</t>
  </si>
  <si>
    <t>alticola</t>
  </si>
  <si>
    <t>manul</t>
  </si>
  <si>
    <t>tigris</t>
  </si>
  <si>
    <t>taerae</t>
  </si>
  <si>
    <t>Tarsomys</t>
  </si>
  <si>
    <t>apoensis</t>
  </si>
  <si>
    <t>pallidus</t>
  </si>
  <si>
    <t>Perognathus</t>
  </si>
  <si>
    <t>antillensis</t>
  </si>
  <si>
    <t>insulans</t>
  </si>
  <si>
    <t>males: head-body 108; tail 101; hindfoot 22; ear 13</t>
  </si>
  <si>
    <t>Paraleptomys</t>
  </si>
  <si>
    <t>wilhelmina</t>
  </si>
  <si>
    <t>Paruromys</t>
  </si>
  <si>
    <t>Australia - Morgan Ernest (data from Strahn 1995 -Mammals of Australia. Refer to this source for specific body mass reference)</t>
  </si>
  <si>
    <t>pseudocrinitus</t>
  </si>
  <si>
    <t>rubicunda</t>
  </si>
  <si>
    <t>mayensis</t>
  </si>
  <si>
    <t>tonkeana</t>
  </si>
  <si>
    <t>femoralis</t>
  </si>
  <si>
    <t>Hemitragus</t>
  </si>
  <si>
    <t>Paracrocidura</t>
  </si>
  <si>
    <t>wolfi</t>
  </si>
  <si>
    <t>frontata</t>
  </si>
  <si>
    <t>potenziani</t>
  </si>
  <si>
    <t>graueri</t>
  </si>
  <si>
    <t>maxima</t>
  </si>
  <si>
    <t>Phascolosorex</t>
  </si>
  <si>
    <t>doriae</t>
  </si>
  <si>
    <t>Presbytis</t>
  </si>
  <si>
    <t>comata</t>
  </si>
  <si>
    <t>melalophos</t>
  </si>
  <si>
    <t>Monserrate Isls. Baja CA</t>
  </si>
  <si>
    <t>China,  Vietnam, Laos, Cambodia, Thailand, Burma, India, Nepal</t>
  </si>
  <si>
    <t>muliensis</t>
  </si>
  <si>
    <t>Otocolobus</t>
  </si>
  <si>
    <t>Tateomys</t>
  </si>
  <si>
    <t>echinatus</t>
  </si>
  <si>
    <t>inornatus</t>
  </si>
  <si>
    <t>peruvianus</t>
  </si>
  <si>
    <t>stejnegeri</t>
  </si>
  <si>
    <t>Tasmacetus</t>
  </si>
  <si>
    <t>Fossa</t>
  </si>
  <si>
    <t>naivashae</t>
  </si>
  <si>
    <t>ruandae</t>
  </si>
  <si>
    <t>spalacinus</t>
  </si>
  <si>
    <t>markhami</t>
  </si>
  <si>
    <t>labiosus</t>
  </si>
  <si>
    <t>flavidus</t>
  </si>
  <si>
    <t>cryophilus</t>
  </si>
  <si>
    <t>shepherdi</t>
  </si>
  <si>
    <t>Zenkerella</t>
  </si>
  <si>
    <t>Colorado, Utah, S. through New Mexico and trans pe os, TX to NW Coahuila mexico</t>
  </si>
  <si>
    <t>Vancouver Island, Canada</t>
  </si>
  <si>
    <t>negrina</t>
  </si>
  <si>
    <t>nicobarica</t>
  </si>
  <si>
    <t>obscurior</t>
  </si>
  <si>
    <t>quadricornis</t>
  </si>
  <si>
    <t>bactrianus</t>
  </si>
  <si>
    <t>Wilfredomys</t>
  </si>
  <si>
    <t>oenax</t>
  </si>
  <si>
    <t>pictipes</t>
  </si>
  <si>
    <t>Zygodontomys</t>
  </si>
  <si>
    <t>Myocastoridae</t>
  </si>
  <si>
    <t>berezovskii</t>
  </si>
  <si>
    <t>calamianensis</t>
  </si>
  <si>
    <t>alfredi</t>
  </si>
  <si>
    <t>mariannus</t>
  </si>
  <si>
    <t>schomburgki</t>
  </si>
  <si>
    <t>Galagoides</t>
  </si>
  <si>
    <t>demidoff</t>
  </si>
  <si>
    <t>zanzibaricus</t>
  </si>
  <si>
    <t>maximowiczii</t>
  </si>
  <si>
    <t>obiensis</t>
  </si>
  <si>
    <t>rattoides</t>
  </si>
  <si>
    <t>rubex</t>
  </si>
  <si>
    <t>socialis</t>
  </si>
  <si>
    <t>belangeri</t>
  </si>
  <si>
    <t>picta</t>
  </si>
  <si>
    <t>Elephas</t>
  </si>
  <si>
    <t>janetta</t>
  </si>
  <si>
    <t>meltada</t>
  </si>
  <si>
    <t>musculoides</t>
  </si>
  <si>
    <t>spretus</t>
  </si>
  <si>
    <t>Myopus</t>
  </si>
  <si>
    <t>hopkinsi</t>
  </si>
  <si>
    <t>Phloeomys</t>
  </si>
  <si>
    <t>cossyrensis</t>
  </si>
  <si>
    <t>bocagei</t>
  </si>
  <si>
    <t>mechowi</t>
  </si>
  <si>
    <t>sardus</t>
  </si>
  <si>
    <t>Caprolagus</t>
  </si>
  <si>
    <t>macleayi</t>
  </si>
  <si>
    <t>betulina</t>
  </si>
  <si>
    <t>Echinops</t>
  </si>
  <si>
    <t>Hydrodamalis</t>
  </si>
  <si>
    <t>Ctenodactylus</t>
  </si>
  <si>
    <t>gundi</t>
  </si>
  <si>
    <t>cricetus</t>
  </si>
  <si>
    <t>rubricatus</t>
  </si>
  <si>
    <t>Dinaromys</t>
  </si>
  <si>
    <t>lusitanicus</t>
  </si>
  <si>
    <t>majori</t>
  </si>
  <si>
    <t>rosalinda</t>
  </si>
  <si>
    <t>mirae</t>
  </si>
  <si>
    <t>Wiedomys</t>
  </si>
  <si>
    <t>pyrrhorhinos</t>
  </si>
  <si>
    <t>anthonyi</t>
  </si>
  <si>
    <t>abidi</t>
  </si>
  <si>
    <t>Distoechurus</t>
  </si>
  <si>
    <t>Kazakhstan, Siberia, China, Mongolia</t>
  </si>
  <si>
    <t>paradoxus</t>
  </si>
  <si>
    <t>canariensis</t>
  </si>
  <si>
    <t>brachyura</t>
  </si>
  <si>
    <t>pumila</t>
  </si>
  <si>
    <t>Russia, Mongolia, China, Korea, Palearctic taiga fro N Finland east to Russia</t>
  </si>
  <si>
    <t>Angola, Nambiia</t>
  </si>
  <si>
    <t>Ziphius</t>
  </si>
  <si>
    <t>cavirostris</t>
  </si>
  <si>
    <t>Strigocuscus</t>
  </si>
  <si>
    <t>arnhemensis</t>
  </si>
  <si>
    <t>swarthi</t>
  </si>
  <si>
    <t>whiteheadi</t>
  </si>
  <si>
    <t>hurrianae</t>
  </si>
  <si>
    <t>persicus</t>
  </si>
  <si>
    <t>unguiculatus</t>
  </si>
  <si>
    <t>Mesocricetus</t>
  </si>
  <si>
    <t>brandti</t>
  </si>
  <si>
    <t>superbus</t>
  </si>
  <si>
    <t>gongshanensis</t>
  </si>
  <si>
    <t>devius</t>
  </si>
  <si>
    <t>lunata</t>
  </si>
  <si>
    <t>brunii</t>
  </si>
  <si>
    <t>schisticolor</t>
  </si>
  <si>
    <t>Niviventer</t>
  </si>
  <si>
    <t>cremoriventer</t>
  </si>
  <si>
    <t>sitkensis</t>
  </si>
  <si>
    <t>Phodopus</t>
  </si>
  <si>
    <t>sungorus</t>
  </si>
  <si>
    <t>loriae</t>
  </si>
  <si>
    <t>tiomanicus</t>
  </si>
  <si>
    <t>Chaeropus</t>
  </si>
  <si>
    <t>laticaudatus</t>
  </si>
  <si>
    <t>vulgaris</t>
  </si>
  <si>
    <t>mohavensis</t>
  </si>
  <si>
    <t>undulatus</t>
  </si>
  <si>
    <t>diadema</t>
  </si>
  <si>
    <t>schoutedeni</t>
  </si>
  <si>
    <t>fulva</t>
  </si>
  <si>
    <t>Xenuromys</t>
  </si>
  <si>
    <t>vestitus</t>
  </si>
  <si>
    <t>Geomyidae</t>
  </si>
  <si>
    <t>Geomys</t>
  </si>
  <si>
    <t>arenarius</t>
  </si>
  <si>
    <t>armandvillei</t>
  </si>
  <si>
    <t>caissara</t>
  </si>
  <si>
    <t>coibensis</t>
  </si>
  <si>
    <t>hamlyni</t>
  </si>
  <si>
    <t>preussi</t>
  </si>
  <si>
    <t>papuensis</t>
  </si>
  <si>
    <t>Solisorex</t>
  </si>
  <si>
    <t>schaeferi</t>
  </si>
  <si>
    <t>Sundasciurus</t>
  </si>
  <si>
    <t>hippurus</t>
  </si>
  <si>
    <t>cylindricornis</t>
  </si>
  <si>
    <t>falconeri</t>
  </si>
  <si>
    <t>romana</t>
  </si>
  <si>
    <t>spectabilis</t>
  </si>
  <si>
    <t>salenskii</t>
  </si>
  <si>
    <t>Galemys</t>
  </si>
  <si>
    <t>pyrenaicus</t>
  </si>
  <si>
    <t>Euroscaptor</t>
  </si>
  <si>
    <t>uchidai</t>
  </si>
  <si>
    <t>Parascaptor</t>
  </si>
  <si>
    <t>Scapanulus</t>
  </si>
  <si>
    <t>oweni</t>
  </si>
  <si>
    <t>pyrrhomerus</t>
  </si>
  <si>
    <t>rufigenis</t>
  </si>
  <si>
    <t>Exilisciurus</t>
  </si>
  <si>
    <t>decemlineata</t>
  </si>
  <si>
    <t>bowersi</t>
  </si>
  <si>
    <t>Aeretes</t>
  </si>
  <si>
    <t>fossana</t>
  </si>
  <si>
    <t>Paguma</t>
  </si>
  <si>
    <t>larvata</t>
  </si>
  <si>
    <t>Paradoxurus</t>
  </si>
  <si>
    <t>hermaphroditus</t>
  </si>
  <si>
    <t>Viverra</t>
  </si>
  <si>
    <t>Balaena</t>
  </si>
  <si>
    <t>mysticetus</t>
  </si>
  <si>
    <t>Eubalaena</t>
  </si>
  <si>
    <t>glacialis</t>
  </si>
  <si>
    <t>tangalunga</t>
  </si>
  <si>
    <t>zibetha</t>
  </si>
  <si>
    <t>biswasi</t>
  </si>
  <si>
    <t>Eupetaurus</t>
  </si>
  <si>
    <t>Hylopetes</t>
  </si>
  <si>
    <t>alboniger</t>
  </si>
  <si>
    <t>baberi</t>
  </si>
  <si>
    <t>edeni</t>
  </si>
  <si>
    <t>physalus</t>
  </si>
  <si>
    <t>bartelsi</t>
  </si>
  <si>
    <t>Chiromyscus</t>
  </si>
  <si>
    <t>chiropus</t>
  </si>
  <si>
    <t>novaeangliae</t>
  </si>
  <si>
    <t>Microcebus</t>
  </si>
  <si>
    <t>coquereli</t>
  </si>
  <si>
    <t>Phaner</t>
  </si>
  <si>
    <t>furcifer</t>
  </si>
  <si>
    <t>Hylobates</t>
  </si>
  <si>
    <t>hoolock</t>
  </si>
  <si>
    <t>klossii</t>
  </si>
  <si>
    <t>lar</t>
  </si>
  <si>
    <t>muelleri</t>
  </si>
  <si>
    <t>syndactylus</t>
  </si>
  <si>
    <t>Syntheosciurus</t>
  </si>
  <si>
    <t>brochus</t>
  </si>
  <si>
    <t>canipes</t>
  </si>
  <si>
    <t>Tamiops</t>
  </si>
  <si>
    <t>macclellandi</t>
  </si>
  <si>
    <t>rodolphei</t>
  </si>
  <si>
    <t>bastardi</t>
  </si>
  <si>
    <t>Nesomys</t>
  </si>
  <si>
    <t>anchietae</t>
  </si>
  <si>
    <t>Boselaphus</t>
  </si>
  <si>
    <t>tragocamelus</t>
  </si>
  <si>
    <t>Budorcas</t>
  </si>
  <si>
    <t>taxicolor</t>
  </si>
  <si>
    <t>caucasica</t>
  </si>
  <si>
    <t>Rhinoceros</t>
  </si>
  <si>
    <t>unicornis</t>
  </si>
  <si>
    <t>silenus</t>
  </si>
  <si>
    <t>Arctogalidia</t>
  </si>
  <si>
    <t>Chrotogale</t>
  </si>
  <si>
    <t>owstoni</t>
  </si>
  <si>
    <t>Cryptoprocta</t>
  </si>
  <si>
    <t>ferox</t>
  </si>
  <si>
    <t>bidens</t>
  </si>
  <si>
    <t>bowdoini</t>
  </si>
  <si>
    <t>sinica</t>
  </si>
  <si>
    <t>scotti</t>
  </si>
  <si>
    <t>javanica</t>
  </si>
  <si>
    <t>arctoides</t>
  </si>
  <si>
    <t>fascicularis</t>
  </si>
  <si>
    <t>mulatta</t>
  </si>
  <si>
    <t>nemestrina</t>
  </si>
  <si>
    <t>nigra</t>
  </si>
  <si>
    <t>radiata</t>
  </si>
  <si>
    <t>densirostris</t>
  </si>
  <si>
    <t>gangetica</t>
  </si>
  <si>
    <t>arnuxii</t>
  </si>
  <si>
    <t>Indopacetus</t>
  </si>
  <si>
    <t>Mesoplodon</t>
  </si>
  <si>
    <t>himalayica</t>
  </si>
  <si>
    <t>platycephala</t>
  </si>
  <si>
    <t>styani</t>
  </si>
  <si>
    <t>endersi</t>
  </si>
  <si>
    <t>rhinogradoides</t>
  </si>
  <si>
    <t>loringi</t>
  </si>
  <si>
    <t>Tokudaia</t>
  </si>
  <si>
    <t>longimembris</t>
  </si>
  <si>
    <t>xanthanotus</t>
  </si>
  <si>
    <t>delphis</t>
  </si>
  <si>
    <t>Orcaella</t>
  </si>
  <si>
    <t>hosei</t>
  </si>
  <si>
    <t>macrorhynchus</t>
  </si>
  <si>
    <t>melas</t>
  </si>
  <si>
    <t>Lagenodelphis</t>
  </si>
  <si>
    <t>hectori</t>
  </si>
  <si>
    <t>acutus</t>
  </si>
  <si>
    <t>severtzovi</t>
  </si>
  <si>
    <t>brevirostris</t>
  </si>
  <si>
    <t>Lemur</t>
  </si>
  <si>
    <t>variegata</t>
  </si>
  <si>
    <t>rubriventer</t>
  </si>
  <si>
    <t>Hapalemur</t>
  </si>
  <si>
    <t>catodon</t>
  </si>
  <si>
    <t>platyurus</t>
  </si>
  <si>
    <t>Sakhalin Isl, Russia; Paramushir Isl, N Kuriles</t>
  </si>
  <si>
    <t>martes</t>
  </si>
  <si>
    <t>neglecta</t>
  </si>
  <si>
    <t>layardii</t>
  </si>
  <si>
    <t>mirus</t>
  </si>
  <si>
    <t>syrichta</t>
  </si>
  <si>
    <t>Propithecus</t>
  </si>
  <si>
    <t>verreauxi</t>
  </si>
  <si>
    <t>Eulemur</t>
  </si>
  <si>
    <t>coronatus</t>
  </si>
  <si>
    <t>macaco</t>
  </si>
  <si>
    <t>luciae</t>
  </si>
  <si>
    <t>chrysomelas</t>
  </si>
  <si>
    <t>fiber</t>
  </si>
  <si>
    <t>Neophocaena</t>
  </si>
  <si>
    <t>Pontoporia</t>
  </si>
  <si>
    <t>Berardius</t>
  </si>
  <si>
    <t>Murexia</t>
  </si>
  <si>
    <t>Myoictis</t>
  </si>
  <si>
    <t>Neophascogale</t>
  </si>
  <si>
    <t>lorentzi</t>
  </si>
  <si>
    <t>pagensis</t>
  </si>
  <si>
    <t>panglima</t>
  </si>
  <si>
    <t>rajah</t>
  </si>
  <si>
    <t>surifer</t>
  </si>
  <si>
    <t>wattsi</t>
  </si>
  <si>
    <t>bogdanovi</t>
  </si>
  <si>
    <t>Eolagurus</t>
  </si>
  <si>
    <t>luteus</t>
  </si>
  <si>
    <t>allenbyi</t>
  </si>
  <si>
    <t>perpallidus</t>
  </si>
  <si>
    <t>sachalinensis</t>
  </si>
  <si>
    <t>savii</t>
  </si>
  <si>
    <t>schelkovnikovi</t>
  </si>
  <si>
    <t>sikimensis</t>
  </si>
  <si>
    <t>tatricus</t>
  </si>
  <si>
    <t>transcaspicus</t>
  </si>
  <si>
    <t>Phaulomys</t>
  </si>
  <si>
    <t>ungava</t>
  </si>
  <si>
    <t>Proedromys</t>
  </si>
  <si>
    <t>bedfordi</t>
  </si>
  <si>
    <t>cyanus</t>
  </si>
  <si>
    <t>howelli</t>
  </si>
  <si>
    <t>isabellae</t>
  </si>
  <si>
    <t>prattorum</t>
  </si>
  <si>
    <t>antineae</t>
  </si>
  <si>
    <t>petersi</t>
  </si>
  <si>
    <t>Allocebus</t>
  </si>
  <si>
    <t>solatus</t>
  </si>
  <si>
    <t>vignei</t>
  </si>
  <si>
    <t>ruficaudatus</t>
  </si>
  <si>
    <t>aries</t>
  </si>
  <si>
    <t>musschenbroekii</t>
  </si>
  <si>
    <t>jerdoni</t>
  </si>
  <si>
    <t>zeylonensis</t>
  </si>
  <si>
    <t>Prionodon</t>
  </si>
  <si>
    <t>linsang</t>
  </si>
  <si>
    <t>townsendi</t>
  </si>
  <si>
    <t>Phocarctos</t>
  </si>
  <si>
    <t>hookeri</t>
  </si>
  <si>
    <t>Myosciurus</t>
  </si>
  <si>
    <t>bottai</t>
  </si>
  <si>
    <t>brockmani</t>
  </si>
  <si>
    <t>Hemigalus</t>
  </si>
  <si>
    <t>rufobrachium</t>
  </si>
  <si>
    <t>aquilus</t>
  </si>
  <si>
    <t>picticaudata</t>
  </si>
  <si>
    <t>castroviejoi</t>
  </si>
  <si>
    <t>comus</t>
  </si>
  <si>
    <t>coreanus</t>
  </si>
  <si>
    <t>asper</t>
  </si>
  <si>
    <t>bilkis</t>
  </si>
  <si>
    <t>leptoceros</t>
  </si>
  <si>
    <t>saudiya</t>
  </si>
  <si>
    <t>subgutturosa</t>
  </si>
  <si>
    <t>piacentinii</t>
  </si>
  <si>
    <t>Procapra</t>
  </si>
  <si>
    <t>gutturosa</t>
  </si>
  <si>
    <t>agrestis</t>
  </si>
  <si>
    <t>arvalis</t>
  </si>
  <si>
    <t>Dendrogale</t>
  </si>
  <si>
    <t>reevesi</t>
  </si>
  <si>
    <t>arabica</t>
  </si>
  <si>
    <t>bennettii</t>
  </si>
  <si>
    <t>Micromys</t>
  </si>
  <si>
    <t>Bandicota</t>
  </si>
  <si>
    <t>Anathana</t>
  </si>
  <si>
    <t>mystacinus</t>
  </si>
  <si>
    <t>sylvaticus</t>
  </si>
  <si>
    <t>Arvicola</t>
  </si>
  <si>
    <t>males: 7900 (6700-9100); females 8150 (7700-8600)</t>
  </si>
  <si>
    <t>fernandinae</t>
  </si>
  <si>
    <t>schlegeli</t>
  </si>
  <si>
    <t>albertisii</t>
  </si>
  <si>
    <t>pembertoni</t>
  </si>
  <si>
    <t>Species distribution information is provided for Chiroptera; such information may be available in the archive files for other orders.</t>
  </si>
  <si>
    <t>lasiura</t>
  </si>
  <si>
    <t>lea</t>
  </si>
  <si>
    <t>tuberculatus</t>
  </si>
  <si>
    <t>fagani</t>
  </si>
  <si>
    <t>hainanus</t>
  </si>
  <si>
    <t>mandshuricus</t>
  </si>
  <si>
    <t>oiostolus</t>
  </si>
  <si>
    <t>pequensis</t>
  </si>
  <si>
    <t>starcki</t>
  </si>
  <si>
    <t>tolai</t>
  </si>
  <si>
    <t>Rupicapra</t>
  </si>
  <si>
    <t>praeconis</t>
  </si>
  <si>
    <t>pacos</t>
  </si>
  <si>
    <t>inermis</t>
  </si>
  <si>
    <t>rupicapra</t>
  </si>
  <si>
    <t>Angola, Tanzania, Malawi, Kenya</t>
  </si>
  <si>
    <t>fellowesgordoni</t>
  </si>
  <si>
    <t>mertensi</t>
  </si>
  <si>
    <t>babyrussa</t>
  </si>
  <si>
    <t>Moschiola</t>
  </si>
  <si>
    <t>hodgsonii</t>
  </si>
  <si>
    <t>Pseudois</t>
  </si>
  <si>
    <t>nayaur</t>
  </si>
  <si>
    <t>littoralis</t>
  </si>
  <si>
    <t>crispus</t>
  </si>
  <si>
    <t>swinhoei</t>
  </si>
  <si>
    <t>nivicola</t>
  </si>
  <si>
    <t>tattersalli</t>
  </si>
  <si>
    <t>gallarum</t>
  </si>
  <si>
    <t>pumilus</t>
  </si>
  <si>
    <t>spectrum</t>
  </si>
  <si>
    <t>pardinus</t>
  </si>
  <si>
    <t>Neofelis</t>
  </si>
  <si>
    <t>prevostii</t>
  </si>
  <si>
    <t>pygerythrus</t>
  </si>
  <si>
    <t>quinquestriatus</t>
  </si>
  <si>
    <t>Dremomys</t>
  </si>
  <si>
    <t>pelurus</t>
  </si>
  <si>
    <t>praetor</t>
  </si>
  <si>
    <t>Feroculus</t>
  </si>
  <si>
    <t>glaucus</t>
  </si>
  <si>
    <t>patrius</t>
  </si>
  <si>
    <t>broweri</t>
  </si>
  <si>
    <t>Scaptonyx</t>
  </si>
  <si>
    <t>fusicaudus</t>
  </si>
  <si>
    <t>caeca</t>
  </si>
  <si>
    <t>levantis</t>
  </si>
  <si>
    <t>chimborazi</t>
  </si>
  <si>
    <t>Stegomastodon</t>
  </si>
  <si>
    <t>Panochthus</t>
  </si>
  <si>
    <t>Plaxhaplous</t>
  </si>
  <si>
    <t>goudotii</t>
  </si>
  <si>
    <t>steerii</t>
  </si>
  <si>
    <t>http://www.dpiwe.tas.gov.au/inter.nsf/WebPages/BHAN-5354KM?open</t>
  </si>
  <si>
    <t>Rumania and Bulgaria</t>
  </si>
  <si>
    <t>P. d. diadema: 6-7.25kg; P. d. edwardsi: 5-6.5kg; P. d. candidus: 5-6kg; P. d. perrieri: 5-5.5kg</t>
  </si>
  <si>
    <t>Russia, Mongolia, china</t>
  </si>
  <si>
    <t>Marajo Isl, Brazil</t>
  </si>
  <si>
    <t>Sulawesi, Indonesia</t>
  </si>
  <si>
    <t>40-80g</t>
  </si>
  <si>
    <t>Triaenops</t>
  </si>
  <si>
    <t>Hispaniola &amp; LaGonave Island</t>
  </si>
  <si>
    <t>Hispanoila</t>
  </si>
  <si>
    <t>vexillifer</t>
  </si>
  <si>
    <t>basilii</t>
  </si>
  <si>
    <t>habbema</t>
  </si>
  <si>
    <t>hussoni</t>
  </si>
  <si>
    <t>kazbegica</t>
  </si>
  <si>
    <t>ecaudatus</t>
  </si>
  <si>
    <t>timidus</t>
  </si>
  <si>
    <t>Zaglossus</t>
  </si>
  <si>
    <t>bruijni</t>
  </si>
  <si>
    <t>kalubu</t>
  </si>
  <si>
    <t>burchellii</t>
  </si>
  <si>
    <t>artus</t>
  </si>
  <si>
    <t>dorianus</t>
  </si>
  <si>
    <t>larvatus</t>
  </si>
  <si>
    <t>Masses for additional species provided by Morgan Ernest (Walker's Mammals of the World), and Kate Jones (sources: Damuth, 1998 and Lovegrove 2001). The geographic locality from which these mass estimates are derived is unknown (refer to original source data). These species are indicated in the comments field by the notation "Added in by KJ and ME".</t>
  </si>
  <si>
    <t>cumingi</t>
  </si>
  <si>
    <t>Pithecheir</t>
  </si>
  <si>
    <t>Pogonomelomys</t>
  </si>
  <si>
    <t>mayeri</t>
  </si>
  <si>
    <t>sevia</t>
  </si>
  <si>
    <t>championi</t>
  </si>
  <si>
    <t>levicula</t>
  </si>
  <si>
    <t>ginkgodens</t>
  </si>
  <si>
    <t>Balaenoptera</t>
  </si>
  <si>
    <t>acutorostrata</t>
  </si>
  <si>
    <t>johnii</t>
  </si>
  <si>
    <t>pileatus</t>
  </si>
  <si>
    <t>Cheirogaleus</t>
  </si>
  <si>
    <t>major</t>
  </si>
  <si>
    <t>Plagiodontia</t>
  </si>
  <si>
    <t>aedium</t>
  </si>
  <si>
    <t>pseudonapaea</t>
  </si>
  <si>
    <t>ctenodactylus</t>
  </si>
  <si>
    <t>armenica</t>
  </si>
  <si>
    <t>Alticola</t>
  </si>
  <si>
    <t>argentatus</t>
  </si>
  <si>
    <t>strandi</t>
  </si>
  <si>
    <t>subtilis</t>
  </si>
  <si>
    <t>tianshanica</t>
  </si>
  <si>
    <t>talazaci</t>
  </si>
  <si>
    <t>Setifer</t>
  </si>
  <si>
    <t>Tenrec</t>
  </si>
  <si>
    <t>Ptilocercus</t>
  </si>
  <si>
    <t>montana</t>
  </si>
  <si>
    <t>Cannomys</t>
  </si>
  <si>
    <t>gunningi</t>
  </si>
  <si>
    <t>duthieae</t>
  </si>
  <si>
    <t>kathleenae</t>
  </si>
  <si>
    <t>kondana</t>
  </si>
  <si>
    <t>baoulei</t>
  </si>
  <si>
    <t>scottae</t>
  </si>
  <si>
    <t>Dorcopsis</t>
  </si>
  <si>
    <t>atrata</t>
  </si>
  <si>
    <t>luctuosa</t>
  </si>
  <si>
    <t>prehensilis</t>
  </si>
  <si>
    <t>Echinoprocta</t>
  </si>
  <si>
    <t>Sphiggurus</t>
  </si>
  <si>
    <t>callewaerti</t>
  </si>
  <si>
    <t>coucang</t>
  </si>
  <si>
    <t>melanura</t>
  </si>
  <si>
    <t>lullulae</t>
  </si>
  <si>
    <t>Lepilemur</t>
  </si>
  <si>
    <t>mustelinus</t>
  </si>
  <si>
    <t>Tarsius</t>
  </si>
  <si>
    <t>bancanus</t>
  </si>
  <si>
    <t>ochraceiventer</t>
  </si>
  <si>
    <t>mephistopheles</t>
  </si>
  <si>
    <t>mindorensis</t>
  </si>
  <si>
    <t>mesopotamica</t>
  </si>
  <si>
    <t>desperata</t>
  </si>
  <si>
    <t>dhofarensis</t>
  </si>
  <si>
    <t>dsinezumi</t>
  </si>
  <si>
    <t>elongata</t>
  </si>
  <si>
    <t>grayi</t>
  </si>
  <si>
    <t>gueldenstaedtii</t>
  </si>
  <si>
    <t>quercinus</t>
  </si>
  <si>
    <t>xerampelinus</t>
  </si>
  <si>
    <t>Sundamys</t>
  </si>
  <si>
    <t>Eliomys</t>
  </si>
  <si>
    <t>mujanensis</t>
  </si>
  <si>
    <t>multiplex</t>
  </si>
  <si>
    <t>nasarovi</t>
  </si>
  <si>
    <t>rossiaemeridionalis</t>
  </si>
  <si>
    <t>leucostigma</t>
  </si>
  <si>
    <t>weight at 90-220g in mammals of madagascar</t>
  </si>
  <si>
    <t>N. Senegal</t>
  </si>
  <si>
    <t>E. Ethiopia, Somalia, Kenya</t>
  </si>
  <si>
    <t>Egypt, Libya, Tunisia, Algeria</t>
  </si>
  <si>
    <t>female:6400, male:6500</t>
  </si>
  <si>
    <t>range15-40g</t>
  </si>
  <si>
    <t>68, 118</t>
  </si>
  <si>
    <t>described by Carleton &amp; Goodman, 1996</t>
  </si>
  <si>
    <t>50-60g</t>
  </si>
  <si>
    <t>male:8600, female: 8100</t>
  </si>
  <si>
    <t>introduced</t>
  </si>
  <si>
    <t>111, 114</t>
  </si>
  <si>
    <t>weight at 2.5-4.5kg; mammals of madagascar</t>
  </si>
  <si>
    <t>700-1000g; mammals of madagascar</t>
  </si>
  <si>
    <t>female:8100, male: 8600</t>
  </si>
  <si>
    <t>civettina</t>
  </si>
  <si>
    <t>Muntiacus</t>
  </si>
  <si>
    <t>assamensis</t>
  </si>
  <si>
    <t>cyclopis</t>
  </si>
  <si>
    <t>fuscata</t>
  </si>
  <si>
    <t>cuppedius</t>
  </si>
  <si>
    <t>Ammospermophilus</t>
  </si>
  <si>
    <t>przewalskii</t>
  </si>
  <si>
    <t>sauveli</t>
  </si>
  <si>
    <t>harenna</t>
  </si>
  <si>
    <t>horsfieldii</t>
  </si>
  <si>
    <t>jenkinsi</t>
  </si>
  <si>
    <t>Prometheomys</t>
  </si>
  <si>
    <t>degus</t>
  </si>
  <si>
    <t>quarlesi</t>
  </si>
  <si>
    <t>broadbenti</t>
  </si>
  <si>
    <t>raffrayana</t>
  </si>
  <si>
    <t>Rhynchomeles</t>
  </si>
  <si>
    <t>philippensis</t>
  </si>
  <si>
    <t>Petinomys</t>
  </si>
  <si>
    <t>genibarbis</t>
  </si>
  <si>
    <t>Ratufa</t>
  </si>
  <si>
    <t>Rhinosciurus</t>
  </si>
  <si>
    <t>norae</t>
  </si>
  <si>
    <t>polulus</t>
  </si>
  <si>
    <t>dianae</t>
  </si>
  <si>
    <t>septentrionalis</t>
  </si>
  <si>
    <t>Callosciurus</t>
  </si>
  <si>
    <t>avellanarius</t>
  </si>
  <si>
    <t>feroculus</t>
  </si>
  <si>
    <t>babaulti</t>
  </si>
  <si>
    <t>furnessi</t>
  </si>
  <si>
    <t>largha</t>
  </si>
  <si>
    <t>rumpii</t>
  </si>
  <si>
    <t>schalleri</t>
  </si>
  <si>
    <t>echinista</t>
  </si>
  <si>
    <t>Indonesia (Sumatra, Java, Borneo)</t>
  </si>
  <si>
    <t>ater</t>
  </si>
  <si>
    <t>Pantholops</t>
  </si>
  <si>
    <t>dongolanus</t>
  </si>
  <si>
    <t>pardicolor</t>
  </si>
  <si>
    <t>Saudia Arabia &amp; Oman</t>
  </si>
  <si>
    <t>Hall and St. Matthew Isls., Bering Sea, Alaska</t>
  </si>
  <si>
    <t>Germany</t>
  </si>
  <si>
    <t>Mongolia, Manchuria (China), Russia</t>
  </si>
  <si>
    <t>males: 4.1 (4-4.5); females: 4.3 (4-5)</t>
  </si>
  <si>
    <t>females: 11 (10-12); no male mass</t>
  </si>
  <si>
    <t>furax</t>
  </si>
  <si>
    <t>Iran &amp; Afghanistan</t>
  </si>
  <si>
    <t>Mongolia &amp; china</t>
  </si>
  <si>
    <t>Greece, Yugoslavia, Turkey</t>
  </si>
  <si>
    <t>Malaysia</t>
  </si>
  <si>
    <t>axpeitianus</t>
  </si>
  <si>
    <t>complicatus</t>
  </si>
  <si>
    <t>conversidens</t>
  </si>
  <si>
    <t>30, 36</t>
  </si>
  <si>
    <t>Capreolus</t>
  </si>
  <si>
    <t>albirostris</t>
  </si>
  <si>
    <t>eldii</t>
  </si>
  <si>
    <t>nippon</t>
  </si>
  <si>
    <t>Cuon</t>
  </si>
  <si>
    <t>Nyctereutes</t>
  </si>
  <si>
    <t>Catopuma</t>
  </si>
  <si>
    <t>lynx</t>
  </si>
  <si>
    <t>Walker's-Nowak</t>
  </si>
  <si>
    <t>mammalian spp</t>
  </si>
  <si>
    <t>Haplomastodon</t>
  </si>
  <si>
    <t>Thailand, Cambodia, Laos, Vietnam, Malay Peninsula</t>
  </si>
  <si>
    <t>Burma, Cambodia, China, India, Indonesia, Malaysia, Nepal, Taiwan, Thailand, and Vietnam</t>
  </si>
  <si>
    <t>SE Burma, SW &amp; Peninsular Thailand, Malaya Peninsula</t>
  </si>
  <si>
    <t>nigricepts</t>
  </si>
  <si>
    <t>70-160g</t>
  </si>
  <si>
    <t>avg. weight:  350-400g; seasonal variation:  250-500g; mammals of madagascar</t>
  </si>
  <si>
    <t>Indonesia, Sulawesi</t>
  </si>
  <si>
    <t>1.2-1.6kg; estimated measurement</t>
  </si>
  <si>
    <t>Zambia, Malawi, SC Tanzania, Kenya to S Sudan</t>
  </si>
  <si>
    <t>India, Burma, China, Thailand, Laos, Vietnam</t>
  </si>
  <si>
    <t>Peninsular India</t>
  </si>
  <si>
    <t>Peninsular India, Pakistan, Nepal</t>
  </si>
  <si>
    <t>China, Vietnam</t>
  </si>
  <si>
    <t>China, India, Bhutan</t>
  </si>
  <si>
    <t>China, Nepal (Everest)</t>
  </si>
  <si>
    <t>Russia, Mongolia, China, Korea</t>
  </si>
  <si>
    <t>Nigeria</t>
  </si>
  <si>
    <t>Togo</t>
  </si>
  <si>
    <t>1-1.4kg; mammals of madagascar</t>
  </si>
  <si>
    <t>weight at 1-2kg in mammals of madagacar</t>
  </si>
  <si>
    <t>Indonesia (Sumatra, Borneo)</t>
  </si>
  <si>
    <t>kiang</t>
  </si>
  <si>
    <t>kilangmiutak</t>
  </si>
  <si>
    <t>meyeri</t>
  </si>
  <si>
    <t>Chionomys</t>
  </si>
  <si>
    <t>Chiropodomys</t>
  </si>
  <si>
    <t>Japan</t>
  </si>
  <si>
    <t>Loris</t>
  </si>
  <si>
    <t>Cynocephalus</t>
  </si>
  <si>
    <t>coeruleoalba</t>
  </si>
  <si>
    <t>verecundus</t>
  </si>
  <si>
    <t>Delphinapterus</t>
  </si>
  <si>
    <t>Geocapromys</t>
  </si>
  <si>
    <t>bryanti</t>
  </si>
  <si>
    <t>bunkeri</t>
  </si>
  <si>
    <t>ellioti</t>
  </si>
  <si>
    <t>Haeromys</t>
  </si>
  <si>
    <t>margarettae</t>
  </si>
  <si>
    <t>minahassae</t>
  </si>
  <si>
    <t>Hapalomys</t>
  </si>
  <si>
    <t>Salpingotus</t>
  </si>
  <si>
    <t>Tursiops</t>
  </si>
  <si>
    <t>leucas</t>
  </si>
  <si>
    <t>shitkovi</t>
  </si>
  <si>
    <t>Cardiocranius</t>
  </si>
  <si>
    <t>gymnura</t>
  </si>
  <si>
    <t>Echinosorex</t>
  </si>
  <si>
    <t>Europe, Russia, Mongolia, China</t>
  </si>
  <si>
    <t>Megalomys</t>
  </si>
  <si>
    <t>desmarestii</t>
  </si>
  <si>
    <t>araneus</t>
  </si>
  <si>
    <t>pacificus</t>
  </si>
  <si>
    <t>Caperea</t>
  </si>
  <si>
    <t>Hyperoodon</t>
  </si>
  <si>
    <t>ampullatus</t>
  </si>
  <si>
    <t>Eozapus</t>
  </si>
  <si>
    <t>pilorides</t>
  </si>
  <si>
    <t>elater</t>
  </si>
  <si>
    <t>brownii</t>
  </si>
  <si>
    <t>Scotorepens</t>
  </si>
  <si>
    <t>Scandinavia to S Siberia, south to Israel; Iraq; China, Korea, and Japan; and on Ireland, Britain, Crete, and Rhodes.</t>
  </si>
  <si>
    <t>Sudan, Ethiopia, Somalia, Kenya, Tanzania</t>
  </si>
  <si>
    <t>S Egypt &amp; probably Sudan</t>
  </si>
  <si>
    <t>males: 8</t>
  </si>
  <si>
    <t>Chaerephon</t>
  </si>
  <si>
    <t>jobensis</t>
  </si>
  <si>
    <t>described by Jenkins et al., 1997</t>
  </si>
  <si>
    <t>fotsifotsy</t>
  </si>
  <si>
    <t>males: 900-1200g; females: 1000-1300g; mammals of madagascar</t>
  </si>
  <si>
    <t xml:space="preserve">700-900g </t>
  </si>
  <si>
    <t>caroli</t>
  </si>
  <si>
    <t>tenaster</t>
  </si>
  <si>
    <t>Palawanomys</t>
  </si>
  <si>
    <t>Papagomys</t>
  </si>
  <si>
    <t>isarogensis</t>
  </si>
  <si>
    <t>Homo</t>
  </si>
  <si>
    <t>inflatus</t>
  </si>
  <si>
    <t>moi</t>
  </si>
  <si>
    <t>Maria Madre Island, Mexico</t>
  </si>
  <si>
    <t>subterraneus</t>
  </si>
  <si>
    <t>Millardia</t>
  </si>
  <si>
    <t>Myocastor</t>
  </si>
  <si>
    <t>coypus</t>
  </si>
  <si>
    <t>atherodes</t>
  </si>
  <si>
    <t>depressicornis</t>
  </si>
  <si>
    <t>NE China</t>
  </si>
  <si>
    <t>Philippines</t>
  </si>
  <si>
    <t>Europe</t>
  </si>
  <si>
    <t>Zaire</t>
  </si>
  <si>
    <t>Saudi Arabia</t>
  </si>
  <si>
    <t>Iran to NW India</t>
  </si>
  <si>
    <t>N Yemen</t>
  </si>
  <si>
    <t>ravelobensis</t>
  </si>
  <si>
    <t>males: 3.1 (2.5-3.8); females: 3.4 (3-4.1)</t>
  </si>
  <si>
    <t>10-15g; estimated measurement</t>
  </si>
  <si>
    <t>55-60g; estimated measurement</t>
  </si>
  <si>
    <t>Brachyuromys</t>
  </si>
  <si>
    <t>hosonoi</t>
  </si>
  <si>
    <t>eutropia</t>
  </si>
  <si>
    <t>irroratus</t>
  </si>
  <si>
    <t>Microdillus</t>
  </si>
  <si>
    <t>sinus</t>
  </si>
  <si>
    <t>Heptaxodontidae</t>
  </si>
  <si>
    <t>Halichoerus</t>
  </si>
  <si>
    <t>grypus</t>
  </si>
  <si>
    <t>xanthoprymnus</t>
  </si>
  <si>
    <t>Cystophora</t>
  </si>
  <si>
    <t>male mass up to 2kg, female mass up to 1.5kg; mammals of madagascar</t>
  </si>
  <si>
    <t>NE India and S China</t>
  </si>
  <si>
    <t>Nicaragua to Honduras</t>
  </si>
  <si>
    <t>NW Colombia</t>
  </si>
  <si>
    <t>alecto</t>
  </si>
  <si>
    <t>Plesiorycteropus</t>
  </si>
  <si>
    <t>germainepetterae</t>
  </si>
  <si>
    <t>Pachylemur</t>
  </si>
  <si>
    <t>Yugoslavia, Bulgaria, Turkey, Iran, Syria, Jordan, Israel</t>
  </si>
  <si>
    <t>Mexico, Guatemala, El Salvador, Honduras, Nicaragua</t>
  </si>
  <si>
    <t>indeterminate status</t>
  </si>
  <si>
    <t>megaspila</t>
  </si>
  <si>
    <t>Viverricula</t>
  </si>
  <si>
    <t>duvaucelii</t>
  </si>
  <si>
    <t>pauli</t>
  </si>
  <si>
    <t>Elaphodus</t>
  </si>
  <si>
    <t>napu</t>
  </si>
  <si>
    <t>Babyrousa</t>
  </si>
  <si>
    <t>moschiferus</t>
  </si>
  <si>
    <t>harwoodi</t>
  </si>
  <si>
    <t>hesperinus</t>
  </si>
  <si>
    <t>conoveri</t>
  </si>
  <si>
    <t>Funambulus</t>
  </si>
  <si>
    <t>emilianus</t>
  </si>
  <si>
    <t>cana</t>
  </si>
  <si>
    <t>maghrebi</t>
  </si>
  <si>
    <t>baluensis</t>
  </si>
  <si>
    <t>procyonoides</t>
  </si>
  <si>
    <t>Saiga</t>
  </si>
  <si>
    <t>lasius</t>
  </si>
  <si>
    <t>mauritaniae</t>
  </si>
  <si>
    <t>gloveralleni</t>
  </si>
  <si>
    <t>himalayana</t>
  </si>
  <si>
    <t>arimalius</t>
  </si>
  <si>
    <t>zibellina</t>
  </si>
  <si>
    <t>Prionailurus</t>
  </si>
  <si>
    <t>rubiginosus</t>
  </si>
  <si>
    <t>Uncia</t>
  </si>
  <si>
    <t>bobak</t>
  </si>
  <si>
    <t>Buka Isl, Solomon Isls</t>
  </si>
  <si>
    <t>Circumpolar Arctic seas (Canada, Greenland, Japan, Norway, USA, republics of the former USSR), south to Hokkaido (Japan) and Newfoundland</t>
  </si>
  <si>
    <t>males: 6.7 (6-8); females: 7.5</t>
  </si>
  <si>
    <t>males: 347 (280-450); females: 248 (214-270)</t>
  </si>
  <si>
    <t>65-90g</t>
  </si>
  <si>
    <t>jullyi</t>
  </si>
  <si>
    <t>males: 9.4 (8.8-9.9); females: 13</t>
  </si>
  <si>
    <t>corynophyllus</t>
  </si>
  <si>
    <t>Pharotis</t>
  </si>
  <si>
    <t>Myzopoda</t>
  </si>
  <si>
    <t>8-10g</t>
  </si>
  <si>
    <t>mass avg. 40-45g; seasonal variation 30-55g</t>
  </si>
  <si>
    <t>Capisan Sea</t>
  </si>
  <si>
    <t>ST-1</t>
  </si>
  <si>
    <t>CRC</t>
  </si>
  <si>
    <t>ohioensis</t>
  </si>
  <si>
    <t>imperfectus</t>
  </si>
  <si>
    <t>Bangladesh, Bhutan, Burma, China, Laos, India, Indonesia (Sumatra), Korea, Malaysia, Nepal, Thailand, Vietnam, and republics of the former USSR. Formerly found in Afghanistan, Pakistan, Iran, and Indonesia (Java and Bali)</t>
  </si>
  <si>
    <t>Java; Sumatra; Malaysia; montane forest areas of the Indian peninsula and N Pakistan through Tibet and Xinjiang (Tian Shan and Altai--extinct); Indochina and China to Korea and Ussuri region (Russia), and mountains of S Siberia and N Mongolia.</t>
  </si>
  <si>
    <t>Ethiopia</t>
  </si>
  <si>
    <t>Boiko Isl, West Africa</t>
  </si>
  <si>
    <t>mona</t>
  </si>
  <si>
    <t>neglectus</t>
  </si>
  <si>
    <t>nictitans</t>
  </si>
  <si>
    <t>Sri Lanka; India, north to the Indian desert and to the foothills of the Himalayas</t>
  </si>
  <si>
    <t>SW Arabia</t>
  </si>
  <si>
    <t>Israel</t>
  </si>
  <si>
    <t>S Laos, S Vietnam, Cambodia</t>
  </si>
  <si>
    <t>SE Sulawesi, Muna, Butung (Indonesia)</t>
  </si>
  <si>
    <t>estimated measurement</t>
  </si>
  <si>
    <t>described by Carleton, 1994</t>
  </si>
  <si>
    <t>villosa</t>
  </si>
  <si>
    <t>drouhardi</t>
  </si>
  <si>
    <t>gymnorhyncha</t>
  </si>
  <si>
    <t>12-20g</t>
  </si>
  <si>
    <t>25-40g</t>
  </si>
  <si>
    <t>5-12g</t>
  </si>
  <si>
    <t>nombe</t>
  </si>
  <si>
    <t>noibano</t>
  </si>
  <si>
    <t>M. Parvula originally described from a juvenile specimen….the M. pulla specimen was eventually decided to be an adult M. Parvula</t>
  </si>
  <si>
    <t>Madagascar and Asia</t>
  </si>
  <si>
    <t>glareolus</t>
  </si>
  <si>
    <t>rufocanus</t>
  </si>
  <si>
    <t>Cricetulus</t>
  </si>
  <si>
    <t>sumatrensis</t>
  </si>
  <si>
    <t>Ellobius</t>
  </si>
  <si>
    <t>alaicus</t>
  </si>
  <si>
    <t>weynsi</t>
  </si>
  <si>
    <t>bunnii</t>
  </si>
  <si>
    <t>marcanoi</t>
  </si>
  <si>
    <t>gravis</t>
  </si>
  <si>
    <t>cubanus</t>
  </si>
  <si>
    <t>cookii</t>
  </si>
  <si>
    <t>crociduroides</t>
  </si>
  <si>
    <t>fernandoni</t>
  </si>
  <si>
    <t>telfairi</t>
  </si>
  <si>
    <t>bengalensis</t>
  </si>
  <si>
    <t>Calomyscus</t>
  </si>
  <si>
    <t>males: 4.3 (3.9-4.6); females: 5 (4.5-5.3)</t>
  </si>
  <si>
    <t>females: 3.3</t>
  </si>
  <si>
    <t>Russia, Mongolia, Kazakhstan, China</t>
  </si>
  <si>
    <t>described by Jenkins, 1992</t>
  </si>
  <si>
    <t>16-22g</t>
  </si>
  <si>
    <t>described by Jenkins et al., 1996</t>
  </si>
  <si>
    <t>laloumena</t>
  </si>
  <si>
    <t>smaller than H. Lemerlei</t>
  </si>
  <si>
    <t>now referred to as M. Parvula</t>
  </si>
  <si>
    <t>Removed Spp.</t>
  </si>
  <si>
    <t>hunting, habitat loss, invasive competitors, pollution</t>
  </si>
  <si>
    <t xml:space="preserve">hunting, pollution, chgs in native predators </t>
  </si>
  <si>
    <t>hutning, habitat loss</t>
  </si>
  <si>
    <t>40-100g</t>
  </si>
  <si>
    <t>mass ranges from 30-100g across entire range (including asia)</t>
  </si>
  <si>
    <t>Kazakhstan, Kirghizia, Tadzhikistan, Turkenistan</t>
  </si>
  <si>
    <t>China, Tibetan Plateau, Himalayas to Kashmir</t>
  </si>
  <si>
    <t>Taphozous</t>
  </si>
  <si>
    <t>mauritianus</t>
  </si>
  <si>
    <t>20-30g; esitmated measure</t>
  </si>
  <si>
    <t>Nycteridae</t>
  </si>
  <si>
    <t>Nycteris</t>
  </si>
  <si>
    <t>15-20g; estimated measurement</t>
  </si>
  <si>
    <t>Pteropodidae</t>
  </si>
  <si>
    <t>Pteropus</t>
  </si>
  <si>
    <t>Vespertilionidae</t>
  </si>
  <si>
    <t>Myotis</t>
  </si>
  <si>
    <t>goudoti</t>
  </si>
  <si>
    <t>5-6g</t>
  </si>
  <si>
    <t xml:space="preserve">N Atlantic and Arctic oceans, from Newfoundland (Canada) to S Greenland, Svalbard and Novaya Zemlya (Russia); occasionally south to Portugal and Florida (USA). </t>
  </si>
  <si>
    <t>W. New Guinea, Misool &amp; Salawati Isl, Aru Isl, Yapen Isl. (indonesia)</t>
  </si>
  <si>
    <t>SE New Guinea</t>
  </si>
  <si>
    <t>Interior New Guinea</t>
  </si>
  <si>
    <t>S Algeria</t>
  </si>
  <si>
    <t>haydeni</t>
  </si>
  <si>
    <t>Myospalax</t>
  </si>
  <si>
    <t>cinereicollis</t>
  </si>
  <si>
    <t>durangae</t>
  </si>
  <si>
    <t>franklinii</t>
  </si>
  <si>
    <t>madrensis</t>
  </si>
  <si>
    <t>parryii</t>
  </si>
  <si>
    <t>branickii</t>
  </si>
  <si>
    <t>Holochilus</t>
  </si>
  <si>
    <t>Dipodidae</t>
  </si>
  <si>
    <t>Jaculus</t>
  </si>
  <si>
    <t>jaculus</t>
  </si>
  <si>
    <t>Carterodon</t>
  </si>
  <si>
    <t>sulcidens</t>
  </si>
  <si>
    <t>aestuans</t>
  </si>
  <si>
    <t>rufodorsalis</t>
  </si>
  <si>
    <t>Echimys</t>
  </si>
  <si>
    <t>lamarum</t>
  </si>
  <si>
    <t>Microsciurus</t>
  </si>
  <si>
    <t>alfari</t>
  </si>
  <si>
    <t>flaviventer</t>
  </si>
  <si>
    <t>mimulus</t>
  </si>
  <si>
    <t>santanderensis</t>
  </si>
  <si>
    <t>Sciurillus</t>
  </si>
  <si>
    <t>Orycteropodidae</t>
  </si>
  <si>
    <t>Bullimus</t>
  </si>
  <si>
    <t>Prosciurillus</t>
  </si>
  <si>
    <t>Erignathus</t>
  </si>
  <si>
    <t>barbatus</t>
  </si>
  <si>
    <t>richmondi</t>
  </si>
  <si>
    <t>Spermophilopsis</t>
  </si>
  <si>
    <t>leptodactylus</t>
  </si>
  <si>
    <t>alashanicus</t>
  </si>
  <si>
    <t>canus</t>
  </si>
  <si>
    <t>alpicola</t>
  </si>
  <si>
    <t>argenteus</t>
  </si>
  <si>
    <t>arianus</t>
  </si>
  <si>
    <t>chevrieri</t>
  </si>
  <si>
    <t>draco</t>
  </si>
  <si>
    <t>philippinensis</t>
  </si>
  <si>
    <t>rabori</t>
  </si>
  <si>
    <t>peninsulae</t>
  </si>
  <si>
    <t>ponticus</t>
  </si>
  <si>
    <t>rusiges</t>
  </si>
  <si>
    <t>semotus</t>
  </si>
  <si>
    <t>uralensis</t>
  </si>
  <si>
    <t>wardi</t>
  </si>
  <si>
    <t>ochrogenys</t>
  </si>
  <si>
    <t>palmeri</t>
  </si>
  <si>
    <t>males: 35.3 (34.5-36); no female measurement</t>
  </si>
  <si>
    <t>draconilla</t>
  </si>
  <si>
    <t>males: 6.2; females: 4.25</t>
  </si>
  <si>
    <t>adversus</t>
  </si>
  <si>
    <t>both sexes:  7.8 (5.7-9)</t>
  </si>
  <si>
    <t>P. v. verreauxi:  3-4kg; P. v. coquereli: 3.5-4kg; P. v. deckeni: 3.5-4.5kg; P. v. coronatus:  3.5-4.3kg; mammals of madagascar</t>
  </si>
  <si>
    <t>males: 9.6; females: 14.3</t>
  </si>
  <si>
    <t>Archaeolemuridae</t>
  </si>
  <si>
    <t>Archaeolemur</t>
  </si>
  <si>
    <t>15-25kg</t>
  </si>
  <si>
    <t>Eptesicus</t>
  </si>
  <si>
    <t>matroka</t>
  </si>
  <si>
    <t>4-9g</t>
  </si>
  <si>
    <t>Scotophilus</t>
  </si>
  <si>
    <t>weight not measured</t>
  </si>
  <si>
    <t>borbonicus</t>
  </si>
  <si>
    <t>E. Europe through Belarus, Ukraine, Russia to Kazakhstan</t>
  </si>
  <si>
    <t>Alaska, Yukon</t>
  </si>
  <si>
    <t>WC Sudan</t>
  </si>
  <si>
    <t>N Kenya &amp; S Somalia</t>
  </si>
  <si>
    <t>Hemicentetes</t>
  </si>
  <si>
    <t>Limnogale</t>
  </si>
  <si>
    <t>mergulus</t>
  </si>
  <si>
    <t>lemkei</t>
  </si>
  <si>
    <r>
      <t>NON-VOLANT MAMMALS</t>
    </r>
    <r>
      <rPr>
        <sz val="10"/>
        <color indexed="8"/>
        <rFont val="Arial"/>
      </rPr>
      <t>: Body Mass data is derived from the following sources:</t>
    </r>
  </si>
  <si>
    <t>ceramicus</t>
  </si>
  <si>
    <t>hermonensis</t>
  </si>
  <si>
    <t>Neohydromys</t>
  </si>
  <si>
    <t>insidiosus</t>
  </si>
  <si>
    <t>koopmani</t>
  </si>
  <si>
    <t>Muriculus</t>
  </si>
  <si>
    <t>Coendou</t>
  </si>
  <si>
    <t>25-50g</t>
  </si>
  <si>
    <t>55-95g</t>
  </si>
  <si>
    <t>timoriensis</t>
  </si>
  <si>
    <t>vanzolinii</t>
  </si>
  <si>
    <t>gravipes</t>
  </si>
  <si>
    <t>Cercopithecidae</t>
  </si>
  <si>
    <t>Allenopithecus</t>
  </si>
  <si>
    <t>Lasiopodomys</t>
  </si>
  <si>
    <t>brandtii</t>
  </si>
  <si>
    <t>verschureni</t>
  </si>
  <si>
    <t>abbreviatus</t>
  </si>
  <si>
    <t>bavaricus</t>
  </si>
  <si>
    <t>cabrerae</t>
  </si>
  <si>
    <t>gregalis</t>
  </si>
  <si>
    <t>hyperboreus</t>
  </si>
  <si>
    <t>erythrotis</t>
  </si>
  <si>
    <t>Mallomys</t>
  </si>
  <si>
    <t>lorentzii</t>
  </si>
  <si>
    <t>Galagonidae</t>
  </si>
  <si>
    <t>Euoticus</t>
  </si>
  <si>
    <t>elegantulus</t>
  </si>
  <si>
    <t>Galago</t>
  </si>
  <si>
    <t>matschiei</t>
  </si>
  <si>
    <t>senegalensis</t>
  </si>
  <si>
    <t>lhoesti</t>
  </si>
  <si>
    <t>mitis</t>
  </si>
  <si>
    <t>hunting, low densities</t>
  </si>
  <si>
    <t>193.  Zahler, P.  1996.  Rediscovery of the woolly flying squirrel (Eupetaurus cinereus).  Journal of Mammalogy.  77:54-57.</t>
  </si>
  <si>
    <t>Arvicanthis</t>
  </si>
  <si>
    <t>troglodytes</t>
  </si>
  <si>
    <t>Georychus</t>
  </si>
  <si>
    <t>truei</t>
  </si>
  <si>
    <t>winkelmanni</t>
  </si>
  <si>
    <t>Spalacopus</t>
  </si>
  <si>
    <t>Tympanoctomys</t>
  </si>
  <si>
    <t>barrerae</t>
  </si>
  <si>
    <t>baluchi</t>
  </si>
  <si>
    <t>tsolovi</t>
  </si>
  <si>
    <t>urartensis</t>
  </si>
  <si>
    <t>Allocricetulus</t>
  </si>
  <si>
    <t>eversmanni</t>
  </si>
  <si>
    <t>kamensis</t>
  </si>
  <si>
    <t>Cansumys</t>
  </si>
  <si>
    <t>jemlahicus</t>
  </si>
  <si>
    <t>Naemorhedus</t>
  </si>
  <si>
    <t>goral</t>
  </si>
  <si>
    <t>sumatraensis</t>
  </si>
  <si>
    <t>leucoryx</t>
  </si>
  <si>
    <t>petaurista</t>
  </si>
  <si>
    <t>pogonias</t>
  </si>
  <si>
    <t>Chlorocebus</t>
  </si>
  <si>
    <t>aethiops</t>
  </si>
  <si>
    <t>sphinx</t>
  </si>
  <si>
    <t>Miopithecus</t>
  </si>
  <si>
    <t>talapoin</t>
  </si>
  <si>
    <t>Papio</t>
  </si>
  <si>
    <t>hamadryas</t>
  </si>
  <si>
    <t>Mandrillus</t>
  </si>
  <si>
    <t>leucophaeus</t>
  </si>
  <si>
    <t>Otolemur</t>
  </si>
  <si>
    <t>Hominidae</t>
  </si>
  <si>
    <t>paramorum</t>
  </si>
  <si>
    <t>Pan</t>
  </si>
  <si>
    <t>mammals of madagascar</t>
  </si>
  <si>
    <t>sp.</t>
  </si>
  <si>
    <t>tumbuna</t>
  </si>
  <si>
    <t>Taiga forests from Scandinavia through E Siberia and Sakhalin; from China (Gansu, Qinghai, Shaanxi, and Sichuan) through montane Europe (formerly widespread, now restricted to Balkans, Carpathians, Pyreneans [French side], and Alps; reintroduced to French Vosges and Jura Mt., Swiss Alps, Austria, and Yugoslavia)</t>
  </si>
  <si>
    <t>SW Spain and Portugal</t>
  </si>
  <si>
    <t>Martinique, Lesser Antilles</t>
  </si>
  <si>
    <t>Santa Lucia, Lesser Antilles</t>
  </si>
  <si>
    <t>tokudae</t>
  </si>
  <si>
    <t>wogura</t>
  </si>
  <si>
    <t>cansulus</t>
  </si>
  <si>
    <t>Nesoscaptor</t>
  </si>
  <si>
    <t>pergrisea</t>
  </si>
  <si>
    <t>S. Cape Prov., South Africa</t>
  </si>
  <si>
    <t>found Kelangurr Cave &amp; West Baliem River (41500 +- 1500 ybp); generic average</t>
  </si>
  <si>
    <t>Monticolomys</t>
  </si>
  <si>
    <t>weight at 25-45 in mammals of madagascar</t>
  </si>
  <si>
    <t>10-16g</t>
  </si>
  <si>
    <t>3-4g</t>
  </si>
  <si>
    <t>Seram Isl, Indonesia</t>
  </si>
  <si>
    <t>Taeromys</t>
  </si>
  <si>
    <t>neobritanicus</t>
  </si>
  <si>
    <t>porculus</t>
  </si>
  <si>
    <t>aspalax</t>
  </si>
  <si>
    <t>Chimarrogale</t>
  </si>
  <si>
    <t>venustus</t>
  </si>
  <si>
    <t>Heteromys</t>
  </si>
  <si>
    <t>granarius</t>
  </si>
  <si>
    <t>leucomus</t>
  </si>
  <si>
    <t>armatus</t>
  </si>
  <si>
    <t>leporina</t>
  </si>
  <si>
    <t>Parotomys</t>
  </si>
  <si>
    <t>quadrimaculatus</t>
  </si>
  <si>
    <t>atricapillus</t>
  </si>
  <si>
    <t>tucumanus</t>
  </si>
  <si>
    <t>harringtoni</t>
  </si>
  <si>
    <t>phillipsi</t>
  </si>
  <si>
    <t>californianus</t>
  </si>
  <si>
    <t>cineraceus</t>
  </si>
  <si>
    <t>minous</t>
  </si>
  <si>
    <t>perotensis</t>
  </si>
  <si>
    <t>quadrivittatus</t>
  </si>
  <si>
    <t>ruficaudus</t>
  </si>
  <si>
    <t>Psammomys</t>
  </si>
  <si>
    <t>obesus</t>
  </si>
  <si>
    <t>citellus</t>
  </si>
  <si>
    <t>senex</t>
  </si>
  <si>
    <t>siskiyou</t>
  </si>
  <si>
    <t>fulvipectus</t>
  </si>
  <si>
    <t>gurkha</t>
  </si>
  <si>
    <t>hyrcanicus</t>
  </si>
  <si>
    <t>latronum</t>
  </si>
  <si>
    <t>bishopi</t>
  </si>
  <si>
    <t>bullata</t>
  </si>
  <si>
    <t>eburnea</t>
  </si>
  <si>
    <t>bagobus</t>
  </si>
  <si>
    <t>Orycteropus</t>
  </si>
  <si>
    <t>afer</t>
  </si>
  <si>
    <t>Xenarthra</t>
  </si>
  <si>
    <t>Bradypodidae</t>
  </si>
  <si>
    <t>pilosus</t>
  </si>
  <si>
    <t>gregorianus</t>
  </si>
  <si>
    <t>septemcinctus</t>
  </si>
  <si>
    <t>muroides</t>
  </si>
  <si>
    <t>gymnurus</t>
  </si>
  <si>
    <t>hybridus</t>
  </si>
  <si>
    <t>kappleri</t>
  </si>
  <si>
    <t>Chiruromys</t>
  </si>
  <si>
    <t>forbesi</t>
  </si>
  <si>
    <t>vates</t>
  </si>
  <si>
    <t>sabanicola</t>
  </si>
  <si>
    <t>karlkoopmani</t>
  </si>
  <si>
    <t>Cephalorhynchus</t>
  </si>
  <si>
    <t>fimbriatus</t>
  </si>
  <si>
    <t>graecus</t>
  </si>
  <si>
    <t>Globicephala</t>
  </si>
  <si>
    <t>microphthalmus</t>
  </si>
  <si>
    <t>zemni</t>
  </si>
  <si>
    <t>Phocoena</t>
  </si>
  <si>
    <t>phocoena</t>
  </si>
  <si>
    <t>Delphinus</t>
  </si>
  <si>
    <t>sipora</t>
  </si>
  <si>
    <t>winstoni</t>
  </si>
  <si>
    <t>Iomys</t>
  </si>
  <si>
    <t>horsfieldi</t>
  </si>
  <si>
    <t>Petaurillus</t>
  </si>
  <si>
    <t>commersonii</t>
  </si>
  <si>
    <t>hotsoni</t>
  </si>
  <si>
    <t>Crunomys</t>
  </si>
  <si>
    <t>cavator</t>
  </si>
  <si>
    <t>cherriei</t>
  </si>
  <si>
    <t>heterodus</t>
  </si>
  <si>
    <t>matagalpae</t>
  </si>
  <si>
    <t>thaeleri</t>
  </si>
  <si>
    <t>michaelis</t>
  </si>
  <si>
    <t>blanfordi</t>
  </si>
  <si>
    <t>Erinaceus</t>
  </si>
  <si>
    <t>Eropeplus</t>
  </si>
  <si>
    <t>definitus</t>
  </si>
  <si>
    <t>aridulus</t>
  </si>
  <si>
    <t>Rhizoplagiodontia</t>
  </si>
  <si>
    <t>vulcani</t>
  </si>
  <si>
    <t>Napaeozapus</t>
  </si>
  <si>
    <t>insignis</t>
  </si>
  <si>
    <t>Zapus</t>
  </si>
  <si>
    <t>hudsonius</t>
  </si>
  <si>
    <t>trinotatus</t>
  </si>
  <si>
    <t>Echimyidae</t>
  </si>
  <si>
    <t>pyrrhinus</t>
  </si>
  <si>
    <t>spadiceus</t>
  </si>
  <si>
    <t>stramineus</t>
  </si>
  <si>
    <t>Thryonomyidae</t>
  </si>
  <si>
    <t>Thryonomys</t>
  </si>
  <si>
    <t>setchuanus</t>
  </si>
  <si>
    <t>kluchorica</t>
  </si>
  <si>
    <t>barakshin</t>
  </si>
  <si>
    <t>montosa</t>
  </si>
  <si>
    <t>roylei</t>
  </si>
  <si>
    <t>semicanus</t>
  </si>
  <si>
    <t>stoliczkanus</t>
  </si>
  <si>
    <t>stracheyi</t>
  </si>
  <si>
    <t>Dicerorhinus</t>
  </si>
  <si>
    <t>afghanus</t>
  </si>
  <si>
    <t>sikotanensis</t>
  </si>
  <si>
    <t>exsul</t>
  </si>
  <si>
    <t>mittendorfi</t>
  </si>
  <si>
    <t>roseveari</t>
  </si>
  <si>
    <t>cebifrons</t>
  </si>
  <si>
    <t>celebensis</t>
  </si>
  <si>
    <t>heureni</t>
  </si>
  <si>
    <t xml:space="preserve">males: 24.7 (23-26); females: 27.5 </t>
  </si>
  <si>
    <t>Urogale</t>
  </si>
  <si>
    <t>nunatakensis</t>
  </si>
  <si>
    <t>unalascensis</t>
  </si>
  <si>
    <t>Lenothrix</t>
  </si>
  <si>
    <t>Leopoldamys</t>
  </si>
  <si>
    <t>neilli</t>
  </si>
  <si>
    <t>ferrilata</t>
  </si>
  <si>
    <t>badia</t>
  </si>
  <si>
    <t>Nesophontes</t>
  </si>
  <si>
    <t>hypomicrus</t>
  </si>
  <si>
    <t>terricolor</t>
  </si>
  <si>
    <t>goundae</t>
  </si>
  <si>
    <t>haussa</t>
  </si>
  <si>
    <t>kasaicus</t>
  </si>
  <si>
    <t>Geogale</t>
  </si>
  <si>
    <t>191. Yigit, N.  Qolak, E. Qolak, R., Ozkan, B. and Ozkurt, S.  2003.  ON THE TURKISH POPULATIONS OF DRYOMYS NITEDULA (PALLAS, 1779) AND DRYOMYS LANIGER FELTEN AND STORCH, 1968 (MAMMALIA: RODENTIA).  Acta Zoologica Academiae Scientiarum Hungaricae 49 (Suppl. 1), pp. 147-158.  Available at:  http://216.239.57.104/search?q=cache:2mznwwa3v-8J:zoo.zoo.nhmus.hu/publication/actazool/49/S1/yigit.pdf+Dryomys+laniger+weight&amp;hl=en</t>
  </si>
  <si>
    <t>hunting, habitat loss, invasive competitors, accidental mortality</t>
  </si>
  <si>
    <t>barabensis</t>
  </si>
  <si>
    <t>Castoridae</t>
  </si>
  <si>
    <t>Castor</t>
  </si>
  <si>
    <t>Caviidae</t>
  </si>
  <si>
    <t>Cavia</t>
  </si>
  <si>
    <t>aperea</t>
  </si>
  <si>
    <t>fulgida</t>
  </si>
  <si>
    <t>Microcavia</t>
  </si>
  <si>
    <t>juninensis</t>
  </si>
  <si>
    <t>caffer</t>
  </si>
  <si>
    <t>patagonum</t>
  </si>
  <si>
    <t>salinicola</t>
  </si>
  <si>
    <t>Galea</t>
  </si>
  <si>
    <t>interpres</t>
  </si>
  <si>
    <t>Lemniscomys</t>
  </si>
  <si>
    <t>albescens</t>
  </si>
  <si>
    <t>mackillingini</t>
  </si>
  <si>
    <t>colburni</t>
  </si>
  <si>
    <t>famulus</t>
  </si>
  <si>
    <t>garamantis</t>
  </si>
  <si>
    <t>gleadowi</t>
  </si>
  <si>
    <t>jamesi</t>
  </si>
  <si>
    <t>frater</t>
  </si>
  <si>
    <t>fulvus</t>
  </si>
  <si>
    <t>mesopotamiae</t>
  </si>
  <si>
    <t>muriculus</t>
  </si>
  <si>
    <t>nancillus</t>
  </si>
  <si>
    <t>occiduus</t>
  </si>
  <si>
    <t>percivali</t>
  </si>
  <si>
    <t>poecilops</t>
  </si>
  <si>
    <t>principulus</t>
  </si>
  <si>
    <t>Mus</t>
  </si>
  <si>
    <t>bufo</t>
  </si>
  <si>
    <t>Lariscus</t>
  </si>
  <si>
    <t>cylindricauda</t>
  </si>
  <si>
    <t>daphaenodon</t>
  </si>
  <si>
    <t>stephensi</t>
  </si>
  <si>
    <t>Steno</t>
  </si>
  <si>
    <t>bredanensis</t>
  </si>
  <si>
    <t>Australophocaena</t>
  </si>
  <si>
    <t>Antilope</t>
  </si>
  <si>
    <t>cervicapra</t>
  </si>
  <si>
    <t>berdmorei</t>
  </si>
  <si>
    <t>tristrami</t>
  </si>
  <si>
    <t>punctata</t>
  </si>
  <si>
    <t>abstrusus</t>
  </si>
  <si>
    <t>females: 165</t>
  </si>
  <si>
    <t>habitat loss, accidental mortality</t>
  </si>
  <si>
    <t>huntin, habitat loss, parasites/pathogens</t>
  </si>
  <si>
    <t>Kirghizia, Tadzhikistan, Afghanistan, Pakistan</t>
  </si>
  <si>
    <t>Costa Rica &amp; Panama</t>
  </si>
  <si>
    <t>SE Nicaragua</t>
  </si>
  <si>
    <t>75-125g</t>
  </si>
  <si>
    <t>Tibet, China, India, Nepal</t>
  </si>
  <si>
    <t>Russia, China, Mongolia</t>
  </si>
  <si>
    <t>males: 11.2</t>
  </si>
  <si>
    <t>males: 9, females: 10.5</t>
  </si>
  <si>
    <t>Mongol &amp; E China</t>
  </si>
  <si>
    <t>baibacina</t>
  </si>
  <si>
    <t>pulvinatus</t>
  </si>
  <si>
    <t>Hyosciurus</t>
  </si>
  <si>
    <t>heinrichi</t>
  </si>
  <si>
    <t>ileile</t>
  </si>
  <si>
    <t>deppei</t>
  </si>
  <si>
    <t>nayaritensis</t>
  </si>
  <si>
    <t>rosmarus</t>
  </si>
  <si>
    <t>galapagoensis</t>
  </si>
  <si>
    <t>lucifer</t>
  </si>
  <si>
    <t>ochraceus</t>
  </si>
  <si>
    <t>Tryphomys</t>
  </si>
  <si>
    <t>anak</t>
  </si>
  <si>
    <t>etigo</t>
  </si>
  <si>
    <t>kobeae</t>
  </si>
  <si>
    <t>extinct; 1000 years old; 1035 +- 50 bp</t>
  </si>
  <si>
    <t>n=1</t>
  </si>
  <si>
    <t>119, 142</t>
  </si>
  <si>
    <t>68, 142</t>
  </si>
  <si>
    <t>mean Male:870.7 (650-1005); Female:580, 505</t>
  </si>
  <si>
    <t>range(26.5-34)</t>
  </si>
  <si>
    <t>hunting, habitat loss, human disturbance</t>
  </si>
  <si>
    <t>polia</t>
  </si>
  <si>
    <t>pullata</t>
  </si>
  <si>
    <t>rhoditis</t>
  </si>
  <si>
    <t>117, 128, 188</t>
  </si>
  <si>
    <t>spinosus</t>
  </si>
  <si>
    <t>dasythrix</t>
  </si>
  <si>
    <t>grandis</t>
  </si>
  <si>
    <t>Hoplomys</t>
  </si>
  <si>
    <t>semivillosus</t>
  </si>
  <si>
    <t>Dasypodidae</t>
  </si>
  <si>
    <t>Euphractus</t>
  </si>
  <si>
    <t>sexcinctus</t>
  </si>
  <si>
    <t>Priodontes</t>
  </si>
  <si>
    <t>Tolypeutes</t>
  </si>
  <si>
    <t>Bradypus</t>
  </si>
  <si>
    <t>Chrotomys</t>
  </si>
  <si>
    <t>gonzalesi</t>
  </si>
  <si>
    <t>Coccymys</t>
  </si>
  <si>
    <t>albidens</t>
  </si>
  <si>
    <t>ruemmleri</t>
  </si>
  <si>
    <t>Coryphomys</t>
  </si>
  <si>
    <t>buhleri</t>
  </si>
  <si>
    <t>nobilis</t>
  </si>
  <si>
    <t>Crateromys</t>
  </si>
  <si>
    <t>paulus</t>
  </si>
  <si>
    <t>xanthotis</t>
  </si>
  <si>
    <t>fuscocapillus</t>
  </si>
  <si>
    <t>hageni</t>
  </si>
  <si>
    <t>vordermanni</t>
  </si>
  <si>
    <t>Pteromys</t>
  </si>
  <si>
    <t>Lagenorhynchus</t>
  </si>
  <si>
    <t>clusius</t>
  </si>
  <si>
    <t>balikunica</t>
  </si>
  <si>
    <t>carillus</t>
  </si>
  <si>
    <t>Hyomys</t>
  </si>
  <si>
    <t>dammermani</t>
  </si>
  <si>
    <t>goliath</t>
  </si>
  <si>
    <t>macedonicus</t>
  </si>
  <si>
    <t>inundata</t>
  </si>
  <si>
    <t>Microgale</t>
  </si>
  <si>
    <t>males: head-body 170.7 (160-177); tail 152 (136-160); hindfoot 37 (36.5-37.9); ear 17.8 (17.3-18.7); females: head-body 179.5 (179-180); tail 147 (134-160); hindfoot 33.5 (30-37); ear 19.8 (19.5-20)</t>
  </si>
  <si>
    <t>males: 137 (103-180); females: 129 (105-154)</t>
  </si>
  <si>
    <t>6.5 to 10 g</t>
  </si>
  <si>
    <t>4.5 to 8 g</t>
  </si>
  <si>
    <t>3 to 8 g</t>
  </si>
  <si>
    <t>1.2 to 4</t>
  </si>
  <si>
    <t>changes in native competitor dynamics</t>
  </si>
  <si>
    <t>posioning, habitat loss</t>
  </si>
  <si>
    <t>hunting, habitat loss, invasive spp hybridizing</t>
  </si>
  <si>
    <t>poisoning, drought, pathogens, parasiteshabitat loss</t>
  </si>
  <si>
    <t>56, 129</t>
  </si>
  <si>
    <t>60, 128, 130</t>
  </si>
  <si>
    <t>60, 130</t>
  </si>
  <si>
    <t>13, 14, 26</t>
  </si>
  <si>
    <t>1, 16, 26</t>
  </si>
  <si>
    <t>EN</t>
  </si>
  <si>
    <t>habitat loss</t>
  </si>
  <si>
    <t>LR</t>
  </si>
  <si>
    <t>habitat loss, predators, restricted range</t>
  </si>
  <si>
    <t>60, 128</t>
  </si>
  <si>
    <t>Clidomys</t>
  </si>
  <si>
    <t>osborni</t>
  </si>
  <si>
    <t>Amblyrhiza</t>
  </si>
  <si>
    <t>flavicollis</t>
  </si>
  <si>
    <t>Thrichomys</t>
  </si>
  <si>
    <t>apereoides</t>
  </si>
  <si>
    <t>ingrahami</t>
  </si>
  <si>
    <t>thoracatus</t>
  </si>
  <si>
    <t>dorsatum</t>
  </si>
  <si>
    <t>yemeni</t>
  </si>
  <si>
    <t>Congosorex</t>
  </si>
  <si>
    <t>polli</t>
  </si>
  <si>
    <t>bucculentus</t>
  </si>
  <si>
    <t>habitat loss, invasive spp</t>
  </si>
  <si>
    <t>S. India</t>
  </si>
  <si>
    <t>m 5.6, f 6.5 tonnes</t>
  </si>
  <si>
    <t>5.6 tonnes</t>
  </si>
  <si>
    <t>hunting, parasites/pathogens</t>
  </si>
  <si>
    <t>mass of adult male; skulls show no dimophism</t>
  </si>
  <si>
    <t>4.8 tonnes</t>
  </si>
  <si>
    <t>3.6 tonnes</t>
  </si>
  <si>
    <t>13, 16, 22, 26</t>
  </si>
  <si>
    <t>163.  Hutterer, R. and Happold, D. C. D.  1983.  The shrews of Nigeria (Mammalia:  Soricidae).  Bonner Zoologische Monographien, Nr. 18.  Zoologisches Forschungsinstitut Und Museum Alexander Koenig, Bonn.  79pp.</t>
  </si>
  <si>
    <t>Amblonyx</t>
  </si>
  <si>
    <t>felina</t>
  </si>
  <si>
    <t>sumatrana</t>
  </si>
  <si>
    <t>Arctonyx</t>
  </si>
  <si>
    <t>mansoensis</t>
  </si>
  <si>
    <t>mimus</t>
  </si>
  <si>
    <t>molinae</t>
  </si>
  <si>
    <t>mollis</t>
  </si>
  <si>
    <t>neocenus</t>
  </si>
  <si>
    <t>nigrita</t>
  </si>
  <si>
    <t>Cynogale</t>
  </si>
  <si>
    <t>porcellus</t>
  </si>
  <si>
    <t>tschudii</t>
  </si>
  <si>
    <t>Dolichotis</t>
  </si>
  <si>
    <t>greenwoodi</t>
  </si>
  <si>
    <t>hildegardeae</t>
  </si>
  <si>
    <t>hirta</t>
  </si>
  <si>
    <t>flavidens</t>
  </si>
  <si>
    <t>viscacia</t>
  </si>
  <si>
    <t>barbarus</t>
  </si>
  <si>
    <t>griselda</t>
  </si>
  <si>
    <t>macculus</t>
  </si>
  <si>
    <t>lutreolina</t>
  </si>
  <si>
    <t>nudipes</t>
  </si>
  <si>
    <t>marchei</t>
  </si>
  <si>
    <t>foina</t>
  </si>
  <si>
    <t>gwatkinsii</t>
  </si>
  <si>
    <t>ochraceocinereus</t>
  </si>
  <si>
    <t>millicens</t>
  </si>
  <si>
    <t>musseri</t>
  </si>
  <si>
    <t>derbyanus</t>
  </si>
  <si>
    <t>Ammodillus</t>
  </si>
  <si>
    <t>schaposchnikowi</t>
  </si>
  <si>
    <t>Volemys</t>
  </si>
  <si>
    <t>longicauda</t>
  </si>
  <si>
    <t>kikuchii</t>
  </si>
  <si>
    <t>Muscardinus</t>
  </si>
  <si>
    <t>maxi</t>
  </si>
  <si>
    <t>menzbieri</t>
  </si>
  <si>
    <t>persecution, loss of prey base</t>
  </si>
  <si>
    <t>invasive spp.</t>
  </si>
  <si>
    <t>persecution, habitat loss, accidental mortality, parasites/pathogens, changes in native competitors</t>
  </si>
  <si>
    <t>males: 387 (291-500); females: 310 (210-400)</t>
  </si>
  <si>
    <t>hunting, habitat loss, civil war</t>
  </si>
  <si>
    <t>Taxonomy follows Wilson and Reeder (1993) -All 4629 species are included here even those with no body mass. Note that species may occur multiple times ifthey occur on different continents</t>
  </si>
  <si>
    <t>males: 1769 (1500-2250); females: 1680 (1300-2000)</t>
  </si>
  <si>
    <t>males: 121 (78.5-175); females: 96 (65-156)</t>
  </si>
  <si>
    <t>males: head-body 145; hindfoot 36; ear 11</t>
  </si>
  <si>
    <t>similar to M. lorentzii</t>
  </si>
  <si>
    <t>males: 1056 (925-1100); females: 1190 (1080-1300)</t>
  </si>
  <si>
    <t>males: 1500</t>
  </si>
  <si>
    <t>Mar-May 2004 - corrected mistakes in location designations by SKL</t>
  </si>
  <si>
    <t>males: 46.7 (29-66); females: 40 (29-50)</t>
  </si>
  <si>
    <t>males: 44.7 (28-60); females: 45.1 (35-56)</t>
  </si>
  <si>
    <t>persecution, habitat loss, accidental mortality</t>
  </si>
  <si>
    <t>males: 122 (120-123); females: 112.4 (100-119)</t>
  </si>
  <si>
    <t>habitat loss, changes in native prey base</t>
  </si>
  <si>
    <t>188.  Degen, A. A., Kam. M, Khokhlova, I. S., Krasnov, B. R., and Barraclough, T. G. 1998.  Average daily metabolic rate of rodents:  habitat and dietary comparisons.  Functional Ecology 12:63-73.</t>
  </si>
  <si>
    <t>cats, habitat alteration</t>
  </si>
  <si>
    <t>hunting, fur trading, poisoning</t>
  </si>
  <si>
    <t>competition with sheep, cats, habitat alteration</t>
  </si>
  <si>
    <t>hunting, habitat loss, drought, parasites/pathogens</t>
  </si>
  <si>
    <t>14 to 24 g</t>
  </si>
  <si>
    <t>14 to 24g</t>
  </si>
  <si>
    <t>6.5 to 14.5</t>
  </si>
  <si>
    <t>Desmomys</t>
  </si>
  <si>
    <t>sordidus</t>
  </si>
  <si>
    <t>woodwardi</t>
  </si>
  <si>
    <t>Added in by KJ and ME</t>
  </si>
  <si>
    <t>Cheirogaleidae</t>
  </si>
  <si>
    <t>underwoodi</t>
  </si>
  <si>
    <t>Indridae</t>
  </si>
  <si>
    <t>millardi</t>
  </si>
  <si>
    <t>caudimaculatus</t>
  </si>
  <si>
    <t>gouldii</t>
  </si>
  <si>
    <t>mordax</t>
  </si>
  <si>
    <t>Phyllotis</t>
  </si>
  <si>
    <t>buntingi</t>
  </si>
  <si>
    <t>cometes</t>
  </si>
  <si>
    <t>haggardi</t>
  </si>
  <si>
    <t>Solenodon</t>
  </si>
  <si>
    <t>telum</t>
  </si>
  <si>
    <t>Euchoreutes</t>
  </si>
  <si>
    <t>Balaenopteridae</t>
  </si>
  <si>
    <t>Delphinidae</t>
  </si>
  <si>
    <t>Desmana</t>
  </si>
  <si>
    <t>moschata</t>
  </si>
  <si>
    <t>Paradipus</t>
  </si>
  <si>
    <t>Baiomys</t>
  </si>
  <si>
    <t>turcmenicus</t>
  </si>
  <si>
    <t>Stylodipus</t>
  </si>
  <si>
    <t>neobrittanicus</t>
  </si>
  <si>
    <t>shawmayeri</t>
  </si>
  <si>
    <t>Cetacea</t>
  </si>
  <si>
    <t>Balaenidae</t>
  </si>
  <si>
    <t>bucharicus</t>
  </si>
  <si>
    <t>gud</t>
  </si>
  <si>
    <t>baeri</t>
  </si>
  <si>
    <t>introduction and spread of the fox, habitat alteration</t>
  </si>
  <si>
    <t>E. f. fulvus: 2-3kg; E. f. sandfordi: 2-2.5kg; E. f. albifrons:  2-2.6kg; E. f. rufus:  2-2.75kf; E. f. albocollaris: 2-2.5kg; E. f. collaris:  2.25-2.5kg; 150</t>
  </si>
  <si>
    <t>named Abeomelomys sevia in 151</t>
  </si>
  <si>
    <t>restricted range, habitat loss</t>
  </si>
  <si>
    <t>restricted  range</t>
  </si>
  <si>
    <t>habitat loss, fire</t>
  </si>
  <si>
    <t>70, 129</t>
  </si>
  <si>
    <t>hunting</t>
  </si>
  <si>
    <t>once thought to be a Tubulidentata; estimate is using a primate model; using dasypodid model, estimates are 9640g; using a caviomorph model, estimates are 18370g.  MacPhee thought the caviomorph model was too high</t>
  </si>
  <si>
    <t>Taiga zone of Siberia S. to N. Mongolia</t>
  </si>
  <si>
    <t>NW Caucasus</t>
  </si>
  <si>
    <t>New Mexico, Texas, USA</t>
  </si>
  <si>
    <t>habitat loss, hybridizers</t>
  </si>
  <si>
    <t>50 to 80g</t>
  </si>
  <si>
    <t>40 to 85 g</t>
  </si>
  <si>
    <t>40 to 65 g</t>
  </si>
  <si>
    <t>30 to 60g</t>
  </si>
  <si>
    <t>25 to 46g</t>
  </si>
  <si>
    <t>14 to 28g</t>
  </si>
  <si>
    <t>http://www.encyclopediaofukraine.com/pages/B/O/Bobac.htm</t>
  </si>
  <si>
    <t>http://www.napak.com/marmots_of_the_world.html</t>
  </si>
  <si>
    <t>males: head-body 137.5 (135-140); tail 180 (175-195); hindfoot: 30; ear: 18; females: head-body 135.5 (131-140); tail: 177.5 (175-180); hindfoot: 29 (27-31); ear 17.3 (17-17.5)</t>
  </si>
  <si>
    <t>171.  Koh, H.S., Chun, T.Y., Yoo, H.S., Zhang, Y.P., Wang, J., Zhang, M., and Wu, C.H.  2001.  Mitochondrial Cytochrome b Gene Sequence Diversity in the Korean Hare, Lepus coreanus Thomas (Mammalia, Lagomorpha) Biochemical Genetics 39 (11-12): 417-429, December 2001</t>
  </si>
  <si>
    <t>harrisii</t>
  </si>
  <si>
    <t>Protoxerus</t>
  </si>
  <si>
    <t>muntjak</t>
  </si>
  <si>
    <t>Moschus</t>
  </si>
  <si>
    <t>melanogaster</t>
  </si>
  <si>
    <t>orestes</t>
  </si>
  <si>
    <t>phayrei</t>
  </si>
  <si>
    <t>leucurus</t>
  </si>
  <si>
    <t>adamsi</t>
  </si>
  <si>
    <t>erythraeus</t>
  </si>
  <si>
    <t>finlaysonii</t>
  </si>
  <si>
    <t>Cynomys</t>
  </si>
  <si>
    <t>dunni</t>
  </si>
  <si>
    <t>niata</t>
  </si>
  <si>
    <t>shiptoni</t>
  </si>
  <si>
    <t>Chinchillidae</t>
  </si>
  <si>
    <t>juliani</t>
  </si>
  <si>
    <t>latastei</t>
  </si>
  <si>
    <t>lowei</t>
  </si>
  <si>
    <t>grobbeni</t>
  </si>
  <si>
    <t>Ctenomyidae</t>
  </si>
  <si>
    <t>Ctenomys</t>
  </si>
  <si>
    <t>argentinus</t>
  </si>
  <si>
    <t>azarae</t>
  </si>
  <si>
    <t>bonettoi</t>
  </si>
  <si>
    <t>nikolausi</t>
  </si>
  <si>
    <t>Meriones</t>
  </si>
  <si>
    <t>crassus</t>
  </si>
  <si>
    <t>libycus</t>
  </si>
  <si>
    <t>shawi</t>
  </si>
  <si>
    <t>haigi</t>
  </si>
  <si>
    <t>knighti</t>
  </si>
  <si>
    <t>buchariensis</t>
  </si>
  <si>
    <t>maraxina</t>
  </si>
  <si>
    <t>epsilanus</t>
  </si>
  <si>
    <t>caecutiens</t>
  </si>
  <si>
    <t>Marmota</t>
  </si>
  <si>
    <t>Blarinella</t>
  </si>
  <si>
    <t>quadraticauda</t>
  </si>
  <si>
    <t>sinalis</t>
  </si>
  <si>
    <t>tundrensis</t>
  </si>
  <si>
    <t>infraluteus</t>
  </si>
  <si>
    <t>small # of individuals, in a single population, in a restricted area, intenstively modified by humans</t>
  </si>
  <si>
    <t>hunting, habitat loss, poor reproduction, changes in prey base</t>
  </si>
  <si>
    <t>Literature added</t>
  </si>
  <si>
    <t>head and body length is 153-182mm and body weight is 95-164g</t>
  </si>
  <si>
    <t>head and body length ranges from 125-185mm; body weight from 48-175g</t>
  </si>
  <si>
    <t xml:space="preserve">hunting, habitat loss, </t>
  </si>
  <si>
    <t>unknown, extinct by 1901, introduction of exotic predators</t>
  </si>
  <si>
    <t>60, 117, 128</t>
  </si>
  <si>
    <t>males: 47.7 (34-60); females: 43.4 (23-68)</t>
  </si>
  <si>
    <t>competiton with or disease brought by introduced black and brown rats, feral cats</t>
  </si>
  <si>
    <t>males: head-body 173; tail 197; hindfoot 33; females: head-body 180; tail 190; hindfoot 34; ear 9</t>
  </si>
  <si>
    <t>T. Spp. Was originally described as T. brunii, could use that body size</t>
  </si>
  <si>
    <t>Introduction; AUS mass</t>
  </si>
  <si>
    <t>human disturbance</t>
  </si>
  <si>
    <t>115, 117, 119, 120, 142</t>
  </si>
  <si>
    <t>68, 118, 142</t>
  </si>
  <si>
    <t>male:47, 60; females:46, 44</t>
  </si>
  <si>
    <t>human induced change</t>
  </si>
  <si>
    <t>males: 753 (750-755); females: 882 (850-945)</t>
  </si>
  <si>
    <t>disease, cats, competion with rats, habitat alteration</t>
  </si>
  <si>
    <t>hunting, habitat alteration, invasion of predators</t>
  </si>
  <si>
    <t>habitat loss, cars</t>
  </si>
  <si>
    <t>hunting, persecution, habitat loss, invasive competitors, restricted range</t>
  </si>
  <si>
    <t>hunting, habitat loss, floods</t>
  </si>
  <si>
    <t>female:5000-7000; male:7000-13000</t>
  </si>
  <si>
    <t>4, 70</t>
  </si>
  <si>
    <t>183.  Alves, P. C., and Rocha, A.  2003.  Environmental factors have little influence on the reproductive activity of the Iberian hare (Lepus granatensis).  Wildlife Research.  30:639-647.</t>
  </si>
  <si>
    <t>habitat loss, drought, low reproduction</t>
  </si>
  <si>
    <t>range:800-1600</t>
  </si>
  <si>
    <t xml:space="preserve">Status: extant, extinct (terminal Pleistocene), historical (near-time or last 500 years). Note that some recently extinct species may be listed here as extant </t>
  </si>
  <si>
    <t>114, 117, 134</t>
  </si>
  <si>
    <t>111, 134</t>
  </si>
  <si>
    <t>114, 134</t>
  </si>
  <si>
    <t>range240-340g</t>
  </si>
  <si>
    <t>males: 47.8 (range: 26-69.5); females:  no weight</t>
  </si>
  <si>
    <t>R. steini and R. praetor are similar in size</t>
  </si>
  <si>
    <t>males: 2988; (2500-3400)</t>
  </si>
  <si>
    <t>males: 71 (68-74); females: 63.5 (50-88)</t>
  </si>
  <si>
    <t>habitat loss, invasive predators</t>
  </si>
  <si>
    <t>males: head-body 155; tail 220; hindfoot 37; ear 15; females: head-body 156 (153-158); tail: 206.5 (206-207); hindfoot: 36.5 (36-37); ear: 20.5 (20-21)</t>
  </si>
  <si>
    <t>habitat loss, accidental mortality (poisoning, cars)</t>
  </si>
  <si>
    <t>min:136100, max:209100</t>
  </si>
  <si>
    <t>Utah, Colorado, Arizona</t>
  </si>
  <si>
    <t>Tanzania, Kenya</t>
  </si>
  <si>
    <t>SW Western Australia</t>
  </si>
  <si>
    <t>S. Uganda</t>
  </si>
  <si>
    <t>Kenya, Uganda</t>
  </si>
  <si>
    <t>females: 8750 (8500-9000); no male weight</t>
  </si>
  <si>
    <t>females: 5500 (5000-6000)</t>
  </si>
  <si>
    <t>only known from Pleistocene cave deposits near Lagoa Santa</t>
  </si>
  <si>
    <t>hunting, habitat loss, pathogens/parasites</t>
  </si>
  <si>
    <t>unknown</t>
  </si>
  <si>
    <t>cats</t>
  </si>
  <si>
    <t>3.4 tonnes</t>
  </si>
  <si>
    <t>3.2 tonnes</t>
  </si>
  <si>
    <t>trapping for pelt, introducted predators, competition from rabbits</t>
  </si>
  <si>
    <t>males: 102 (88-118); females: 115 (100-133)</t>
  </si>
  <si>
    <t>65 to 120g</t>
  </si>
  <si>
    <t>hunting, habitat loss, accidental mortality</t>
  </si>
  <si>
    <t>prairie dog extermination</t>
  </si>
  <si>
    <t>13, 16, 26</t>
  </si>
  <si>
    <t>males: 518 (400-650); females: 617 (450-695)</t>
  </si>
  <si>
    <t>162.  Smithers, R. H. N.  1971.  The mammals of Botswana.  Museum Memoir No. 4, The Trustees of the national Museums of Rodesia.  Printed by Mardon Printers Ltd., Salisbury Rhodesia.  340pp.</t>
  </si>
  <si>
    <t>60, 163</t>
  </si>
  <si>
    <t>males: 198 (164-228); females: 188 (178-203)</t>
  </si>
  <si>
    <t>Costa Rica to Panama</t>
  </si>
  <si>
    <t>habitat loss, changes in predators</t>
  </si>
  <si>
    <t>m 60-80, f 25-35 kg</t>
  </si>
  <si>
    <t>http://members.vienna.at/shrew/itsesAP95-talpinae.html#mogera</t>
  </si>
  <si>
    <t>males: 235; females: 365 (350-380)</t>
  </si>
  <si>
    <t>females: 440</t>
  </si>
  <si>
    <t>males: 879 (800-1020); females: 450</t>
  </si>
  <si>
    <t>Burma, Malaysia, Thailand, Vietnam</t>
  </si>
  <si>
    <t>males: 274.5; females</t>
  </si>
  <si>
    <t>Tasmania</t>
  </si>
  <si>
    <t>habitat loss, invasion of exotics, invasive predators</t>
  </si>
  <si>
    <t>EX</t>
  </si>
  <si>
    <t>hunting, persecution, habitat loss</t>
  </si>
  <si>
    <t>hunting, habitat loss, changes in competitors</t>
  </si>
  <si>
    <t>males:31.3, 28.1; female:28.2</t>
  </si>
  <si>
    <t>141, 142</t>
  </si>
  <si>
    <t>hunting, invasive predators</t>
  </si>
  <si>
    <t>listed as praomys</t>
  </si>
  <si>
    <t>insular</t>
  </si>
  <si>
    <t>Baja; san hose island</t>
  </si>
  <si>
    <t>persecution</t>
  </si>
  <si>
    <t>habitat loss, pollution</t>
  </si>
  <si>
    <t>ranges between 35.5 and 80g</t>
  </si>
  <si>
    <t>habitat loss, invasive competitors</t>
  </si>
  <si>
    <t>persecution, habitat loss</t>
  </si>
  <si>
    <t>males: head-body 164 (135-195); tail 120 (102-135); hindfoot 33.8 (26-39); ear 16.3 (15-18); females: head-body 177 (175-178); tail 118 (105-130); hindfoot 33 (32-34); ear 15.5 (13-18)</t>
  </si>
  <si>
    <t>Guadalcanal Isls.</t>
  </si>
  <si>
    <t>males: 84.7 (77.5-102); females: 69.1 (65-80)</t>
  </si>
  <si>
    <t>hunting, invasive spp.</t>
  </si>
  <si>
    <t>males: 240000-39000; female:20000-28000</t>
  </si>
  <si>
    <t>males: head-body 117 (111-122); tails 156 (144-162); hindfoot 25 (24-26); ear 21 (19-22)</t>
  </si>
  <si>
    <t>Bernier Isl, Australia</t>
  </si>
  <si>
    <t>hunting, habitat loss, invasive competitors, invasive predators, persecution, changes in food base</t>
  </si>
  <si>
    <t>hunting, habitat loss, restricted range, parasites/pathogens, accidental mortality</t>
  </si>
  <si>
    <t>hunting, habitat loss, pathogens/predators</t>
  </si>
  <si>
    <t>hunting, persecution</t>
  </si>
  <si>
    <t>males: 49.9 (36-55.5); females: 42.3 (36-50)</t>
  </si>
  <si>
    <t>sometimes considered a synonym of S. richardsoni; not mentioned by W&amp;R 1993</t>
  </si>
  <si>
    <t>males: 69.6 (66-74); females: 59</t>
  </si>
  <si>
    <t>extinct; 980+-200 years</t>
  </si>
  <si>
    <t>males: 71.8 (69-78)</t>
  </si>
  <si>
    <r>
      <t>extinct; 510</t>
    </r>
    <r>
      <rPr>
        <u/>
        <sz val="10"/>
        <color indexed="8"/>
        <rFont val="Arial"/>
      </rPr>
      <t>+</t>
    </r>
    <r>
      <rPr>
        <sz val="10"/>
        <color indexed="8"/>
        <rFont val="Arial"/>
      </rPr>
      <t>80years</t>
    </r>
  </si>
  <si>
    <t>competition with cattle and sheep</t>
  </si>
  <si>
    <t>Tasmanian mass</t>
  </si>
  <si>
    <t>15-35 kg; Tasmanian mass</t>
  </si>
  <si>
    <t>AUS mass</t>
  </si>
  <si>
    <t>not been seen since 1895, probably extinct</t>
  </si>
  <si>
    <t>size of a cat, largest giant rice rat, volcano eruption</t>
  </si>
  <si>
    <t>habitat loss, invasive predators, cars, community composition changes</t>
  </si>
  <si>
    <t>average of sexually mature female and fat male</t>
  </si>
  <si>
    <t>walkers online</t>
  </si>
  <si>
    <t>hunting, persecution, changes in prey base</t>
  </si>
  <si>
    <t>106, 134</t>
  </si>
  <si>
    <t>female:45000-75000; males:60000-150000</t>
  </si>
  <si>
    <t>low densities, restricted range</t>
  </si>
  <si>
    <t>GUESS; unknown</t>
  </si>
  <si>
    <t>invasive predators, land use practices</t>
  </si>
  <si>
    <t>habitat loss, exotic competitors</t>
  </si>
  <si>
    <t>habitat loss, invasive spp, parasites/pathogens</t>
  </si>
  <si>
    <t>hunting, habitat loss, pollution</t>
  </si>
  <si>
    <t>persecution, habitat loss, invasive spp. (competitors and preditors)</t>
  </si>
  <si>
    <t>Vietnam, Laos, Cambodia</t>
  </si>
  <si>
    <t>India, Pakistan, Nepal</t>
  </si>
  <si>
    <t>disease, intro of cats, habitat alteration</t>
  </si>
  <si>
    <t>size of small cat</t>
  </si>
  <si>
    <t>patchy distribution</t>
  </si>
  <si>
    <t>males:1400 (range: 5900-8000); females:  1700 (range: 7400-9800)</t>
  </si>
  <si>
    <t>males: 211.2 (190-241); females: 211.7 (175-315)</t>
  </si>
  <si>
    <t>maximum</t>
  </si>
  <si>
    <t>female weights:300000 (range180000-220000)</t>
  </si>
  <si>
    <t>males range: 20000-43000; female range:18000-33000</t>
  </si>
  <si>
    <t>weight from australia</t>
  </si>
  <si>
    <t>habitat loss, drought</t>
  </si>
  <si>
    <t>hunting, habitat loss, parasites/pathogens</t>
  </si>
  <si>
    <t>IUCN status</t>
  </si>
  <si>
    <t>habitat alteration, introduction of exotics</t>
  </si>
  <si>
    <t>introducted predators, IUCN redlist</t>
  </si>
  <si>
    <t>4, 59</t>
  </si>
  <si>
    <t>habitat alteration by sheep</t>
  </si>
  <si>
    <t>13, 15, 59</t>
  </si>
  <si>
    <t>exact cause unknown</t>
  </si>
  <si>
    <t>Madagascar and Comores Isls.</t>
  </si>
  <si>
    <t>males: 880; females: 985</t>
  </si>
  <si>
    <t>European Balkan, Greece, S. Yugoslavia, Albania</t>
  </si>
  <si>
    <t>mammals of New Guinea</t>
  </si>
  <si>
    <t>bruijnii</t>
  </si>
  <si>
    <t>china, Burma, Nepal</t>
  </si>
  <si>
    <t>invasive spp., restricted range</t>
  </si>
  <si>
    <t>hunting, habitat loss, pathogens/parasites, low densities</t>
  </si>
  <si>
    <t>NT</t>
  </si>
  <si>
    <t>hunting, habitat loss, drought, pathogens/parasites</t>
  </si>
  <si>
    <t>DD</t>
  </si>
  <si>
    <t>VU</t>
  </si>
  <si>
    <t>habitat loss, invasive spp., parasites/pathogens, high juvenile mortality rate</t>
  </si>
  <si>
    <t>hunting, habitat loss, pollution, accidental mortality</t>
  </si>
  <si>
    <t>males: 88.5 (69-114); females: 81.6 (70-94)</t>
  </si>
  <si>
    <t>males: 149 (115-178); females: 154.5 (105-206)</t>
  </si>
  <si>
    <t>hunting, persecution, pollution, predators</t>
  </si>
  <si>
    <t>males: 1087 (950-1260); females: 1228 (925-1500)</t>
  </si>
  <si>
    <t>invasive predators</t>
  </si>
  <si>
    <t>hunting, habitat loss, restrictred range</t>
  </si>
  <si>
    <t>hunting, habitat loss, diesease</t>
  </si>
  <si>
    <t>males: 1000 (900-1100)</t>
  </si>
  <si>
    <t>nesodytes</t>
  </si>
  <si>
    <t>males: 1313 (840-1500); females: 604 (450-820)</t>
  </si>
  <si>
    <t>hunting, habitat loss, pollution, tourism, changes in competitors</t>
  </si>
  <si>
    <t>117, 128</t>
  </si>
  <si>
    <t>males: 813 (750-875); females: 756.7 (640-860)</t>
  </si>
  <si>
    <t>males: head-body 147; tail 170; hindfoot 36; ear 9</t>
  </si>
  <si>
    <t>males: 1800 (1600-2000); females: 1528 (1410-1700)</t>
  </si>
  <si>
    <t>males: 732 (620-835); females: 566 (450-650)</t>
  </si>
  <si>
    <t>hunting, habitat loss, accidents</t>
  </si>
  <si>
    <t>EW</t>
  </si>
  <si>
    <t>low population density, restricted range</t>
  </si>
  <si>
    <t>low populations density, restricted range</t>
  </si>
  <si>
    <t>Notoryctidae</t>
  </si>
  <si>
    <t>gaimardi</t>
  </si>
  <si>
    <t>Microbiotheriidae</t>
  </si>
  <si>
    <t>habitat loss, invasive predators, fire</t>
  </si>
  <si>
    <t>2-4kg; introduced</t>
  </si>
  <si>
    <t>males: 60.4 (42-80); females: 59.8 (37-102)</t>
  </si>
  <si>
    <t>males: head-body: 112 (103-121); tail: 116.5 (112-121); hindfoot 21.5 (21.4-21.5); ear 18.9 (18.3-19.5); females: no head-body; tail: 111; hindfoot: 21.4; ear 18.6</t>
  </si>
  <si>
    <t>hunting, changes in native competitors</t>
  </si>
  <si>
    <t>hunting, habitat loss, invasive competitors</t>
  </si>
  <si>
    <t>males: head-body: 102 (96-107); tail: 95.8 (88-105); hindfoot: 19 (18-20); ear 18.1 (15-19); females: head-body 84 (83-85); tail 84.5 (82-87); hindfoot 17.5 (17-18); ear 16.5 (16-17)</t>
  </si>
  <si>
    <t>weight taken from Australia</t>
  </si>
  <si>
    <t>Peninsular India, Nepal, burma, China, Thailand</t>
  </si>
  <si>
    <t>Henry Lawrence Isl., India</t>
  </si>
  <si>
    <t>rhabdops</t>
  </si>
  <si>
    <t>males: 508 (388-580); females:  513 (500-525)</t>
  </si>
  <si>
    <t>males: head-body 148 (146-150); tail 227 (211-235); hindfoot 33.7 (31-37); ear 14.3 (12-16); females:  141 (137-145); tail 225; hindfoot 31 (30-32); ear 13.5 (11-16)</t>
  </si>
  <si>
    <t>males:head-body 469 (410-545); tail: 103 (90-115); hindfoot 77 (74-83); ear: 33.3 (29-40); femals: head-body 438; tail 84; hindfoot 63; ear 31</t>
  </si>
  <si>
    <t>males: 478 (350-660); females: 598 (510-670)</t>
  </si>
  <si>
    <t>smallest bandicoot</t>
  </si>
  <si>
    <t>Sumatra, Java, Borneo, Kangean Isl., Bali; Lesser Sunda Isls.</t>
  </si>
  <si>
    <t>unknown, rapidly extinct after europeans came in, introduction of exotics predators</t>
  </si>
  <si>
    <t>habitat alteration, introduction of exotic predators</t>
  </si>
  <si>
    <t>hunting, unknown reasons</t>
  </si>
  <si>
    <t>introduced predators</t>
  </si>
  <si>
    <t>mass from a sex unknown (head-tail 790)</t>
  </si>
  <si>
    <t>habitat alteration</t>
  </si>
  <si>
    <r>
      <t xml:space="preserve">extinct; 8245 </t>
    </r>
    <r>
      <rPr>
        <u/>
        <sz val="10"/>
        <color indexed="8"/>
        <rFont val="Arial"/>
      </rPr>
      <t>+</t>
    </r>
    <r>
      <rPr>
        <sz val="10"/>
        <color indexed="8"/>
        <rFont val="Arial"/>
      </rPr>
      <t xml:space="preserve"> 215 years bp</t>
    </r>
  </si>
  <si>
    <t>106, 655</t>
  </si>
  <si>
    <t>habitat loss, invasive predators, skewed sex ratios</t>
  </si>
  <si>
    <t>intro of exotics, habitat alteration</t>
  </si>
  <si>
    <t>competiton with or disease brought by introduced black and brown rats</t>
  </si>
  <si>
    <t>unkown</t>
  </si>
  <si>
    <t>habitat loss, feral cats</t>
  </si>
  <si>
    <t>habitat loss, persecution</t>
  </si>
  <si>
    <t>restricted habitats</t>
  </si>
  <si>
    <t>Flores Island, Indonesia</t>
  </si>
  <si>
    <t>head-body 151 (136-187); tail 98.9 (84--108); hindfoot 29.9 (28-32)</t>
  </si>
  <si>
    <t xml:space="preserve">MacPhee, R. D. E. 1994.  Morphology, adaptations, and relationships of Plesiorycteropus, and a diagnosis of a new order of eutherian mammals.  Bulletin of the American Museum of Natural History. No. 220:  1-214.  New York.  </t>
  </si>
  <si>
    <t>luna</t>
  </si>
  <si>
    <t>lusitania</t>
  </si>
  <si>
    <t>macarthuri</t>
  </si>
  <si>
    <t>macmillani</t>
  </si>
  <si>
    <t>macowi</t>
  </si>
  <si>
    <t>malayana</t>
  </si>
  <si>
    <t>marginatus</t>
  </si>
  <si>
    <t>males: 48.2 (32-57); females: 44.9 (31-53.5)</t>
  </si>
  <si>
    <t>males: 33.4 (30-34.8); females: 26</t>
  </si>
  <si>
    <t>Notoryctemorphia</t>
  </si>
  <si>
    <t>serum</t>
  </si>
  <si>
    <t>leo atrox</t>
  </si>
  <si>
    <t>Notiomastodon</t>
  </si>
  <si>
    <t>Russia (Sakhalin Isl, Kurile Isls, Commander Isls, Kamchatka), Canada, USA (Aleutian Isls, and S Alaska to California). Formerly in Mexico (Baja California) and Japan (coastal Hokkaido)</t>
  </si>
  <si>
    <t>Mylodon</t>
  </si>
  <si>
    <t>listai</t>
  </si>
  <si>
    <t>stirlingi</t>
  </si>
  <si>
    <t>laurillardi</t>
  </si>
  <si>
    <t>Megatherium</t>
  </si>
  <si>
    <t>Miracinonyx</t>
  </si>
  <si>
    <t>trumani</t>
  </si>
  <si>
    <t>amnicola</t>
  </si>
  <si>
    <t>CR</t>
  </si>
  <si>
    <t xml:space="preserve">hunting, habitat loss </t>
  </si>
  <si>
    <t>head body length: 108mm, tail: 130mm, hindfoot: 20mm</t>
  </si>
  <si>
    <t>male: 627; range: 580-710</t>
  </si>
  <si>
    <t>largest surviving marsupial carnivore on New Guinea</t>
  </si>
  <si>
    <t>larger than D. Albopunctatus</t>
  </si>
  <si>
    <t>Wyoming, USA</t>
  </si>
  <si>
    <t>males: 1767 (1500-1900); females: 1933 (1400-2400)</t>
  </si>
  <si>
    <t>hunting, persecution, accidental mortality, habitat loss, pathogens/parasites</t>
  </si>
  <si>
    <t>restricted range</t>
  </si>
  <si>
    <t>hunting, habitat loss</t>
  </si>
  <si>
    <t>hunting, civil war</t>
  </si>
  <si>
    <t>drought, pathogens/parasites</t>
  </si>
  <si>
    <t>hunting, habitat loss, fire</t>
  </si>
  <si>
    <t>extinct; 4400years old</t>
  </si>
  <si>
    <t>Herpestes</t>
  </si>
  <si>
    <t>ichneumon</t>
  </si>
  <si>
    <t>naso</t>
  </si>
  <si>
    <t>parma</t>
  </si>
  <si>
    <t>stigmatica</t>
  </si>
  <si>
    <t>inornata</t>
  </si>
  <si>
    <t>Crossarchus</t>
  </si>
  <si>
    <t>Lemmus</t>
  </si>
  <si>
    <t>sibiricus</t>
  </si>
  <si>
    <t>ochrogaster</t>
  </si>
  <si>
    <t>albicauda</t>
  </si>
  <si>
    <t>Hyaenidae</t>
  </si>
  <si>
    <t>penicillata</t>
  </si>
  <si>
    <t>robustus</t>
  </si>
  <si>
    <t>hunting, habitat loss, invasive hybridizers</t>
  </si>
  <si>
    <t>Murray 1984 lists this as occuring in Tasmania, Murray 1991 says not</t>
  </si>
  <si>
    <t>omlichodes</t>
  </si>
  <si>
    <t>habitat loss, invasive competitors, invasive predators</t>
  </si>
  <si>
    <t>75, 128</t>
  </si>
  <si>
    <t>60, 129</t>
  </si>
  <si>
    <t>males: 50.4 (44-56); females: 44 (40.5-48)</t>
  </si>
  <si>
    <t>Scalopus</t>
  </si>
  <si>
    <t>Scelidotherium</t>
  </si>
  <si>
    <t>leptocephalum</t>
  </si>
  <si>
    <t>3, 18</t>
  </si>
  <si>
    <t>3, 19</t>
  </si>
  <si>
    <t>3, 20</t>
  </si>
  <si>
    <t>3, 21</t>
  </si>
  <si>
    <t>aculeatus</t>
  </si>
  <si>
    <t>Monotremata</t>
  </si>
  <si>
    <t>Homotherium</t>
  </si>
  <si>
    <t>males: 1490 (1140-1700); females: 983 (825-1140)</t>
  </si>
  <si>
    <t>Kazakhstan</t>
  </si>
  <si>
    <t>hunting, habitat loss, restricted range</t>
  </si>
  <si>
    <t>hunting habitat loss</t>
  </si>
  <si>
    <t>China, SE Tibet</t>
  </si>
  <si>
    <t>India and Burma</t>
  </si>
  <si>
    <t>Malaysia, Thailand, Burma, India, China, Cambodia, Laos, Vietnam</t>
  </si>
  <si>
    <t>Mentawei Islands, Indonesia</t>
  </si>
  <si>
    <t>peninsular Thailand, Peninsular Malaysia</t>
  </si>
  <si>
    <t>Great and Little Nicobar Isls., India</t>
  </si>
  <si>
    <t>simensis</t>
  </si>
  <si>
    <t>Lycaon</t>
  </si>
  <si>
    <t>Australian references added 31 Oct. 2002 from Morgan's brain</t>
  </si>
  <si>
    <t>veroensis</t>
  </si>
  <si>
    <t>Mammuthus</t>
  </si>
  <si>
    <t>columbi</t>
  </si>
  <si>
    <t>fraternus</t>
  </si>
  <si>
    <t>albifrons</t>
  </si>
  <si>
    <t>aequatorialis</t>
  </si>
  <si>
    <t>Sylvisorex</t>
  </si>
  <si>
    <t>lunaris</t>
  </si>
  <si>
    <t>Kirghizia, NE Iran, Afghanistan, Pakistan, India, Nepal, China</t>
  </si>
  <si>
    <t>Costa Rica, Nicaragua</t>
  </si>
  <si>
    <t>Burma, China</t>
  </si>
  <si>
    <t>smaller than forbesi</t>
  </si>
  <si>
    <t>smaller than chrysogaster, but larger than hussoni</t>
  </si>
  <si>
    <t>small spp.  Habbema is closes relative</t>
  </si>
  <si>
    <t>Zaire, Uganda, Burundia</t>
  </si>
  <si>
    <t>SE Asia</t>
  </si>
  <si>
    <t>113, 129</t>
  </si>
  <si>
    <t>griseoventer</t>
  </si>
  <si>
    <t>archeri</t>
  </si>
  <si>
    <t>ooldea</t>
  </si>
  <si>
    <t>timealeyi</t>
  </si>
  <si>
    <t>gilesi</t>
  </si>
  <si>
    <t>Anotomys</t>
  </si>
  <si>
    <t>modestus</t>
  </si>
  <si>
    <t>moloch</t>
  </si>
  <si>
    <t>Diceros</t>
  </si>
  <si>
    <t>bicornis</t>
  </si>
  <si>
    <t>Tapiridae</t>
  </si>
  <si>
    <t>Tapirus</t>
  </si>
  <si>
    <t>sciureus</t>
  </si>
  <si>
    <t>whitakeri</t>
  </si>
  <si>
    <t>wimmeri</t>
  </si>
  <si>
    <t>xantippe</t>
  </si>
  <si>
    <t>humeralifer</t>
  </si>
  <si>
    <t>jacchus</t>
  </si>
  <si>
    <t>chrysomela</t>
  </si>
  <si>
    <t>rosalia</t>
  </si>
  <si>
    <t>Saguinus</t>
  </si>
  <si>
    <t>somereni</t>
  </si>
  <si>
    <t>Suncus</t>
  </si>
  <si>
    <t>etruscus</t>
  </si>
  <si>
    <t>infinitesimus</t>
  </si>
  <si>
    <t>albicans</t>
  </si>
  <si>
    <t>irrorata</t>
  </si>
  <si>
    <t>monachus</t>
  </si>
  <si>
    <t>pithecia</t>
  </si>
  <si>
    <t>Dicolpomys</t>
  </si>
  <si>
    <t>Windhausenia</t>
  </si>
  <si>
    <t>bondi</t>
  </si>
  <si>
    <t>Didelphis</t>
  </si>
  <si>
    <t>atlantica</t>
  </si>
  <si>
    <t>Notoungulata</t>
  </si>
  <si>
    <t>belzebuth</t>
  </si>
  <si>
    <t>chamek</t>
  </si>
  <si>
    <t>paniscus</t>
  </si>
  <si>
    <t>Brachyteles</t>
  </si>
  <si>
    <t>Pampatherium</t>
  </si>
  <si>
    <t>typum</t>
  </si>
  <si>
    <t>paulacoutoi</t>
  </si>
  <si>
    <t>Toxodontidae</t>
  </si>
  <si>
    <t>philander</t>
  </si>
  <si>
    <t>Propraopus</t>
  </si>
  <si>
    <t>Doedicurus</t>
  </si>
  <si>
    <t>clavicaudatus</t>
  </si>
  <si>
    <t>Chlamydotherium</t>
  </si>
  <si>
    <t>2, 4</t>
  </si>
  <si>
    <t>Megalotragus</t>
  </si>
  <si>
    <t>varilla</t>
  </si>
  <si>
    <t>crawfordi</t>
  </si>
  <si>
    <t>Sorex</t>
  </si>
  <si>
    <t>alaskanus</t>
  </si>
  <si>
    <t>arcticus</t>
  </si>
  <si>
    <t>tyleriana</t>
  </si>
  <si>
    <t>xerophila</t>
  </si>
  <si>
    <t>Marmosops</t>
  </si>
  <si>
    <t>Zygomaturus</t>
  </si>
  <si>
    <t>trilobus</t>
  </si>
  <si>
    <t>Phascolarctidae</t>
  </si>
  <si>
    <t>Mexico</t>
  </si>
  <si>
    <t>Spalax</t>
  </si>
  <si>
    <t>myosuros</t>
  </si>
  <si>
    <t>oconnelli</t>
  </si>
  <si>
    <t>oris</t>
  </si>
  <si>
    <t>lugens</t>
  </si>
  <si>
    <t>Akodon</t>
  </si>
  <si>
    <t>nasua</t>
  </si>
  <si>
    <t>Potos</t>
  </si>
  <si>
    <t>flavus</t>
  </si>
  <si>
    <t>Procyon</t>
  </si>
  <si>
    <t>gnou</t>
  </si>
  <si>
    <t>taurinus</t>
  </si>
  <si>
    <t>Phenacomys</t>
  </si>
  <si>
    <t>batesi</t>
  </si>
  <si>
    <t>Oreotragus</t>
  </si>
  <si>
    <t>capreolus</t>
  </si>
  <si>
    <t>sharpei</t>
  </si>
  <si>
    <t>lindberghi</t>
  </si>
  <si>
    <t>Redunca</t>
  </si>
  <si>
    <t>Aepeomys</t>
  </si>
  <si>
    <t>Peroryctidae</t>
  </si>
  <si>
    <t>Dendrohyrax</t>
  </si>
  <si>
    <t>Damaliscus</t>
  </si>
  <si>
    <t>hunteri</t>
  </si>
  <si>
    <t>moschatus</t>
  </si>
  <si>
    <t>pygmaeus</t>
  </si>
  <si>
    <t>Raphicerus</t>
  </si>
  <si>
    <t>abyssinica</t>
  </si>
  <si>
    <t>aztecus</t>
  </si>
  <si>
    <t>Hydrochaeris</t>
  </si>
  <si>
    <t>hydrochaeris</t>
  </si>
  <si>
    <t>Hystricidae</t>
  </si>
  <si>
    <t>Atherurus</t>
  </si>
  <si>
    <t>africanus</t>
  </si>
  <si>
    <t>Hystrix</t>
  </si>
  <si>
    <t>foxi</t>
  </si>
  <si>
    <t>leucotis</t>
  </si>
  <si>
    <t>mascotensis</t>
  </si>
  <si>
    <t>ochrognathus</t>
  </si>
  <si>
    <t>ellipsiprymnus</t>
  </si>
  <si>
    <t>kob</t>
  </si>
  <si>
    <t>Primates</t>
  </si>
  <si>
    <t>Callitrichidae</t>
  </si>
  <si>
    <t>Erinaceidae</t>
  </si>
  <si>
    <t>Hemibelideus</t>
  </si>
  <si>
    <t>lemuroides</t>
  </si>
  <si>
    <t>herbertensis</t>
  </si>
  <si>
    <t>Pseudochirops</t>
  </si>
  <si>
    <t>fatalis</t>
  </si>
  <si>
    <t xml:space="preserve">Brachyprotoma </t>
  </si>
  <si>
    <t>obtusata</t>
  </si>
  <si>
    <t>sonoitensis</t>
  </si>
  <si>
    <t>Arctodus</t>
  </si>
  <si>
    <t>pristinus</t>
  </si>
  <si>
    <t>Paramegatherium</t>
  </si>
  <si>
    <t>robustum</t>
  </si>
  <si>
    <t>gliroides</t>
  </si>
  <si>
    <t>Smilodon</t>
  </si>
  <si>
    <t>fugitiva</t>
  </si>
  <si>
    <t>Mylohyus</t>
  </si>
  <si>
    <t>Platygonus</t>
  </si>
  <si>
    <t>compressus</t>
  </si>
  <si>
    <t>dirus</t>
  </si>
  <si>
    <t>Echymipera</t>
  </si>
  <si>
    <t>Perissodactyla</t>
  </si>
  <si>
    <t>arboreus</t>
  </si>
  <si>
    <t>Heterohyrax</t>
  </si>
  <si>
    <t>brucei</t>
  </si>
  <si>
    <t>Procavia</t>
  </si>
  <si>
    <t>Insectivora</t>
  </si>
  <si>
    <t>Ommatophoca</t>
  </si>
  <si>
    <t>gazella</t>
  </si>
  <si>
    <t>granti</t>
  </si>
  <si>
    <t>females: 1000, no male weight</t>
  </si>
  <si>
    <t>N. Vietnam</t>
  </si>
  <si>
    <t>males:22.5 (19-29.5); no female weight</t>
  </si>
  <si>
    <t>mammals of madagascar; MacPhee, 1994</t>
  </si>
  <si>
    <t>mammals of madagascar; MacPhee 1994</t>
  </si>
  <si>
    <t>males: 540 (490-590)</t>
  </si>
  <si>
    <t>smallest know spp. Of hydromys</t>
  </si>
  <si>
    <t>shastense</t>
  </si>
  <si>
    <t>Mylodontidae</t>
  </si>
  <si>
    <t>parvipes</t>
  </si>
  <si>
    <t>pasha</t>
  </si>
  <si>
    <t>phaeura</t>
  </si>
  <si>
    <t>picea</t>
  </si>
  <si>
    <t>pitmani</t>
  </si>
  <si>
    <t>planiceps</t>
  </si>
  <si>
    <t>SA</t>
  </si>
  <si>
    <t>vociferans</t>
  </si>
  <si>
    <t>populator</t>
  </si>
  <si>
    <t>Dromiciops</t>
  </si>
  <si>
    <t>Psuedocheiridae</t>
  </si>
  <si>
    <t>Pseudocheirus</t>
  </si>
  <si>
    <t>peregrinus</t>
  </si>
  <si>
    <t>males: head-body 160; tail 125; hindfoot 30; ear 12</t>
  </si>
  <si>
    <t>Hainan isl., china</t>
  </si>
  <si>
    <t>Thailand, Cambodia, Vietnam, Malay Peninsula</t>
  </si>
  <si>
    <t>India, Burma, Vietnam</t>
  </si>
  <si>
    <t>Solomon Isls.</t>
  </si>
  <si>
    <t>Seram Isl. Indonesia</t>
  </si>
  <si>
    <t>Urkraine</t>
  </si>
  <si>
    <t>Romania, Ukraine</t>
  </si>
  <si>
    <t>Kashmir to N Burma, China</t>
  </si>
  <si>
    <t>China, Korea, Russia</t>
  </si>
  <si>
    <t>males: 155 (111-190); females: 155 (110-220)</t>
  </si>
  <si>
    <t>Queensland</t>
  </si>
  <si>
    <t>sechurae</t>
  </si>
  <si>
    <t>dimidiata</t>
  </si>
  <si>
    <t>vetulus</t>
  </si>
  <si>
    <t>Speothos</t>
  </si>
  <si>
    <t>venaticus</t>
  </si>
  <si>
    <t>Felidae</t>
  </si>
  <si>
    <t>auriventer</t>
  </si>
  <si>
    <t>balneator</t>
  </si>
  <si>
    <t>Herpailurus</t>
  </si>
  <si>
    <t>yaguarondi</t>
  </si>
  <si>
    <t>Leopardus</t>
  </si>
  <si>
    <t>delticola</t>
  </si>
  <si>
    <t>lamia</t>
  </si>
  <si>
    <t>legatus</t>
  </si>
  <si>
    <t>lutreolus</t>
  </si>
  <si>
    <t>Lagorchestes</t>
  </si>
  <si>
    <t>parvus</t>
  </si>
  <si>
    <t>Macropodidae</t>
  </si>
  <si>
    <t>Petrogale</t>
  </si>
  <si>
    <t>conklingi</t>
  </si>
  <si>
    <t>Oryctolagus</t>
  </si>
  <si>
    <t>1, 23</t>
  </si>
  <si>
    <t>saxatilis</t>
  </si>
  <si>
    <t>pusio</t>
  </si>
  <si>
    <t>Lepus</t>
  </si>
  <si>
    <t>nigricollis</t>
  </si>
  <si>
    <t>Onychogalea</t>
  </si>
  <si>
    <t>fraenata</t>
  </si>
  <si>
    <t>persephone</t>
  </si>
  <si>
    <t>Lagomorpha</t>
  </si>
  <si>
    <t>Leporidae</t>
  </si>
  <si>
    <t>cavifrons</t>
  </si>
  <si>
    <t>Camelops</t>
  </si>
  <si>
    <t>eugenii</t>
  </si>
  <si>
    <t>assimilis</t>
  </si>
  <si>
    <t>Pelorovis</t>
  </si>
  <si>
    <t>vulcanorum</t>
  </si>
  <si>
    <t>Blarina</t>
  </si>
  <si>
    <t>brevicauda</t>
  </si>
  <si>
    <t>Cryptotis</t>
  </si>
  <si>
    <t>goodwini</t>
  </si>
  <si>
    <t>magna</t>
  </si>
  <si>
    <t>nigrescens</t>
  </si>
  <si>
    <t>parva</t>
  </si>
  <si>
    <t>forresti</t>
  </si>
  <si>
    <t>Sirenia</t>
  </si>
  <si>
    <t>Isothrix</t>
  </si>
  <si>
    <t>eliurus</t>
  </si>
  <si>
    <t>aureus</t>
  </si>
  <si>
    <t>mesomelas</t>
  </si>
  <si>
    <t>adusta</t>
  </si>
  <si>
    <t>hermannsburgensis</t>
  </si>
  <si>
    <t>oyapocki</t>
  </si>
  <si>
    <t>peruviensis</t>
  </si>
  <si>
    <t>venezuelae</t>
  </si>
  <si>
    <t>lakedownensis</t>
  </si>
  <si>
    <t>pilligaensis</t>
  </si>
  <si>
    <t>Neacomys</t>
  </si>
  <si>
    <t>gorgasi</t>
  </si>
  <si>
    <t>hammondi</t>
  </si>
  <si>
    <t>intectus</t>
  </si>
  <si>
    <t>pardalis</t>
  </si>
  <si>
    <t>wiedii</t>
  </si>
  <si>
    <t>Lynx</t>
  </si>
  <si>
    <t>kelloggi</t>
  </si>
  <si>
    <t>ratticeps</t>
  </si>
  <si>
    <t>Stockoceros</t>
  </si>
  <si>
    <t>onusrosagris</t>
  </si>
  <si>
    <t>Reithrodon</t>
  </si>
  <si>
    <t>auritus</t>
  </si>
  <si>
    <t>darienensis</t>
  </si>
  <si>
    <t>Rhagomys</t>
  </si>
  <si>
    <t>spp.</t>
  </si>
  <si>
    <t>1, 28</t>
  </si>
  <si>
    <t>Guadeloupe Isl, Lesser Antilles</t>
  </si>
  <si>
    <t>saturatior</t>
  </si>
  <si>
    <t>dickeyi</t>
  </si>
  <si>
    <t>gratus</t>
  </si>
  <si>
    <t>guardia</t>
  </si>
  <si>
    <t>interparietalis</t>
  </si>
  <si>
    <t>W Morocoos to N Egypt (N Sahara)</t>
  </si>
  <si>
    <t>Todos Santos Isl., Baja California</t>
  </si>
  <si>
    <t>rodriguezi</t>
  </si>
  <si>
    <t>Kenya, Tanzania, Mozambique</t>
  </si>
  <si>
    <t>emiliae</t>
  </si>
  <si>
    <t>marica</t>
  </si>
  <si>
    <t>microtarsus</t>
  </si>
  <si>
    <t>Lestodelphys</t>
  </si>
  <si>
    <t>halli</t>
  </si>
  <si>
    <t>gigas</t>
  </si>
  <si>
    <t>Notiosorex</t>
  </si>
  <si>
    <t>Thallomys</t>
  </si>
  <si>
    <t>paedulcus</t>
  </si>
  <si>
    <t>Thamnomys</t>
  </si>
  <si>
    <t>Uranomys</t>
  </si>
  <si>
    <t>ruddi</t>
  </si>
  <si>
    <t>Zelotomys</t>
  </si>
  <si>
    <t>woosnami</t>
  </si>
  <si>
    <t>Pseudomys</t>
  </si>
  <si>
    <t>delicatulus</t>
  </si>
  <si>
    <t>goldmani</t>
  </si>
  <si>
    <t>females: 2000</t>
  </si>
  <si>
    <t>females: 1950</t>
  </si>
  <si>
    <t>males: 19.8 (17.2-23); females: 20.2 (15.5-24)</t>
  </si>
  <si>
    <t>Bootherium</t>
  </si>
  <si>
    <t>Phascolonus</t>
  </si>
  <si>
    <t>pallidior</t>
  </si>
  <si>
    <t>pusilla</t>
  </si>
  <si>
    <t>Tenrecidae</t>
  </si>
  <si>
    <t>Micropotamogale</t>
  </si>
  <si>
    <t>ruwenzorii</t>
  </si>
  <si>
    <t>Potamogale</t>
  </si>
  <si>
    <t>sanguinea</t>
  </si>
  <si>
    <t>Helogale</t>
  </si>
  <si>
    <t>hirtula</t>
  </si>
  <si>
    <t>parvula</t>
  </si>
  <si>
    <t>Tortuga Isl., Baja CA</t>
  </si>
  <si>
    <t>NE Venezuela</t>
  </si>
  <si>
    <t>Ursidae</t>
  </si>
  <si>
    <t>Ursus</t>
  </si>
  <si>
    <t>arctos</t>
  </si>
  <si>
    <t>maritimus</t>
  </si>
  <si>
    <t>oreotragus</t>
  </si>
  <si>
    <t>Oryx</t>
  </si>
  <si>
    <t>dammah</t>
  </si>
  <si>
    <t>Ourebia</t>
  </si>
  <si>
    <t>ourebi</t>
  </si>
  <si>
    <t>Pelea</t>
  </si>
  <si>
    <t>Nandinia</t>
  </si>
  <si>
    <t>binotata</t>
  </si>
  <si>
    <t>Osbornictis</t>
  </si>
  <si>
    <t>piscivora</t>
  </si>
  <si>
    <t>floweri</t>
  </si>
  <si>
    <t>douceti</t>
  </si>
  <si>
    <t>eisentrauti</t>
  </si>
  <si>
    <t>arundinum</t>
  </si>
  <si>
    <t>aerosus</t>
  </si>
  <si>
    <t>affinis</t>
  </si>
  <si>
    <t>redunca</t>
  </si>
  <si>
    <t>infulatus</t>
  </si>
  <si>
    <t>Bubalus</t>
  </si>
  <si>
    <t>bubalis</t>
  </si>
  <si>
    <t>Bison</t>
  </si>
  <si>
    <t>bison</t>
  </si>
  <si>
    <t>Oreamnos</t>
  </si>
  <si>
    <t>americanus</t>
  </si>
  <si>
    <t>Ovibos</t>
  </si>
  <si>
    <t>maquassiensis</t>
  </si>
  <si>
    <t>dalli</t>
  </si>
  <si>
    <t>Camelidae</t>
  </si>
  <si>
    <t>Camelus</t>
  </si>
  <si>
    <t>dromedarius</t>
  </si>
  <si>
    <t>youngsoni</t>
  </si>
  <si>
    <t>javanicus</t>
  </si>
  <si>
    <t>Andinomys</t>
  </si>
  <si>
    <t>seniculus</t>
  </si>
  <si>
    <t>Aotus</t>
  </si>
  <si>
    <t>azarai</t>
  </si>
  <si>
    <t>miconax</t>
  </si>
  <si>
    <t>orcesi</t>
  </si>
  <si>
    <t>pacivorus</t>
  </si>
  <si>
    <t>hirtipes</t>
  </si>
  <si>
    <t>maurisca</t>
  </si>
  <si>
    <t>monax</t>
  </si>
  <si>
    <t>montis</t>
  </si>
  <si>
    <t>simum</t>
  </si>
  <si>
    <t>tricuspis</t>
  </si>
  <si>
    <t>Ateles</t>
  </si>
  <si>
    <t>belzebul</t>
  </si>
  <si>
    <t>mariquensis</t>
  </si>
  <si>
    <t>longicaudata</t>
  </si>
  <si>
    <t>gilberti</t>
  </si>
  <si>
    <t>laniger</t>
  </si>
  <si>
    <t>Antechinus</t>
  </si>
  <si>
    <t>stuartii</t>
  </si>
  <si>
    <t>leucopus</t>
  </si>
  <si>
    <t>pigra</t>
  </si>
  <si>
    <t>midas</t>
  </si>
  <si>
    <t>mystax</t>
  </si>
  <si>
    <t>Saimiri</t>
  </si>
  <si>
    <t>boliviensis</t>
  </si>
  <si>
    <t>oerstedii</t>
  </si>
  <si>
    <t>viaria</t>
  </si>
  <si>
    <t>voi</t>
  </si>
  <si>
    <t>Ethiopia, Sudan, Zaire, South Africa, Botswana, Angola</t>
  </si>
  <si>
    <t>Malay peninsula, Singapore</t>
  </si>
  <si>
    <t>Zambia, Malawi, Tanzania, Kenya</t>
  </si>
  <si>
    <t>Guinea and Ivory Coast</t>
  </si>
  <si>
    <t>Pseudohydromys</t>
  </si>
  <si>
    <t>Tibet, Nepal, Bhutan, India</t>
  </si>
  <si>
    <t>C Nepal, India, Bhutan</t>
  </si>
  <si>
    <t>Russia, Kazakhstan, NE Iran, Mongolia, China</t>
  </si>
  <si>
    <t>Georgia, Turkey</t>
  </si>
  <si>
    <t>NC China</t>
  </si>
  <si>
    <t>Equatorial Guinea, Zaire, Uganda, Tanzania</t>
  </si>
  <si>
    <t>peninsular Burma, Malaysia</t>
  </si>
  <si>
    <t>nativitatis</t>
  </si>
  <si>
    <t>Burma, China, thailand</t>
  </si>
  <si>
    <t>Corsica, Sardinia</t>
  </si>
  <si>
    <t xml:space="preserve"> SE Poland east to Ukraine and south to Black Sea</t>
  </si>
  <si>
    <t>Ukraine, Russia</t>
  </si>
  <si>
    <t>habitat loss, restricted range, accidental mortality</t>
  </si>
  <si>
    <t>habitat loss, restricted range, pollution</t>
  </si>
  <si>
    <t>head-body 168 (140-198); tail 131 (100-167); hindfoot 30.6 (27.5-37)</t>
  </si>
  <si>
    <t>habitat loss, invasive predators, pathogens/parasites</t>
  </si>
  <si>
    <t>SE Kazakstan, Turkmenistan, Uzbekistan, Tadzhikistan, Iran, Afghanistan</t>
  </si>
  <si>
    <t>habitat loss, invasive predators, invasive competitors</t>
  </si>
  <si>
    <t>hunting, habitat loss, invasive predators</t>
  </si>
  <si>
    <t>exulans</t>
  </si>
  <si>
    <t>gymnocercus</t>
  </si>
  <si>
    <t>males: head body 103 (90-115); tail 117 (113-120); hindfoot 24.9 (23.4-25.6); ear 15.6 (14.9-16); females: head-body 107 (104-110); tail 111 (110-112); hindfoot 23.1 (23-23.1); ear 15.1 (15-15.1)</t>
  </si>
  <si>
    <t>named Abeomelomys sevia in mammals of new guinea</t>
  </si>
  <si>
    <t>Nepal, India, Burma, China, Thailand, Vietnam, Laos, Cambodia, Malay Peninsula</t>
  </si>
  <si>
    <t>males: 11500; females 9250 (9000-9500)</t>
  </si>
  <si>
    <t>male weight</t>
  </si>
  <si>
    <t>Cameroon, Nigeria, Gabon, Zaire</t>
  </si>
  <si>
    <t>China, Vietnam, Loas</t>
  </si>
  <si>
    <t>Java, Sumatra (Indonesia)</t>
  </si>
  <si>
    <t xml:space="preserve">Corfu Isl. </t>
  </si>
  <si>
    <t>Hong Kong</t>
  </si>
  <si>
    <t>Cozumel Island, Mexico</t>
  </si>
  <si>
    <t>Galerella</t>
  </si>
  <si>
    <t>pulverulenta</t>
  </si>
  <si>
    <t>brachyotis</t>
  </si>
  <si>
    <t>Thylogale</t>
  </si>
  <si>
    <t>thetis</t>
  </si>
  <si>
    <t>Ochotonidae</t>
  </si>
  <si>
    <t>obscurus</t>
  </si>
  <si>
    <t>simplex</t>
  </si>
  <si>
    <t>Punomys</t>
  </si>
  <si>
    <t>lemminus</t>
  </si>
  <si>
    <t>smaller than P. madagascariensis; estimate is from primate model; estimate using dasypodid model is 6240g; estimate using caviomorph model is 10830g.  MacPhee thought caviomorph estimate was too high.</t>
  </si>
  <si>
    <t>dunese</t>
  </si>
  <si>
    <t>Gansu, Tibet, China, Burma, Vietnam</t>
  </si>
  <si>
    <t>female: 55kg; males 70kg; estimated measurements for malagasy specimens</t>
  </si>
  <si>
    <t>larger than other spp. Of Chiruomys.  Chiruromys lamia is much smaller</t>
  </si>
  <si>
    <t>India, Nepal, Vietnam, Thailand, Malaysia</t>
  </si>
  <si>
    <t>N. Pacific to China and Japan</t>
  </si>
  <si>
    <t>Cedros Isls., Baja California</t>
  </si>
  <si>
    <t>S Cameroon, Gabon, Congo Republic, Zaire, Central African Republic</t>
  </si>
  <si>
    <t>similar in size to Myoictis melas, Neophascogale lorentzii, Murexia rothschildi and Phascolosorex spp.</t>
  </si>
  <si>
    <t>Turkey, Armenia, Azerbaidzhan, Georgia, Iran, Syria, Lebanon, Israel</t>
  </si>
  <si>
    <t>Nicaragua</t>
  </si>
  <si>
    <t>largest species of the genus; discussed by Dieterlen and Heimde Balsac, 1979</t>
  </si>
  <si>
    <t>hunting, habitat loss, drought, changes in competitors, parasites/pathogens</t>
  </si>
  <si>
    <t>changes in native spp. Dynamics</t>
  </si>
  <si>
    <t>males: 5500; females: 6500 (6400-6600)</t>
  </si>
  <si>
    <t>males: 486 (425-550); females 310 (260-350)</t>
  </si>
  <si>
    <t>males: head-body 146; tail 176; hindfoot 36.5; ear 13; females: head-body 119; tail 165; hindfoot 33; ear 14</t>
  </si>
  <si>
    <t>Bulgaria, Turkey, Caucasus</t>
  </si>
  <si>
    <t>Spain, Portugal</t>
  </si>
  <si>
    <r>
      <t xml:space="preserve">275.  Yamada, F. and Cervantes, F. A.  2005.  </t>
    </r>
    <r>
      <rPr>
        <i/>
        <sz val="10"/>
        <color indexed="8"/>
        <rFont val="Arial"/>
      </rPr>
      <t>Pentalagus furnessi</t>
    </r>
    <r>
      <rPr>
        <sz val="10"/>
        <color indexed="8"/>
        <rFont val="Arial"/>
      </rPr>
      <t>.  Mammalian Species No. 782:1-5.  The American Society of Mammalogists.</t>
    </r>
  </si>
  <si>
    <t>61, 276</t>
  </si>
  <si>
    <t>male: 54 (range: 44-62.5); females: 42.8 (range: 37.6-48)</t>
  </si>
  <si>
    <t>males: 1750 (1500-2000); females: 1893 (1500-2340)</t>
  </si>
  <si>
    <t>males: 9128 (6700-11555); females: 3576</t>
  </si>
  <si>
    <t>Turkey, Caucasus</t>
  </si>
  <si>
    <t>Pacific coast from Oregon to N. California</t>
  </si>
  <si>
    <t>Barrow Isl, Australia</t>
  </si>
  <si>
    <t>Austria, Hungary, Yugoslavia, Rumania, Russia, Kazakhstan, Sibiria</t>
  </si>
  <si>
    <t>Kazakhstan, China</t>
  </si>
  <si>
    <t>Central African Republic, Sudan, Ethiopia, Somalia, Uganda, Kenya, Tanzania</t>
  </si>
  <si>
    <t>sumatrae</t>
  </si>
  <si>
    <t>Trichys</t>
  </si>
  <si>
    <t>fasciculata</t>
  </si>
  <si>
    <t>aleksandrisi</t>
  </si>
  <si>
    <t>Pseudantechinus</t>
  </si>
  <si>
    <t>ningbing</t>
  </si>
  <si>
    <t>flavescens</t>
  </si>
  <si>
    <t>males: 215 (185-227); females: 204 (172-236)</t>
  </si>
  <si>
    <t>China, Indian himalayas</t>
  </si>
  <si>
    <t>males: head-body 590 (580-600); tail 456.7 (400-570); hindfoot 130 (115-143); ear 65 (60-70); females: 495 (458-528); tail 329 (315-345); hindfoot 124 (115-131); ear 61 (60-62)</t>
  </si>
  <si>
    <t>SW china, N Burma, Thailand, N Vietnam</t>
  </si>
  <si>
    <t>FA:175.1</t>
  </si>
  <si>
    <t>FA:155</t>
  </si>
  <si>
    <t>FA:236</t>
  </si>
  <si>
    <t>FA:262</t>
  </si>
  <si>
    <t>FA:110</t>
  </si>
  <si>
    <t>FA:62</t>
  </si>
  <si>
    <t>FA:26.6</t>
  </si>
  <si>
    <t>FA:27.3</t>
  </si>
  <si>
    <t>FA:23.5</t>
  </si>
  <si>
    <t>S. Yemen</t>
  </si>
  <si>
    <t>FA:31.5</t>
  </si>
  <si>
    <t>FA:49.9</t>
  </si>
  <si>
    <t>FA:38.1</t>
  </si>
  <si>
    <t>FA:18.7</t>
  </si>
  <si>
    <t>FA:18.2</t>
  </si>
  <si>
    <t>FA:25.3</t>
  </si>
  <si>
    <t>FA:24.3</t>
  </si>
  <si>
    <t>FA:43.6</t>
  </si>
  <si>
    <t>FA:27.8</t>
  </si>
  <si>
    <t>FA:24.4</t>
  </si>
  <si>
    <t>FA:25.8</t>
  </si>
  <si>
    <t>FA:17.7</t>
  </si>
  <si>
    <t>FA:22</t>
  </si>
  <si>
    <t>FA:23</t>
  </si>
  <si>
    <t>FA:24.1</t>
  </si>
  <si>
    <t>FA:25.6</t>
  </si>
  <si>
    <t>FA:53.8</t>
  </si>
  <si>
    <t>FA:39.7</t>
  </si>
  <si>
    <t>FA:40.6</t>
  </si>
  <si>
    <t>FA:36.9</t>
  </si>
  <si>
    <t>FA:35.6</t>
  </si>
  <si>
    <t>FA:33</t>
  </si>
  <si>
    <t>FA:44.9</t>
  </si>
  <si>
    <t>FA:30.3</t>
  </si>
  <si>
    <t>FA:27.9</t>
  </si>
  <si>
    <t>FA:25</t>
  </si>
  <si>
    <t>New guinea</t>
  </si>
  <si>
    <t>males: 15500 (14000-17000); females: 11375 (10600-13000)</t>
  </si>
  <si>
    <t>Haiti</t>
  </si>
  <si>
    <t>Algeria, Tunisia, Libya</t>
  </si>
  <si>
    <t>New South Wales, S Queensland</t>
  </si>
  <si>
    <t>C China</t>
  </si>
  <si>
    <t>hartwigi</t>
  </si>
  <si>
    <t>E Afghanistan, India, China, Burma, Thailand, Indochina, Malaysia</t>
  </si>
  <si>
    <t>betpakdalaensis</t>
  </si>
  <si>
    <t>hantu</t>
  </si>
  <si>
    <t>Oregon, Nevada, Idaho, USA</t>
  </si>
  <si>
    <t>Burma, China, India, Laos, Malaysia, Nepal, Thailand, Vietnam</t>
  </si>
  <si>
    <t>chapmani</t>
  </si>
  <si>
    <t>Zyzomys</t>
  </si>
  <si>
    <t>pictus</t>
  </si>
  <si>
    <t>Otocyon</t>
  </si>
  <si>
    <t>desertor</t>
  </si>
  <si>
    <t>argurus</t>
  </si>
  <si>
    <t>aquilo</t>
  </si>
  <si>
    <t>Rattus</t>
  </si>
  <si>
    <t xml:space="preserve">220.  Gillihan, S. W. and K. R. Foresman.  2004.  Sorex vagrans.  Mammalian Species no. 744: 1-5.  The American Society of Mammalogists. </t>
  </si>
  <si>
    <t>Nepal, China, Burma, Vietnam</t>
  </si>
  <si>
    <t>Transcaucasis (Armenia, possibly Azerbaidzhan), turkey, Syria, Israel</t>
  </si>
  <si>
    <t>W Africa, Senegal w. to C. Niberia</t>
  </si>
  <si>
    <t>Senegal to NC Nigeria</t>
  </si>
  <si>
    <t>males: 168 (150-184); females: 148 (145-150)</t>
  </si>
  <si>
    <t>Western Australia</t>
  </si>
  <si>
    <t>Salawati, Indonesia</t>
  </si>
  <si>
    <t>Sumatra, Borneo Indonesia</t>
  </si>
  <si>
    <t>S. Vietnam</t>
  </si>
  <si>
    <t>Bhutan, Nepal, India</t>
  </si>
  <si>
    <t>San Jose Island, Gulf of CA, Mexico</t>
  </si>
  <si>
    <t>males: head-body 154 (128-167); tail 131 (113-152); hindfoot 28.3 (25-31); ear 12.2 (11-13); females:  head-body 150 (138-164); tail 126 (103-144); hindfoot 27.4 (26-29); ear 12.4 (12-16)</t>
  </si>
  <si>
    <t>gloveri</t>
  </si>
  <si>
    <t>hyperborea</t>
  </si>
  <si>
    <t>iliensis</t>
  </si>
  <si>
    <t>koslowi</t>
  </si>
  <si>
    <t>Thailand, Cambodia, Laos, Vietnam</t>
  </si>
  <si>
    <t>Kenya, Uganda, Rwanda, Burundi, Zaire</t>
  </si>
  <si>
    <t>ipnaeum</t>
  </si>
  <si>
    <t>Uzbekistan, Tadzhikistan, Iran to Afghanistan, Pakistan, NW India</t>
  </si>
  <si>
    <t>Nigeria, W Cameroon</t>
  </si>
  <si>
    <t>China, India, Burma, Thailand, Laos, Cambodia, Vietnam, Malay Peninsula</t>
  </si>
  <si>
    <t>NW Australia</t>
  </si>
  <si>
    <t>separated from P. truei in 1984); mass is that of P. truei</t>
  </si>
  <si>
    <r>
      <t xml:space="preserve">248.  Dávalos, L. M.  2004.  New Chocoan species of </t>
    </r>
    <r>
      <rPr>
        <i/>
        <sz val="10"/>
        <color indexed="8"/>
        <rFont val="Arial"/>
      </rPr>
      <t>Lonchophylla</t>
    </r>
    <r>
      <rPr>
        <sz val="10"/>
        <color indexed="8"/>
        <rFont val="Arial"/>
      </rPr>
      <t xml:space="preserve"> (Chiroptera:  Phyllostomidae).  American Museum Novitates.  Number 3426:1-14.</t>
    </r>
  </si>
  <si>
    <t>males: 4567 (2300-6000); females: 3060</t>
  </si>
  <si>
    <t>Prolagus</t>
  </si>
  <si>
    <t>Sarawak, Borneo, Indonesia</t>
  </si>
  <si>
    <t>Malawi, Tanzania, Zambia</t>
  </si>
  <si>
    <t>warreni</t>
  </si>
  <si>
    <t>Srilankamys</t>
  </si>
  <si>
    <t>USA (New Mexico), Mexico (interior)</t>
  </si>
  <si>
    <t>Dominican Republic</t>
  </si>
  <si>
    <t>males: 43.7 (38-52); females: 42 (40-43)</t>
  </si>
  <si>
    <t>males: head-body144; tail 151; hindfoot 38; ear 19</t>
  </si>
  <si>
    <t>males: head-body 660; tail 720; hindfoot 1110; females: head-body 590 (530-650); tail 655 (590-720); hindfoot 108; ear 42 (36-48)</t>
  </si>
  <si>
    <t>damarensis</t>
  </si>
  <si>
    <t>Sigmoceros</t>
  </si>
  <si>
    <t>Dasymys</t>
  </si>
  <si>
    <t>Synaptomys</t>
  </si>
  <si>
    <t>Atelerix</t>
  </si>
  <si>
    <t>algirus</t>
  </si>
  <si>
    <t>frontalis</t>
  </si>
  <si>
    <t>cancrivorus</t>
  </si>
  <si>
    <t>60, jake goheen</t>
  </si>
  <si>
    <t>similar in size to L. capensis</t>
  </si>
  <si>
    <r>
      <t xml:space="preserve">276.  De Mello Beisiegel, B. and Zuercher, G. L.  2005.  </t>
    </r>
    <r>
      <rPr>
        <i/>
        <sz val="10"/>
        <color indexed="8"/>
        <rFont val="Arial"/>
      </rPr>
      <t>Speothos venaticus</t>
    </r>
    <r>
      <rPr>
        <sz val="10"/>
        <color indexed="8"/>
        <rFont val="Arial"/>
      </rPr>
      <t>.  Mammalian Species No. 783:1-6.  The American Society of Mammalogists.</t>
    </r>
  </si>
  <si>
    <t>153, 277</t>
  </si>
  <si>
    <t>Status: extant, extinct (terminal Pleistocene), historical (near-time or last 500 years). Note that some recently extinct species may be listed here as extant -double check any species without a continent.</t>
  </si>
  <si>
    <t>pulchellum</t>
  </si>
  <si>
    <t>Iraq, Iran</t>
  </si>
  <si>
    <t>coibae</t>
  </si>
  <si>
    <t>Spelaeomys</t>
  </si>
  <si>
    <t>florensis</t>
  </si>
  <si>
    <t>ollula</t>
  </si>
  <si>
    <t>Subantarctic islands of New Zealand</t>
  </si>
  <si>
    <t>Russia, Kazakhstan, Mongolia, China</t>
  </si>
  <si>
    <t>females: 350</t>
  </si>
  <si>
    <t>males: 1550 (1100-2000)</t>
  </si>
  <si>
    <t>males: 81 (75-86)</t>
  </si>
  <si>
    <t>males: 448.1 (352-470); females: 360 (280-440)</t>
  </si>
  <si>
    <t xml:space="preserve">males: 328 (324-332); females: 228 </t>
  </si>
  <si>
    <t>Siberia, Mongolia, China</t>
  </si>
  <si>
    <t>India, Bhutan</t>
  </si>
  <si>
    <t>Laos, Burma, Vietnam, Thailand, China</t>
  </si>
  <si>
    <t>Tetracerus</t>
  </si>
  <si>
    <t>nemaeus</t>
  </si>
  <si>
    <t>roxellana</t>
  </si>
  <si>
    <t>portenkoi</t>
  </si>
  <si>
    <t>roboratus</t>
  </si>
  <si>
    <t>sadonis</t>
  </si>
  <si>
    <t>samniticus</t>
  </si>
  <si>
    <t>satunini</t>
  </si>
  <si>
    <t>shinto</t>
  </si>
  <si>
    <t>Soriculus</t>
  </si>
  <si>
    <t>fumidus</t>
  </si>
  <si>
    <t>hypsibius</t>
  </si>
  <si>
    <t>Santa Catalina Isls., Baja CA</t>
  </si>
  <si>
    <t>San Estaban Isls., Mexico</t>
  </si>
  <si>
    <t>argentiventer</t>
  </si>
  <si>
    <t>called Melomys lutillus in mammals of New Guinea</t>
  </si>
  <si>
    <t>Burma, Malaysia</t>
  </si>
  <si>
    <t>FA:63</t>
  </si>
  <si>
    <t>FA:60</t>
  </si>
  <si>
    <t>111, 114, 115, 261</t>
  </si>
  <si>
    <t>117, 261</t>
  </si>
  <si>
    <t>68, 261</t>
  </si>
  <si>
    <t>111, 114, 261</t>
  </si>
  <si>
    <t>SH:820</t>
  </si>
  <si>
    <t>FA:130</t>
  </si>
  <si>
    <t>FA:413</t>
  </si>
  <si>
    <t>9 July &amp; 11 July - added references 259-261 - SKL</t>
  </si>
  <si>
    <t>256.  Young, R. A. and Ford, G. I.  2000.  Bat fauna of a semi-arid environment in central western Queensland, Australia.  Wildlife Research.  27:203-215.</t>
  </si>
  <si>
    <t>WT:107</t>
  </si>
  <si>
    <t>WT:54.5</t>
  </si>
  <si>
    <t>WT:20000</t>
  </si>
  <si>
    <t>WT:5000</t>
  </si>
  <si>
    <t>Hainan Isl., China</t>
  </si>
  <si>
    <t>China, Burma</t>
  </si>
  <si>
    <t>Sumatra, Borneo</t>
  </si>
  <si>
    <t>Boromys</t>
  </si>
  <si>
    <t>elaphinus</t>
  </si>
  <si>
    <t xml:space="preserve">185.  Sutou, S. Mitsui, Y., Tsuchiya, K.  2001.  Sex determination without the Y chromosome in two japanese rodents Tokudaia osimensis osimensis and Tokudaia osimensis spp.  Mammalian Genome.  12:17-21.  </t>
  </si>
  <si>
    <t>208.  Lazell, J., Lu, W., Xia, W., Li, S. Y., and Smith, A.  1995.  Status of the Hainan Hare.  Species 25:   Available at:  http://www.ualberta.ca/~dhik/lsg/speciesreports.htm#December%201995,%20Number%2025.</t>
  </si>
  <si>
    <t>http://www.animalinfo.org/species/nesonets.htm</t>
  </si>
  <si>
    <t>263.  Rosevear, D. R.  1969.  The rodens of west Africa.  The British Museum (Natural History).  London, England.</t>
  </si>
  <si>
    <r>
      <t xml:space="preserve">270.  Rosi, M. I., Cona, M. I., Roig, V. G., Massarini, A. I., and Verzi, D. H.  2005.  </t>
    </r>
    <r>
      <rPr>
        <i/>
        <sz val="10"/>
        <color indexed="8"/>
        <rFont val="Arial"/>
      </rPr>
      <t>Ctenomys mendocinus</t>
    </r>
    <r>
      <rPr>
        <sz val="10"/>
        <color indexed="8"/>
        <rFont val="Arial"/>
      </rPr>
      <t>.  Mammalian Species No. 777:1-6.  The American Society of Mammalogists.</t>
    </r>
  </si>
  <si>
    <t>Nepal to Burma, China and Thailand to Laos</t>
  </si>
  <si>
    <t>Some North American species - J.Brown and P.Niccoleto (see Am. Nat publication)</t>
  </si>
  <si>
    <t>splendidula</t>
  </si>
  <si>
    <t>tana</t>
  </si>
  <si>
    <t>alpina</t>
  </si>
  <si>
    <t>cansus</t>
  </si>
  <si>
    <t>China, Burma, Vietnam</t>
  </si>
  <si>
    <t>Malay peninsula, Thailand, Laos, Cambodia, Vietnam, China, Burma</t>
  </si>
  <si>
    <t>curzoniae</t>
  </si>
  <si>
    <t>dauurica</t>
  </si>
  <si>
    <t>gaoligongensis</t>
  </si>
  <si>
    <t>245.  Aguirre, L. F., Herrel, A., van Damme, R. and Matthysen, E.  2002.  Ecomorphological analysis of trophic niche partitioning in a tropical savannah bat community.</t>
  </si>
  <si>
    <t>males: head-body 219 (174-265); tail 116 (111-120); hindfoot 34 (30-38); ear: 22</t>
  </si>
  <si>
    <t>largest of all bandicoots, fossil or modern</t>
  </si>
  <si>
    <t>males: 865 (730-1000); females: 812 (650-960)</t>
  </si>
  <si>
    <t>males: 54; females: 56 (54-58)</t>
  </si>
  <si>
    <t>high elevations in E Africa, Ethiopia, Uganda, Kenya, Malawi, Zambia, C Tanzania</t>
  </si>
  <si>
    <t>Stenomys</t>
  </si>
  <si>
    <t>Barbados, Lesser Antilles</t>
  </si>
  <si>
    <t>249.  Fenton, M. B., Bernard, E., Bouchard, S., Hollis, L., Johnston, D. S., Lausen, C. L., Ratcliffe, J. M., Riskin, D. K., Taylor, J. R., and Zigouris, J.  2001.  The bat fauna of Lamanai, Belize:  roosts and trophic roles.  Journal of Tropical Ecology.  17:511-524.</t>
  </si>
  <si>
    <t>aka Tatera ruddi</t>
  </si>
  <si>
    <t>60, http://members.vienna.at/shrew/itsesAP95-sorex.html#gracillimus</t>
  </si>
  <si>
    <t>182.  SARÀ, M. and MORAND, S.  2002.  Island incidence and mainland population density:  mammals from Mediterranean islands.  Diversity and  Distributions.  8:1-9.</t>
  </si>
  <si>
    <t>111, 182</t>
  </si>
  <si>
    <t>68, 182</t>
  </si>
  <si>
    <t>261.  Goodwin, G. G. and Greenhall, A. M.  1961.  A review of the bats of Trinidad and Tobago:  Descriptions, rabies infection, and ecology.  Bulletin of the American Museum of Natural History.  122:191-301.</t>
  </si>
  <si>
    <t>comment</t>
  </si>
  <si>
    <t>262.  Harrison, D. L., and Bates, P. J. J.  1991.  The mammals of Arabia.  Second edition.  Harrison Zoological Museum.  Sevenoaks, Kent, England.</t>
  </si>
  <si>
    <t>specimen from oman</t>
  </si>
  <si>
    <t>FA:116.6</t>
  </si>
  <si>
    <r>
      <t xml:space="preserve">277.  Lausen, C. L. and Barclay, R. M. R.  2005.  </t>
    </r>
    <r>
      <rPr>
        <i/>
        <sz val="10"/>
        <color indexed="8"/>
        <rFont val="Arial"/>
      </rPr>
      <t>Pipistrellus nanus</t>
    </r>
    <r>
      <rPr>
        <sz val="10"/>
        <color indexed="8"/>
        <rFont val="Arial"/>
      </rPr>
      <t>.  Mammalian Species No. 784:1-7.  The American Society of Mammalogists</t>
    </r>
  </si>
  <si>
    <t>153, 278</t>
  </si>
  <si>
    <r>
      <t>BATS</t>
    </r>
    <r>
      <rPr>
        <sz val="10"/>
        <color indexed="8"/>
        <rFont val="Arial"/>
      </rPr>
      <t xml:space="preserve">: Data are averaged across continents, thus each species appears only once. These data are averaged across gender when both were available; otherwise female mass is used in preference to male mass </t>
    </r>
  </si>
  <si>
    <t>cervicolor</t>
  </si>
  <si>
    <t>sejugis</t>
  </si>
  <si>
    <t>Angel de la Guarda Ils, Granito &amp; Mejia Isl., Gulf of California</t>
  </si>
  <si>
    <t>St. Paul, Pribilof Isls. Bering Sea</t>
  </si>
  <si>
    <t>Ecuador, Peru</t>
  </si>
  <si>
    <t>males</t>
  </si>
  <si>
    <t>Idaho, Montana, Wyoming, Utah</t>
  </si>
  <si>
    <t>Idaho, Oregon, California, Nevada, USA</t>
  </si>
  <si>
    <t>Vietnam, Laos, China</t>
  </si>
  <si>
    <t>229.  www.animalinfo.org/species/crypzyli.htm  (August 2004)</t>
  </si>
  <si>
    <r>
      <t xml:space="preserve">279.  Hwang, Y. T., and Lariviére, S.  2005.  </t>
    </r>
    <r>
      <rPr>
        <i/>
        <sz val="10"/>
        <color indexed="8"/>
        <rFont val="Arial"/>
      </rPr>
      <t>Lutrogale perspicillata</t>
    </r>
    <r>
      <rPr>
        <sz val="10"/>
        <color indexed="8"/>
        <rFont val="Arial"/>
      </rPr>
      <t>.  Mammalian Species No. 786:1-4.  The American Society of Mammalogists</t>
    </r>
  </si>
  <si>
    <t>232.  Www.it is.usda.gov/servlet/singlerpt/singlerpt?search_topic=aus (August 2004)</t>
  </si>
  <si>
    <t>male only</t>
  </si>
  <si>
    <r>
      <t xml:space="preserve">280.  Sherwin, R. E. and Gannon, W. L. 2005.  </t>
    </r>
    <r>
      <rPr>
        <i/>
        <sz val="10"/>
        <color indexed="8"/>
        <rFont val="Arial"/>
      </rPr>
      <t>Ariteus flavescens.</t>
    </r>
    <r>
      <rPr>
        <sz val="10"/>
        <color indexed="8"/>
        <rFont val="Arial"/>
      </rPr>
      <t xml:space="preserve">  </t>
    </r>
    <r>
      <rPr>
        <sz val="10"/>
        <color indexed="8"/>
        <rFont val="Arial"/>
      </rPr>
      <t>Mammalian Species No. 787:1-3.  The American Society of Mammalogists</t>
    </r>
  </si>
  <si>
    <t>FA:324</t>
  </si>
  <si>
    <t>FA:190.2</t>
  </si>
  <si>
    <t>254.  Webster, W. D. and Knox Jr., J. J.  1983.  Artibeus hirsutus and Artibeus inopinatus.  Mammalian Species No. 199:1-3. The American Society of Mammalogists.</t>
  </si>
  <si>
    <t>255.  Bouchard, S.  2001.  Chaerephon ansorgei.  Mammalian Species No. 660:1-3.  The American Society of Mammalogists.</t>
  </si>
  <si>
    <t>257.  Yasuma, S., Andau, M., Apin, L. Tuh Yit Yu, F., and Kimsui, L.  2003.  Identification keys to the mammals of Borneo.  Bornean Biodiversity &amp; Ecosystem conservation programme in Sabah.  Park Management Component  BBEC Programme.</t>
  </si>
  <si>
    <t>118, 257</t>
  </si>
  <si>
    <t>E New Guinea, Borneo</t>
  </si>
  <si>
    <t>215, 257</t>
  </si>
  <si>
    <t>119, 120, 257</t>
  </si>
  <si>
    <t>68, 118, 257</t>
  </si>
  <si>
    <t>listed as metanotis</t>
  </si>
  <si>
    <t>118, 123, 257</t>
  </si>
  <si>
    <t>60, 257</t>
  </si>
  <si>
    <t>75, 118, 257</t>
  </si>
  <si>
    <t>68, 257</t>
  </si>
  <si>
    <r>
      <t xml:space="preserve">272.  Gorsuch, W. A., and Lariviére, S.  2005.  </t>
    </r>
    <r>
      <rPr>
        <i/>
        <sz val="10"/>
        <color indexed="8"/>
        <rFont val="Arial"/>
      </rPr>
      <t>Vormela peregusna</t>
    </r>
    <r>
      <rPr>
        <sz val="10"/>
        <color indexed="8"/>
        <rFont val="Arial"/>
      </rPr>
      <t>.  Mammalian Species No. 779:1-5.  The American Society of Mammalogists.</t>
    </r>
  </si>
  <si>
    <r>
      <t xml:space="preserve">281.  Lim, B. K., and Engstrom, M. D.  2001.  Species diversity of bats (Mammalia: Chiroptera) in Iwokrama Forest, Guyana, and the Guianan subregion:  implications for conservation.  </t>
    </r>
    <r>
      <rPr>
        <i/>
        <sz val="10"/>
        <color indexed="8"/>
        <rFont val="Arial"/>
      </rPr>
      <t>Biodiversity and Conservation</t>
    </r>
    <r>
      <rPr>
        <sz val="10"/>
        <color indexed="8"/>
        <rFont val="Arial"/>
      </rPr>
      <t xml:space="preserve"> 10:613-657.</t>
    </r>
  </si>
  <si>
    <r>
      <t xml:space="preserve">273.  Barreto, G. R., and García-Rangel, S.  2005.  </t>
    </r>
    <r>
      <rPr>
        <i/>
        <sz val="10"/>
        <color indexed="8"/>
        <rFont val="Arial"/>
      </rPr>
      <t>Holochilus sciureus</t>
    </r>
    <r>
      <rPr>
        <sz val="10"/>
        <color indexed="8"/>
        <rFont val="Arial"/>
      </rPr>
      <t>.  Mammalian Species No. 780:1-5.  The American Society of Mammalogists.</t>
    </r>
  </si>
  <si>
    <r>
      <t xml:space="preserve">274.  Skurski, D. A., and Waterman, J. M.  2005.  </t>
    </r>
    <r>
      <rPr>
        <i/>
        <sz val="10"/>
        <color indexed="8"/>
        <rFont val="Arial"/>
      </rPr>
      <t>Xerus inauris</t>
    </r>
    <r>
      <rPr>
        <sz val="10"/>
        <color indexed="8"/>
        <rFont val="Arial"/>
      </rPr>
      <t>.  Mammalian Species No. 781:1-4.  The American Society of Mammalogists</t>
    </r>
  </si>
  <si>
    <t>190.  Haim, A., Shabtay, A. and Arad, Z.  1999.  The thermoregulatory and metabolic responses to photoperiod manipulations of the Macedonian mouse (Mus macedonicus), a post-fire invader.  Journal of Thermal Biology 24:  279-286.</t>
  </si>
  <si>
    <t>246.  Lim, B. K. and Engstrom, M. D.  2001.  Bat community structure at Iwokrama Guyana.  Journal of Tropical Ecology.  17:647-665.</t>
  </si>
  <si>
    <t>animaldiversity.ummz.umich.edu</t>
  </si>
  <si>
    <t>reported as 0.00379 kg in CRC - has to be mistake - see walkers</t>
  </si>
  <si>
    <t>Maria Madre Isl, Maria Magdalena Isl, Mexico</t>
  </si>
  <si>
    <r>
      <t xml:space="preserve">247.  McCarthy, T. J., Albuja V., L.  And Manzano, I.  2000.  Rediscovery of the brown sac-wing bat </t>
    </r>
    <r>
      <rPr>
        <i/>
        <sz val="10"/>
        <color indexed="8"/>
        <rFont val="Arial"/>
      </rPr>
      <t>Balantiopteryx infusca</t>
    </r>
    <r>
      <rPr>
        <sz val="10"/>
        <color indexed="8"/>
        <rFont val="Arial"/>
      </rPr>
      <t xml:space="preserve"> (Thomas, 1897), in Ecuador.  Journal of Mammalogy.  81: 958-961.</t>
    </r>
  </si>
  <si>
    <t xml:space="preserve">49-58mm; regression  </t>
  </si>
  <si>
    <t>Morgan</t>
  </si>
  <si>
    <t>Jake Goheen</t>
  </si>
  <si>
    <t>www.iiasa.ac.at/~sendzim/MammalDataSets/ African%20Rainfor%20Mamm.xls, Jake Goheen</t>
  </si>
  <si>
    <t>130, Jake Goheen</t>
  </si>
  <si>
    <t>231.  Www. Columbia.edu/~kj2107/research/databases/jonesbraindata.htm (August 2004)</t>
  </si>
  <si>
    <t>110-115 mm; http://translate.google.com/translate?hl=en&amp;sl=es&amp;u=http://www.peluzzo.com/variedad/varie05.htm&amp;prev=/search%3Fq%3D%2522Allocricetulus%2Bcurtatus%2522%26start%3D30%26hl%3Den%26lr%3D%26sa%3DN</t>
  </si>
  <si>
    <t xml:space="preserve">Body mass algorithm: A single body mass estimate per continent was derived by averaging male and female adult mass; if both were unavailable male mass was used in preference to female mass. </t>
  </si>
  <si>
    <t>Mammalian species #249, 60</t>
  </si>
  <si>
    <t>S Israel</t>
  </si>
  <si>
    <t>caudifera</t>
  </si>
  <si>
    <t>405mm</t>
  </si>
  <si>
    <t>61 mm</t>
  </si>
  <si>
    <t>Afghan mammals.pdf</t>
  </si>
  <si>
    <t>112 mm</t>
  </si>
  <si>
    <t>226, 244</t>
  </si>
  <si>
    <t>278.  Hernández-Meza, B., Domínguez-Castellanos, Y. and Ortega, J.  2005.  Mammalian Species No. 785:1-3.  The American Society of Mammalogists</t>
  </si>
  <si>
    <t>68, 279</t>
  </si>
  <si>
    <t>FA:49.8</t>
  </si>
  <si>
    <t>FA:61.3</t>
  </si>
  <si>
    <t>FA:51.4</t>
  </si>
  <si>
    <t>FA:44.5</t>
  </si>
  <si>
    <t>FA:58.6</t>
  </si>
  <si>
    <t>FA:53.9</t>
  </si>
  <si>
    <t>FA:67.1</t>
  </si>
  <si>
    <t>FA:59.8</t>
  </si>
  <si>
    <t>FA:40.2</t>
  </si>
  <si>
    <t>FA:40.4</t>
  </si>
  <si>
    <t>FA:39.3</t>
  </si>
  <si>
    <t>FA:39.2</t>
  </si>
  <si>
    <t>FA:54.8</t>
  </si>
  <si>
    <t>FA:46</t>
  </si>
  <si>
    <t>FA:34.2</t>
  </si>
  <si>
    <t>FA:30.5</t>
  </si>
  <si>
    <t>FA:33.6</t>
  </si>
  <si>
    <t>FA:33.5</t>
  </si>
  <si>
    <t>FA:32.9</t>
  </si>
  <si>
    <t>FA:29.5</t>
  </si>
  <si>
    <t>FA:30</t>
  </si>
  <si>
    <t>FA:30.9</t>
  </si>
  <si>
    <t>FA:51.5</t>
  </si>
  <si>
    <t>FA:63.6</t>
  </si>
  <si>
    <t>FA:39.5</t>
  </si>
  <si>
    <t>FA:38.4</t>
  </si>
  <si>
    <t>FA:45.2</t>
  </si>
  <si>
    <t>FA:271</t>
  </si>
  <si>
    <t>about the size of H. auritus</t>
  </si>
  <si>
    <t>184.  Vinogradov, A.E., Anatskaya, O.V., and Kudryavtsev, B. N.  2001.  Relationship of hepatocyte ploidy levels with body size and growth rate in mammals.  Genome 44: 350-360.</t>
  </si>
  <si>
    <t>228-90 mm; walkers online</t>
  </si>
  <si>
    <t xml:space="preserve">150-200mm </t>
  </si>
  <si>
    <t>Walkers online, 60</t>
  </si>
  <si>
    <t>head-body:162mm</t>
  </si>
  <si>
    <t>195.  Yigit, N. Qolak, E., Sozen, M. and Ozkurt, S.  2000.  A study on the hibernation of Spermophilus xanthoprymnus (Bennet, 1835) (Mammalia:  Rodentia) in Turkey.  Turkey Journal of Zoology.  24: 87-93.</t>
  </si>
  <si>
    <r>
      <t xml:space="preserve">251.  Canaals, M. Iriarte-Díaz, J., Olivares, R., and Novoa, F.  2001.  Comparison of the wing morphology of </t>
    </r>
    <r>
      <rPr>
        <i/>
        <sz val="10"/>
        <color indexed="8"/>
        <rFont val="Arial"/>
      </rPr>
      <t>Tadarida brasiliensis</t>
    </r>
    <r>
      <rPr>
        <sz val="10"/>
        <color indexed="8"/>
        <rFont val="Arial"/>
      </rPr>
      <t xml:space="preserve"> (Chiroptera:  Molossidae) and </t>
    </r>
    <r>
      <rPr>
        <i/>
        <sz val="10"/>
        <color indexed="8"/>
        <rFont val="Arial"/>
      </rPr>
      <t>Myotic chiloensis</t>
    </r>
    <r>
      <rPr>
        <sz val="10"/>
        <color indexed="8"/>
        <rFont val="Arial"/>
      </rPr>
      <t xml:space="preserve"> (Chiroptera:  Vespertilionidae) as representatives of two flight patterns.  Revista Chilena de Historia Natural.  74: 699-704</t>
    </r>
  </si>
  <si>
    <t>186.  Robert S. Hoffmann . 1996. A research information system for mammals with Palaearctic examples. in: Conserving China's Biodiversity (II)  (PETER Johan Schei, WANG Sung and XIE Yan eds.). China Environmental Science Press. Beijing. 231-246p</t>
  </si>
  <si>
    <t>318 to 408 kg</t>
  </si>
  <si>
    <t>m140, f120 kg</t>
  </si>
  <si>
    <t>m15, f 12 kg</t>
  </si>
  <si>
    <t>m 280, f 224</t>
  </si>
  <si>
    <t>165 to 275 g</t>
  </si>
  <si>
    <t xml:space="preserve">www.hokudai.ac.jp/fsc/ bg/muse/PDF/oriipdf/oriilist08.pdf </t>
  </si>
  <si>
    <t>189.  Qolak, E., Yigit, N., and Sozen, M.  1998.  A study on taxonomic status of Microtus subterraneus (de Selys Longchamps, 1836) and Microtus majori Thomas, 1906 (Mammalia:  Rodentia) in Turkey.  Turkey Journal of Zoology.  22: 119-129.</t>
  </si>
  <si>
    <r>
      <t xml:space="preserve">271.  Mancina, C.A. 2005.  </t>
    </r>
    <r>
      <rPr>
        <i/>
        <sz val="10"/>
        <color indexed="8"/>
        <rFont val="Arial"/>
      </rPr>
      <t>Pteronotus macleayii</t>
    </r>
    <r>
      <rPr>
        <sz val="10"/>
        <color indexed="8"/>
        <rFont val="Arial"/>
      </rPr>
      <t>.  Mammalian Species No. 778: 1-3.  The American Society of Mammalogists.</t>
    </r>
  </si>
  <si>
    <r>
      <t xml:space="preserve">252.  Riskin, D. K. and Fenton, M. B.  2001.  Sticking ability in Spix's disk-winged bat, </t>
    </r>
    <r>
      <rPr>
        <i/>
        <sz val="10"/>
        <color indexed="8"/>
        <rFont val="Arial"/>
      </rPr>
      <t>Thyroptera tricolor</t>
    </r>
    <r>
      <rPr>
        <sz val="10"/>
        <color indexed="8"/>
        <rFont val="Arial"/>
      </rPr>
      <t xml:space="preserve"> (Microchioptera: Thyropteridae).  Canadian Journal of Zoology 79:2261-2267.</t>
    </r>
  </si>
  <si>
    <t>211; http://members.tripod.com/uakari/trachypithecus_auratus.html</t>
  </si>
  <si>
    <t>habitat loss, changes in food base</t>
  </si>
  <si>
    <t>216.  White, C. R., and Seymour, R. S.  2003.  Mammalian basal metabolic rate is proportional to body mass^2/3.  PNAS 100:4046-4049.</t>
  </si>
  <si>
    <t>http://www.tiho-hannover.de/gibbons/main2/index.html</t>
  </si>
  <si>
    <t>267-305 mm, regression</t>
  </si>
  <si>
    <t>250.  Ibañez, C. Ramo, C. and Busto, B.  1992.  Notes on the food habits of the black and white owl.  Condor 94:529-531.</t>
  </si>
  <si>
    <t>112-148 mm head-body</t>
  </si>
  <si>
    <t>253.  Flannery, T. 1995a. Mammals of the South-West Pacific &amp; Moluccan Islands. Comstock/Cornell, Ithaca NY, USA</t>
  </si>
  <si>
    <t>253, http://www.animalinfo.org/species/bat/anthorna.htm</t>
  </si>
  <si>
    <t>FA:66.9</t>
  </si>
  <si>
    <t>FA:48.3</t>
  </si>
  <si>
    <t>FA:46.3</t>
  </si>
  <si>
    <t>FA:73.7</t>
  </si>
  <si>
    <t>FA:61.9</t>
  </si>
  <si>
    <t>FA:45.4</t>
  </si>
  <si>
    <t>FA:57.2</t>
  </si>
  <si>
    <t>FA:47.1</t>
  </si>
  <si>
    <t>FA:35.7</t>
  </si>
  <si>
    <t>FA:45.7</t>
  </si>
  <si>
    <t>FA:49.4</t>
  </si>
  <si>
    <t>FA:45.3</t>
  </si>
  <si>
    <t>FA:50.7</t>
  </si>
  <si>
    <r>
      <t xml:space="preserve">228.  Withers, P.C.  2000.  Metablic physiology of </t>
    </r>
    <r>
      <rPr>
        <sz val="10"/>
        <color indexed="8"/>
        <rFont val="Arial"/>
      </rPr>
      <t>Notoryctes caurinus.  Australian Journal of Zoology 48:241-258.</t>
    </r>
  </si>
  <si>
    <t>230.   www.animalinfo.org/species/chryvisa.htm  (August 2004)</t>
  </si>
  <si>
    <t>www.iiasa.ac.at/~sendzim/MammalDataSets/ Woodland%20Savanna%20Mamm.xls</t>
  </si>
  <si>
    <t>144, 146</t>
  </si>
  <si>
    <t>mammals of afghan.pdf</t>
  </si>
  <si>
    <t>141 mm</t>
  </si>
  <si>
    <t>angustirostris</t>
  </si>
  <si>
    <t>Monachus</t>
  </si>
  <si>
    <t>Phoca</t>
  </si>
  <si>
    <t>caspica</t>
  </si>
  <si>
    <t>fasciata</t>
  </si>
  <si>
    <t>brookei</t>
  </si>
  <si>
    <t>dauricus</t>
  </si>
  <si>
    <t>erythrogenys</t>
  </si>
  <si>
    <t>musicus</t>
  </si>
  <si>
    <t>relictus</t>
  </si>
  <si>
    <t>suslicus</t>
  </si>
  <si>
    <t>sonomae</t>
  </si>
  <si>
    <t>silindensis</t>
  </si>
  <si>
    <t>172.  Christiane Mauget, Robert Mauget, and Antoine Sempéré.  1999.  Energy expenditure in European roe deer fawns during the suckling period and its relationship with maternal reproductive cost.  Can. J. Zool. 77: 389–396.</t>
  </si>
  <si>
    <t>209.  McFarlane, D. A.  1999.  A note on dimorphism in Nesophontes edithae (Mammalia:  Insectivora), an extinct island-shrew from Puerto Rico.  Caribbean Journal of Science.  35:142-143.</t>
  </si>
  <si>
    <t xml:space="preserve">177. Charudutt Mishra1,2, Sipke E. Van Wieren1, Ignas M. A. Heitkönig1 and Herbert H. T. Prins1  (2002) A theoretical analysis of competitive exclusion in a  Trans-Himalayan large-herbivore assemblage  Animal Conservation 5, 251–258  ©2002 The Zoological Society of London  </t>
  </si>
  <si>
    <t>121-159mm; body weight is 48-127g</t>
  </si>
  <si>
    <t>restricted range, unknown</t>
  </si>
  <si>
    <r>
      <t xml:space="preserve">243.  Stanley, W.T. and Olson, L. E. 2005.  Phylogeny, phylogeography, and geographic variation of </t>
    </r>
    <r>
      <rPr>
        <i/>
        <sz val="10"/>
        <color indexed="8"/>
        <rFont val="Arial"/>
      </rPr>
      <t xml:space="preserve">Sylvisorex howelli </t>
    </r>
    <r>
      <rPr>
        <sz val="10"/>
        <color indexed="8"/>
        <rFont val="Arial"/>
      </rPr>
      <t>(Family Soricidae), an endemic shrew of the Eastern Arc Mountains, Tanzania.  Journal of Zoology (in press)</t>
    </r>
  </si>
  <si>
    <t>202. Key, N.  Cervus alfredi (Visayan spotted deer). [28 July 2004; online] Available at :  http://animaldiversity.ummz.umich.edu/site/accounts/information/Cervus_alfredi.html</t>
  </si>
  <si>
    <t>http://www.ultimateungulate.com/Artiodactyla/Sus_celebensis.html</t>
  </si>
  <si>
    <t>194.  Iriarte-Diaz, J.  2002.  Differential scaling of locomotor performance in small and large terrestrial mammals.  The Journal of Experimental Biology.  205:2897-2908.</t>
  </si>
  <si>
    <t>187.  Tchabovsky, A. and Bazykin, G.  2004.  Females delay dispersal and breeding in a solitary gerbil, Meriones tamariscinus.  Journal of Mammalogy.  85:105-112.</t>
  </si>
  <si>
    <t>60; http://members.vienna.at/shrew/itsesAP95-sorex.html#roboratus</t>
  </si>
  <si>
    <t>marmorata</t>
  </si>
  <si>
    <t>175.  Steinlechner, S.  1998.  DJUNGARIAN HAMSTER AND/OR SIBERIAN HAMSTER: WHO IS WHO? Reprinted from European Pineal Society NEWS, 1998, number 38 (April): 7-11</t>
  </si>
  <si>
    <t>50-81mm, regression</t>
  </si>
  <si>
    <t>morgan's dataset</t>
  </si>
  <si>
    <t>males: 42.2(36.3-47); females: 34.3(32.0-37.6)</t>
  </si>
  <si>
    <t>invasive pathogens/parasites</t>
  </si>
  <si>
    <t>70, 125</t>
  </si>
  <si>
    <t>226. Goodman, S.M., Hutterer, R., and P.R. Ngnegueu.  2001.  A report on the community of shrews (Mammalia:  Soricidae) occurrring in the Minkebe Forest, northeastern Gabon. Mammalian Biology 66:22-34.</t>
  </si>
  <si>
    <t>227.  OHDACHI, A. 1992.  Female reproduction in three species of Sorex in Hokkaido, Japan.  Journal of Mammalogy 73:455-457.</t>
  </si>
  <si>
    <t>Damuth working group</t>
  </si>
  <si>
    <t>mammalian spp. Account # 459</t>
  </si>
  <si>
    <t>male:1495; femal:1770</t>
  </si>
  <si>
    <t>europe</t>
  </si>
  <si>
    <t>knoblochi</t>
  </si>
  <si>
    <t>asia</t>
  </si>
  <si>
    <t>Coelodonta</t>
  </si>
  <si>
    <t>20.90±3.12 g</t>
  </si>
  <si>
    <t>244.  Goodman, S. M., and Hutterer, R.  2004.  A report on the shrews (Mammalia:  Soricidae) of Monts Doudou, Gabon:  Elevational Distribution and preliminary insights into their ecology.  California Academy of Sciences Memoir.  28: 93-105.</t>
  </si>
  <si>
    <t>170.  Liu, J.S., Wang, D.H., Sun, R.Y.  Metabolism and thermoregulation in striped hamsters(Cricetulus barabensis)from the Northeast of China.  Acta Zoologica Sinica, Aug. 2003, 49(4):451 - 457</t>
  </si>
  <si>
    <t>207.  Dieterlen, F. and Van Der Straeten, E.  1984.  New specimens of Malacomys vershureni from Eastern Zaïre (Mammalia, Muridae).  Revue de Zoologie Africaine.  98(4):  861-868.</t>
  </si>
  <si>
    <t>136-203mm; http://members.vienna.at/shrew/itsesAP95-talpinae.html#altaica</t>
  </si>
  <si>
    <t>Morgan's dataset</t>
  </si>
  <si>
    <t>http://members.vienna.at/shrew/itsesAP95-erinaceidae.html#mesechinus</t>
  </si>
  <si>
    <t>reported as 0.0024 kg in CRC - has to be mistake - see walkers</t>
  </si>
  <si>
    <t>36, 37, 38, 58, 112, Stuart 1999</t>
  </si>
  <si>
    <t>Europe &amp; Asia</t>
  </si>
  <si>
    <t>Spirocerus</t>
  </si>
  <si>
    <t>kiakhtensis</t>
  </si>
  <si>
    <t>Trogontherium</t>
  </si>
  <si>
    <t>www.aciar.gov.au/web.nsf/ doc/ACIA-5UFV6V/$file/MN100-Part%203.pd</t>
  </si>
  <si>
    <t>140, 244</t>
  </si>
  <si>
    <t>95 to 200 g</t>
  </si>
  <si>
    <t>80 to 115g</t>
  </si>
  <si>
    <t>hunting, persecution, habitat loss, invasive spp., restricted range</t>
  </si>
  <si>
    <t>thibetanus</t>
  </si>
  <si>
    <t>Arctictis</t>
  </si>
  <si>
    <t>binturong</t>
  </si>
  <si>
    <t>datae</t>
  </si>
  <si>
    <t>hylocoetes</t>
  </si>
  <si>
    <t>sacobianus</t>
  </si>
  <si>
    <t>Apomys</t>
  </si>
  <si>
    <t>abrae</t>
  </si>
  <si>
    <t>flammifer</t>
  </si>
  <si>
    <t>gilvigularis</t>
  </si>
  <si>
    <t>laticeps</t>
  </si>
  <si>
    <t>Tamiasciurus</t>
  </si>
  <si>
    <t>douglasii</t>
  </si>
  <si>
    <t>hudsonicus</t>
  </si>
  <si>
    <t>pucheranii</t>
  </si>
  <si>
    <t>granatensis</t>
  </si>
  <si>
    <t>ignitus</t>
  </si>
  <si>
    <t>igniventris</t>
  </si>
  <si>
    <t>Dugongidae</t>
  </si>
  <si>
    <t>Dugong</t>
  </si>
  <si>
    <t>dugon</t>
  </si>
  <si>
    <t>Tubulidentata</t>
  </si>
  <si>
    <t>manipulus</t>
  </si>
  <si>
    <t>mackenziei</t>
  </si>
  <si>
    <t>melanopterus</t>
  </si>
  <si>
    <t>Aeromys</t>
  </si>
  <si>
    <t>tephromelas</t>
  </si>
  <si>
    <t>Belomys</t>
  </si>
  <si>
    <t>pearsonii</t>
  </si>
  <si>
    <t>201.  Lacas. S., Allevard, A. M., Ag'Atteinine, S., Gallo-Bona, N., Gauquelin-Koch, G., Hardin-Pouzet, H., Gharib, C., Sicard, B., and Maurel, D.  2000.  Cardiac Natriuretic peptide response to water restriction in the hormonal adaptation of two semidesert rodents from West Africa (Steatomys caurinus, Taterillus gracilis).  General and Comparative Endocrinology.  120:176-189.</t>
  </si>
  <si>
    <t>210.  Mathieson, L. 2002. "Pentalagus furnessi" (On-line), Animal Diversity Web. Accessed July 30, 2004 at http://animaldiversity.ummz.umich.edu/site/accounts/information/Pentalagus_furnessi.html.</t>
  </si>
  <si>
    <t>168.  GOMBOBAATAR S, SUMIYA D., SAMIYA R., BAYARLKHAGVA D.  Current research and future trends of cooperative raptor research between Mongolia and Korea.  2003 Symposium on Cooperation between Korea and Mongolia for Wildlife Conservation.</t>
  </si>
  <si>
    <t>58-80mm; regression</t>
  </si>
  <si>
    <t>http://members.vienna.at/shrew/itsesAP95-talpinae.html</t>
  </si>
  <si>
    <t>80mm; regression</t>
  </si>
  <si>
    <t>60, http://members.vienna.at/shrew/itsesAP95-soricinae.html#schelkovnikovi</t>
  </si>
  <si>
    <t>60, http://members.vienna.at/shrew/itsesAP95-sorex.html#asper</t>
  </si>
  <si>
    <t>65mm; regression</t>
  </si>
  <si>
    <t>70mm; regression</t>
  </si>
  <si>
    <t>hunting, habitat loss, invasive predators, competitors &amp; pathogens</t>
  </si>
  <si>
    <t>hemitoechus</t>
  </si>
  <si>
    <t>178.  Juskaitis, Rimvydas.  1999.  Pygmy field mouse (Apodemus uralensis pallas):  a new mammal species in lithuania.  Acta Zoologica lituanica.  Biodiversity.  9:  118-119.</t>
  </si>
  <si>
    <t>persecution, changes in food base, accidental mortality</t>
  </si>
  <si>
    <t>Stuart, 1999, 165</t>
  </si>
  <si>
    <t>Northern Eurasia</t>
  </si>
  <si>
    <t>inas</t>
  </si>
  <si>
    <t>mandarinus</t>
  </si>
  <si>
    <t>amurensis</t>
  </si>
  <si>
    <t>verheyeni</t>
  </si>
  <si>
    <t>albigena</t>
  </si>
  <si>
    <t>Macaca</t>
  </si>
  <si>
    <t>sylvanus</t>
  </si>
  <si>
    <t>spechti</t>
  </si>
  <si>
    <t>eleusis</t>
  </si>
  <si>
    <t>hylophilus</t>
  </si>
  <si>
    <t>ischyurus</t>
  </si>
  <si>
    <t>ladewi</t>
  </si>
  <si>
    <t>monochromos</t>
  </si>
  <si>
    <t>niveipes</t>
  </si>
  <si>
    <t>notatus</t>
  </si>
  <si>
    <t>oreas</t>
  </si>
  <si>
    <t>Myoxidae</t>
  </si>
  <si>
    <t>crinifrons</t>
  </si>
  <si>
    <t>feae</t>
  </si>
  <si>
    <t>middendorffi</t>
  </si>
  <si>
    <t>mongolicus</t>
  </si>
  <si>
    <t>montebelli</t>
  </si>
  <si>
    <t>Graphiurus</t>
  </si>
  <si>
    <t>hueti</t>
  </si>
  <si>
    <t>ocularis</t>
  </si>
  <si>
    <t>platyops</t>
  </si>
  <si>
    <t>Octodontidae</t>
  </si>
  <si>
    <t>Aconaemys</t>
  </si>
  <si>
    <t>sagei</t>
  </si>
  <si>
    <t>Octodon</t>
  </si>
  <si>
    <t>bridgesi</t>
  </si>
  <si>
    <t>Octodontomys</t>
  </si>
  <si>
    <t>Octomys</t>
  </si>
  <si>
    <t>mimax</t>
  </si>
  <si>
    <t>Myoxus</t>
  </si>
  <si>
    <t>glis</t>
  </si>
  <si>
    <t>hylocrius</t>
  </si>
  <si>
    <t>jayakari</t>
  </si>
  <si>
    <t>pyrenaica</t>
  </si>
  <si>
    <t>ammon</t>
  </si>
  <si>
    <t>Macrogalidia</t>
  </si>
  <si>
    <t xml:space="preserve">199.  Aeschimann, J.,  Bourquin, L., Engels, B., Thomas, C. and Vogel, P.  1998.  Comparative winter thermoregulation and body temperature in three sympatric Apodemus species (A. alpicola, A. flavicollis, and A. sylvaticus).  Z. Säugetierkunde.  63.  273-284.  </t>
  </si>
  <si>
    <t>hunting, habitat loss, invasive predators/competitors</t>
  </si>
  <si>
    <t>221.  Herron, M. D. and J. M. Waterman.  2004.  Xerus erythropus.  Mammalian Species No. 748:1-4.  The American Society of Mammalogists.</t>
  </si>
  <si>
    <t>habitat loss, changes in native competitors/feral cats, dogs</t>
  </si>
  <si>
    <t xml:space="preserve">167.  Zhang, Y., Zhang, Z., and Liu, J.  2003. Burrowing rodents as ecosystem engineers: the ecology and  management of plateau zokors  Myospalax fontanierii  in alpine  meadow ecosystems on the Tibetan Plateau.  Mammal Rev . Volume 33, No. 3, 284–294. </t>
  </si>
  <si>
    <t>Within continents, estimates were averaged across geographic localities. See J.Haskell and F.Smith for details.</t>
  </si>
  <si>
    <t>200.  Yeboah, S. and Dakwa, K. B. 2002.  Aspects of the feeding habits and reproductive biology of the Ghana mole-rat Cryptomys zechi (Rodentia, Bathyergidae).  African Journal of Ecology.  40:110-119.</t>
  </si>
  <si>
    <t>isodon</t>
  </si>
  <si>
    <t>minutissimus</t>
  </si>
  <si>
    <t>mirabilis</t>
  </si>
  <si>
    <t>gaumeri</t>
  </si>
  <si>
    <t>Liomys</t>
  </si>
  <si>
    <t>amplus</t>
  </si>
  <si>
    <t>Typhlomys</t>
  </si>
  <si>
    <t>chapensis</t>
  </si>
  <si>
    <t>salvini</t>
  </si>
  <si>
    <t>Microdipodops</t>
  </si>
  <si>
    <t>megacephalus</t>
  </si>
  <si>
    <t>bonasus</t>
  </si>
  <si>
    <t>peeli</t>
  </si>
  <si>
    <t>dioptrica</t>
  </si>
  <si>
    <t>grunniens</t>
  </si>
  <si>
    <t>taurus</t>
  </si>
  <si>
    <t>imitator</t>
  </si>
  <si>
    <t>Anonymomys</t>
  </si>
  <si>
    <t>juvencus</t>
  </si>
  <si>
    <t>mindanensis</t>
  </si>
  <si>
    <t>moellendorffi</t>
  </si>
  <si>
    <t>Uzbekistan, Kazakhstan</t>
  </si>
  <si>
    <t>Mongolia, China</t>
  </si>
  <si>
    <t>medium sized dasyurid; 112mm head body length, 140mm tail, 21mm hindfoot, 13mm ear</t>
  </si>
  <si>
    <t>males: 6618 (4000-9080); females: 4338 (3000-5900)</t>
  </si>
  <si>
    <t>browni</t>
  </si>
  <si>
    <t>males: 7000, females: 8600</t>
  </si>
  <si>
    <t>Angola, Zaire, Zambia, Malawi, Tanzania, Kenya, Uganda</t>
  </si>
  <si>
    <t>Somalia, Ethiopia, Kenya</t>
  </si>
  <si>
    <t>Armyanskaya</t>
  </si>
  <si>
    <t>Sakhalin Isl., Russia</t>
  </si>
  <si>
    <t>Georgia</t>
  </si>
  <si>
    <t>Turkmenistan, Uzbekistan, E Aral</t>
  </si>
  <si>
    <t>Burma, India, China</t>
  </si>
  <si>
    <t>Zaire, Uganda</t>
  </si>
  <si>
    <t>Afghanistan or Tibet</t>
  </si>
  <si>
    <t>Biswamoyopterus</t>
  </si>
  <si>
    <t>luzonicus</t>
  </si>
  <si>
    <t>Bunomys</t>
  </si>
  <si>
    <t>chrysocomus</t>
  </si>
  <si>
    <t>coelestis</t>
  </si>
  <si>
    <t>fratrorum</t>
  </si>
  <si>
    <t>penitus</t>
  </si>
  <si>
    <t>prolatus</t>
  </si>
  <si>
    <t>Canariomys</t>
  </si>
  <si>
    <t>tamarani</t>
  </si>
  <si>
    <t>Carpomys</t>
  </si>
  <si>
    <t>phaeurus</t>
  </si>
  <si>
    <t>Celaenomys</t>
  </si>
  <si>
    <t>silaceus</t>
  </si>
  <si>
    <t>Daubentonia</t>
  </si>
  <si>
    <t>madagascariensis</t>
  </si>
  <si>
    <t>moholi</t>
  </si>
  <si>
    <t>Avahi</t>
  </si>
  <si>
    <t>Indri</t>
  </si>
  <si>
    <t>indri</t>
  </si>
  <si>
    <t>catta</t>
  </si>
  <si>
    <t>Varecia</t>
  </si>
  <si>
    <t>margaritae</t>
  </si>
  <si>
    <t>oresterus</t>
  </si>
  <si>
    <t>Pygeretmus</t>
  </si>
  <si>
    <t>ibeanus</t>
  </si>
  <si>
    <t>www.iiasa.ac.at/~sendzim/MammalDataSets/ Tropical%20Moist%20Forest%20Mammals.xls</t>
  </si>
  <si>
    <t>60, http://members.vienna.at/shrew/itsesAP95-sorex.html#sinalis</t>
  </si>
  <si>
    <t>vinogradovi</t>
  </si>
  <si>
    <t>Lemuridae</t>
  </si>
  <si>
    <t>Diplothrix</t>
  </si>
  <si>
    <t>Echiothrix</t>
  </si>
  <si>
    <t>heptneri</t>
  </si>
  <si>
    <t>kozlovi</t>
  </si>
  <si>
    <t>Eschrichtius</t>
  </si>
  <si>
    <t>lichtensteini</t>
  </si>
  <si>
    <t>europaeus</t>
  </si>
  <si>
    <t>Hylomys</t>
  </si>
  <si>
    <t>Monodon</t>
  </si>
  <si>
    <t>monoceros</t>
  </si>
  <si>
    <t>marginata</t>
  </si>
  <si>
    <t>Neomys</t>
  </si>
  <si>
    <t>fodiens</t>
  </si>
  <si>
    <t>Lipotes</t>
  </si>
  <si>
    <t>70-98mm; regression</t>
  </si>
  <si>
    <t>habitat loss, restricted range</t>
  </si>
  <si>
    <t>habitat loss, changes in native competitors</t>
  </si>
  <si>
    <t>Oceanic</t>
  </si>
  <si>
    <t>kirchbergensis</t>
  </si>
  <si>
    <t>150, 165</t>
  </si>
  <si>
    <t>http://www.kyrgyz-taigan.elcat.kg/eng-gallery%205%203.htm</t>
  </si>
  <si>
    <t>persecution, habitat loss, changes in food base</t>
  </si>
  <si>
    <t>m400, f 350 kg</t>
  </si>
  <si>
    <t>211.   Rowe, N. 1996. The Pictorial Guide to the Living Primates. Pogonias Press: East Hampton, New York.</t>
  </si>
  <si>
    <t>persecution, invasive predators</t>
  </si>
  <si>
    <t>hunting, habitat loss, hybridization</t>
  </si>
  <si>
    <t>booduga</t>
  </si>
  <si>
    <t>vitticollis</t>
  </si>
  <si>
    <t>Rhynchomys</t>
  </si>
  <si>
    <t>irani</t>
  </si>
  <si>
    <t>irene</t>
  </si>
  <si>
    <t>juldaschi</t>
  </si>
  <si>
    <t>kermanensis</t>
  </si>
  <si>
    <t>kirgisorum</t>
  </si>
  <si>
    <t>limnophilus</t>
  </si>
  <si>
    <t>verrucosus</t>
  </si>
  <si>
    <t>lemerlei</t>
  </si>
  <si>
    <t>glama</t>
  </si>
  <si>
    <t>beccarii</t>
  </si>
  <si>
    <t>pernanus</t>
  </si>
  <si>
    <t>hunting, land clearing</t>
  </si>
  <si>
    <t>bontanus</t>
  </si>
  <si>
    <t>burrus</t>
  </si>
  <si>
    <t>males: 14.3 (10-20); females: 14.1 (12-22.5)</t>
  </si>
  <si>
    <t>smaller than M. major</t>
  </si>
  <si>
    <t>originally put in P. orientalis</t>
  </si>
  <si>
    <t>calabyi</t>
  </si>
  <si>
    <t>males: head-body 575; tail 390; hindfoot 117</t>
  </si>
  <si>
    <t>habitat loss, disturbance, changes in predators</t>
  </si>
  <si>
    <t>habitat loss, persecution, competition</t>
  </si>
  <si>
    <t>San Miguel Island, off S. California</t>
  </si>
  <si>
    <t>Middle altitudes of the Himalaya from Tibet and Nepal to Assam and SW China</t>
  </si>
  <si>
    <t>Borneo, Sumatra, Malaya</t>
  </si>
  <si>
    <t>Transcaucasia, Turkey</t>
  </si>
  <si>
    <t>Russia to N Mongolia</t>
  </si>
  <si>
    <t>hoogerwerfi</t>
  </si>
  <si>
    <t>Home Range Size</t>
  </si>
  <si>
    <t>units for home range sizse</t>
  </si>
  <si>
    <t>reference for home range</t>
  </si>
  <si>
    <t>Galidictis</t>
  </si>
  <si>
    <t>Cricetus</t>
  </si>
  <si>
    <t>urva</t>
  </si>
  <si>
    <t>felteni</t>
  </si>
  <si>
    <t>fortis</t>
  </si>
  <si>
    <t>gerbei</t>
  </si>
  <si>
    <t>Mayermys</t>
  </si>
  <si>
    <t>ellermani</t>
  </si>
  <si>
    <t>Melasmothrix</t>
  </si>
  <si>
    <t>fellowsi</t>
  </si>
  <si>
    <t>Hypogeomys</t>
  </si>
  <si>
    <t>cheesmani</t>
  </si>
  <si>
    <t>cosensis</t>
  </si>
  <si>
    <t>dalloni</t>
  </si>
  <si>
    <t>diminutus</t>
  </si>
  <si>
    <t>marmota</t>
  </si>
  <si>
    <t>Petaurista</t>
  </si>
  <si>
    <t>males: 221(176-277); females:169.8(143-194)</t>
  </si>
  <si>
    <t>219.  Dos Reis, S. F. and L. M. Pessoa.  2004.  Thrichomys apereoides.  Mammalian Species No. 741, 1-5. The American Society of Mammalogists.</t>
  </si>
  <si>
    <t>n=47</t>
  </si>
  <si>
    <t>simus</t>
  </si>
  <si>
    <t>mutabilis</t>
  </si>
  <si>
    <t>camtschatica</t>
  </si>
  <si>
    <t>caudata</t>
  </si>
  <si>
    <t>syrticus</t>
  </si>
  <si>
    <t>tarabuli</t>
  </si>
  <si>
    <t>vivax</t>
  </si>
  <si>
    <t>chengi</t>
  </si>
  <si>
    <t>watersi</t>
  </si>
  <si>
    <t>altaica</t>
  </si>
  <si>
    <t>eversmannii</t>
  </si>
  <si>
    <t>lutreola</t>
  </si>
  <si>
    <t>sibirica</t>
  </si>
  <si>
    <t>Vormela</t>
  </si>
  <si>
    <t>bursarius</t>
  </si>
  <si>
    <t>pinetis</t>
  </si>
  <si>
    <t>Orthogeomys</t>
  </si>
  <si>
    <t>lanius</t>
  </si>
  <si>
    <t>Pappogeomys</t>
  </si>
  <si>
    <t>pilirostris</t>
  </si>
  <si>
    <t>Uropsilus</t>
  </si>
  <si>
    <t>Anourosorex</t>
  </si>
  <si>
    <t>hylophaga</t>
  </si>
  <si>
    <t>investigator</t>
  </si>
  <si>
    <t>alcorni</t>
  </si>
  <si>
    <t>79-107mm; regression</t>
  </si>
  <si>
    <t>mean: 6.3, range:4.5-8</t>
  </si>
  <si>
    <t>"Added in by KJ and ME"</t>
  </si>
  <si>
    <t>192. "Desert Dormouse." Encyclopædia Britannica. 2004.  Encyclopædia Britannica Premium Service. 26 July 200  &lt;http://www.britannica.com/eb/article?eu=68394&gt;.</t>
  </si>
  <si>
    <t>serezkyensis</t>
  </si>
  <si>
    <t>barbouri</t>
  </si>
  <si>
    <t>Kazakhstan (N. Aral and S. Balkhash)</t>
  </si>
  <si>
    <t>Honduras to Panama</t>
  </si>
  <si>
    <t>stannarius</t>
  </si>
  <si>
    <t>Anisomys</t>
  </si>
  <si>
    <t>Pakistan, Baluchistan</t>
  </si>
  <si>
    <t>Colombia, Benezuela, Ecuador</t>
  </si>
  <si>
    <t>intro of diseases brought by black rats</t>
  </si>
  <si>
    <t>China, Mongolia, Kazakhstan</t>
  </si>
  <si>
    <t>nubiana</t>
  </si>
  <si>
    <t>sokolovi</t>
  </si>
  <si>
    <t>nigrovittatus</t>
  </si>
  <si>
    <t>isabella</t>
  </si>
  <si>
    <t>buettneri</t>
  </si>
  <si>
    <t>Prionomys</t>
  </si>
  <si>
    <t>bilensis</t>
  </si>
  <si>
    <t>bonhotei</t>
  </si>
  <si>
    <t>Paraxerus</t>
  </si>
  <si>
    <t>caurinus</t>
  </si>
  <si>
    <t>peruanum</t>
  </si>
  <si>
    <t>Chinchilla</t>
  </si>
  <si>
    <t>lanigera</t>
  </si>
  <si>
    <t>stella</t>
  </si>
  <si>
    <t>maynardi</t>
  </si>
  <si>
    <t>cepapi</t>
  </si>
  <si>
    <t>palliatus</t>
  </si>
  <si>
    <t>meminna</t>
  </si>
  <si>
    <t>Tragulus</t>
  </si>
  <si>
    <t>insularis</t>
  </si>
  <si>
    <t>layardi</t>
  </si>
  <si>
    <t>palmarum</t>
  </si>
  <si>
    <t>pennantii</t>
  </si>
  <si>
    <t>tristriatus</t>
  </si>
  <si>
    <t>bayonii</t>
  </si>
  <si>
    <t>Glyphotes</t>
  </si>
  <si>
    <t>phillipsii</t>
  </si>
  <si>
    <t>streeti</t>
  </si>
  <si>
    <t>Scaptochirus</t>
  </si>
  <si>
    <t>Urotrichus</t>
  </si>
  <si>
    <t>Mungotictis</t>
  </si>
  <si>
    <t>muenninki</t>
  </si>
  <si>
    <t>osimensis</t>
  </si>
  <si>
    <t>invasive species, volcanoes, restricted range</t>
  </si>
  <si>
    <t>smallest New Guinean macropodid.  Approached in size by D. macleayi</t>
  </si>
  <si>
    <t>male range:28000-39000, female:25000</t>
  </si>
  <si>
    <t>largest macropodid in New Guinea</t>
  </si>
  <si>
    <t>Baja California Norte, Mexico</t>
  </si>
  <si>
    <t>males: 90.5 (69-120); females: 79 (66-90)</t>
  </si>
  <si>
    <t>females: 5000; no male weight</t>
  </si>
  <si>
    <t>synomized?</t>
    <phoneticPr fontId="9"/>
  </si>
  <si>
    <t>historical</t>
    <phoneticPr fontId="9"/>
  </si>
  <si>
    <t>Hadromys</t>
  </si>
  <si>
    <t>humei</t>
  </si>
  <si>
    <t>Phocoenoides</t>
  </si>
  <si>
    <t>Physeter</t>
  </si>
  <si>
    <t>Allactodipus</t>
  </si>
  <si>
    <t>bobrinskii</t>
  </si>
  <si>
    <t>Golunda</t>
  </si>
  <si>
    <t>Diomys</t>
  </si>
  <si>
    <t>crumpi</t>
  </si>
  <si>
    <t>Cameroon, Chad, Central African Republic, Zaire, Sudan, Uganda</t>
  </si>
  <si>
    <t>Sudan, Ethiopia, Uganda, Kenya, Zaire</t>
  </si>
  <si>
    <t>Malaysian peninsula</t>
  </si>
  <si>
    <t>N Northern Territory, NE Western Australia</t>
  </si>
  <si>
    <t>males: 138.5 (132-145); no female weight</t>
  </si>
  <si>
    <t>lamula</t>
  </si>
  <si>
    <t>sapientis</t>
  </si>
  <si>
    <t>spriggsarum</t>
  </si>
  <si>
    <t>Santa Cruz and San Diego Isls., Gulf of California</t>
  </si>
  <si>
    <t>sylvestris</t>
  </si>
  <si>
    <t>yarkandensis</t>
  </si>
  <si>
    <t>176.  Yüksel COfiKUN, Servet ULUTÜRK 2003.   Observations on the Mole Vole, Ellobius lutescensThomas 1897, (Mammalia: Rodentia) in Turkey  Research Article Turk J Zool 27 (2003) 81-87  © TÜB‹TAK</t>
  </si>
  <si>
    <t>max males: 160000; max females:98500</t>
  </si>
  <si>
    <t>antiquitatis</t>
  </si>
  <si>
    <t>woolly rhinoceros</t>
  </si>
  <si>
    <t>females: 109.7 (75-144)</t>
  </si>
  <si>
    <t>males: 49.4 (40-66); females: 51.5 (41-59)</t>
  </si>
  <si>
    <t>males: 94.4 (53-122); females: 96.4 (70-128)</t>
  </si>
  <si>
    <t>antimena</t>
  </si>
  <si>
    <t>lemmus</t>
  </si>
  <si>
    <t>Maxomys</t>
  </si>
  <si>
    <t>males: head-body 240; tail: 293; hindfoot 42; ear 28; females:  head-body 208; tail 283; hindfoot 42.5; ear 26.5</t>
  </si>
  <si>
    <t>habitat loss, low densities</t>
  </si>
  <si>
    <t>reindeer, caribou</t>
  </si>
  <si>
    <t>white-tailed deer</t>
  </si>
  <si>
    <t>roe deer</t>
  </si>
  <si>
    <t>Number of species on each continent (total includes extant, extinct, historical, aquatic and introductions)</t>
  </si>
  <si>
    <t>total</t>
  </si>
  <si>
    <t>continent</t>
  </si>
  <si>
    <t xml:space="preserve">bats </t>
  </si>
  <si>
    <t>nonvolant total</t>
  </si>
  <si>
    <t>fas.  Updated extinct list for North America based on new literature reviews.  Need to do this for the other continents.</t>
  </si>
  <si>
    <t>late Pleistocene distribution</t>
  </si>
  <si>
    <t>Modern distribution</t>
  </si>
  <si>
    <t>Family</t>
  </si>
  <si>
    <t>Common name</t>
  </si>
  <si>
    <t>MOM Mean body mass (kg)</t>
  </si>
  <si>
    <t>Diet</t>
  </si>
  <si>
    <t>Comments/General habitat requirements</t>
  </si>
  <si>
    <t>potential direct/indirect competitors in Pleistocene</t>
  </si>
  <si>
    <t>Age range/diet/distribution and references</t>
  </si>
  <si>
    <t>TO BE DELETED FROM MOM:</t>
  </si>
  <si>
    <t>N/A</t>
  </si>
  <si>
    <t>0.126 to 0.0 Ma</t>
  </si>
  <si>
    <t>ringtail</t>
  </si>
  <si>
    <t>Fossilworks: Synonym of extant Bassariscus astutus</t>
  </si>
  <si>
    <t>??? Great Basin ??</t>
  </si>
  <si>
    <t>dhole</t>
  </si>
  <si>
    <t>not in fossilwork; Was in Anderson and in Stuart lists; a Cuon texanus was present until 300ka? Grayson 2006 shows a Cuon from the Great Basin in late Pleistocene</t>
  </si>
  <si>
    <t xml:space="preserve">Symbos </t>
  </si>
  <si>
    <t>Symbos cavifrons now considered to be the male Harlan's muskox</t>
  </si>
  <si>
    <t>yak</t>
  </si>
  <si>
    <t>herbivore; browser</t>
  </si>
  <si>
    <t>not finding anything about this being in NA - other than in the Kurten and Andersen book; A. Hassanin and E. J. P. Douzery. 1999. Evolutionary affinities of the enigmatic saola (Pseudoryx nghetinhensis) in the context of the molecular phylogeny of Bovidae. Proceedings of the Royal Society of London B 266:893-900</t>
  </si>
  <si>
    <t>not NA species? Fossilworks says ILL</t>
  </si>
  <si>
    <t>2.588 to 0.012 Ma</t>
  </si>
  <si>
    <t>Alces (Cervalces)</t>
  </si>
  <si>
    <t>broad-fronted moose</t>
  </si>
  <si>
    <t xml:space="preserve"> flood valleys to range from the taiga, to both the tundra and steppe environments</t>
  </si>
  <si>
    <t>not found in NA? fossilworks says ILLa; from wiki: Fossils of large moose-like deer found in Siberia from most recent glaciation fragmentary and lack intact skulls and complete antlers but they have tentatively been identified as Cervalces latifrons. They had less advanced teeth, a more specialist muzzle and larger antlers that were bi-lobed and four pronged;played a bridging role, crossing  land bridge to Alaska and eventually evolving into Cervalces scotti in NA</t>
  </si>
  <si>
    <t>pretty much continental distribution</t>
  </si>
  <si>
    <t xml:space="preserve">4.9 to 0.012 Ma </t>
  </si>
  <si>
    <t>Imperial mammoth</t>
  </si>
  <si>
    <t>herbivore; grazer mostly</t>
  </si>
  <si>
    <t xml:space="preserve"> savanna and grassland inhabitant</t>
  </si>
  <si>
    <t xml:space="preserve">Fossilworks: 4.9 to 0.012 Ma and acknowledges might not be valid species; BUT Larry Agenbroad believes that the M. imperator is a non-valid-unusually large M. columbi.Agenbroad, L. D. (2005). "North American Proboscideans: Mammoths: The state of Knowledge, 2003". Quaternary International. 126-128: 73–25. </t>
  </si>
  <si>
    <t>Known from Arizona, and NM</t>
  </si>
  <si>
    <t>Quentin's pronghorn</t>
  </si>
  <si>
    <t>herbivore; grazer mostly; some browse</t>
  </si>
  <si>
    <t>ate more grass than modern pronghorn</t>
  </si>
  <si>
    <t xml:space="preserve">UTEP has as a Synonym for S. conklingi BUT not certain; wiki and fossilworks have both species; Rivals, F.; Semprebon, G. M. (2006). "A comparison of the dietary habits of a large sample of the Pleistocene pronghorn Stockoceros onusrosagris from the Papago Springs Cave in Arizona to the modern Antilocapra americana". Journal of Vertebrate Paleontology 26 (2): 495. </t>
  </si>
  <si>
    <t>TO BE ADDED/changed  TO MOM:</t>
  </si>
  <si>
    <t>Quaternary of United States (11: Colorado, Florida, Georgia, Maryland, Pennsylvania, South Carolina, Texas, West Virginia collections)</t>
  </si>
  <si>
    <t xml:space="preserve">Miracinonyx </t>
  </si>
  <si>
    <t xml:space="preserve"> inexpectatus </t>
  </si>
  <si>
    <t>American cheetah</t>
  </si>
  <si>
    <t>??</t>
  </si>
  <si>
    <t>NEW  SPECIES! B. Van Valkenburgh et al. 1990. Journal of Vertebrate Paleontology 10(4); Johnson, W.E. et al. 2006. The Late Miocene radiation of modern Felidae: A genetic assessment (abstract). Science 311 (5757): 73–77;Age range: 2.588 to 0.012 Ma; Average measurements (in mm): P3 17.9 x 8.6, P4 26.5 x 12.2, m1 20.4 x 9.4, C 14.6 x 11.8</t>
  </si>
  <si>
    <t>southern California and the southeastern NA with the highest concentration of fossil specimens found in Florida</t>
  </si>
  <si>
    <t>stout-legged llama</t>
  </si>
  <si>
    <t>S. Legendre and C. Roth. 1988. Correlation of carnassial tooth size and body weight in recent carnivores (Mammalia). Historical Biology 1(1):85-98; redone body mass based on this paper</t>
  </si>
  <si>
    <t>southern Canada to Mexico and from California to Pennsylvania</t>
  </si>
  <si>
    <t>flat head' peccary</t>
  </si>
  <si>
    <t>herbivore</t>
  </si>
  <si>
    <t>complex digestive system, similar to that of a modern ruminant</t>
  </si>
  <si>
    <t xml:space="preserve">updated body mass from:  Mendoza, M.; Janis, C. M.; Palmqvist, P. (2006). "Estimating the body mass of extinct ungulates: a study on the use of multiple regression". Journal of Zoology 270 (1): 90–101. </t>
  </si>
  <si>
    <t>evolved in NA; most widely distributed muskox  in NA during Pleistocene; from Alaska to CA and TX, IN, Missouri, OK and NJ.</t>
  </si>
  <si>
    <t>Harlan's muskox, woodland muskox, helmeted muskox</t>
  </si>
  <si>
    <t>woodlands and plains</t>
  </si>
  <si>
    <t>Symbos cavifrons now considered to be the male Harlan's muskox.i've changed mass based on what wiki said. they were confused originally because they were so sexually dimorphic (http://www.beringia.com/research/muskox.html &amp; H. Kirkland, M. Davis, J. Wood, D. Devine, and K. Giblet. 1997. Some Late Pleistocene Fossils from Washita Local Fauna. Proceedings of the Oklahoma Academy of Sciences 77:113-115</t>
  </si>
  <si>
    <t>change species name</t>
  </si>
  <si>
    <t>fugitive deer</t>
  </si>
  <si>
    <t>fossilworks says that Sangamona is a nomen vanum, and that this is Cervus whitneyi; M. Spaulding, M. A. O'Leary, and J. Gatesy. 2009. Relationships of Cetacea (Artiodactyla) among mammals: Increased taxon sampling alters interpretations of key fossils and character evolution. PloS One 4(9):e7062</t>
  </si>
  <si>
    <t>By  end of the Pleistocene,  northern limit of the range of Cuvieronius was in Mexico</t>
  </si>
  <si>
    <t>gompothere</t>
  </si>
  <si>
    <t>herbivore; browser, grazer</t>
  </si>
  <si>
    <t>mixed feeder - Mexico and Central America</t>
  </si>
  <si>
    <t>fossilworks: Subtaxa: Cuvieronius priestleyi, Cuvieronius tropicus, but both extinct by terminal Pleistocene; Graham, R. W. (2001). "Late Quaternary Biogeography and Extinction of Proboscideans in North America". In Cavarretta et al. The World of Elephants (La Terra degli Elefanti) - Proceedings of the 1st International Congress (Atti del1 Congrsso Internazionale), Rome October 16–20, 2001. Rome: Consiglio Nazionale delle Ricerche. pp. 707–709; Sanchez, Begoña; Prado, José Luis; Alberdi, Maria Teresa (2004) "Feeding ecology, dispersal, and extinction of South American pleistocene gomphotheres (Gomphotheriidae, Proboscidea)" Paleobiology 30:146-161</t>
  </si>
  <si>
    <t>Quaternary of Canada (1: Alberta collection), Mexico (1), United States (55: Arizona, California, Colorado, Florida, Georgia, Idaho, Iowa, Kansas, Montana, Nebraska, Oklahoma, Oregon, Pennsylvania, South Carolina, Texas, Utah, Washington)</t>
  </si>
  <si>
    <r>
      <t xml:space="preserve"> </t>
    </r>
    <r>
      <rPr>
        <i/>
        <sz val="10"/>
        <color rgb="FFFF0000"/>
        <rFont val="Calibri"/>
      </rPr>
      <t>Paramylodon</t>
    </r>
  </si>
  <si>
    <t xml:space="preserve">Harlan's ground sloth </t>
  </si>
  <si>
    <t>wiki: Paramylodon was also viewed as a subspecies of Glossotherium and a number of institutions listed their specimens as Glossotherium harlani in part to work by Robertson (1976). Paramylodon is generically distinct from the South American genus of Glossotherium (see McAfee, 2007)</t>
  </si>
  <si>
    <t>Quaternary of Brazil (19 collections), Ecuador (1), Nicaragua (1), Panama (2), Peru (4), United States (4: Georgia, South Carolina), Venezuela (1)</t>
  </si>
  <si>
    <t>23.03 to 0.0 Ma</t>
  </si>
  <si>
    <t>giant ground sloth</t>
  </si>
  <si>
    <t>carnivore</t>
  </si>
  <si>
    <t>did we still have this as arctos?</t>
  </si>
  <si>
    <t>blue species found in fossilworks, but we never had them in MOM</t>
  </si>
  <si>
    <t>Quaternary of Alaska</t>
  </si>
  <si>
    <t>0.126 to 0.012 Ma</t>
  </si>
  <si>
    <t>herbivore; grazer</t>
  </si>
  <si>
    <t>sp listed in fossilworks: mass on skull length from fossilworks; also called Equus hemionus kiang</t>
  </si>
  <si>
    <t xml:space="preserve"> Quaternary of Canada (2: British Columbia, Saskatchewan), United States (2: California, Oregon)</t>
  </si>
  <si>
    <t>1.8 to 0.012 Ma</t>
  </si>
  <si>
    <t>sp listed in fossil works. Average measurements (in mm): P3 32.9 x 32.0, P4 32.5 x 32.2, M1 30.1 x 28.8</t>
  </si>
  <si>
    <t>Quaternary of Mexico (1 collection), United States (2: New Mexico, Texas)</t>
  </si>
  <si>
    <t xml:space="preserve">sp listed in fossil works.  Might be same sp as E. complicatus, E. niobarensis </t>
  </si>
  <si>
    <t>Quaternary of United States (18: Florida, Georgia, Tennessee)</t>
  </si>
  <si>
    <t>leidyi</t>
  </si>
  <si>
    <t>sp listed in fossil works</t>
  </si>
  <si>
    <t>found only at White Mesa Mine Fissure 2 (Quaternary of New Mexico)</t>
  </si>
  <si>
    <t>francisci</t>
  </si>
  <si>
    <t xml:space="preserve"> m1 21.7 x 12.8</t>
  </si>
  <si>
    <t>Quaternary of United States (4: Nebraska, New Mexico, Oklahoma collections)</t>
  </si>
  <si>
    <t>0.781 to 0.012 Ma</t>
  </si>
  <si>
    <t>Quaternary of Canada (4: Alberta, Saskatchewan collections), United States (9: Kansas, New Mexico, Oklahoma)</t>
  </si>
  <si>
    <t>a large stout-legged horse</t>
  </si>
  <si>
    <t>fossilworks has this although utep says it isn't valid</t>
  </si>
  <si>
    <t>United States (4: California, Florida)</t>
  </si>
  <si>
    <t>fossilworks has this species listed</t>
  </si>
  <si>
    <t>no information on this on utep website; appears as extant species on wiki</t>
  </si>
  <si>
    <t>Quaternary of United States (6: Florida, Virginia collections)</t>
  </si>
  <si>
    <t>a medium stout-legged horse</t>
  </si>
  <si>
    <t xml:space="preserve"> fossilworks has, but utep says a synonym of E. conversidens? - what does that do to the size estimate? This is considered a nomen dubium by Winans (1985). Cosgrove (1947) gives no information that would allow placement to any currently recognized species of our region.</t>
  </si>
  <si>
    <t>Quaternary of Canada (5: Alberta, British Columbia, Saskatchewan collections), El Salvador (1), Guatemala (1), Mexico (4), United States (19: California, Colorado, Kansas, Montana, Nebraska, New Mexico, Texas, Utah, Wyoming)</t>
  </si>
  <si>
    <t xml:space="preserve">2.588 to 0.012 </t>
  </si>
  <si>
    <t>Mexican horse (a medium stout-legged horse)</t>
  </si>
  <si>
    <t>Synonyms. Equus alaskae, Equus semiplicatus. utep thinks this sp is valid; fossilworks gives  (in mm): P2 32.7 x 21.9, P3 25.2 x 25.4, P4 24.3 x 24.8, M1 22.2 x 23.6, M2 22.7 x 21.2, M3 23.3 x 18.7, p2 27.4 x 16.0, p3 26.8 x 16.6, p4 26.3 x 16.6, m1 23.9 x 14.7, m2 22.4 x 15.1, m3 29.8 x 13.9; Based on tooth enamel patterns, Barrón-Ortiz and Theodor (2011:148) found three morphological groups of stout-legged Equus in the late Pleistocene: ". . . a medium stout-legged equid (specimens previously identified as E. conversidens, E. fraternus, and E. lambei), a large stout-legged horse (specimens previously identified as E. complicatus, E. niobrarensis, and E. mexicanus) and E. occidentalis.</t>
  </si>
  <si>
    <t>small horse - not stilt or stout legged</t>
  </si>
  <si>
    <t>Winans (1989) recognized one group in the late Rancholabrean of North America possessing elongated metapodials (stilt-legged horses: Equus francisci group) and two groups of stout-legged horses: large horses which she assigned to the Equus laurentius group and a small horse assigned to the E. alaskae group.</t>
  </si>
  <si>
    <t>Quaternary of Canada (1: Saskatchewan collection), United States (11: Georgia, Indiana, Maryland, Missouri, Pennsylvania, Tennessee, Texas, Virginia)</t>
  </si>
  <si>
    <t>fossilworks recognizes this; P3 31.7 x 29.8, P4 29.8 x 29.7, M1 25.9 x 28.2, m1 26.2 x 14.9</t>
  </si>
  <si>
    <t>Quaternary of United States (6: Florida, Maryland, Nevada, Oklahoma, South Dakota, Texas collections)</t>
  </si>
  <si>
    <t>no information on this on utep website; listed in fossilworks though</t>
  </si>
  <si>
    <t>Quaternary of Canada (2: Alberta, Saskatchewan collections), United States (45: Arkansas, California, Colorado, Idaho, Kansas, New Mexico, Oklahoma, Texas, Utah)</t>
  </si>
  <si>
    <t>4.9 to 0.012 Ma</t>
  </si>
  <si>
    <t>Scott's horse</t>
  </si>
  <si>
    <t xml:space="preserve">utep site says Synonym are Equus bautistensis, Equus caballus caballus, E. caballus laurentius, E. excelsus, E. laurentius, E. midlandensis, E. niobrarensis. conclusions of Weinstock et al. (2005) do not hold up with the morphological data from the Southwest. Weinstock et al. imply that the morphological differences seen within North American stout-legged horses are adaptations of a single species to different environments. However, occurrences of two to three "morphological species" in what basically is geographic and chronologic sympatry (as at Dry Cave) renders this unlikely since interbreeding would quickly break down the morphological differences. </t>
  </si>
  <si>
    <t>United States (10: Arizona, California, New Mexico)</t>
  </si>
  <si>
    <t>western horse (another form of large stout legged horse)</t>
  </si>
  <si>
    <t xml:space="preserve">fossilworks has this (P3 31.8 x 29.8, P4 30.2 x 28.1, M1 27.1 x 28.5, p3 31.0 x 17.8, p4 33.0 x 15.8, m1 27.1 x 16.6); utep thinks this sp is valid. Winans (1989) recognized only one stilt-legged horse, E. francisci, Irvingtonian to Rancholabrean. However using her data, Coleman (listed as E. francisci) clusters with E. conversidens in a principal components plot, and the Arkalon small horse, the type of E. calobatus, and the Silverton specimen plot far from the otherwise tight cluster, leading to the suspicion that more than one species is involved. </t>
  </si>
  <si>
    <t xml:space="preserve">fossilworks has this as a synonym of E. caballus; Winans (1989) assigning horses generally assigned to E. occidentalis to the E. laurentius group, E. niobrarensis as a synonym of the E. scotti group, and E. conversidens as a synonym of her E. alaskae group. </t>
  </si>
  <si>
    <r>
      <t xml:space="preserve">Age Range </t>
    </r>
    <r>
      <rPr>
        <sz val="8"/>
        <rFont val="Calibri"/>
      </rPr>
      <t>(fossilworks unless stated otherwise)</t>
    </r>
  </si>
  <si>
    <r>
      <t>Sangamona (</t>
    </r>
    <r>
      <rPr>
        <i/>
        <sz val="8"/>
        <color rgb="FFFF0000"/>
        <rFont val="Calibri"/>
      </rPr>
      <t>Cervus whitneyi</t>
    </r>
    <r>
      <rPr>
        <i/>
        <sz val="8"/>
        <color rgb="FF800000"/>
        <rFont val="Calibri"/>
      </rPr>
      <t>?)</t>
    </r>
  </si>
  <si>
    <r>
      <t xml:space="preserve"> </t>
    </r>
    <r>
      <rPr>
        <i/>
        <sz val="8"/>
        <color rgb="FFFF0000"/>
        <rFont val="Calibri"/>
      </rPr>
      <t>Paramylodon</t>
    </r>
  </si>
  <si>
    <r>
      <t xml:space="preserve">rusconii </t>
    </r>
    <r>
      <rPr>
        <i/>
        <sz val="8"/>
        <color rgb="FFFF0000"/>
        <rFont val="Calibri"/>
      </rPr>
      <t>(laurillardi)</t>
    </r>
  </si>
  <si>
    <t>deleted</t>
  </si>
  <si>
    <t>not sure; retained</t>
  </si>
  <si>
    <r>
      <t>284</t>
    </r>
    <r>
      <rPr>
        <sz val="10"/>
        <color indexed="8"/>
        <rFont val="Arial"/>
      </rPr>
      <t xml:space="preserve">. Van Valkenburgh et al. 1990. Journal of Vertebrate Paleontology 10(4). </t>
    </r>
  </si>
  <si>
    <t>285. Johnson, W.E. et al. 2006. The Late Miocene radiation of modern Felidae: A genetic assessment (abstract). Science 311 (5757): 73–77</t>
  </si>
  <si>
    <t>284, 285</t>
  </si>
  <si>
    <t>updated</t>
  </si>
  <si>
    <t>used to be Sangamona fugitiva</t>
  </si>
  <si>
    <t>whitneyi</t>
  </si>
  <si>
    <t>not sure what the problem was?</t>
  </si>
  <si>
    <t>fixed genus name</t>
  </si>
  <si>
    <t>fixed sp name</t>
  </si>
  <si>
    <t>286. Eric Scott, pers. Comm.; Christian Barron-Ortiz, pers. Comm.  June 2014</t>
  </si>
  <si>
    <t>average horse at Pleistocene</t>
  </si>
  <si>
    <t>red fox</t>
  </si>
  <si>
    <t>swift fox</t>
  </si>
  <si>
    <t>scimitar cat</t>
  </si>
  <si>
    <t>short-faced bear</t>
  </si>
  <si>
    <t>saber-tooth cat</t>
  </si>
  <si>
    <t>American lion</t>
  </si>
  <si>
    <t>coyote</t>
  </si>
  <si>
    <t>red wolf</t>
  </si>
  <si>
    <t>grey wolf</t>
  </si>
  <si>
    <t>grey fox</t>
  </si>
  <si>
    <t>binomial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</si>
</sst>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0.0000000000000"/>
  </numFmts>
  <fonts count="55">
    <font>
      <sz val="10"/>
      <color indexed="8"/>
      <name val="Arial"/>
    </font>
    <font>
      <sz val="10"/>
      <color indexed="8"/>
      <name val="Arial"/>
    </font>
    <font>
      <sz val="10"/>
      <color indexed="8"/>
      <name val="Arial"/>
    </font>
    <font>
      <sz val="10"/>
      <color indexed="8"/>
      <name val="Arial"/>
    </font>
    <font>
      <b/>
      <sz val="12"/>
      <name val="Arial"/>
    </font>
    <font>
      <sz val="9"/>
      <name val="Geneva"/>
    </font>
    <font>
      <b/>
      <sz val="10"/>
      <color indexed="8"/>
      <name val="Arial"/>
    </font>
    <font>
      <sz val="10"/>
      <color indexed="8"/>
      <name val="Arial"/>
    </font>
    <font>
      <u/>
      <sz val="10"/>
      <color indexed="12"/>
      <name val="Arial"/>
    </font>
    <font>
      <sz val="8"/>
      <name val="Arial"/>
    </font>
    <font>
      <sz val="10"/>
      <color indexed="8"/>
      <name val="Arial"/>
    </font>
    <font>
      <sz val="10"/>
      <name val="Arial"/>
    </font>
    <font>
      <sz val="10"/>
      <color indexed="8"/>
      <name val="Arial"/>
    </font>
    <font>
      <sz val="10"/>
      <color indexed="8"/>
      <name val="Arial"/>
    </font>
    <font>
      <u/>
      <sz val="10"/>
      <color indexed="8"/>
      <name val="Arial"/>
    </font>
    <font>
      <i/>
      <sz val="10"/>
      <color indexed="8"/>
      <name val="Arial"/>
    </font>
    <font>
      <sz val="12"/>
      <name val="Arial"/>
    </font>
    <font>
      <sz val="10"/>
      <color indexed="8"/>
      <name val="Arial"/>
    </font>
    <font>
      <b/>
      <sz val="11"/>
      <name val="Arial Narrow"/>
    </font>
    <font>
      <b/>
      <sz val="11"/>
      <color indexed="8"/>
      <name val="Arial Narrow"/>
    </font>
    <font>
      <b/>
      <sz val="14"/>
      <color indexed="8"/>
      <name val="Arial"/>
    </font>
    <font>
      <sz val="10"/>
      <name val="Verdana"/>
    </font>
    <font>
      <sz val="10"/>
      <name val="Palatino"/>
    </font>
    <font>
      <sz val="12"/>
      <color indexed="8"/>
      <name val="Arial"/>
    </font>
    <font>
      <b/>
      <sz val="12"/>
      <name val="Arial Narrow"/>
    </font>
    <font>
      <b/>
      <sz val="12"/>
      <color indexed="8"/>
      <name val="Arial"/>
    </font>
    <font>
      <sz val="8"/>
      <name val="Arial"/>
    </font>
    <font>
      <sz val="8"/>
      <name val="Verdana"/>
    </font>
    <font>
      <sz val="10"/>
      <color indexed="10"/>
      <name val="Arial"/>
    </font>
    <font>
      <strike/>
      <sz val="10"/>
      <color indexed="10"/>
      <name val="Arial"/>
    </font>
    <font>
      <sz val="10"/>
      <color rgb="FFFF0000"/>
      <name val="Arial"/>
    </font>
    <font>
      <i/>
      <sz val="10"/>
      <color rgb="FFFF0000"/>
      <name val="Calibri"/>
    </font>
    <font>
      <sz val="10"/>
      <color rgb="FF800000"/>
      <name val="Calibri"/>
    </font>
    <font>
      <i/>
      <sz val="10"/>
      <color rgb="FF800000"/>
      <name val="Calibri"/>
    </font>
    <font>
      <sz val="8"/>
      <color indexed="8"/>
      <name val="Calibri"/>
    </font>
    <font>
      <sz val="8"/>
      <color rgb="FFFF0000"/>
      <name val="Calibri"/>
    </font>
    <font>
      <sz val="8"/>
      <color rgb="FF800000"/>
      <name val="Calibri"/>
    </font>
    <font>
      <sz val="8"/>
      <name val="Calibri"/>
    </font>
    <font>
      <b/>
      <sz val="8"/>
      <name val="Calibri"/>
    </font>
    <font>
      <b/>
      <sz val="8"/>
      <color indexed="8"/>
      <name val="Calibri"/>
      <family val="2"/>
    </font>
    <font>
      <sz val="8"/>
      <color indexed="8"/>
      <name val="Arial"/>
    </font>
    <font>
      <sz val="8"/>
      <color rgb="FFFF0000"/>
      <name val="Arial"/>
    </font>
    <font>
      <i/>
      <sz val="8"/>
      <color rgb="FFFF0000"/>
      <name val="Calibri"/>
    </font>
    <font>
      <sz val="8"/>
      <color rgb="FF800000"/>
      <name val="Arial"/>
    </font>
    <font>
      <i/>
      <sz val="8"/>
      <color rgb="FF800000"/>
      <name val="Calibri"/>
    </font>
    <font>
      <i/>
      <sz val="8"/>
      <name val="Calibri"/>
    </font>
    <font>
      <i/>
      <sz val="8"/>
      <color rgb="FF000000"/>
      <name val="Calibri"/>
    </font>
    <font>
      <sz val="8"/>
      <color rgb="FF0000FF"/>
      <name val="Arial"/>
    </font>
    <font>
      <sz val="8"/>
      <color rgb="FF0000FF"/>
      <name val="Calibri"/>
    </font>
    <font>
      <i/>
      <sz val="8"/>
      <color rgb="FF0000FF"/>
      <name val="Arial"/>
    </font>
    <font>
      <sz val="8"/>
      <color rgb="FF0000FF"/>
      <name val="AdvPSMy"/>
    </font>
    <font>
      <strike/>
      <sz val="8"/>
      <color rgb="FFFF0000"/>
      <name val="Calibri"/>
    </font>
    <font>
      <i/>
      <strike/>
      <sz val="8"/>
      <color rgb="FFFF0000"/>
      <name val="Calibri"/>
    </font>
    <font>
      <strike/>
      <sz val="8"/>
      <color rgb="FFFF0000"/>
      <name val="Arial"/>
    </font>
    <font>
      <u/>
      <sz val="10"/>
      <color theme="11"/>
      <name val="Arial"/>
    </font>
  </fonts>
  <fills count="4">
    <fill>
      <patternFill patternType="none"/>
    </fill>
    <fill>
      <patternFill patternType="gray125"/>
    </fill>
    <fill>
      <patternFill patternType="solid">
        <fgColor indexed="22"/>
        <bgColor indexed="64"/>
      </patternFill>
    </fill>
    <fill>
      <patternFill patternType="solid">
        <fgColor theme="6" tint="0.59999389629810485"/>
        <bgColor indexed="64"/>
      </patternFill>
    </fill>
  </fills>
  <borders count="8">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right/>
      <top/>
      <bottom style="thin">
        <color auto="1"/>
      </bottom>
      <diagonal/>
    </border>
    <border>
      <left style="thin">
        <color indexed="22"/>
      </left>
      <right/>
      <top style="thin">
        <color indexed="22"/>
      </top>
      <bottom style="thin">
        <color indexed="22"/>
      </bottom>
      <diagonal/>
    </border>
    <border>
      <left style="thin">
        <color indexed="22"/>
      </left>
      <right/>
      <top/>
      <bottom/>
      <diagonal/>
    </border>
    <border>
      <left style="thin">
        <color indexed="22"/>
      </left>
      <right/>
      <top/>
      <bottom style="thin">
        <color indexed="22"/>
      </bottom>
      <diagonal/>
    </border>
    <border>
      <left style="thin">
        <color rgb="FFC0C0C0"/>
      </left>
      <right style="thin">
        <color rgb="FFC0C0C0"/>
      </right>
      <top/>
      <bottom style="thin">
        <color rgb="FFC0C0C0"/>
      </bottom>
      <diagonal/>
    </border>
  </borders>
  <cellStyleXfs count="27">
    <xf numFmtId="0" fontId="0" fillId="0" borderId="0"/>
    <xf numFmtId="0" fontId="8" fillId="0" borderId="0" applyNumberFormat="0" applyFill="0" applyBorder="0" applyAlignment="0" applyProtection="0">
      <alignment vertical="top"/>
      <protection locked="0"/>
    </xf>
    <xf numFmtId="0" fontId="5" fillId="0" borderId="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cellStyleXfs>
  <cellXfs count="395">
    <xf numFmtId="0" fontId="0" fillId="0" borderId="0" xfId="0"/>
    <xf numFmtId="0" fontId="0" fillId="0" borderId="0" xfId="0" applyAlignment="1"/>
    <xf numFmtId="0" fontId="0" fillId="0" borderId="1" xfId="0" applyBorder="1" applyAlignment="1"/>
    <xf numFmtId="0" fontId="3" fillId="0" borderId="1" xfId="0" applyFont="1" applyFill="1" applyBorder="1" applyAlignment="1"/>
    <xf numFmtId="0" fontId="3" fillId="0" borderId="0" xfId="0" applyFont="1" applyFill="1" applyAlignment="1"/>
    <xf numFmtId="0" fontId="2" fillId="0" borderId="0" xfId="0" applyFont="1" applyFill="1" applyAlignment="1"/>
    <xf numFmtId="0" fontId="2" fillId="0" borderId="1" xfId="0" applyFont="1" applyFill="1" applyBorder="1" applyAlignment="1"/>
    <xf numFmtId="0" fontId="0" fillId="0" borderId="0" xfId="0" applyAlignment="1">
      <alignment horizontal="left"/>
    </xf>
    <xf numFmtId="0" fontId="6" fillId="0" borderId="0" xfId="0" applyFont="1" applyAlignment="1"/>
    <xf numFmtId="0" fontId="3" fillId="0" borderId="2" xfId="0" applyFont="1" applyFill="1" applyBorder="1" applyAlignment="1"/>
    <xf numFmtId="0" fontId="4" fillId="2" borderId="3" xfId="0" applyFont="1" applyFill="1" applyBorder="1" applyAlignment="1"/>
    <xf numFmtId="0" fontId="4" fillId="2" borderId="3" xfId="0" applyNumberFormat="1" applyFont="1" applyFill="1" applyBorder="1" applyAlignment="1" applyProtection="1">
      <protection locked="0"/>
    </xf>
    <xf numFmtId="2" fontId="4" fillId="2" borderId="3" xfId="0" applyNumberFormat="1" applyFont="1" applyFill="1" applyBorder="1" applyAlignment="1"/>
    <xf numFmtId="2" fontId="4" fillId="2" borderId="3" xfId="0" applyNumberFormat="1" applyFont="1" applyFill="1" applyBorder="1" applyAlignment="1" applyProtection="1">
      <protection locked="0"/>
    </xf>
    <xf numFmtId="2" fontId="0" fillId="0" borderId="0" xfId="0" applyNumberFormat="1"/>
    <xf numFmtId="2" fontId="0" fillId="0" borderId="0" xfId="0" applyNumberFormat="1" applyAlignment="1"/>
    <xf numFmtId="0" fontId="0" fillId="0" borderId="0" xfId="0" applyFill="1" applyAlignment="1"/>
    <xf numFmtId="0" fontId="4" fillId="0" borderId="3" xfId="0" applyFont="1" applyFill="1" applyBorder="1" applyAlignment="1"/>
    <xf numFmtId="0" fontId="0" fillId="0" borderId="0" xfId="0" applyFill="1"/>
    <xf numFmtId="0" fontId="1" fillId="0" borderId="0" xfId="0" applyFont="1" applyAlignment="1">
      <alignment horizontal="left"/>
    </xf>
    <xf numFmtId="0" fontId="0" fillId="0" borderId="0" xfId="0" applyFill="1" applyAlignment="1">
      <alignment horizontal="left"/>
    </xf>
    <xf numFmtId="0" fontId="1" fillId="0" borderId="0" xfId="0" applyFont="1" applyFill="1" applyAlignment="1">
      <alignment horizontal="left"/>
    </xf>
    <xf numFmtId="0" fontId="11" fillId="2" borderId="3" xfId="0" applyFont="1" applyFill="1" applyBorder="1" applyAlignment="1">
      <alignment horizontal="center"/>
    </xf>
    <xf numFmtId="0" fontId="11" fillId="2" borderId="3" xfId="0" applyFont="1" applyFill="1" applyBorder="1" applyAlignment="1"/>
    <xf numFmtId="0" fontId="11" fillId="2" borderId="3" xfId="0" applyNumberFormat="1" applyFont="1" applyFill="1" applyBorder="1" applyAlignment="1" applyProtection="1">
      <protection locked="0"/>
    </xf>
    <xf numFmtId="2" fontId="11" fillId="2" borderId="3" xfId="0" applyNumberFormat="1" applyFont="1" applyFill="1" applyBorder="1" applyAlignment="1"/>
    <xf numFmtId="2" fontId="11" fillId="2" borderId="3" xfId="0" applyNumberFormat="1" applyFont="1" applyFill="1" applyBorder="1" applyAlignment="1" applyProtection="1">
      <protection locked="0"/>
    </xf>
    <xf numFmtId="0" fontId="12" fillId="0" borderId="0" xfId="0" applyFont="1" applyFill="1" applyBorder="1" applyAlignment="1"/>
    <xf numFmtId="0" fontId="12" fillId="0" borderId="0" xfId="0" applyFont="1" applyBorder="1" applyAlignment="1"/>
    <xf numFmtId="0" fontId="12" fillId="0" borderId="4" xfId="0" applyFont="1" applyFill="1" applyBorder="1" applyAlignment="1">
      <alignment horizontal="center"/>
    </xf>
    <xf numFmtId="0" fontId="10" fillId="0" borderId="0" xfId="0" applyFont="1" applyBorder="1" applyAlignment="1"/>
    <xf numFmtId="0" fontId="1" fillId="0" borderId="0" xfId="0" applyFont="1" applyBorder="1" applyAlignment="1"/>
    <xf numFmtId="0" fontId="1" fillId="0" borderId="0" xfId="0" applyFont="1" applyFill="1" applyBorder="1" applyAlignment="1">
      <alignment horizontal="center"/>
    </xf>
    <xf numFmtId="0" fontId="1" fillId="0" borderId="0" xfId="0" applyFont="1" applyFill="1" applyBorder="1" applyAlignment="1"/>
    <xf numFmtId="0" fontId="1" fillId="0" borderId="4" xfId="0" applyFont="1" applyFill="1" applyBorder="1" applyAlignment="1">
      <alignment horizontal="center"/>
    </xf>
    <xf numFmtId="0" fontId="11" fillId="0" borderId="0" xfId="2" applyFont="1" applyBorder="1" applyAlignment="1"/>
    <xf numFmtId="3" fontId="11" fillId="0" borderId="0" xfId="2" applyNumberFormat="1" applyFont="1" applyBorder="1" applyAlignment="1"/>
    <xf numFmtId="2" fontId="11" fillId="0" borderId="0" xfId="2" applyNumberFormat="1" applyFont="1" applyBorder="1" applyAlignment="1"/>
    <xf numFmtId="0" fontId="11" fillId="0" borderId="4" xfId="2" applyFont="1" applyBorder="1" applyAlignment="1">
      <alignment horizontal="center"/>
    </xf>
    <xf numFmtId="1" fontId="11" fillId="0" borderId="0" xfId="2" applyNumberFormat="1" applyFont="1" applyBorder="1" applyAlignment="1">
      <alignment horizontal="center"/>
    </xf>
    <xf numFmtId="2" fontId="1" fillId="0" borderId="0" xfId="0" applyNumberFormat="1" applyFont="1" applyFill="1" applyBorder="1" applyAlignment="1"/>
    <xf numFmtId="2" fontId="12" fillId="0" borderId="0" xfId="0" applyNumberFormat="1" applyFont="1" applyFill="1" applyBorder="1" applyAlignment="1"/>
    <xf numFmtId="0" fontId="0" fillId="0" borderId="0" xfId="0" applyBorder="1" applyAlignment="1">
      <alignment horizontal="center"/>
    </xf>
    <xf numFmtId="1" fontId="10" fillId="0" borderId="0" xfId="0" applyNumberFormat="1" applyFont="1" applyFill="1" applyBorder="1" applyAlignment="1">
      <alignment horizontal="center"/>
    </xf>
    <xf numFmtId="1" fontId="1" fillId="0" borderId="0" xfId="0" applyNumberFormat="1" applyFont="1" applyFill="1" applyBorder="1" applyAlignment="1">
      <alignment horizontal="center"/>
    </xf>
    <xf numFmtId="1" fontId="11" fillId="2" borderId="3" xfId="0" applyNumberFormat="1" applyFont="1" applyFill="1" applyBorder="1" applyAlignment="1">
      <alignment horizontal="center"/>
    </xf>
    <xf numFmtId="1" fontId="12" fillId="0" borderId="0" xfId="0" applyNumberFormat="1" applyFont="1" applyFill="1" applyBorder="1" applyAlignment="1">
      <alignment horizontal="center"/>
    </xf>
    <xf numFmtId="0" fontId="0" fillId="0" borderId="4" xfId="0" applyBorder="1" applyAlignment="1">
      <alignment horizontal="center"/>
    </xf>
    <xf numFmtId="0" fontId="1" fillId="0" borderId="5" xfId="0" applyFont="1" applyFill="1" applyBorder="1" applyAlignment="1">
      <alignment horizontal="center"/>
    </xf>
    <xf numFmtId="0" fontId="1" fillId="0" borderId="6" xfId="0" applyFont="1" applyFill="1" applyBorder="1" applyAlignment="1">
      <alignment horizontal="center"/>
    </xf>
    <xf numFmtId="0" fontId="0" fillId="0" borderId="3" xfId="0" applyBorder="1"/>
    <xf numFmtId="0" fontId="11" fillId="0" borderId="4" xfId="0" applyFont="1" applyBorder="1" applyAlignment="1">
      <alignment horizontal="center"/>
    </xf>
    <xf numFmtId="0" fontId="11" fillId="0" borderId="0" xfId="0" applyFont="1"/>
    <xf numFmtId="0" fontId="8" fillId="0" borderId="0" xfId="1" applyAlignment="1" applyProtection="1"/>
    <xf numFmtId="3" fontId="11" fillId="0" borderId="0" xfId="0" applyNumberFormat="1" applyFont="1"/>
    <xf numFmtId="2" fontId="11" fillId="0" borderId="0" xfId="0" applyNumberFormat="1" applyFont="1"/>
    <xf numFmtId="1" fontId="11" fillId="0" borderId="0" xfId="0" applyNumberFormat="1" applyFont="1" applyAlignment="1">
      <alignment horizontal="center"/>
    </xf>
    <xf numFmtId="0" fontId="1" fillId="0" borderId="0" xfId="0" applyFont="1" applyFill="1" applyBorder="1" applyAlignment="1">
      <alignment horizontal="left"/>
    </xf>
    <xf numFmtId="0" fontId="0" fillId="0" borderId="5" xfId="0" applyBorder="1" applyAlignment="1">
      <alignment horizontal="center"/>
    </xf>
    <xf numFmtId="0" fontId="17" fillId="0" borderId="0" xfId="0" applyFont="1" applyFill="1" applyAlignment="1"/>
    <xf numFmtId="0" fontId="17" fillId="0" borderId="0" xfId="0" applyFont="1"/>
    <xf numFmtId="0" fontId="1" fillId="0" borderId="0" xfId="0" applyFont="1" applyFill="1" applyAlignment="1"/>
    <xf numFmtId="0" fontId="1" fillId="0" borderId="0" xfId="0" applyFont="1"/>
    <xf numFmtId="0" fontId="17" fillId="0" borderId="0" xfId="0" applyFont="1" applyFill="1"/>
    <xf numFmtId="0" fontId="1" fillId="0" borderId="0" xfId="0" applyFont="1" applyFill="1"/>
    <xf numFmtId="0" fontId="7" fillId="0" borderId="0" xfId="0" applyFont="1" applyAlignment="1">
      <alignment horizontal="left"/>
    </xf>
    <xf numFmtId="0" fontId="10" fillId="0" borderId="0" xfId="0" applyFont="1" applyBorder="1" applyAlignment="1">
      <alignment horizontal="left"/>
    </xf>
    <xf numFmtId="0" fontId="1" fillId="0" borderId="0" xfId="0" applyFont="1" applyBorder="1" applyAlignment="1">
      <alignment horizontal="left"/>
    </xf>
    <xf numFmtId="0" fontId="10" fillId="0" borderId="0" xfId="0" applyFont="1" applyAlignment="1">
      <alignment horizontal="left"/>
    </xf>
    <xf numFmtId="0" fontId="12" fillId="0" borderId="0" xfId="0" applyFont="1" applyAlignment="1">
      <alignment horizontal="left"/>
    </xf>
    <xf numFmtId="0" fontId="18" fillId="0" borderId="3" xfId="0" applyFont="1" applyFill="1" applyBorder="1" applyAlignment="1"/>
    <xf numFmtId="0" fontId="19" fillId="0" borderId="0" xfId="0" applyFont="1" applyFill="1"/>
    <xf numFmtId="0" fontId="19" fillId="0" borderId="0" xfId="0" applyFont="1"/>
    <xf numFmtId="0" fontId="20" fillId="0" borderId="0" xfId="0" applyFont="1" applyAlignment="1">
      <alignment horizontal="left"/>
    </xf>
    <xf numFmtId="0" fontId="20" fillId="0" borderId="0" xfId="0" applyFont="1" applyFill="1" applyAlignment="1">
      <alignment horizontal="left"/>
    </xf>
    <xf numFmtId="164" fontId="10" fillId="0" borderId="0" xfId="0" applyNumberFormat="1" applyFont="1" applyBorder="1" applyAlignment="1">
      <alignment horizontal="left"/>
    </xf>
    <xf numFmtId="164" fontId="1" fillId="0" borderId="0" xfId="0" applyNumberFormat="1" applyFont="1" applyBorder="1" applyAlignment="1">
      <alignment horizontal="left"/>
    </xf>
    <xf numFmtId="164" fontId="10" fillId="0" borderId="0" xfId="0" applyNumberFormat="1" applyFont="1" applyBorder="1" applyAlignment="1"/>
    <xf numFmtId="0" fontId="1" fillId="0" borderId="0" xfId="0" applyFont="1" applyAlignment="1">
      <alignment wrapText="1"/>
    </xf>
    <xf numFmtId="0" fontId="1" fillId="0" borderId="0" xfId="0" applyFont="1" applyFill="1" applyBorder="1" applyAlignment="1">
      <alignment wrapText="1"/>
    </xf>
    <xf numFmtId="0" fontId="1" fillId="0" borderId="0" xfId="0" applyFont="1" applyFill="1" applyAlignment="1">
      <alignment wrapText="1"/>
    </xf>
    <xf numFmtId="0" fontId="11" fillId="0" borderId="0" xfId="2" applyFont="1" applyBorder="1" applyAlignment="1">
      <alignment wrapText="1"/>
    </xf>
    <xf numFmtId="0" fontId="0" fillId="0" borderId="0" xfId="0" applyAlignment="1">
      <alignment wrapText="1"/>
    </xf>
    <xf numFmtId="0" fontId="0" fillId="0" borderId="0" xfId="0" applyAlignment="1">
      <alignment horizontal="left" wrapText="1"/>
    </xf>
    <xf numFmtId="2" fontId="1" fillId="0" borderId="0" xfId="0" applyNumberFormat="1" applyFont="1" applyFill="1" applyBorder="1" applyAlignment="1">
      <alignment wrapText="1"/>
    </xf>
    <xf numFmtId="0" fontId="0" fillId="0" borderId="0" xfId="0" applyFill="1" applyAlignment="1">
      <alignment wrapText="1"/>
    </xf>
    <xf numFmtId="0" fontId="20" fillId="0" borderId="0" xfId="0" applyFont="1" applyFill="1" applyAlignment="1">
      <alignment horizontal="left" wrapText="1"/>
    </xf>
    <xf numFmtId="0" fontId="1" fillId="0" borderId="0" xfId="0" applyFont="1" applyFill="1" applyAlignment="1">
      <alignment horizontal="left" wrapText="1"/>
    </xf>
    <xf numFmtId="0" fontId="16" fillId="0" borderId="0" xfId="0" applyFont="1" applyFill="1" applyBorder="1" applyAlignment="1">
      <alignment wrapText="1"/>
    </xf>
    <xf numFmtId="0" fontId="4" fillId="0" borderId="0" xfId="0" applyFont="1" applyFill="1" applyBorder="1" applyAlignment="1">
      <alignment wrapText="1"/>
    </xf>
    <xf numFmtId="0" fontId="17" fillId="0" borderId="0" xfId="0" applyFont="1" applyFill="1" applyAlignment="1">
      <alignment wrapText="1"/>
    </xf>
    <xf numFmtId="0" fontId="17" fillId="0" borderId="0" xfId="0" applyFont="1" applyFill="1" applyAlignment="1">
      <alignment horizontal="left" wrapText="1"/>
    </xf>
    <xf numFmtId="0" fontId="0" fillId="0" borderId="0" xfId="0" applyFill="1" applyAlignment="1">
      <alignment horizontal="left" wrapText="1"/>
    </xf>
    <xf numFmtId="164" fontId="1" fillId="0" borderId="0" xfId="0" applyNumberFormat="1" applyFont="1" applyFill="1" applyAlignment="1">
      <alignment wrapText="1"/>
    </xf>
    <xf numFmtId="0" fontId="0" fillId="0" borderId="0" xfId="0" applyFont="1" applyFill="1" applyAlignment="1">
      <alignment wrapText="1"/>
    </xf>
    <xf numFmtId="0" fontId="17" fillId="0" borderId="0" xfId="0" applyFont="1" applyAlignment="1">
      <alignment wrapText="1"/>
    </xf>
    <xf numFmtId="0" fontId="4" fillId="0" borderId="0" xfId="0" applyFont="1" applyFill="1" applyAlignment="1">
      <alignment wrapText="1"/>
    </xf>
    <xf numFmtId="0" fontId="17" fillId="0" borderId="0" xfId="0" applyFont="1" applyAlignment="1">
      <alignment horizontal="left" wrapText="1"/>
    </xf>
    <xf numFmtId="0" fontId="25" fillId="0" borderId="0" xfId="0" applyFont="1"/>
    <xf numFmtId="2" fontId="11" fillId="2" borderId="3" xfId="0" applyNumberFormat="1" applyFont="1" applyFill="1" applyBorder="1" applyAlignment="1" applyProtection="1">
      <alignment wrapText="1"/>
      <protection locked="0"/>
    </xf>
    <xf numFmtId="0" fontId="11" fillId="2" borderId="3" xfId="0" applyFont="1" applyFill="1" applyBorder="1" applyAlignment="1">
      <alignment wrapText="1"/>
    </xf>
    <xf numFmtId="1" fontId="11" fillId="2" borderId="3" xfId="0" applyNumberFormat="1" applyFont="1" applyFill="1" applyBorder="1" applyAlignment="1">
      <alignment horizontal="center" wrapText="1"/>
    </xf>
    <xf numFmtId="1" fontId="1" fillId="0" borderId="0" xfId="0" applyNumberFormat="1" applyFont="1" applyFill="1" applyBorder="1" applyAlignment="1">
      <alignment horizontal="center" wrapText="1"/>
    </xf>
    <xf numFmtId="2" fontId="0" fillId="0" borderId="0" xfId="0" applyNumberFormat="1" applyAlignment="1">
      <alignment wrapText="1"/>
    </xf>
    <xf numFmtId="1" fontId="0" fillId="0" borderId="0" xfId="0" applyNumberFormat="1" applyAlignment="1">
      <alignment horizontal="center" wrapText="1"/>
    </xf>
    <xf numFmtId="2" fontId="11" fillId="0" borderId="0" xfId="2" applyNumberFormat="1" applyFont="1" applyBorder="1" applyAlignment="1">
      <alignment wrapText="1"/>
    </xf>
    <xf numFmtId="16" fontId="0" fillId="0" borderId="0" xfId="0" applyNumberFormat="1" applyAlignment="1">
      <alignment wrapText="1"/>
    </xf>
    <xf numFmtId="1" fontId="20" fillId="0" borderId="0" xfId="0" applyNumberFormat="1" applyFont="1" applyFill="1" applyBorder="1" applyAlignment="1">
      <alignment horizontal="center" vertical="center"/>
    </xf>
    <xf numFmtId="1" fontId="1" fillId="0" borderId="0" xfId="0" applyNumberFormat="1" applyFont="1" applyFill="1" applyBorder="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1" fontId="1" fillId="0" borderId="0" xfId="0" applyNumberFormat="1" applyFont="1" applyFill="1" applyAlignment="1">
      <alignment horizontal="center" vertical="center"/>
    </xf>
    <xf numFmtId="1" fontId="12" fillId="0" borderId="0" xfId="0" applyNumberFormat="1" applyFont="1" applyFill="1" applyAlignment="1">
      <alignment horizontal="center" vertical="center"/>
    </xf>
    <xf numFmtId="1" fontId="12" fillId="0" borderId="0" xfId="0" applyNumberFormat="1" applyFont="1" applyFill="1" applyBorder="1" applyAlignment="1">
      <alignment horizontal="center" vertical="center"/>
    </xf>
    <xf numFmtId="1" fontId="0" fillId="0" borderId="0" xfId="0" applyNumberFormat="1" applyBorder="1" applyAlignment="1">
      <alignment horizontal="center" vertical="center"/>
    </xf>
    <xf numFmtId="1" fontId="0" fillId="0" borderId="0" xfId="0" applyNumberFormat="1" applyAlignment="1">
      <alignment horizontal="center" vertical="center"/>
    </xf>
    <xf numFmtId="1" fontId="11" fillId="0" borderId="0" xfId="2" applyNumberFormat="1" applyFont="1" applyBorder="1" applyAlignment="1">
      <alignment horizontal="center" vertical="center"/>
    </xf>
    <xf numFmtId="1" fontId="1" fillId="0" borderId="0" xfId="0" applyNumberFormat="1" applyFont="1" applyBorder="1" applyAlignment="1">
      <alignment horizontal="center" vertical="center"/>
    </xf>
    <xf numFmtId="0" fontId="1" fillId="0" borderId="0" xfId="0" applyFont="1" applyFill="1" applyBorder="1" applyAlignment="1">
      <alignment horizontal="center" vertical="center"/>
    </xf>
    <xf numFmtId="1" fontId="13" fillId="0" borderId="0" xfId="0" applyNumberFormat="1" applyFont="1" applyFill="1" applyBorder="1" applyAlignment="1">
      <alignment horizontal="center" vertical="center"/>
    </xf>
    <xf numFmtId="1" fontId="1" fillId="0" borderId="0" xfId="0" applyNumberFormat="1" applyFont="1" applyAlignment="1">
      <alignment horizontal="center" vertical="center"/>
    </xf>
    <xf numFmtId="0" fontId="1" fillId="0" borderId="0" xfId="0" applyFont="1" applyFill="1" applyAlignment="1">
      <alignment horizontal="center" vertical="center"/>
    </xf>
    <xf numFmtId="1" fontId="23" fillId="0" borderId="0" xfId="0" applyNumberFormat="1" applyFont="1" applyFill="1" applyBorder="1" applyAlignment="1">
      <alignment horizontal="center" vertical="center"/>
    </xf>
    <xf numFmtId="1" fontId="1" fillId="0" borderId="1" xfId="0" applyNumberFormat="1" applyFont="1" applyFill="1" applyBorder="1" applyAlignment="1">
      <alignment horizontal="center" vertical="center"/>
    </xf>
    <xf numFmtId="1" fontId="1" fillId="0" borderId="1" xfId="0" applyNumberFormat="1" applyFont="1" applyBorder="1" applyAlignment="1">
      <alignment horizontal="center" vertical="center"/>
    </xf>
    <xf numFmtId="0" fontId="0" fillId="0" borderId="1" xfId="0" applyBorder="1" applyAlignment="1">
      <alignment horizontal="center" vertical="center"/>
    </xf>
    <xf numFmtId="0" fontId="20" fillId="0" borderId="0" xfId="0" applyFont="1" applyBorder="1" applyAlignment="1">
      <alignment horizontal="center" vertical="center" wrapText="1"/>
    </xf>
    <xf numFmtId="0" fontId="20" fillId="0" borderId="0" xfId="0" applyFont="1" applyBorder="1" applyAlignment="1">
      <alignment horizontal="center" vertical="center"/>
    </xf>
    <xf numFmtId="164" fontId="20" fillId="0" borderId="0" xfId="0" applyNumberFormat="1" applyFont="1" applyBorder="1" applyAlignment="1">
      <alignment horizontal="center" vertical="center"/>
    </xf>
    <xf numFmtId="0" fontId="1" fillId="0" borderId="0" xfId="0" applyFont="1" applyAlignment="1">
      <alignment horizontal="center" vertical="center"/>
    </xf>
    <xf numFmtId="0" fontId="1" fillId="0" borderId="0" xfId="0" applyFont="1" applyBorder="1" applyAlignment="1">
      <alignment horizontal="center" vertical="center" wrapText="1"/>
    </xf>
    <xf numFmtId="0" fontId="1" fillId="0" borderId="0" xfId="0" applyFont="1" applyBorder="1" applyAlignment="1">
      <alignment horizontal="center" vertical="center"/>
    </xf>
    <xf numFmtId="164" fontId="1" fillId="0" borderId="0" xfId="0" applyNumberFormat="1" applyFont="1" applyBorder="1" applyAlignment="1">
      <alignment horizontal="center" vertical="center"/>
    </xf>
    <xf numFmtId="164" fontId="1" fillId="0" borderId="0" xfId="0" applyNumberFormat="1" applyFont="1" applyFill="1" applyBorder="1" applyAlignment="1">
      <alignment horizontal="center" vertical="center"/>
    </xf>
    <xf numFmtId="0" fontId="11" fillId="0" borderId="0" xfId="2" applyFont="1" applyBorder="1" applyAlignment="1">
      <alignment horizontal="center" vertical="center"/>
    </xf>
    <xf numFmtId="0" fontId="11" fillId="0" borderId="0" xfId="2" applyFont="1" applyBorder="1" applyAlignment="1">
      <alignment horizontal="center" vertical="center" wrapText="1"/>
    </xf>
    <xf numFmtId="3" fontId="11" fillId="0" borderId="0" xfId="2" applyNumberFormat="1" applyFont="1" applyBorder="1" applyAlignment="1">
      <alignment horizontal="center" vertical="center"/>
    </xf>
    <xf numFmtId="164" fontId="11" fillId="0" borderId="0" xfId="2" applyNumberFormat="1" applyFont="1" applyBorder="1" applyAlignment="1">
      <alignment horizontal="center" vertical="center"/>
    </xf>
    <xf numFmtId="0" fontId="12" fillId="0" borderId="0" xfId="0" applyFont="1" applyBorder="1" applyAlignment="1">
      <alignment horizontal="center" vertical="center" wrapText="1"/>
    </xf>
    <xf numFmtId="0" fontId="12" fillId="0" borderId="0" xfId="0" applyFont="1" applyFill="1" applyBorder="1" applyAlignment="1">
      <alignment horizontal="center" vertical="center"/>
    </xf>
    <xf numFmtId="164" fontId="12" fillId="0" borderId="0" xfId="0" applyNumberFormat="1" applyFont="1" applyFill="1" applyBorder="1" applyAlignment="1">
      <alignment horizontal="center" vertical="center"/>
    </xf>
    <xf numFmtId="0" fontId="1" fillId="0" borderId="0" xfId="0" applyFont="1" applyFill="1" applyBorder="1" applyAlignment="1">
      <alignment horizontal="center" vertical="center" wrapText="1"/>
    </xf>
    <xf numFmtId="164" fontId="13" fillId="0" borderId="0" xfId="0" applyNumberFormat="1" applyFont="1" applyBorder="1" applyAlignment="1">
      <alignment horizontal="center" vertical="center"/>
    </xf>
    <xf numFmtId="164" fontId="1" fillId="0" borderId="0" xfId="0" applyNumberFormat="1" applyFont="1" applyFill="1" applyAlignment="1">
      <alignment horizontal="center" vertical="center"/>
    </xf>
    <xf numFmtId="0" fontId="1" fillId="0" borderId="0" xfId="0" applyFont="1" applyAlignment="1">
      <alignment horizontal="center" vertical="center" wrapText="1"/>
    </xf>
    <xf numFmtId="0" fontId="0" fillId="0" borderId="0" xfId="0" applyBorder="1" applyAlignment="1">
      <alignment horizontal="center" vertical="center" wrapText="1"/>
    </xf>
    <xf numFmtId="164" fontId="0" fillId="0" borderId="0" xfId="0" applyNumberFormat="1" applyBorder="1" applyAlignment="1">
      <alignment horizontal="center" vertical="center"/>
    </xf>
    <xf numFmtId="0" fontId="0" fillId="0" borderId="0" xfId="0" applyFill="1" applyAlignment="1">
      <alignment horizontal="center" vertical="center"/>
    </xf>
    <xf numFmtId="0" fontId="0" fillId="0" borderId="0" xfId="0" applyNumberFormat="1" applyAlignment="1" applyProtection="1">
      <alignment horizontal="center" vertical="center"/>
      <protection locked="0"/>
    </xf>
    <xf numFmtId="164" fontId="0" fillId="0" borderId="0" xfId="0" applyNumberFormat="1" applyAlignment="1" applyProtection="1">
      <alignment horizontal="center" vertical="center"/>
      <protection locked="0"/>
    </xf>
    <xf numFmtId="0" fontId="0" fillId="0" borderId="0" xfId="0" applyNumberFormat="1" applyBorder="1" applyAlignment="1" applyProtection="1">
      <alignment horizontal="center" vertical="center"/>
      <protection locked="0"/>
    </xf>
    <xf numFmtId="164" fontId="0" fillId="0" borderId="0" xfId="0" applyNumberFormat="1" applyAlignment="1">
      <alignment horizontal="center" vertical="center"/>
    </xf>
    <xf numFmtId="164" fontId="0" fillId="0" borderId="0" xfId="0" applyNumberFormat="1" applyBorder="1" applyAlignment="1" applyProtection="1">
      <alignment horizontal="center" vertical="center"/>
      <protection locked="0"/>
    </xf>
    <xf numFmtId="0" fontId="0" fillId="0" borderId="0" xfId="0" applyAlignment="1" applyProtection="1">
      <alignment horizontal="center" vertical="center"/>
      <protection locked="0"/>
    </xf>
    <xf numFmtId="2" fontId="0" fillId="0" borderId="0" xfId="0" applyNumberFormat="1" applyBorder="1" applyAlignment="1">
      <alignment horizontal="center" vertical="center"/>
    </xf>
    <xf numFmtId="0" fontId="0" fillId="0" borderId="0" xfId="0" applyBorder="1" applyAlignment="1" applyProtection="1">
      <alignment horizontal="center" vertical="center"/>
      <protection locked="0"/>
    </xf>
    <xf numFmtId="0" fontId="1" fillId="0" borderId="0" xfId="0" applyFont="1" applyFill="1" applyAlignment="1">
      <alignment horizontal="center" vertical="center" wrapText="1"/>
    </xf>
    <xf numFmtId="2" fontId="0" fillId="0" borderId="0" xfId="0" applyNumberFormat="1" applyBorder="1" applyAlignment="1" applyProtection="1">
      <alignment horizontal="center" vertical="center"/>
      <protection locked="0"/>
    </xf>
    <xf numFmtId="2" fontId="1" fillId="0" borderId="0" xfId="0" applyNumberFormat="1" applyFont="1" applyFill="1" applyBorder="1" applyAlignment="1">
      <alignment horizontal="center" vertical="center"/>
    </xf>
    <xf numFmtId="164" fontId="1" fillId="0" borderId="0" xfId="0" applyNumberFormat="1" applyFont="1" applyAlignment="1">
      <alignment horizontal="center" vertical="center"/>
    </xf>
    <xf numFmtId="2" fontId="22" fillId="0" borderId="0" xfId="0" applyNumberFormat="1" applyFont="1" applyAlignment="1">
      <alignment horizontal="center" vertical="center"/>
    </xf>
    <xf numFmtId="165" fontId="22" fillId="0" borderId="0" xfId="0" applyNumberFormat="1" applyFont="1" applyBorder="1" applyAlignment="1">
      <alignment horizontal="center" vertical="center"/>
    </xf>
    <xf numFmtId="0" fontId="21" fillId="0" borderId="0" xfId="0" applyFont="1" applyBorder="1" applyAlignment="1">
      <alignment horizontal="center" vertical="center"/>
    </xf>
    <xf numFmtId="0" fontId="0" fillId="0" borderId="0" xfId="0" applyAlignment="1">
      <alignment horizontal="center" vertical="center" wrapText="1"/>
    </xf>
    <xf numFmtId="165" fontId="22" fillId="0" borderId="0" xfId="0" applyNumberFormat="1" applyFont="1" applyAlignment="1">
      <alignment horizontal="center" vertical="center"/>
    </xf>
    <xf numFmtId="0" fontId="1" fillId="0"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0" fillId="0" borderId="1" xfId="0" applyBorder="1" applyAlignment="1">
      <alignment horizontal="center" vertical="center" wrapText="1"/>
    </xf>
    <xf numFmtId="0" fontId="12" fillId="0" borderId="1" xfId="0" applyFont="1" applyBorder="1" applyAlignment="1">
      <alignment horizontal="center" vertical="center" wrapText="1"/>
    </xf>
    <xf numFmtId="0" fontId="1" fillId="0" borderId="1" xfId="0" applyFont="1" applyFill="1" applyBorder="1" applyAlignment="1">
      <alignment horizontal="center" vertical="center"/>
    </xf>
    <xf numFmtId="164" fontId="1" fillId="0" borderId="1" xfId="0" applyNumberFormat="1" applyFont="1" applyFill="1" applyBorder="1" applyAlignment="1">
      <alignment horizontal="center" vertical="center"/>
    </xf>
    <xf numFmtId="164" fontId="0" fillId="0" borderId="1" xfId="0" applyNumberFormat="1" applyBorder="1" applyAlignment="1">
      <alignment horizontal="center" vertical="center"/>
    </xf>
    <xf numFmtId="0" fontId="12" fillId="0" borderId="1" xfId="0" applyFont="1" applyFill="1" applyBorder="1" applyAlignment="1">
      <alignment horizontal="center" vertical="center"/>
    </xf>
    <xf numFmtId="164" fontId="12" fillId="0" borderId="1" xfId="0" applyNumberFormat="1" applyFont="1" applyFill="1" applyBorder="1" applyAlignment="1">
      <alignment horizontal="center" vertical="center"/>
    </xf>
    <xf numFmtId="0" fontId="13" fillId="0" borderId="0" xfId="0" applyFont="1" applyBorder="1" applyAlignment="1">
      <alignment horizontal="center" vertical="center" wrapText="1"/>
    </xf>
    <xf numFmtId="0" fontId="13" fillId="0" borderId="0" xfId="0" applyFont="1" applyBorder="1" applyAlignment="1">
      <alignment horizontal="center" vertical="center"/>
    </xf>
    <xf numFmtId="2" fontId="1" fillId="0" borderId="0" xfId="0" applyNumberFormat="1" applyFont="1" applyBorder="1" applyAlignment="1">
      <alignment horizontal="center" vertical="center"/>
    </xf>
    <xf numFmtId="0" fontId="20" fillId="0" borderId="0" xfId="0" applyFont="1" applyBorder="1" applyAlignment="1">
      <alignment horizontal="left" vertical="center" wrapText="1"/>
    </xf>
    <xf numFmtId="0" fontId="1" fillId="0" borderId="0" xfId="0" applyFont="1" applyBorder="1" applyAlignment="1">
      <alignment horizontal="left" vertical="center" wrapText="1"/>
    </xf>
    <xf numFmtId="0" fontId="1" fillId="0" borderId="0" xfId="0" applyFont="1" applyFill="1" applyBorder="1" applyAlignment="1">
      <alignment vertical="center" wrapText="1"/>
    </xf>
    <xf numFmtId="0" fontId="11" fillId="0" borderId="0" xfId="2" applyFont="1" applyBorder="1" applyAlignment="1">
      <alignment vertical="center" wrapText="1"/>
    </xf>
    <xf numFmtId="0" fontId="12" fillId="0" borderId="0" xfId="0" applyFont="1" applyFill="1" applyBorder="1" applyAlignment="1">
      <alignment vertical="center" wrapText="1"/>
    </xf>
    <xf numFmtId="0" fontId="1" fillId="0" borderId="0" xfId="0" applyFont="1" applyFill="1" applyAlignment="1">
      <alignment vertical="center" wrapText="1"/>
    </xf>
    <xf numFmtId="0" fontId="0" fillId="0" borderId="0" xfId="0" applyBorder="1" applyAlignment="1">
      <alignment vertical="center" wrapText="1"/>
    </xf>
    <xf numFmtId="0" fontId="1" fillId="0" borderId="0" xfId="0" applyFont="1" applyBorder="1" applyAlignment="1">
      <alignment vertical="center" wrapText="1"/>
    </xf>
    <xf numFmtId="0" fontId="12" fillId="0" borderId="0" xfId="0" applyFont="1" applyBorder="1" applyAlignment="1">
      <alignment vertical="center" wrapText="1"/>
    </xf>
    <xf numFmtId="0" fontId="13" fillId="0" borderId="0" xfId="0" applyFont="1" applyBorder="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0" fillId="0" borderId="0" xfId="0" applyAlignment="1">
      <alignment vertical="center" wrapText="1"/>
    </xf>
    <xf numFmtId="0" fontId="0" fillId="0" borderId="0" xfId="0" applyFill="1" applyAlignment="1">
      <alignment vertical="center" wrapText="1"/>
    </xf>
    <xf numFmtId="2" fontId="0" fillId="0" borderId="0" xfId="0" applyNumberFormat="1" applyAlignment="1" applyProtection="1">
      <alignment vertical="center" wrapText="1"/>
      <protection locked="0"/>
    </xf>
    <xf numFmtId="2" fontId="0" fillId="0" borderId="0" xfId="0" applyNumberFormat="1" applyBorder="1" applyAlignment="1" applyProtection="1">
      <alignment vertical="center" wrapText="1"/>
      <protection locked="0"/>
    </xf>
    <xf numFmtId="0" fontId="0" fillId="0" borderId="0" xfId="0" applyNumberFormat="1" applyAlignment="1" applyProtection="1">
      <alignment vertical="center" wrapText="1"/>
      <protection locked="0"/>
    </xf>
    <xf numFmtId="0" fontId="11" fillId="0" borderId="0" xfId="2" applyFont="1" applyFill="1" applyBorder="1" applyAlignment="1">
      <alignment vertical="center" wrapText="1"/>
    </xf>
    <xf numFmtId="164" fontId="1" fillId="0" borderId="0" xfId="0" applyNumberFormat="1" applyFont="1" applyAlignment="1">
      <alignment vertical="center" wrapText="1"/>
    </xf>
    <xf numFmtId="164" fontId="1" fillId="0" borderId="0" xfId="0" applyNumberFormat="1" applyFont="1" applyFill="1" applyBorder="1" applyAlignment="1">
      <alignment vertical="center" wrapText="1"/>
    </xf>
    <xf numFmtId="2" fontId="1" fillId="0" borderId="0" xfId="0" applyNumberFormat="1" applyFont="1" applyFill="1" applyBorder="1" applyAlignment="1">
      <alignment vertical="center" wrapText="1"/>
    </xf>
    <xf numFmtId="0" fontId="1" fillId="0" borderId="1" xfId="0" applyFont="1" applyFill="1" applyBorder="1" applyAlignment="1">
      <alignment vertical="center" wrapText="1"/>
    </xf>
    <xf numFmtId="0" fontId="13" fillId="0" borderId="0" xfId="0" applyFont="1" applyBorder="1" applyAlignment="1">
      <alignment horizontal="left" vertical="center" wrapText="1"/>
    </xf>
    <xf numFmtId="0" fontId="0" fillId="0" borderId="0" xfId="0" applyAlignment="1">
      <alignment horizontal="left" vertical="center" wrapText="1"/>
    </xf>
    <xf numFmtId="0" fontId="1" fillId="0" borderId="0" xfId="0" applyFont="1" applyAlignment="1">
      <alignment horizontal="left" vertical="center"/>
    </xf>
    <xf numFmtId="0" fontId="0" fillId="0" borderId="0" xfId="0" applyAlignment="1">
      <alignment horizontal="left" vertical="center"/>
    </xf>
    <xf numFmtId="0" fontId="23" fillId="0" borderId="0" xfId="0" applyFont="1" applyAlignment="1">
      <alignment horizontal="left" vertical="center"/>
    </xf>
    <xf numFmtId="0" fontId="12" fillId="0" borderId="0" xfId="0" applyFont="1" applyAlignment="1">
      <alignment horizontal="left" vertical="center"/>
    </xf>
    <xf numFmtId="15" fontId="25" fillId="0" borderId="0" xfId="0" applyNumberFormat="1" applyFont="1" applyAlignment="1">
      <alignment horizontal="center" vertical="top"/>
    </xf>
    <xf numFmtId="15" fontId="0" fillId="0" borderId="0" xfId="0" applyNumberFormat="1" applyAlignment="1">
      <alignment horizontal="center" vertical="top"/>
    </xf>
    <xf numFmtId="15" fontId="1" fillId="0" borderId="0" xfId="0" applyNumberFormat="1" applyFont="1" applyAlignment="1">
      <alignment horizontal="center" vertical="top"/>
    </xf>
    <xf numFmtId="15" fontId="19" fillId="0" borderId="0" xfId="0" applyNumberFormat="1" applyFont="1" applyAlignment="1">
      <alignment horizontal="center" vertical="top"/>
    </xf>
    <xf numFmtId="164" fontId="0" fillId="0" borderId="0" xfId="0" applyNumberFormat="1" applyAlignment="1">
      <alignment horizontal="left"/>
    </xf>
    <xf numFmtId="1" fontId="0" fillId="0" borderId="0" xfId="0" applyNumberFormat="1" applyAlignment="1">
      <alignment horizontal="center"/>
    </xf>
    <xf numFmtId="0" fontId="12" fillId="0" borderId="0" xfId="0" applyFont="1" applyFill="1" applyAlignment="1">
      <alignment horizontal="center" vertical="center"/>
    </xf>
    <xf numFmtId="0" fontId="0" fillId="0" borderId="4" xfId="0" applyBorder="1" applyAlignment="1">
      <alignment horizontal="center" vertical="center"/>
    </xf>
    <xf numFmtId="0" fontId="1" fillId="0" borderId="4" xfId="0" applyFont="1" applyFill="1" applyBorder="1" applyAlignment="1">
      <alignment horizontal="center" vertical="center"/>
    </xf>
    <xf numFmtId="0" fontId="11" fillId="0" borderId="4" xfId="2" applyFont="1" applyBorder="1" applyAlignment="1">
      <alignment horizontal="center" vertical="center"/>
    </xf>
    <xf numFmtId="0" fontId="0" fillId="0" borderId="4" xfId="0" applyFont="1" applyBorder="1" applyAlignment="1">
      <alignment horizontal="center" vertical="center"/>
    </xf>
    <xf numFmtId="0" fontId="12" fillId="0" borderId="4" xfId="0" applyFont="1" applyFill="1" applyBorder="1" applyAlignment="1">
      <alignment horizontal="center" vertical="center"/>
    </xf>
    <xf numFmtId="0" fontId="1" fillId="0" borderId="4" xfId="0" applyFont="1" applyBorder="1" applyAlignment="1">
      <alignment horizontal="center" vertical="center"/>
    </xf>
    <xf numFmtId="0" fontId="12" fillId="0" borderId="0" xfId="0" applyFont="1" applyAlignment="1">
      <alignment horizontal="center" vertical="center"/>
    </xf>
    <xf numFmtId="0" fontId="11" fillId="0" borderId="0" xfId="0" applyFont="1" applyBorder="1" applyAlignment="1">
      <alignment horizontal="center" vertical="center"/>
    </xf>
    <xf numFmtId="3" fontId="11" fillId="0" borderId="0" xfId="2" applyNumberFormat="1" applyFont="1" applyBorder="1" applyAlignment="1">
      <alignment horizontal="center" vertical="center" wrapText="1"/>
    </xf>
    <xf numFmtId="0" fontId="0" fillId="0" borderId="0" xfId="0" applyNumberFormat="1" applyBorder="1" applyAlignment="1" applyProtection="1">
      <alignment horizontal="center" vertical="center" wrapText="1"/>
      <protection locked="0"/>
    </xf>
    <xf numFmtId="0" fontId="12" fillId="0" borderId="0" xfId="0" applyFont="1" applyFill="1" applyBorder="1" applyAlignment="1">
      <alignment horizontal="center" vertical="center" wrapText="1"/>
    </xf>
    <xf numFmtId="0" fontId="0" fillId="0" borderId="0" xfId="0" applyNumberFormat="1" applyAlignment="1" applyProtection="1">
      <alignment horizontal="center" vertical="center" wrapText="1"/>
      <protection locked="0"/>
    </xf>
    <xf numFmtId="0" fontId="0" fillId="0" borderId="0" xfId="0" applyAlignment="1" applyProtection="1">
      <alignment horizontal="center" vertical="center" wrapText="1"/>
      <protection locked="0"/>
    </xf>
    <xf numFmtId="0" fontId="0" fillId="0" borderId="0" xfId="0" applyBorder="1" applyAlignment="1" applyProtection="1">
      <alignment horizontal="center" vertical="center" wrapText="1"/>
      <protection locked="0"/>
    </xf>
    <xf numFmtId="0" fontId="12" fillId="0" borderId="1" xfId="0" applyFont="1" applyFill="1" applyBorder="1" applyAlignment="1">
      <alignment horizontal="center" vertical="center" wrapText="1"/>
    </xf>
    <xf numFmtId="0" fontId="28" fillId="0" borderId="0" xfId="0" applyFont="1" applyFill="1" applyBorder="1" applyAlignment="1">
      <alignment horizontal="center" vertical="center"/>
    </xf>
    <xf numFmtId="0" fontId="28" fillId="0" borderId="0" xfId="0" applyFont="1" applyBorder="1" applyAlignment="1">
      <alignment horizontal="center" vertical="center" wrapText="1"/>
    </xf>
    <xf numFmtId="0" fontId="28" fillId="0" borderId="0" xfId="0" applyFont="1" applyFill="1" applyBorder="1" applyAlignment="1">
      <alignment horizontal="center" vertical="center" wrapText="1"/>
    </xf>
    <xf numFmtId="164" fontId="28" fillId="0" borderId="0" xfId="0" applyNumberFormat="1" applyFont="1" applyFill="1" applyBorder="1" applyAlignment="1">
      <alignment horizontal="center" vertical="center"/>
    </xf>
    <xf numFmtId="0" fontId="28" fillId="0" borderId="0" xfId="0" applyFont="1" applyFill="1" applyBorder="1" applyAlignment="1">
      <alignment vertical="center" wrapText="1"/>
    </xf>
    <xf numFmtId="1" fontId="28" fillId="0" borderId="0" xfId="0" applyNumberFormat="1" applyFont="1" applyFill="1" applyBorder="1" applyAlignment="1">
      <alignment horizontal="center" vertical="center"/>
    </xf>
    <xf numFmtId="0" fontId="28" fillId="0" borderId="0" xfId="0" applyFont="1" applyFill="1" applyAlignment="1">
      <alignment wrapText="1"/>
    </xf>
    <xf numFmtId="0" fontId="28" fillId="0" borderId="0" xfId="0" applyFont="1" applyFill="1" applyAlignment="1"/>
    <xf numFmtId="0" fontId="28" fillId="0" borderId="0" xfId="0" applyFont="1" applyFill="1"/>
    <xf numFmtId="0" fontId="28" fillId="0" borderId="0" xfId="0" applyFont="1"/>
    <xf numFmtId="0" fontId="28" fillId="0" borderId="0" xfId="2" applyFont="1" applyBorder="1" applyAlignment="1">
      <alignment horizontal="center" vertical="center"/>
    </xf>
    <xf numFmtId="0" fontId="28" fillId="0" borderId="0" xfId="2" applyFont="1" applyBorder="1" applyAlignment="1">
      <alignment horizontal="center" vertical="center" wrapText="1"/>
    </xf>
    <xf numFmtId="3" fontId="28" fillId="0" borderId="0" xfId="2" applyNumberFormat="1" applyFont="1" applyBorder="1" applyAlignment="1">
      <alignment horizontal="center" vertical="center"/>
    </xf>
    <xf numFmtId="3" fontId="28" fillId="0" borderId="0" xfId="2" applyNumberFormat="1" applyFont="1" applyBorder="1" applyAlignment="1">
      <alignment horizontal="center" vertical="center" wrapText="1"/>
    </xf>
    <xf numFmtId="164" fontId="28" fillId="0" borderId="0" xfId="2" applyNumberFormat="1" applyFont="1" applyBorder="1" applyAlignment="1">
      <alignment horizontal="center" vertical="center"/>
    </xf>
    <xf numFmtId="0" fontId="28" fillId="0" borderId="0" xfId="2" applyFont="1" applyBorder="1" applyAlignment="1">
      <alignment vertical="center" wrapText="1"/>
    </xf>
    <xf numFmtId="1" fontId="28" fillId="0" borderId="0" xfId="2" applyNumberFormat="1" applyFont="1" applyBorder="1" applyAlignment="1">
      <alignment horizontal="center" vertical="center"/>
    </xf>
    <xf numFmtId="0" fontId="12" fillId="0" borderId="0" xfId="0" applyFont="1" applyFill="1" applyAlignment="1">
      <alignment horizontal="center" vertical="center" wrapText="1"/>
    </xf>
    <xf numFmtId="0" fontId="11" fillId="0" borderId="0" xfId="0" applyFont="1" applyFill="1" applyBorder="1" applyAlignment="1">
      <alignment horizontal="center" vertical="center" wrapText="1"/>
    </xf>
    <xf numFmtId="0" fontId="11" fillId="0" borderId="0" xfId="0" applyNumberFormat="1" applyFont="1" applyBorder="1" applyAlignment="1" applyProtection="1">
      <alignment horizontal="center" vertical="center"/>
      <protection locked="0"/>
    </xf>
    <xf numFmtId="0" fontId="11" fillId="0" borderId="0" xfId="0" applyNumberFormat="1" applyFont="1" applyBorder="1" applyAlignment="1" applyProtection="1">
      <alignment horizontal="center" vertical="center" wrapText="1"/>
      <protection locked="0"/>
    </xf>
    <xf numFmtId="164" fontId="11" fillId="0" borderId="0" xfId="0" applyNumberFormat="1" applyFont="1" applyBorder="1" applyAlignment="1">
      <alignment horizontal="center" vertical="center"/>
    </xf>
    <xf numFmtId="0" fontId="11" fillId="0" borderId="0" xfId="0" applyFont="1" applyBorder="1" applyAlignment="1">
      <alignment vertical="center" wrapText="1"/>
    </xf>
    <xf numFmtId="0" fontId="11" fillId="0" borderId="0" xfId="0" applyFont="1" applyFill="1" applyAlignment="1">
      <alignment wrapText="1"/>
    </xf>
    <xf numFmtId="0" fontId="11" fillId="0" borderId="0" xfId="0" applyFont="1" applyFill="1" applyAlignment="1"/>
    <xf numFmtId="0" fontId="11" fillId="0" borderId="0" xfId="0" applyFont="1" applyFill="1"/>
    <xf numFmtId="0" fontId="1" fillId="0" borderId="5" xfId="0" applyFont="1" applyFill="1" applyBorder="1" applyAlignment="1">
      <alignment horizontal="center" vertical="center"/>
    </xf>
    <xf numFmtId="0" fontId="12" fillId="0" borderId="4" xfId="0" applyFont="1" applyBorder="1" applyAlignment="1">
      <alignment horizontal="center" vertical="center"/>
    </xf>
    <xf numFmtId="0" fontId="0" fillId="0" borderId="1"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1" xfId="0" applyNumberFormat="1" applyBorder="1" applyAlignment="1" applyProtection="1">
      <alignment horizontal="center" vertical="center" wrapText="1"/>
      <protection locked="0"/>
    </xf>
    <xf numFmtId="0" fontId="0" fillId="0" borderId="1" xfId="0" applyBorder="1" applyAlignment="1" applyProtection="1">
      <alignment horizontal="center" vertical="center" wrapText="1"/>
      <protection locked="0"/>
    </xf>
    <xf numFmtId="164" fontId="0" fillId="0" borderId="1" xfId="0" applyNumberFormat="1" applyBorder="1" applyAlignment="1" applyProtection="1">
      <alignment horizontal="center" vertical="center"/>
      <protection locked="0"/>
    </xf>
    <xf numFmtId="165" fontId="0" fillId="0" borderId="0" xfId="0" applyNumberFormat="1" applyBorder="1" applyAlignment="1">
      <alignment horizontal="center" vertical="center"/>
    </xf>
    <xf numFmtId="0" fontId="29" fillId="0" borderId="0" xfId="2" applyFont="1" applyBorder="1" applyAlignment="1">
      <alignment horizontal="center" vertical="center"/>
    </xf>
    <xf numFmtId="0" fontId="29" fillId="0" borderId="0" xfId="2" applyFont="1" applyBorder="1" applyAlignment="1">
      <alignment horizontal="center" vertical="center" wrapText="1"/>
    </xf>
    <xf numFmtId="3" fontId="29" fillId="0" borderId="0" xfId="2" applyNumberFormat="1" applyFont="1" applyBorder="1" applyAlignment="1">
      <alignment horizontal="center" vertical="center"/>
    </xf>
    <xf numFmtId="3" fontId="29" fillId="0" borderId="0" xfId="2" applyNumberFormat="1" applyFont="1" applyBorder="1" applyAlignment="1">
      <alignment horizontal="center" vertical="center" wrapText="1"/>
    </xf>
    <xf numFmtId="164" fontId="29" fillId="0" borderId="0" xfId="0" applyNumberFormat="1" applyFont="1" applyFill="1" applyBorder="1" applyAlignment="1">
      <alignment horizontal="center" vertical="center"/>
    </xf>
    <xf numFmtId="164" fontId="29" fillId="0" borderId="0" xfId="2" applyNumberFormat="1" applyFont="1" applyBorder="1" applyAlignment="1">
      <alignment horizontal="center" vertical="center"/>
    </xf>
    <xf numFmtId="0" fontId="29" fillId="0" borderId="0" xfId="2" applyFont="1" applyBorder="1" applyAlignment="1">
      <alignment vertical="center" wrapText="1"/>
    </xf>
    <xf numFmtId="0" fontId="29" fillId="0" borderId="0" xfId="0" applyFont="1" applyAlignment="1">
      <alignment horizontal="center" vertical="center"/>
    </xf>
    <xf numFmtId="0" fontId="29" fillId="0" borderId="0" xfId="0" applyFont="1" applyFill="1" applyAlignment="1">
      <alignment wrapText="1"/>
    </xf>
    <xf numFmtId="0" fontId="29" fillId="0" borderId="0" xfId="0" applyFont="1" applyFill="1" applyAlignment="1">
      <alignment horizontal="left" wrapText="1"/>
    </xf>
    <xf numFmtId="0" fontId="29" fillId="0" borderId="0" xfId="0" applyFont="1" applyFill="1" applyAlignment="1"/>
    <xf numFmtId="0" fontId="29" fillId="0" borderId="0" xfId="0" applyFont="1" applyFill="1"/>
    <xf numFmtId="0" fontId="29" fillId="0" borderId="0" xfId="0" applyFont="1"/>
    <xf numFmtId="0" fontId="20" fillId="0" borderId="0" xfId="0" applyFont="1" applyAlignment="1">
      <alignment horizontal="left" vertical="center"/>
    </xf>
    <xf numFmtId="0" fontId="24" fillId="3" borderId="3" xfId="0" applyFont="1" applyFill="1" applyBorder="1" applyAlignment="1">
      <alignment horizontal="center" vertical="center"/>
    </xf>
    <xf numFmtId="0" fontId="24" fillId="3" borderId="3" xfId="0" applyFont="1" applyFill="1" applyBorder="1" applyAlignment="1">
      <alignment horizontal="center" vertical="center" wrapText="1"/>
    </xf>
    <xf numFmtId="0" fontId="24" fillId="3" borderId="3" xfId="0" applyNumberFormat="1" applyFont="1" applyFill="1" applyBorder="1" applyAlignment="1" applyProtection="1">
      <alignment horizontal="center" vertical="center"/>
      <protection locked="0"/>
    </xf>
    <xf numFmtId="0" fontId="24" fillId="3" borderId="3" xfId="0" applyNumberFormat="1" applyFont="1" applyFill="1" applyBorder="1" applyAlignment="1" applyProtection="1">
      <alignment horizontal="center" vertical="center" wrapText="1"/>
      <protection locked="0"/>
    </xf>
    <xf numFmtId="0" fontId="18" fillId="3" borderId="3" xfId="0" applyFont="1" applyFill="1" applyBorder="1" applyAlignment="1" applyProtection="1">
      <alignment horizontal="center" vertical="center" wrapText="1"/>
      <protection locked="0"/>
    </xf>
    <xf numFmtId="164" fontId="24" fillId="3" borderId="3" xfId="0" applyNumberFormat="1" applyFont="1" applyFill="1" applyBorder="1" applyAlignment="1">
      <alignment horizontal="center" vertical="center"/>
    </xf>
    <xf numFmtId="164" fontId="24" fillId="3" borderId="3" xfId="0" applyNumberFormat="1" applyFont="1" applyFill="1" applyBorder="1" applyAlignment="1" applyProtection="1">
      <alignment horizontal="center" vertical="center"/>
      <protection locked="0"/>
    </xf>
    <xf numFmtId="1" fontId="24" fillId="3" borderId="3" xfId="0" applyNumberFormat="1" applyFont="1" applyFill="1" applyBorder="1" applyAlignment="1">
      <alignment horizontal="center" vertical="center"/>
    </xf>
    <xf numFmtId="0" fontId="23" fillId="3" borderId="3" xfId="0" applyFont="1" applyFill="1" applyBorder="1" applyAlignment="1">
      <alignment horizontal="center" vertical="center" wrapText="1"/>
    </xf>
    <xf numFmtId="0" fontId="23" fillId="3" borderId="0" xfId="0" applyFont="1" applyFill="1" applyAlignment="1">
      <alignment horizontal="center" vertical="center"/>
    </xf>
    <xf numFmtId="0" fontId="0" fillId="0" borderId="0" xfId="0" applyFont="1" applyFill="1" applyBorder="1" applyAlignment="1">
      <alignment horizontal="center" vertical="center" wrapText="1"/>
    </xf>
    <xf numFmtId="0" fontId="0" fillId="0" borderId="5" xfId="0" applyBorder="1" applyAlignment="1">
      <alignment horizontal="center" vertical="center"/>
    </xf>
    <xf numFmtId="0" fontId="11" fillId="0" borderId="4" xfId="0" applyFont="1" applyBorder="1" applyAlignment="1">
      <alignment horizontal="center" vertical="center"/>
    </xf>
    <xf numFmtId="0" fontId="28" fillId="0" borderId="4" xfId="0" applyFont="1" applyFill="1" applyBorder="1" applyAlignment="1">
      <alignment horizontal="center" vertical="center"/>
    </xf>
    <xf numFmtId="0" fontId="0" fillId="0" borderId="0" xfId="0" applyFont="1" applyBorder="1" applyAlignment="1">
      <alignment horizontal="center" vertical="center"/>
    </xf>
    <xf numFmtId="0" fontId="11" fillId="0" borderId="1" xfId="2" applyFont="1" applyBorder="1" applyAlignment="1">
      <alignment horizontal="center" vertical="center" wrapText="1"/>
    </xf>
    <xf numFmtId="3" fontId="11" fillId="0" borderId="1" xfId="2" applyNumberFormat="1" applyFont="1" applyBorder="1" applyAlignment="1">
      <alignment horizontal="center" vertical="center"/>
    </xf>
    <xf numFmtId="3" fontId="11" fillId="0" borderId="1" xfId="2" applyNumberFormat="1" applyFont="1" applyBorder="1" applyAlignment="1">
      <alignment horizontal="center" vertical="center" wrapText="1"/>
    </xf>
    <xf numFmtId="0" fontId="11" fillId="0" borderId="1" xfId="2" applyFont="1" applyBorder="1" applyAlignment="1">
      <alignment horizontal="center" vertical="center"/>
    </xf>
    <xf numFmtId="164" fontId="11" fillId="0" borderId="1" xfId="2" applyNumberFormat="1" applyFont="1" applyBorder="1" applyAlignment="1">
      <alignment horizontal="center" vertical="center"/>
    </xf>
    <xf numFmtId="0" fontId="11" fillId="0" borderId="1" xfId="2" applyFont="1" applyBorder="1" applyAlignment="1">
      <alignment vertical="center" wrapText="1"/>
    </xf>
    <xf numFmtId="0" fontId="0" fillId="0" borderId="0" xfId="0" applyFont="1" applyAlignment="1">
      <alignment horizontal="left"/>
    </xf>
    <xf numFmtId="3" fontId="32" fillId="0" borderId="0" xfId="2" applyNumberFormat="1" applyFont="1" applyBorder="1" applyAlignment="1">
      <alignment horizontal="center" vertical="center" wrapText="1"/>
    </xf>
    <xf numFmtId="0" fontId="32" fillId="0" borderId="0" xfId="2" applyFont="1" applyBorder="1" applyAlignment="1">
      <alignment horizontal="center" vertical="center" wrapText="1"/>
    </xf>
    <xf numFmtId="0" fontId="33" fillId="0" borderId="0" xfId="2" applyFont="1" applyBorder="1" applyAlignment="1">
      <alignment horizontal="center" vertical="center" wrapText="1"/>
    </xf>
    <xf numFmtId="1" fontId="32" fillId="0" borderId="0" xfId="0" applyNumberFormat="1" applyFont="1" applyFill="1" applyBorder="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4" fillId="3" borderId="0" xfId="0" applyFont="1" applyFill="1" applyAlignment="1">
      <alignment horizontal="center" vertical="center" wrapText="1"/>
    </xf>
    <xf numFmtId="0" fontId="37" fillId="3" borderId="3" xfId="0" applyFont="1" applyFill="1" applyBorder="1" applyAlignment="1">
      <alignment horizontal="center" vertical="center" wrapText="1"/>
    </xf>
    <xf numFmtId="0" fontId="38" fillId="3" borderId="3" xfId="0" applyFont="1" applyFill="1" applyBorder="1" applyAlignment="1">
      <alignment horizontal="center" vertical="center" wrapText="1"/>
    </xf>
    <xf numFmtId="0" fontId="38" fillId="3" borderId="3" xfId="0" applyNumberFormat="1" applyFont="1" applyFill="1" applyBorder="1" applyAlignment="1" applyProtection="1">
      <alignment horizontal="center" vertical="center" wrapText="1"/>
      <protection locked="0"/>
    </xf>
    <xf numFmtId="2" fontId="38" fillId="3" borderId="3" xfId="0" applyNumberFormat="1" applyFont="1" applyFill="1" applyBorder="1" applyAlignment="1">
      <alignment horizontal="center" vertical="center" wrapText="1"/>
    </xf>
    <xf numFmtId="1" fontId="38" fillId="3" borderId="3" xfId="0" applyNumberFormat="1" applyFont="1" applyFill="1" applyBorder="1" applyAlignment="1" applyProtection="1">
      <alignment horizontal="center" vertical="center" wrapText="1"/>
      <protection locked="0"/>
    </xf>
    <xf numFmtId="0" fontId="38" fillId="3" borderId="3" xfId="0" applyNumberFormat="1" applyFont="1" applyFill="1" applyBorder="1" applyAlignment="1">
      <alignment horizontal="center" vertical="center" wrapText="1"/>
    </xf>
    <xf numFmtId="0" fontId="39" fillId="3" borderId="0" xfId="0" applyFont="1" applyFill="1" applyAlignment="1">
      <alignment horizontal="center" vertical="center" wrapText="1"/>
    </xf>
    <xf numFmtId="0" fontId="40" fillId="3" borderId="0" xfId="0" applyFont="1" applyFill="1" applyAlignment="1">
      <alignment horizontal="center" vertical="center" wrapText="1"/>
    </xf>
    <xf numFmtId="0" fontId="40" fillId="0" borderId="0" xfId="0" applyFont="1" applyAlignment="1">
      <alignment wrapText="1"/>
    </xf>
    <xf numFmtId="0" fontId="40" fillId="0" borderId="0" xfId="0" applyFont="1"/>
    <xf numFmtId="0" fontId="41" fillId="0" borderId="0" xfId="0" applyFont="1" applyAlignment="1">
      <alignment horizontal="center" vertical="center" wrapText="1"/>
    </xf>
    <xf numFmtId="0" fontId="41" fillId="0" borderId="0" xfId="0" applyFont="1" applyAlignment="1">
      <alignment wrapText="1"/>
    </xf>
    <xf numFmtId="0" fontId="35" fillId="0" borderId="0" xfId="0" applyFont="1" applyBorder="1" applyAlignment="1">
      <alignment horizontal="center" vertical="center" wrapText="1"/>
    </xf>
    <xf numFmtId="3" fontId="35" fillId="0" borderId="0" xfId="2" applyNumberFormat="1" applyFont="1" applyBorder="1" applyAlignment="1">
      <alignment horizontal="center" vertical="center" wrapText="1"/>
    </xf>
    <xf numFmtId="0" fontId="35" fillId="0" borderId="0" xfId="2" applyFont="1" applyBorder="1" applyAlignment="1">
      <alignment horizontal="center" vertical="center" wrapText="1"/>
    </xf>
    <xf numFmtId="0" fontId="42" fillId="0" borderId="0" xfId="2" applyFont="1" applyBorder="1" applyAlignment="1">
      <alignment horizontal="center" vertical="center" wrapText="1"/>
    </xf>
    <xf numFmtId="1" fontId="35" fillId="0" borderId="0" xfId="0" applyNumberFormat="1" applyFont="1" applyFill="1" applyBorder="1" applyAlignment="1">
      <alignment horizontal="center" vertical="center" wrapText="1"/>
    </xf>
    <xf numFmtId="1" fontId="35" fillId="0" borderId="0" xfId="2" applyNumberFormat="1" applyFont="1" applyBorder="1" applyAlignment="1">
      <alignment horizontal="center" vertical="center" wrapText="1"/>
    </xf>
    <xf numFmtId="0" fontId="35" fillId="0" borderId="0" xfId="2" applyNumberFormat="1" applyFont="1" applyBorder="1" applyAlignment="1">
      <alignment horizontal="center" vertical="center" wrapText="1"/>
    </xf>
    <xf numFmtId="0" fontId="41" fillId="0" borderId="0" xfId="0" applyFont="1"/>
    <xf numFmtId="0" fontId="43" fillId="0" borderId="0" xfId="0" applyFont="1" applyAlignment="1">
      <alignment horizontal="center" vertical="center" wrapText="1"/>
    </xf>
    <xf numFmtId="0" fontId="36" fillId="0" borderId="0" xfId="0" applyFont="1" applyBorder="1" applyAlignment="1">
      <alignment horizontal="center" vertical="center" wrapText="1"/>
    </xf>
    <xf numFmtId="3" fontId="36" fillId="0" borderId="0" xfId="2" applyNumberFormat="1" applyFont="1" applyBorder="1" applyAlignment="1">
      <alignment horizontal="center" vertical="center" wrapText="1"/>
    </xf>
    <xf numFmtId="0" fontId="36" fillId="0" borderId="0" xfId="2" applyFont="1" applyBorder="1" applyAlignment="1">
      <alignment horizontal="center" vertical="center" wrapText="1"/>
    </xf>
    <xf numFmtId="0" fontId="44" fillId="0" borderId="0" xfId="2" applyFont="1" applyBorder="1" applyAlignment="1">
      <alignment horizontal="center" vertical="center" wrapText="1"/>
    </xf>
    <xf numFmtId="1" fontId="36" fillId="0" borderId="0" xfId="0" applyNumberFormat="1" applyFont="1" applyFill="1" applyBorder="1" applyAlignment="1">
      <alignment horizontal="center" vertical="center" wrapText="1"/>
    </xf>
    <xf numFmtId="1" fontId="36" fillId="0" borderId="0" xfId="2" applyNumberFormat="1" applyFont="1" applyBorder="1" applyAlignment="1">
      <alignment horizontal="center" vertical="center" wrapText="1"/>
    </xf>
    <xf numFmtId="0" fontId="36" fillId="0" borderId="0" xfId="2" applyNumberFormat="1" applyFont="1" applyBorder="1" applyAlignment="1">
      <alignment horizontal="center" vertical="center" wrapText="1"/>
    </xf>
    <xf numFmtId="0" fontId="43" fillId="0" borderId="0" xfId="0" applyFont="1" applyAlignment="1">
      <alignment wrapText="1"/>
    </xf>
    <xf numFmtId="0" fontId="43" fillId="0" borderId="0" xfId="0" applyFont="1"/>
    <xf numFmtId="3" fontId="35" fillId="0" borderId="0" xfId="0" applyNumberFormat="1" applyFont="1" applyAlignment="1">
      <alignment horizontal="center" vertical="center" wrapText="1"/>
    </xf>
    <xf numFmtId="0" fontId="41" fillId="0" borderId="0" xfId="0" applyFont="1" applyAlignment="1">
      <alignment horizontal="center" vertical="center"/>
    </xf>
    <xf numFmtId="0" fontId="35" fillId="0" borderId="7" xfId="0" applyFont="1" applyBorder="1" applyAlignment="1">
      <alignment horizontal="center" vertical="center" wrapText="1"/>
    </xf>
    <xf numFmtId="0" fontId="42" fillId="0" borderId="0" xfId="0" applyFont="1" applyAlignment="1">
      <alignment horizontal="center" vertical="center" wrapText="1"/>
    </xf>
    <xf numFmtId="1" fontId="35" fillId="0" borderId="0" xfId="0" applyNumberFormat="1" applyFont="1" applyAlignment="1">
      <alignment horizontal="center" vertical="center" wrapText="1"/>
    </xf>
    <xf numFmtId="1" fontId="36" fillId="0" borderId="0" xfId="0" applyNumberFormat="1" applyFont="1" applyAlignment="1">
      <alignment horizontal="center" vertical="center" wrapText="1"/>
    </xf>
    <xf numFmtId="0" fontId="9" fillId="0" borderId="0" xfId="0" applyFont="1" applyAlignment="1">
      <alignment horizontal="center" vertical="center" wrapText="1"/>
    </xf>
    <xf numFmtId="0" fontId="37" fillId="0" borderId="7" xfId="0" applyFont="1" applyBorder="1" applyAlignment="1">
      <alignment horizontal="center" vertical="center" wrapText="1"/>
    </xf>
    <xf numFmtId="0" fontId="37" fillId="0" borderId="0" xfId="0" applyFont="1" applyBorder="1" applyAlignment="1">
      <alignment horizontal="center" vertical="center" wrapText="1"/>
    </xf>
    <xf numFmtId="3" fontId="37" fillId="0" borderId="0" xfId="0" applyNumberFormat="1" applyFont="1" applyAlignment="1">
      <alignment horizontal="center" vertical="center" wrapText="1"/>
    </xf>
    <xf numFmtId="0" fontId="37" fillId="0" borderId="0" xfId="0" applyFont="1" applyAlignment="1">
      <alignment horizontal="center" vertical="center" wrapText="1"/>
    </xf>
    <xf numFmtId="0" fontId="45" fillId="0" borderId="0" xfId="0" applyFont="1" applyAlignment="1">
      <alignment horizontal="center" vertical="center" wrapText="1"/>
    </xf>
    <xf numFmtId="1" fontId="37" fillId="0" borderId="0" xfId="0" applyNumberFormat="1" applyFont="1" applyFill="1" applyBorder="1" applyAlignment="1">
      <alignment horizontal="center" vertical="center" wrapText="1"/>
    </xf>
    <xf numFmtId="1" fontId="37" fillId="0" borderId="0" xfId="0" applyNumberFormat="1" applyFont="1" applyAlignment="1">
      <alignment horizontal="center" vertical="center" wrapText="1"/>
    </xf>
    <xf numFmtId="0" fontId="9" fillId="0" borderId="0" xfId="0" applyFont="1" applyAlignment="1">
      <alignment wrapText="1"/>
    </xf>
    <xf numFmtId="0" fontId="9" fillId="0" borderId="0" xfId="0" applyFont="1"/>
    <xf numFmtId="0" fontId="43" fillId="0" borderId="0" xfId="0" applyFont="1" applyAlignment="1">
      <alignment horizontal="center" vertical="center"/>
    </xf>
    <xf numFmtId="3" fontId="36" fillId="0" borderId="0" xfId="0" applyNumberFormat="1" applyFont="1" applyAlignment="1">
      <alignment horizontal="center" vertical="center" wrapText="1"/>
    </xf>
    <xf numFmtId="0" fontId="44" fillId="0" borderId="0" xfId="0" applyFont="1" applyAlignment="1">
      <alignment horizontal="center" vertical="center" wrapText="1"/>
    </xf>
    <xf numFmtId="0" fontId="36" fillId="0" borderId="0" xfId="0" quotePrefix="1"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0" fontId="34" fillId="0" borderId="0" xfId="0" applyFont="1" applyBorder="1" applyAlignment="1">
      <alignment horizontal="center" vertical="center" wrapText="1"/>
    </xf>
    <xf numFmtId="0" fontId="34" fillId="0" borderId="0" xfId="0" applyFont="1" applyFill="1" applyBorder="1" applyAlignment="1">
      <alignment horizontal="center" vertical="center" wrapText="1"/>
    </xf>
    <xf numFmtId="0" fontId="46" fillId="0" borderId="0" xfId="0" applyFont="1" applyAlignment="1">
      <alignment horizontal="center" vertical="center" wrapText="1"/>
    </xf>
    <xf numFmtId="1" fontId="34" fillId="0" borderId="0" xfId="0" applyNumberFormat="1" applyFont="1" applyFill="1" applyBorder="1" applyAlignment="1">
      <alignment horizontal="center" vertical="center" wrapText="1"/>
    </xf>
    <xf numFmtId="0" fontId="34" fillId="0" borderId="0" xfId="0" applyNumberFormat="1" applyFont="1" applyFill="1" applyBorder="1" applyAlignment="1">
      <alignment horizontal="center" vertical="center" wrapText="1"/>
    </xf>
    <xf numFmtId="0" fontId="40" fillId="0" borderId="0" xfId="0" applyFont="1" applyAlignment="1">
      <alignment vertical="center" wrapText="1"/>
    </xf>
    <xf numFmtId="0" fontId="40" fillId="0" borderId="0" xfId="0" applyFont="1" applyAlignment="1">
      <alignment vertical="center"/>
    </xf>
    <xf numFmtId="0" fontId="47" fillId="0" borderId="0" xfId="0" applyFont="1" applyAlignment="1">
      <alignment horizontal="center" vertical="center" wrapText="1"/>
    </xf>
    <xf numFmtId="3" fontId="48" fillId="0" borderId="0" xfId="2" applyNumberFormat="1" applyFont="1" applyBorder="1" applyAlignment="1">
      <alignment horizontal="center" vertical="center" wrapText="1"/>
    </xf>
    <xf numFmtId="0" fontId="48" fillId="0" borderId="0" xfId="2" applyFont="1" applyBorder="1" applyAlignment="1">
      <alignment horizontal="center" vertical="center" wrapText="1"/>
    </xf>
    <xf numFmtId="0" fontId="49" fillId="0" borderId="0" xfId="0" applyFont="1" applyAlignment="1">
      <alignment horizontal="center" vertical="center" wrapText="1"/>
    </xf>
    <xf numFmtId="0" fontId="47" fillId="0" borderId="0" xfId="0" applyFont="1" applyAlignment="1">
      <alignment horizontal="center" vertical="center"/>
    </xf>
    <xf numFmtId="0" fontId="50" fillId="0" borderId="0" xfId="0" applyFont="1" applyAlignment="1">
      <alignment horizontal="center" vertical="center" wrapText="1"/>
    </xf>
    <xf numFmtId="3" fontId="51" fillId="0" borderId="0" xfId="2" applyNumberFormat="1" applyFont="1" applyBorder="1" applyAlignment="1">
      <alignment horizontal="center" vertical="center" wrapText="1"/>
    </xf>
    <xf numFmtId="0" fontId="51" fillId="0" borderId="0" xfId="2" applyFont="1" applyBorder="1" applyAlignment="1">
      <alignment horizontal="center" vertical="center" wrapText="1"/>
    </xf>
    <xf numFmtId="0" fontId="52" fillId="0" borderId="0" xfId="2" applyFont="1" applyBorder="1" applyAlignment="1">
      <alignment horizontal="center" vertical="center" wrapText="1"/>
    </xf>
    <xf numFmtId="0" fontId="53" fillId="0" borderId="0" xfId="0" applyFont="1" applyAlignment="1">
      <alignment horizontal="center" vertical="center" wrapText="1"/>
    </xf>
    <xf numFmtId="0" fontId="51" fillId="0" borderId="0" xfId="0" applyFont="1" applyBorder="1" applyAlignment="1">
      <alignment horizontal="center" vertical="center" wrapText="1"/>
    </xf>
    <xf numFmtId="0" fontId="0" fillId="0" borderId="0" xfId="0" applyFont="1" applyAlignment="1">
      <alignment horizontal="left" vertical="center"/>
    </xf>
    <xf numFmtId="1" fontId="0" fillId="0" borderId="0" xfId="0" applyNumberFormat="1" applyFont="1" applyFill="1" applyBorder="1" applyAlignment="1">
      <alignment horizontal="center" vertical="center"/>
    </xf>
    <xf numFmtId="164" fontId="30" fillId="0" borderId="0" xfId="0" applyNumberFormat="1" applyFont="1" applyFill="1" applyBorder="1" applyAlignment="1">
      <alignment horizontal="center" vertical="center"/>
    </xf>
    <xf numFmtId="164" fontId="30" fillId="0" borderId="0" xfId="2" applyNumberFormat="1" applyFont="1" applyBorder="1" applyAlignment="1">
      <alignment horizontal="center" vertical="center"/>
    </xf>
    <xf numFmtId="0" fontId="30" fillId="0" borderId="0" xfId="2" applyFont="1" applyBorder="1" applyAlignment="1">
      <alignment horizontal="center" vertical="center"/>
    </xf>
    <xf numFmtId="0" fontId="41" fillId="0" borderId="0" xfId="0" applyFont="1" applyAlignment="1">
      <alignment horizontal="left"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wrapText="1"/>
    </xf>
    <xf numFmtId="164" fontId="0" fillId="0" borderId="0" xfId="0" applyNumberFormat="1" applyFont="1" applyFill="1" applyBorder="1" applyAlignment="1">
      <alignment horizontal="center" vertical="center"/>
    </xf>
    <xf numFmtId="0" fontId="0" fillId="0" borderId="0" xfId="0" applyFont="1" applyFill="1" applyBorder="1" applyAlignment="1">
      <alignment vertical="center" wrapText="1"/>
    </xf>
    <xf numFmtId="1" fontId="0" fillId="0" borderId="0" xfId="0" applyNumberFormat="1" applyFont="1" applyBorder="1" applyAlignment="1">
      <alignment horizontal="center" vertical="center"/>
    </xf>
    <xf numFmtId="0" fontId="0" fillId="0" borderId="0" xfId="0" applyFont="1" applyFill="1" applyAlignment="1"/>
    <xf numFmtId="0" fontId="0" fillId="0" borderId="0" xfId="0" applyFont="1" applyFill="1"/>
    <xf numFmtId="0" fontId="0" fillId="0" borderId="0" xfId="0" applyFont="1"/>
    <xf numFmtId="0" fontId="0" fillId="0" borderId="0" xfId="0" applyFont="1" applyAlignment="1">
      <alignment horizontal="center" vertical="center"/>
    </xf>
    <xf numFmtId="0" fontId="36" fillId="0" borderId="0" xfId="2" applyFont="1" applyFill="1" applyBorder="1" applyAlignment="1">
      <alignment horizontal="center" vertical="center" wrapText="1"/>
    </xf>
    <xf numFmtId="1" fontId="0" fillId="0" borderId="0" xfId="0" applyNumberFormat="1"/>
    <xf numFmtId="0" fontId="0" fillId="0" borderId="0" xfId="0" applyAlignment="1">
      <alignment horizontal="left"/>
    </xf>
    <xf numFmtId="0" fontId="40" fillId="0" borderId="0" xfId="0" applyFont="1" applyAlignment="1">
      <alignment horizontal="center" wrapText="1"/>
    </xf>
    <xf numFmtId="0" fontId="40" fillId="0" borderId="0" xfId="0" applyFont="1" applyAlignment="1">
      <alignment horizontal="center" vertical="center" wrapText="1"/>
    </xf>
  </cellXfs>
  <cellStyles count="27">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Hyperlink" xfId="1" builtinId="8"/>
    <cellStyle name="Normal" xfId="0" builtinId="0"/>
    <cellStyle name="Normal_Sheet1" xfId="2"/>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hyperlink" Target="http://www.dpiwe.tas.gov.au/inter.nsf/WebPages/BHAN-5354KM?op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38"/>
  <sheetViews>
    <sheetView topLeftCell="A115" zoomScale="125" zoomScaleNormal="125" zoomScalePageLayoutView="125" workbookViewId="0">
      <selection activeCell="D136" sqref="D136"/>
    </sheetView>
  </sheetViews>
  <sheetFormatPr defaultColWidth="11.42578125" defaultRowHeight="12.75"/>
  <cols>
    <col min="1" max="1" width="11.42578125" style="206"/>
    <col min="17" max="17" width="73.28515625" customWidth="1"/>
  </cols>
  <sheetData>
    <row r="1" spans="1:29" s="98" customFormat="1" ht="15.75">
      <c r="A1" s="205"/>
      <c r="B1" s="98" t="s">
        <v>1965</v>
      </c>
    </row>
    <row r="2" spans="1:29" s="7" customFormat="1">
      <c r="A2" s="206"/>
      <c r="B2" s="68" t="s">
        <v>6860</v>
      </c>
      <c r="C2" s="30"/>
      <c r="D2" s="30"/>
      <c r="E2" s="30"/>
      <c r="F2" s="30"/>
      <c r="G2" s="30"/>
      <c r="H2" s="30"/>
      <c r="I2" s="77"/>
      <c r="J2" s="77"/>
      <c r="K2" s="30"/>
      <c r="L2" s="43"/>
      <c r="M2" s="21"/>
      <c r="N2" s="21"/>
      <c r="O2" s="21"/>
      <c r="P2" s="21"/>
      <c r="Q2" s="20"/>
      <c r="R2" s="20"/>
      <c r="S2" s="20"/>
      <c r="T2" s="20"/>
      <c r="U2" s="20"/>
      <c r="V2" s="20"/>
      <c r="W2" s="20"/>
      <c r="X2" s="20"/>
      <c r="Y2" s="20"/>
      <c r="Z2" s="20"/>
      <c r="AA2" s="20"/>
      <c r="AB2" s="20"/>
      <c r="AC2" s="20"/>
    </row>
    <row r="3" spans="1:29" s="7" customFormat="1">
      <c r="A3" s="206"/>
      <c r="B3" s="68" t="s">
        <v>5746</v>
      </c>
      <c r="C3" s="30"/>
      <c r="D3" s="30"/>
      <c r="E3" s="30"/>
      <c r="F3" s="30"/>
      <c r="G3" s="30"/>
      <c r="H3" s="30"/>
      <c r="I3" s="77"/>
      <c r="J3" s="77"/>
      <c r="K3" s="30"/>
      <c r="L3" s="43"/>
      <c r="M3" s="21"/>
      <c r="N3" s="21"/>
      <c r="O3" s="21"/>
      <c r="P3" s="21"/>
      <c r="Q3" s="20"/>
      <c r="R3" s="20"/>
      <c r="S3" s="20"/>
      <c r="T3" s="20"/>
      <c r="U3" s="20"/>
      <c r="V3" s="20"/>
      <c r="W3" s="20"/>
      <c r="X3" s="20"/>
      <c r="Y3" s="20"/>
      <c r="Z3" s="20"/>
      <c r="AA3" s="20"/>
      <c r="AB3" s="20"/>
      <c r="AC3" s="20"/>
    </row>
    <row r="4" spans="1:29" s="7" customFormat="1">
      <c r="A4" s="206"/>
      <c r="B4" s="68" t="s">
        <v>6712</v>
      </c>
      <c r="C4" s="30"/>
      <c r="D4" s="30"/>
      <c r="E4" s="30"/>
      <c r="F4" s="30"/>
      <c r="G4" s="30"/>
      <c r="H4" s="30"/>
      <c r="I4" s="77"/>
      <c r="J4" s="77"/>
      <c r="K4" s="30"/>
      <c r="L4" s="43"/>
      <c r="M4" s="21"/>
      <c r="N4" s="21"/>
      <c r="O4" s="21"/>
      <c r="P4" s="21"/>
      <c r="Q4" s="20"/>
      <c r="R4" s="20"/>
      <c r="S4" s="20"/>
      <c r="T4" s="20"/>
      <c r="U4" s="20"/>
      <c r="V4" s="20"/>
      <c r="W4" s="20"/>
      <c r="X4" s="20"/>
      <c r="Y4" s="20"/>
      <c r="Z4" s="20"/>
      <c r="AA4" s="20"/>
      <c r="AB4" s="20"/>
      <c r="AC4" s="20"/>
    </row>
    <row r="5" spans="1:29" s="7" customFormat="1">
      <c r="A5" s="206"/>
      <c r="B5" s="68" t="s">
        <v>7832</v>
      </c>
      <c r="C5" s="66"/>
      <c r="D5" s="66"/>
      <c r="E5" s="66"/>
      <c r="F5" s="66"/>
      <c r="G5" s="66"/>
      <c r="H5" s="66"/>
      <c r="I5" s="75"/>
      <c r="J5" s="75"/>
      <c r="K5" s="66"/>
      <c r="L5" s="43"/>
      <c r="M5" s="21"/>
      <c r="N5" s="21"/>
      <c r="O5" s="21"/>
      <c r="P5" s="21"/>
      <c r="Q5" s="20"/>
      <c r="R5" s="20"/>
      <c r="S5" s="20"/>
      <c r="T5" s="20"/>
      <c r="U5" s="20"/>
      <c r="V5" s="20"/>
      <c r="W5" s="20"/>
      <c r="X5" s="20"/>
      <c r="Y5" s="20"/>
      <c r="Z5" s="20"/>
      <c r="AA5" s="20"/>
      <c r="AB5" s="20"/>
      <c r="AC5" s="20"/>
    </row>
    <row r="6" spans="1:29" s="7" customFormat="1">
      <c r="A6" s="206"/>
      <c r="B6" s="68" t="s">
        <v>8066</v>
      </c>
      <c r="C6" s="66"/>
      <c r="D6" s="66"/>
      <c r="E6" s="66"/>
      <c r="F6" s="66"/>
      <c r="G6" s="66"/>
      <c r="H6" s="66"/>
      <c r="I6" s="75"/>
      <c r="J6" s="75"/>
      <c r="K6" s="66"/>
      <c r="L6" s="43"/>
      <c r="M6" s="21"/>
      <c r="N6" s="21"/>
      <c r="O6" s="21"/>
      <c r="P6" s="21"/>
      <c r="Q6" s="20"/>
      <c r="R6" s="20"/>
      <c r="S6" s="20"/>
      <c r="T6" s="20"/>
      <c r="U6" s="20"/>
      <c r="V6" s="20"/>
      <c r="W6" s="20"/>
      <c r="X6" s="20"/>
      <c r="Y6" s="20"/>
      <c r="Z6" s="20"/>
      <c r="AA6" s="20"/>
      <c r="AB6" s="20"/>
      <c r="AC6" s="20"/>
    </row>
    <row r="7" spans="1:29" s="7" customFormat="1">
      <c r="A7" s="206"/>
      <c r="B7" s="65" t="s">
        <v>2777</v>
      </c>
      <c r="C7" s="30"/>
      <c r="D7" s="30"/>
      <c r="E7" s="30"/>
      <c r="F7" s="30"/>
      <c r="G7" s="30"/>
      <c r="H7" s="30"/>
      <c r="I7" s="77"/>
      <c r="J7" s="77"/>
      <c r="K7" s="30"/>
      <c r="L7" s="43"/>
      <c r="M7" s="21"/>
      <c r="N7" s="21"/>
      <c r="O7" s="21"/>
      <c r="P7" s="21"/>
      <c r="Q7" s="20"/>
      <c r="R7" s="20"/>
      <c r="S7" s="20"/>
      <c r="T7" s="20"/>
      <c r="U7" s="20"/>
      <c r="V7" s="20"/>
      <c r="W7" s="20"/>
      <c r="X7" s="20"/>
      <c r="Y7" s="20"/>
      <c r="Z7" s="20"/>
      <c r="AA7" s="20"/>
      <c r="AB7" s="20"/>
      <c r="AC7" s="20"/>
    </row>
    <row r="8" spans="1:29" s="7" customFormat="1">
      <c r="A8" s="206"/>
      <c r="B8" s="392" t="s">
        <v>5203</v>
      </c>
      <c r="C8" s="392"/>
      <c r="I8" s="209"/>
      <c r="J8" s="209"/>
      <c r="L8" s="210"/>
    </row>
    <row r="9" spans="1:29" s="7" customFormat="1">
      <c r="A9" s="206"/>
      <c r="B9" s="392" t="s">
        <v>5133</v>
      </c>
      <c r="C9" s="392"/>
      <c r="D9" s="392"/>
      <c r="E9" s="392"/>
      <c r="F9" s="392"/>
      <c r="G9" s="392"/>
      <c r="H9" s="392"/>
      <c r="I9" s="392"/>
      <c r="J9" s="392"/>
      <c r="L9" s="210"/>
    </row>
    <row r="10" spans="1:29" s="7" customFormat="1">
      <c r="A10" s="206"/>
      <c r="B10" s="392" t="s">
        <v>7754</v>
      </c>
      <c r="C10" s="392"/>
      <c r="D10" s="392"/>
      <c r="E10" s="392"/>
      <c r="F10" s="392"/>
      <c r="G10" s="392"/>
      <c r="I10" s="209"/>
      <c r="J10" s="209"/>
      <c r="L10" s="210"/>
    </row>
    <row r="11" spans="1:29" s="98" customFormat="1" ht="15.75">
      <c r="A11" s="206"/>
      <c r="B11" s="392" t="s">
        <v>5387</v>
      </c>
      <c r="C11" s="392"/>
      <c r="D11" s="392"/>
      <c r="E11" s="392"/>
      <c r="F11" s="392"/>
      <c r="G11" s="392"/>
      <c r="H11" s="392"/>
      <c r="I11" s="392"/>
      <c r="J11" s="392"/>
      <c r="K11" s="7"/>
      <c r="L11" s="210"/>
      <c r="M11" s="7"/>
      <c r="N11" s="7"/>
      <c r="O11" s="7"/>
      <c r="P11" s="7"/>
      <c r="Q11" s="7"/>
      <c r="R11" s="7"/>
      <c r="S11" s="7"/>
      <c r="T11" s="7"/>
      <c r="U11" s="7"/>
      <c r="V11" s="7"/>
      <c r="W11" s="7"/>
      <c r="X11" s="7"/>
      <c r="Y11" s="7"/>
      <c r="Z11" s="7"/>
      <c r="AA11" s="7"/>
      <c r="AB11" s="7"/>
      <c r="AC11" s="7"/>
    </row>
    <row r="12" spans="1:29" s="98" customFormat="1" ht="15.75">
      <c r="A12" s="206"/>
      <c r="B12" s="392" t="s">
        <v>4880</v>
      </c>
      <c r="C12" s="392"/>
      <c r="D12" s="392"/>
      <c r="E12" s="392"/>
      <c r="F12" s="392"/>
      <c r="G12" s="392"/>
      <c r="H12" s="392"/>
      <c r="I12" s="392"/>
      <c r="J12" s="392"/>
      <c r="K12" s="392"/>
      <c r="L12" s="392"/>
      <c r="M12" s="7"/>
      <c r="N12" s="7"/>
      <c r="O12" s="7"/>
      <c r="P12" s="7"/>
      <c r="Q12" s="7"/>
      <c r="R12" s="7"/>
      <c r="S12" s="7"/>
      <c r="T12" s="7"/>
      <c r="U12" s="7"/>
      <c r="V12" s="7"/>
      <c r="W12" s="7"/>
      <c r="X12" s="7"/>
      <c r="Y12" s="7"/>
      <c r="Z12" s="7"/>
      <c r="AA12" s="7"/>
      <c r="AB12" s="7"/>
      <c r="AC12" s="7"/>
    </row>
    <row r="13" spans="1:29" s="98" customFormat="1" ht="15.75">
      <c r="A13" s="206"/>
      <c r="B13" s="392" t="s">
        <v>41</v>
      </c>
      <c r="C13" s="392"/>
      <c r="D13" s="392"/>
      <c r="E13" s="392"/>
      <c r="F13" s="392"/>
      <c r="G13" s="392"/>
      <c r="H13" s="392"/>
      <c r="I13" s="392"/>
      <c r="J13" s="392"/>
      <c r="K13" s="392"/>
      <c r="L13" s="392"/>
      <c r="M13" s="7"/>
      <c r="N13" s="7"/>
      <c r="O13" s="7"/>
      <c r="P13" s="7"/>
      <c r="Q13" s="7"/>
      <c r="R13" s="7"/>
      <c r="S13" s="7"/>
      <c r="T13" s="7"/>
      <c r="U13" s="7"/>
      <c r="V13" s="7"/>
      <c r="W13" s="7"/>
      <c r="X13" s="7"/>
      <c r="Y13" s="7"/>
      <c r="Z13" s="7"/>
      <c r="AA13" s="7"/>
      <c r="AB13" s="7"/>
      <c r="AC13" s="7"/>
    </row>
    <row r="14" spans="1:29" s="98" customFormat="1" ht="15.75">
      <c r="A14" s="206"/>
      <c r="B14" s="392" t="s">
        <v>42</v>
      </c>
      <c r="C14" s="392"/>
      <c r="D14" s="392"/>
      <c r="E14" s="392"/>
      <c r="F14" s="392"/>
      <c r="G14" s="392"/>
      <c r="H14" s="392"/>
      <c r="I14" s="392"/>
      <c r="J14" s="392"/>
      <c r="K14" s="392"/>
      <c r="L14" s="392"/>
      <c r="M14" s="392"/>
      <c r="N14" s="7"/>
      <c r="O14" s="7"/>
      <c r="P14" s="7"/>
      <c r="Q14" s="7"/>
      <c r="R14" s="7"/>
      <c r="S14" s="7"/>
      <c r="T14" s="7"/>
      <c r="U14" s="7"/>
      <c r="V14" s="7"/>
      <c r="W14" s="7"/>
      <c r="X14" s="7"/>
      <c r="Y14" s="7"/>
      <c r="Z14" s="7"/>
      <c r="AA14" s="7"/>
      <c r="AB14" s="7"/>
      <c r="AC14" s="7"/>
    </row>
    <row r="15" spans="1:29" s="98" customFormat="1" ht="15.75">
      <c r="A15" s="206"/>
      <c r="B15" s="392" t="s">
        <v>8240</v>
      </c>
      <c r="C15" s="392"/>
      <c r="D15" s="7"/>
      <c r="E15" s="7"/>
      <c r="F15" s="7"/>
      <c r="G15" s="7"/>
      <c r="H15" s="7"/>
      <c r="I15" s="209"/>
      <c r="J15" s="209"/>
      <c r="K15" s="7"/>
      <c r="L15" s="210"/>
      <c r="M15" s="7"/>
      <c r="N15" s="7"/>
      <c r="O15" s="7"/>
      <c r="P15" s="7"/>
      <c r="Q15" s="7"/>
      <c r="R15" s="7"/>
      <c r="S15" s="7"/>
      <c r="T15" s="7"/>
      <c r="U15" s="7"/>
      <c r="V15" s="7"/>
      <c r="W15" s="7"/>
      <c r="X15" s="7"/>
      <c r="Y15" s="7"/>
      <c r="Z15" s="7"/>
      <c r="AA15" s="7"/>
      <c r="AB15" s="7"/>
      <c r="AC15" s="7"/>
    </row>
    <row r="16" spans="1:29" ht="14.1" customHeight="1"/>
    <row r="17" spans="1:29" s="7" customFormat="1">
      <c r="A17" s="206">
        <v>37560</v>
      </c>
      <c r="B17" s="65" t="s">
        <v>115</v>
      </c>
      <c r="C17" s="66"/>
      <c r="D17" s="66"/>
      <c r="E17" s="66"/>
      <c r="F17" s="66"/>
      <c r="G17" s="66"/>
      <c r="H17" s="66"/>
      <c r="I17" s="75"/>
      <c r="J17" s="75"/>
      <c r="K17" s="66"/>
      <c r="L17" s="43"/>
      <c r="M17" s="21"/>
      <c r="N17" s="21"/>
      <c r="O17" s="21"/>
      <c r="P17" s="21"/>
      <c r="Q17" s="20"/>
      <c r="R17" s="20"/>
      <c r="S17" s="20"/>
      <c r="T17" s="20"/>
      <c r="U17" s="20"/>
      <c r="V17" s="20"/>
      <c r="W17" s="20"/>
      <c r="X17" s="20"/>
      <c r="Y17" s="20"/>
      <c r="Z17" s="20"/>
      <c r="AA17" s="20"/>
      <c r="AB17" s="20"/>
      <c r="AC17" s="20"/>
    </row>
    <row r="18" spans="1:29" s="7" customFormat="1">
      <c r="A18" s="206">
        <v>37560</v>
      </c>
      <c r="B18" s="65" t="s">
        <v>7129</v>
      </c>
      <c r="C18" s="66"/>
      <c r="D18" s="66"/>
      <c r="E18" s="66"/>
      <c r="F18" s="66"/>
      <c r="G18" s="66"/>
      <c r="H18" s="66"/>
      <c r="I18" s="75"/>
      <c r="J18" s="75"/>
      <c r="K18" s="66"/>
      <c r="L18" s="43"/>
      <c r="M18" s="21"/>
      <c r="N18" s="21"/>
      <c r="O18" s="21"/>
      <c r="P18" s="21"/>
      <c r="Q18" s="20"/>
      <c r="R18" s="20"/>
      <c r="S18" s="20"/>
      <c r="T18" s="20"/>
      <c r="U18" s="20"/>
      <c r="V18" s="20"/>
      <c r="W18" s="20"/>
      <c r="X18" s="20"/>
      <c r="Y18" s="20"/>
      <c r="Z18" s="20"/>
      <c r="AA18" s="20"/>
      <c r="AB18" s="20"/>
      <c r="AC18" s="20"/>
    </row>
    <row r="19" spans="1:29" s="19" customFormat="1">
      <c r="A19" s="206">
        <v>37560</v>
      </c>
      <c r="B19" s="65" t="s">
        <v>79</v>
      </c>
      <c r="C19" s="67"/>
      <c r="D19" s="67"/>
      <c r="E19" s="67"/>
      <c r="F19" s="67"/>
      <c r="G19" s="67"/>
      <c r="H19" s="67"/>
      <c r="I19" s="76"/>
      <c r="J19" s="76"/>
      <c r="K19" s="67"/>
      <c r="L19" s="44"/>
      <c r="M19" s="21"/>
      <c r="N19" s="21"/>
      <c r="O19" s="21"/>
      <c r="P19" s="21"/>
      <c r="Q19" s="21"/>
      <c r="R19" s="21"/>
      <c r="S19" s="21"/>
      <c r="T19" s="21"/>
      <c r="U19" s="21"/>
      <c r="V19" s="21"/>
      <c r="W19" s="21"/>
      <c r="X19" s="21"/>
      <c r="Y19" s="21"/>
      <c r="Z19" s="21"/>
      <c r="AA19" s="21"/>
      <c r="AB19" s="21"/>
      <c r="AC19" s="21"/>
    </row>
    <row r="20" spans="1:29" s="7" customFormat="1">
      <c r="A20" s="206">
        <v>37561</v>
      </c>
      <c r="B20" s="65" t="s">
        <v>116</v>
      </c>
      <c r="C20" s="66"/>
      <c r="D20" s="66"/>
      <c r="E20" s="66"/>
      <c r="F20" s="66"/>
      <c r="G20" s="66"/>
      <c r="H20" s="66"/>
      <c r="I20" s="75"/>
      <c r="J20" s="75"/>
      <c r="K20" s="66"/>
      <c r="L20" s="43"/>
      <c r="M20" s="21"/>
      <c r="N20" s="21"/>
      <c r="O20" s="21"/>
      <c r="P20" s="21"/>
      <c r="Q20" s="20"/>
      <c r="R20" s="20"/>
      <c r="S20" s="20"/>
      <c r="T20" s="20"/>
      <c r="U20" s="20"/>
      <c r="V20" s="20"/>
      <c r="W20" s="20"/>
      <c r="X20" s="20"/>
      <c r="Y20" s="20"/>
      <c r="Z20" s="20"/>
      <c r="AA20" s="20"/>
      <c r="AB20" s="20"/>
      <c r="AC20" s="20"/>
    </row>
    <row r="21" spans="1:29" s="7" customFormat="1">
      <c r="A21" s="206">
        <v>37562</v>
      </c>
      <c r="B21" s="65" t="s">
        <v>51</v>
      </c>
      <c r="C21" s="66"/>
      <c r="D21" s="66"/>
      <c r="E21" s="66"/>
      <c r="F21" s="66"/>
      <c r="G21" s="66"/>
      <c r="H21" s="66"/>
      <c r="I21" s="75"/>
      <c r="J21" s="75"/>
      <c r="K21" s="66"/>
      <c r="L21" s="43"/>
      <c r="M21" s="21"/>
      <c r="N21" s="21"/>
      <c r="O21" s="21"/>
      <c r="P21" s="21"/>
      <c r="Q21" s="20"/>
      <c r="R21" s="20"/>
      <c r="S21" s="20"/>
      <c r="T21" s="20"/>
      <c r="U21" s="20"/>
      <c r="V21" s="20"/>
      <c r="W21" s="20"/>
      <c r="X21" s="20"/>
      <c r="Y21" s="20"/>
      <c r="Z21" s="20"/>
      <c r="AA21" s="20"/>
      <c r="AB21" s="20"/>
      <c r="AC21" s="20"/>
    </row>
    <row r="22" spans="1:29" s="7" customFormat="1">
      <c r="A22" s="206">
        <v>37564</v>
      </c>
      <c r="B22" s="65" t="s">
        <v>114</v>
      </c>
      <c r="C22" s="66"/>
      <c r="D22" s="66"/>
      <c r="E22" s="66"/>
      <c r="F22" s="66"/>
      <c r="G22" s="66"/>
      <c r="H22" s="66"/>
      <c r="I22" s="75"/>
      <c r="J22" s="75"/>
      <c r="K22" s="66"/>
      <c r="L22" s="43"/>
      <c r="M22" s="21"/>
      <c r="N22" s="21"/>
      <c r="O22" s="21"/>
      <c r="P22" s="21"/>
      <c r="Q22" s="20"/>
      <c r="R22" s="20"/>
      <c r="S22" s="20"/>
      <c r="T22" s="20"/>
      <c r="U22" s="20"/>
      <c r="V22" s="20"/>
      <c r="W22" s="20"/>
      <c r="X22" s="20"/>
      <c r="Y22" s="20"/>
      <c r="Z22" s="20"/>
      <c r="AA22" s="20"/>
      <c r="AB22" s="20"/>
      <c r="AC22" s="20"/>
    </row>
    <row r="23" spans="1:29" s="7" customFormat="1">
      <c r="A23" s="206">
        <v>37564</v>
      </c>
      <c r="B23" s="65" t="s">
        <v>117</v>
      </c>
      <c r="C23" s="66"/>
      <c r="D23" s="66"/>
      <c r="E23" s="66"/>
      <c r="F23" s="66"/>
      <c r="G23" s="66"/>
      <c r="H23" s="66"/>
      <c r="I23" s="75"/>
      <c r="J23" s="75"/>
      <c r="K23" s="66"/>
      <c r="L23" s="43"/>
      <c r="M23" s="21"/>
      <c r="N23" s="21"/>
      <c r="O23" s="21"/>
      <c r="P23" s="21"/>
      <c r="Q23" s="20"/>
      <c r="R23" s="20"/>
      <c r="S23" s="20"/>
      <c r="T23" s="20"/>
      <c r="U23" s="20"/>
      <c r="V23" s="20"/>
      <c r="W23" s="20"/>
      <c r="X23" s="20"/>
      <c r="Y23" s="20"/>
      <c r="Z23" s="20"/>
      <c r="AA23" s="20"/>
      <c r="AB23" s="20"/>
      <c r="AC23" s="20"/>
    </row>
    <row r="24" spans="1:29" s="7" customFormat="1">
      <c r="A24" s="206">
        <v>37564</v>
      </c>
      <c r="B24" s="65" t="s">
        <v>118</v>
      </c>
      <c r="C24" s="66"/>
      <c r="D24" s="66"/>
      <c r="E24" s="66"/>
      <c r="F24" s="66"/>
      <c r="G24" s="66"/>
      <c r="H24" s="66"/>
      <c r="I24" s="75"/>
      <c r="J24" s="75"/>
      <c r="K24" s="66"/>
      <c r="L24" s="43"/>
      <c r="M24" s="21"/>
      <c r="N24" s="21"/>
      <c r="O24" s="21"/>
      <c r="P24" s="21"/>
      <c r="Q24" s="20"/>
      <c r="R24" s="20"/>
      <c r="S24" s="20"/>
      <c r="T24" s="20"/>
      <c r="U24" s="20"/>
      <c r="V24" s="20"/>
      <c r="W24" s="20"/>
      <c r="X24" s="20"/>
      <c r="Y24" s="20"/>
      <c r="Z24" s="20"/>
      <c r="AA24" s="20"/>
      <c r="AB24" s="20"/>
      <c r="AC24" s="20"/>
    </row>
    <row r="25" spans="1:29" s="7" customFormat="1">
      <c r="A25" s="206">
        <v>37564</v>
      </c>
      <c r="B25" s="65" t="s">
        <v>66</v>
      </c>
      <c r="C25" s="66"/>
      <c r="D25" s="66"/>
      <c r="E25" s="66"/>
      <c r="F25" s="66"/>
      <c r="G25" s="66"/>
      <c r="H25" s="66"/>
      <c r="I25" s="75"/>
      <c r="J25" s="75"/>
      <c r="K25" s="66"/>
      <c r="L25" s="43"/>
      <c r="M25" s="21"/>
      <c r="N25" s="21"/>
      <c r="O25" s="21"/>
      <c r="P25" s="21"/>
      <c r="Q25" s="20"/>
      <c r="R25" s="20"/>
      <c r="S25" s="20"/>
      <c r="T25" s="20"/>
      <c r="U25" s="20"/>
      <c r="V25" s="20"/>
      <c r="W25" s="20"/>
      <c r="X25" s="20"/>
      <c r="Y25" s="20"/>
      <c r="Z25" s="20"/>
      <c r="AA25" s="20"/>
      <c r="AB25" s="20"/>
      <c r="AC25" s="20"/>
    </row>
    <row r="26" spans="1:29" s="7" customFormat="1">
      <c r="A26" s="206">
        <v>37564</v>
      </c>
      <c r="B26" s="65" t="s">
        <v>64</v>
      </c>
      <c r="C26" s="66"/>
      <c r="D26" s="66"/>
      <c r="E26" s="66"/>
      <c r="F26" s="66"/>
      <c r="G26" s="66"/>
      <c r="H26" s="66"/>
      <c r="I26" s="75"/>
      <c r="J26" s="75"/>
      <c r="K26" s="66"/>
      <c r="L26" s="43"/>
      <c r="M26" s="21"/>
      <c r="N26" s="21"/>
      <c r="O26" s="21"/>
      <c r="P26" s="21"/>
      <c r="Q26" s="20"/>
      <c r="R26" s="20"/>
      <c r="S26" s="20"/>
      <c r="T26" s="20"/>
      <c r="U26" s="20"/>
      <c r="V26" s="20"/>
      <c r="W26" s="20"/>
      <c r="X26" s="20"/>
      <c r="Y26" s="20"/>
      <c r="Z26" s="20"/>
      <c r="AA26" s="20"/>
      <c r="AB26" s="20"/>
      <c r="AC26" s="20"/>
    </row>
    <row r="27" spans="1:29" s="7" customFormat="1">
      <c r="A27" s="206">
        <v>37565</v>
      </c>
      <c r="B27" s="65" t="s">
        <v>65</v>
      </c>
      <c r="C27" s="66"/>
      <c r="D27" s="66"/>
      <c r="E27" s="66"/>
      <c r="F27" s="66"/>
      <c r="G27" s="66"/>
      <c r="H27" s="66"/>
      <c r="I27" s="75"/>
      <c r="J27" s="75"/>
      <c r="K27" s="66"/>
      <c r="L27" s="43"/>
      <c r="M27" s="21"/>
      <c r="N27" s="21"/>
      <c r="O27" s="21"/>
      <c r="P27" s="21"/>
      <c r="Q27" s="20"/>
      <c r="R27" s="20"/>
      <c r="S27" s="20"/>
      <c r="T27" s="20"/>
      <c r="U27" s="20"/>
      <c r="V27" s="20"/>
      <c r="W27" s="20"/>
      <c r="X27" s="20"/>
      <c r="Y27" s="20"/>
      <c r="Z27" s="20"/>
      <c r="AA27" s="20"/>
      <c r="AB27" s="20"/>
      <c r="AC27" s="20"/>
    </row>
    <row r="28" spans="1:29" s="7" customFormat="1">
      <c r="A28" s="206">
        <v>37565</v>
      </c>
      <c r="B28" s="65" t="s">
        <v>40</v>
      </c>
      <c r="C28" s="66"/>
      <c r="D28" s="66"/>
      <c r="E28" s="66"/>
      <c r="F28" s="66"/>
      <c r="G28" s="66"/>
      <c r="H28" s="66"/>
      <c r="I28" s="75"/>
      <c r="J28" s="75"/>
      <c r="K28" s="66"/>
      <c r="L28" s="43"/>
      <c r="M28" s="21"/>
      <c r="N28" s="21"/>
      <c r="O28" s="21"/>
      <c r="P28" s="21"/>
      <c r="Q28" s="20"/>
      <c r="R28" s="20"/>
      <c r="S28" s="20"/>
      <c r="T28" s="20"/>
      <c r="U28" s="20"/>
      <c r="V28" s="20"/>
      <c r="W28" s="20"/>
      <c r="X28" s="20"/>
      <c r="Y28" s="20"/>
      <c r="Z28" s="20"/>
      <c r="AA28" s="20"/>
      <c r="AB28" s="20"/>
      <c r="AC28" s="20"/>
    </row>
    <row r="29" spans="1:29" s="7" customFormat="1">
      <c r="A29" s="206">
        <v>37571</v>
      </c>
      <c r="B29" s="65" t="s">
        <v>135</v>
      </c>
      <c r="C29" s="66"/>
      <c r="D29" s="66"/>
      <c r="E29" s="66"/>
      <c r="F29" s="66"/>
      <c r="G29" s="66"/>
      <c r="H29" s="66"/>
      <c r="I29" s="75"/>
      <c r="J29" s="75"/>
      <c r="K29" s="66"/>
      <c r="L29" s="43"/>
      <c r="M29" s="21"/>
      <c r="N29" s="21"/>
      <c r="O29" s="21"/>
      <c r="P29" s="21"/>
      <c r="Q29" s="20"/>
      <c r="R29" s="20"/>
      <c r="S29" s="20"/>
      <c r="T29" s="20"/>
      <c r="U29" s="20"/>
      <c r="V29" s="20"/>
      <c r="W29" s="20"/>
      <c r="X29" s="20"/>
      <c r="Y29" s="20"/>
      <c r="Z29" s="20"/>
      <c r="AA29" s="20"/>
      <c r="AB29" s="20"/>
      <c r="AC29" s="20"/>
    </row>
    <row r="30" spans="1:29" s="7" customFormat="1">
      <c r="A30" s="206">
        <v>37571</v>
      </c>
      <c r="B30" s="65" t="s">
        <v>80</v>
      </c>
      <c r="C30" s="66"/>
      <c r="D30" s="66"/>
      <c r="E30" s="66"/>
      <c r="F30" s="66"/>
      <c r="G30" s="66"/>
      <c r="H30" s="66"/>
      <c r="I30" s="75"/>
      <c r="J30" s="75"/>
      <c r="K30" s="66"/>
      <c r="L30" s="43"/>
      <c r="M30" s="21"/>
      <c r="N30" s="21"/>
      <c r="O30" s="21"/>
      <c r="P30" s="21"/>
      <c r="Q30" s="20"/>
      <c r="R30" s="20"/>
      <c r="S30" s="20"/>
      <c r="T30" s="20"/>
      <c r="U30" s="20"/>
      <c r="V30" s="20"/>
      <c r="W30" s="20"/>
      <c r="X30" s="20"/>
      <c r="Y30" s="20"/>
      <c r="Z30" s="20"/>
      <c r="AA30" s="20"/>
      <c r="AB30" s="20"/>
      <c r="AC30" s="20"/>
    </row>
    <row r="31" spans="1:29" s="7" customFormat="1">
      <c r="A31" s="206">
        <v>37641</v>
      </c>
      <c r="B31" s="65" t="s">
        <v>49</v>
      </c>
      <c r="C31" s="66"/>
      <c r="D31" s="66"/>
      <c r="E31" s="66"/>
      <c r="F31" s="66"/>
      <c r="G31" s="66"/>
      <c r="H31" s="66"/>
      <c r="I31" s="75"/>
      <c r="J31" s="75"/>
      <c r="K31" s="66"/>
      <c r="L31" s="43"/>
      <c r="M31" s="21"/>
      <c r="N31" s="21"/>
      <c r="O31" s="21"/>
      <c r="P31" s="21"/>
      <c r="Q31" s="20"/>
      <c r="R31" s="20"/>
      <c r="S31" s="20"/>
      <c r="T31" s="20"/>
      <c r="U31" s="20"/>
      <c r="V31" s="20"/>
      <c r="W31" s="20"/>
      <c r="X31" s="20"/>
      <c r="Y31" s="20"/>
      <c r="Z31" s="20"/>
      <c r="AA31" s="20"/>
      <c r="AB31" s="20"/>
      <c r="AC31" s="20"/>
    </row>
    <row r="32" spans="1:29" s="7" customFormat="1">
      <c r="A32" s="206">
        <v>37649</v>
      </c>
      <c r="B32" s="65" t="s">
        <v>50</v>
      </c>
      <c r="C32" s="66"/>
      <c r="D32" s="66"/>
      <c r="E32" s="66"/>
      <c r="F32" s="66"/>
      <c r="G32" s="66"/>
      <c r="H32" s="66"/>
      <c r="I32" s="75"/>
      <c r="J32" s="75"/>
      <c r="K32" s="66"/>
      <c r="L32" s="43"/>
      <c r="M32" s="21"/>
      <c r="N32" s="21"/>
      <c r="O32" s="21"/>
      <c r="P32" s="21"/>
      <c r="Q32" s="20"/>
      <c r="R32" s="20"/>
      <c r="S32" s="20"/>
      <c r="T32" s="20"/>
      <c r="U32" s="20"/>
      <c r="V32" s="20"/>
      <c r="W32" s="20"/>
      <c r="X32" s="20"/>
      <c r="Y32" s="20"/>
      <c r="Z32" s="20"/>
      <c r="AA32" s="20"/>
      <c r="AB32" s="20"/>
      <c r="AC32" s="20"/>
    </row>
    <row r="33" spans="1:29" s="7" customFormat="1">
      <c r="A33" s="206">
        <v>37650</v>
      </c>
      <c r="B33" s="65" t="s">
        <v>72</v>
      </c>
      <c r="C33" s="66"/>
      <c r="D33" s="66"/>
      <c r="E33" s="66"/>
      <c r="F33" s="66"/>
      <c r="G33" s="66"/>
      <c r="H33" s="66"/>
      <c r="I33" s="75"/>
      <c r="J33" s="75"/>
      <c r="K33" s="66"/>
      <c r="L33" s="43"/>
      <c r="M33" s="21"/>
      <c r="N33" s="21"/>
      <c r="O33" s="21"/>
      <c r="P33" s="21"/>
      <c r="Q33" s="20"/>
      <c r="R33" s="20"/>
      <c r="S33" s="20"/>
      <c r="T33" s="20"/>
      <c r="U33" s="20"/>
      <c r="V33" s="20"/>
      <c r="W33" s="20"/>
      <c r="X33" s="20"/>
      <c r="Y33" s="20"/>
      <c r="Z33" s="20"/>
      <c r="AA33" s="20"/>
      <c r="AB33" s="20"/>
      <c r="AC33" s="20"/>
    </row>
    <row r="34" spans="1:29" s="7" customFormat="1">
      <c r="A34" s="206">
        <v>37650</v>
      </c>
      <c r="B34" s="65" t="s">
        <v>73</v>
      </c>
      <c r="C34" s="66"/>
      <c r="D34" s="66"/>
      <c r="E34" s="66"/>
      <c r="F34" s="66"/>
      <c r="G34" s="66"/>
      <c r="H34" s="66"/>
      <c r="I34" s="75"/>
      <c r="J34" s="75"/>
      <c r="K34" s="66"/>
      <c r="L34" s="43"/>
      <c r="M34" s="21"/>
      <c r="N34" s="21"/>
      <c r="O34" s="21"/>
      <c r="P34" s="21"/>
      <c r="Q34" s="20"/>
      <c r="R34" s="20"/>
      <c r="S34" s="20"/>
      <c r="T34" s="20"/>
      <c r="U34" s="20"/>
      <c r="V34" s="20"/>
      <c r="W34" s="20"/>
      <c r="X34" s="20"/>
      <c r="Y34" s="20"/>
      <c r="Z34" s="20"/>
      <c r="AA34" s="20"/>
      <c r="AB34" s="20"/>
      <c r="AC34" s="20"/>
    </row>
    <row r="35" spans="1:29" s="7" customFormat="1">
      <c r="A35" s="206">
        <v>37650</v>
      </c>
      <c r="B35" s="65" t="s">
        <v>75</v>
      </c>
      <c r="C35" s="66"/>
      <c r="D35" s="66"/>
      <c r="E35" s="66"/>
      <c r="F35" s="66"/>
      <c r="G35" s="66"/>
      <c r="H35" s="66"/>
      <c r="I35" s="75"/>
      <c r="J35" s="75"/>
      <c r="K35" s="66"/>
      <c r="L35" s="43"/>
      <c r="M35" s="21"/>
      <c r="N35" s="21"/>
      <c r="O35" s="21"/>
      <c r="P35" s="21"/>
      <c r="Q35" s="20"/>
      <c r="R35" s="20"/>
      <c r="S35" s="20"/>
      <c r="T35" s="20"/>
      <c r="U35" s="20"/>
      <c r="V35" s="20"/>
      <c r="W35" s="20"/>
      <c r="X35" s="20"/>
      <c r="Y35" s="20"/>
      <c r="Z35" s="20"/>
      <c r="AA35" s="20"/>
      <c r="AB35" s="20"/>
      <c r="AC35" s="20"/>
    </row>
    <row r="36" spans="1:29" s="7" customFormat="1">
      <c r="A36" s="206">
        <v>37651</v>
      </c>
      <c r="B36" s="65" t="s">
        <v>74</v>
      </c>
      <c r="C36" s="66"/>
      <c r="D36" s="66"/>
      <c r="E36" s="66"/>
      <c r="F36" s="66"/>
      <c r="G36" s="66"/>
      <c r="H36" s="66"/>
      <c r="I36" s="75"/>
      <c r="J36" s="75"/>
      <c r="K36" s="66"/>
      <c r="L36" s="43"/>
      <c r="M36" s="21"/>
      <c r="N36" s="21"/>
      <c r="O36" s="21"/>
      <c r="P36" s="21"/>
      <c r="Q36" s="20"/>
      <c r="R36" s="20"/>
      <c r="S36" s="20"/>
      <c r="T36" s="20"/>
      <c r="U36" s="20"/>
      <c r="V36" s="20"/>
      <c r="W36" s="20"/>
      <c r="X36" s="20"/>
      <c r="Y36" s="20"/>
      <c r="Z36" s="20"/>
      <c r="AA36" s="20"/>
      <c r="AB36" s="20"/>
      <c r="AC36" s="20"/>
    </row>
    <row r="37" spans="1:29" s="7" customFormat="1">
      <c r="A37" s="206">
        <v>37680</v>
      </c>
      <c r="B37" s="65" t="s">
        <v>71</v>
      </c>
      <c r="C37" s="66"/>
      <c r="D37" s="66"/>
      <c r="E37" s="66"/>
      <c r="F37" s="66"/>
      <c r="G37" s="66"/>
      <c r="H37" s="66"/>
      <c r="I37" s="75"/>
      <c r="J37" s="75"/>
      <c r="K37" s="66"/>
      <c r="L37" s="43"/>
      <c r="M37" s="21"/>
      <c r="N37" s="21"/>
      <c r="O37" s="21"/>
      <c r="P37" s="21"/>
      <c r="Q37" s="20"/>
      <c r="R37" s="20"/>
      <c r="S37" s="20"/>
      <c r="T37" s="20"/>
      <c r="U37" s="20"/>
      <c r="V37" s="20"/>
      <c r="W37" s="20"/>
      <c r="X37" s="20"/>
      <c r="Y37" s="20"/>
      <c r="Z37" s="20"/>
      <c r="AA37" s="20"/>
      <c r="AB37" s="20"/>
      <c r="AC37" s="20"/>
    </row>
    <row r="38" spans="1:29" s="7" customFormat="1">
      <c r="A38" s="206">
        <v>37688</v>
      </c>
      <c r="B38" s="65" t="s">
        <v>69</v>
      </c>
      <c r="C38" s="66"/>
      <c r="D38" s="66"/>
      <c r="E38" s="66"/>
      <c r="F38" s="66"/>
      <c r="G38" s="66"/>
      <c r="H38" s="66"/>
      <c r="I38" s="75"/>
      <c r="J38" s="75"/>
      <c r="K38" s="66"/>
      <c r="L38" s="43"/>
      <c r="M38" s="21"/>
      <c r="N38" s="21"/>
      <c r="O38" s="21"/>
      <c r="P38" s="21"/>
      <c r="Q38" s="20"/>
      <c r="R38" s="20"/>
      <c r="S38" s="20"/>
      <c r="T38" s="20"/>
      <c r="U38" s="20"/>
      <c r="V38" s="20"/>
      <c r="W38" s="20"/>
      <c r="X38" s="20"/>
      <c r="Y38" s="20"/>
      <c r="Z38" s="20"/>
      <c r="AA38" s="20"/>
      <c r="AB38" s="20"/>
      <c r="AC38" s="20"/>
    </row>
    <row r="39" spans="1:29" s="7" customFormat="1">
      <c r="A39" s="206">
        <v>37690</v>
      </c>
      <c r="B39" s="65" t="s">
        <v>70</v>
      </c>
      <c r="C39" s="66"/>
      <c r="D39" s="66"/>
      <c r="E39" s="66"/>
      <c r="F39" s="66"/>
      <c r="G39" s="66"/>
      <c r="H39" s="66"/>
      <c r="I39" s="75"/>
      <c r="J39" s="75"/>
      <c r="K39" s="66"/>
      <c r="L39" s="43"/>
      <c r="M39" s="21"/>
      <c r="N39" s="21"/>
      <c r="O39" s="21"/>
      <c r="P39" s="21"/>
      <c r="Q39" s="20"/>
      <c r="R39" s="20"/>
      <c r="S39" s="20"/>
      <c r="T39" s="20"/>
      <c r="U39" s="20"/>
      <c r="V39" s="20"/>
      <c r="W39" s="20"/>
      <c r="X39" s="20"/>
      <c r="Y39" s="20"/>
      <c r="Z39" s="20"/>
      <c r="AA39" s="20"/>
      <c r="AB39" s="20"/>
      <c r="AC39" s="20"/>
    </row>
    <row r="40" spans="1:29" s="7" customFormat="1">
      <c r="A40" s="206">
        <v>37701</v>
      </c>
      <c r="B40" s="65" t="s">
        <v>68</v>
      </c>
      <c r="C40" s="66"/>
      <c r="D40" s="66"/>
      <c r="E40" s="66"/>
      <c r="F40" s="66"/>
      <c r="G40" s="66"/>
      <c r="H40" s="66"/>
      <c r="I40" s="75"/>
      <c r="J40" s="75"/>
      <c r="K40" s="66"/>
      <c r="L40" s="43"/>
      <c r="M40" s="21"/>
      <c r="N40" s="21"/>
      <c r="O40" s="21"/>
      <c r="P40" s="21"/>
      <c r="Q40" s="20"/>
      <c r="R40" s="20"/>
      <c r="S40" s="20"/>
      <c r="T40" s="20"/>
      <c r="U40" s="20"/>
      <c r="V40" s="20"/>
      <c r="W40" s="20"/>
      <c r="X40" s="20"/>
      <c r="Y40" s="20"/>
      <c r="Z40" s="20"/>
      <c r="AA40" s="20"/>
      <c r="AB40" s="20"/>
      <c r="AC40" s="20"/>
    </row>
    <row r="41" spans="1:29" s="7" customFormat="1">
      <c r="A41" s="206">
        <v>37705</v>
      </c>
      <c r="B41" s="65" t="s">
        <v>67</v>
      </c>
      <c r="C41" s="66"/>
      <c r="D41" s="66"/>
      <c r="E41" s="66"/>
      <c r="F41" s="66"/>
      <c r="G41" s="66"/>
      <c r="H41" s="66"/>
      <c r="I41" s="75"/>
      <c r="J41" s="75"/>
      <c r="K41" s="66"/>
      <c r="L41" s="43"/>
      <c r="M41" s="21"/>
      <c r="N41" s="21"/>
      <c r="O41" s="21"/>
      <c r="P41" s="21"/>
      <c r="Q41" s="20"/>
      <c r="R41" s="20"/>
      <c r="S41" s="20"/>
      <c r="T41" s="20"/>
      <c r="U41" s="20"/>
      <c r="V41" s="20"/>
      <c r="W41" s="20"/>
      <c r="X41" s="20"/>
      <c r="Y41" s="20"/>
      <c r="Z41" s="20"/>
      <c r="AA41" s="20"/>
      <c r="AB41" s="20"/>
      <c r="AC41" s="20"/>
    </row>
    <row r="42" spans="1:29" s="7" customFormat="1">
      <c r="A42" s="206">
        <v>37707</v>
      </c>
      <c r="B42" s="65" t="s">
        <v>78</v>
      </c>
      <c r="C42" s="66"/>
      <c r="D42" s="66"/>
      <c r="E42" s="66"/>
      <c r="F42" s="66"/>
      <c r="G42" s="66"/>
      <c r="H42" s="66"/>
      <c r="I42" s="75"/>
      <c r="J42" s="75"/>
      <c r="K42" s="66"/>
      <c r="L42" s="43"/>
      <c r="M42" s="21"/>
      <c r="N42" s="21"/>
      <c r="O42" s="21"/>
      <c r="P42" s="21"/>
      <c r="Q42" s="20"/>
      <c r="R42" s="20"/>
      <c r="S42" s="20"/>
      <c r="T42" s="20"/>
      <c r="U42" s="20"/>
      <c r="V42" s="20"/>
      <c r="W42" s="20"/>
      <c r="X42" s="20"/>
      <c r="Y42" s="20"/>
      <c r="Z42" s="20"/>
      <c r="AA42" s="20"/>
      <c r="AB42" s="20"/>
      <c r="AC42" s="20"/>
    </row>
    <row r="43" spans="1:29" s="7" customFormat="1">
      <c r="A43" s="206">
        <v>37727</v>
      </c>
      <c r="B43" s="65" t="s">
        <v>77</v>
      </c>
      <c r="C43" s="66"/>
      <c r="D43" s="66"/>
      <c r="E43" s="66"/>
      <c r="F43" s="66"/>
      <c r="G43" s="66"/>
      <c r="H43" s="66"/>
      <c r="I43" s="75"/>
      <c r="J43" s="75"/>
      <c r="K43" s="66"/>
      <c r="L43" s="43"/>
      <c r="M43" s="21"/>
      <c r="N43" s="21"/>
      <c r="O43" s="21"/>
      <c r="P43" s="21"/>
      <c r="Q43" s="20"/>
      <c r="R43" s="20"/>
      <c r="S43" s="20"/>
      <c r="T43" s="20"/>
      <c r="U43" s="20"/>
      <c r="V43" s="20"/>
      <c r="W43" s="20"/>
      <c r="X43" s="20"/>
      <c r="Y43" s="20"/>
      <c r="Z43" s="20"/>
      <c r="AA43" s="20"/>
      <c r="AB43" s="20"/>
      <c r="AC43" s="20"/>
    </row>
    <row r="44" spans="1:29" s="7" customFormat="1">
      <c r="A44" s="206">
        <v>37732</v>
      </c>
      <c r="B44" s="65" t="s">
        <v>76</v>
      </c>
      <c r="C44" s="66"/>
      <c r="D44" s="66"/>
      <c r="E44" s="66"/>
      <c r="F44" s="66"/>
      <c r="G44" s="66"/>
      <c r="H44" s="66"/>
      <c r="I44" s="75"/>
      <c r="J44" s="75"/>
      <c r="K44" s="66"/>
      <c r="L44" s="43"/>
      <c r="M44" s="21"/>
      <c r="N44" s="21"/>
      <c r="O44" s="21"/>
      <c r="P44" s="21"/>
      <c r="Q44" s="20"/>
      <c r="R44" s="20"/>
      <c r="S44" s="20"/>
      <c r="T44" s="20"/>
      <c r="U44" s="20"/>
      <c r="V44" s="20"/>
      <c r="W44" s="20"/>
      <c r="X44" s="20"/>
      <c r="Y44" s="20"/>
      <c r="Z44" s="20"/>
      <c r="AA44" s="20"/>
      <c r="AB44" s="20"/>
      <c r="AC44" s="20"/>
    </row>
    <row r="45" spans="1:29" s="7" customFormat="1">
      <c r="A45" s="206">
        <v>37739</v>
      </c>
      <c r="B45" s="65" t="s">
        <v>98</v>
      </c>
      <c r="C45" s="66"/>
      <c r="D45" s="66"/>
      <c r="E45" s="66"/>
      <c r="F45" s="66"/>
      <c r="G45" s="66"/>
      <c r="H45" s="66"/>
      <c r="I45" s="75"/>
      <c r="J45" s="75"/>
      <c r="K45" s="66"/>
      <c r="L45" s="43"/>
      <c r="M45" s="21"/>
      <c r="N45" s="21"/>
      <c r="O45" s="21"/>
      <c r="P45" s="21"/>
      <c r="Q45" s="20"/>
      <c r="R45" s="20"/>
      <c r="S45" s="20"/>
      <c r="T45" s="20"/>
      <c r="U45" s="20"/>
      <c r="V45" s="20"/>
      <c r="W45" s="20"/>
      <c r="X45" s="20"/>
      <c r="Y45" s="20"/>
      <c r="Z45" s="20"/>
      <c r="AA45" s="20"/>
      <c r="AB45" s="20"/>
      <c r="AC45" s="20"/>
    </row>
    <row r="46" spans="1:29" s="7" customFormat="1">
      <c r="A46" s="206">
        <v>37739</v>
      </c>
      <c r="B46" s="65" t="s">
        <v>138</v>
      </c>
      <c r="C46" s="66"/>
      <c r="D46" s="66"/>
      <c r="E46" s="66"/>
      <c r="F46" s="66"/>
      <c r="G46" s="66"/>
      <c r="H46" s="66"/>
      <c r="I46" s="75"/>
      <c r="J46" s="75"/>
      <c r="K46" s="66"/>
      <c r="L46" s="43"/>
      <c r="M46" s="21"/>
      <c r="N46" s="21"/>
      <c r="O46" s="21"/>
      <c r="P46" s="21"/>
      <c r="Q46" s="20"/>
      <c r="R46" s="20"/>
      <c r="S46" s="20"/>
      <c r="T46" s="20"/>
      <c r="U46" s="20"/>
      <c r="V46" s="20"/>
      <c r="W46" s="20"/>
      <c r="X46" s="20"/>
      <c r="Y46" s="20"/>
      <c r="Z46" s="20"/>
      <c r="AA46" s="20"/>
      <c r="AB46" s="20"/>
      <c r="AC46" s="20"/>
    </row>
    <row r="47" spans="1:29" s="19" customFormat="1" ht="12" customHeight="1">
      <c r="A47" s="207">
        <v>37987</v>
      </c>
      <c r="B47" s="19" t="s">
        <v>139</v>
      </c>
      <c r="C47" s="67"/>
      <c r="D47" s="67"/>
      <c r="E47" s="67"/>
      <c r="F47" s="67"/>
      <c r="G47" s="67"/>
      <c r="H47" s="67"/>
      <c r="I47" s="76"/>
      <c r="J47" s="76"/>
      <c r="K47" s="67"/>
      <c r="L47" s="44"/>
      <c r="M47" s="21"/>
      <c r="N47" s="21"/>
      <c r="O47" s="21"/>
      <c r="P47" s="21"/>
      <c r="Q47" s="21"/>
      <c r="R47" s="21"/>
      <c r="S47" s="21"/>
      <c r="T47" s="21"/>
      <c r="U47" s="21"/>
      <c r="V47" s="21"/>
      <c r="W47" s="21"/>
      <c r="X47" s="21"/>
      <c r="Y47" s="21"/>
      <c r="Z47" s="21"/>
      <c r="AA47" s="21"/>
      <c r="AB47" s="21"/>
      <c r="AC47" s="21"/>
    </row>
    <row r="48" spans="1:29" s="19" customFormat="1" ht="12" customHeight="1">
      <c r="A48" s="207">
        <v>38047</v>
      </c>
      <c r="B48" s="19" t="s">
        <v>141</v>
      </c>
      <c r="C48" s="67"/>
      <c r="D48" s="67"/>
      <c r="E48" s="67"/>
      <c r="F48" s="67"/>
      <c r="G48" s="67"/>
      <c r="H48" s="67"/>
      <c r="I48" s="76"/>
      <c r="J48" s="76"/>
      <c r="K48" s="67"/>
      <c r="L48" s="44"/>
      <c r="M48" s="21"/>
      <c r="N48" s="21"/>
      <c r="O48" s="21"/>
      <c r="P48" s="21"/>
      <c r="Q48" s="21"/>
      <c r="R48" s="21"/>
      <c r="S48" s="21"/>
      <c r="T48" s="21"/>
      <c r="U48" s="21"/>
      <c r="V48" s="21"/>
      <c r="W48" s="21"/>
      <c r="X48" s="21"/>
      <c r="Y48" s="21"/>
      <c r="Z48" s="21"/>
      <c r="AA48" s="21"/>
      <c r="AB48" s="21"/>
      <c r="AC48" s="21"/>
    </row>
    <row r="49" spans="1:29" s="19" customFormat="1" ht="12" customHeight="1">
      <c r="A49" s="207">
        <v>38078</v>
      </c>
      <c r="B49" s="19" t="s">
        <v>6719</v>
      </c>
      <c r="C49" s="67"/>
      <c r="D49" s="67"/>
      <c r="E49" s="67"/>
      <c r="F49" s="67"/>
      <c r="G49" s="67"/>
      <c r="H49" s="67"/>
      <c r="I49" s="76"/>
      <c r="J49" s="76"/>
      <c r="K49" s="67"/>
      <c r="L49" s="44"/>
      <c r="M49" s="21"/>
      <c r="N49" s="21"/>
      <c r="O49" s="21"/>
      <c r="P49" s="21"/>
      <c r="Q49" s="21"/>
      <c r="R49" s="21"/>
      <c r="S49" s="21"/>
      <c r="T49" s="21"/>
      <c r="U49" s="21"/>
      <c r="V49" s="21"/>
      <c r="W49" s="21"/>
      <c r="X49" s="21"/>
      <c r="Y49" s="21"/>
      <c r="Z49" s="21"/>
      <c r="AA49" s="21"/>
      <c r="AB49" s="21"/>
      <c r="AC49" s="21"/>
    </row>
    <row r="50" spans="1:29" s="19" customFormat="1" ht="12" customHeight="1">
      <c r="A50" s="207">
        <v>38108</v>
      </c>
      <c r="B50" s="19" t="s">
        <v>105</v>
      </c>
      <c r="C50" s="67"/>
      <c r="D50" s="67"/>
      <c r="E50" s="67"/>
      <c r="F50" s="67"/>
      <c r="G50" s="67"/>
      <c r="H50" s="67"/>
      <c r="I50" s="76"/>
      <c r="J50" s="76"/>
      <c r="K50" s="67"/>
      <c r="L50" s="44"/>
      <c r="M50" s="21"/>
      <c r="N50" s="21"/>
      <c r="O50" s="21"/>
      <c r="P50" s="21"/>
      <c r="Q50" s="21"/>
      <c r="R50" s="21"/>
      <c r="S50" s="21"/>
      <c r="T50" s="21"/>
      <c r="U50" s="21"/>
      <c r="V50" s="21"/>
      <c r="W50" s="21"/>
      <c r="X50" s="21"/>
      <c r="Y50" s="21"/>
      <c r="Z50" s="21"/>
      <c r="AA50" s="21"/>
      <c r="AB50" s="21"/>
      <c r="AC50" s="21"/>
    </row>
    <row r="51" spans="1:29" s="19" customFormat="1" ht="12" customHeight="1">
      <c r="A51" s="207">
        <v>38108</v>
      </c>
      <c r="B51" s="19" t="s">
        <v>140</v>
      </c>
      <c r="C51" s="67"/>
      <c r="D51" s="67"/>
      <c r="E51" s="67"/>
      <c r="F51" s="67"/>
      <c r="G51" s="67"/>
      <c r="H51" s="67"/>
      <c r="I51" s="76"/>
      <c r="J51" s="76"/>
      <c r="K51" s="67"/>
      <c r="L51" s="44"/>
      <c r="M51" s="21"/>
      <c r="N51" s="21"/>
      <c r="O51" s="21"/>
      <c r="P51" s="21"/>
      <c r="Q51" s="21"/>
      <c r="R51" s="21"/>
      <c r="S51" s="21"/>
      <c r="T51" s="21"/>
      <c r="U51" s="21"/>
      <c r="V51" s="21"/>
      <c r="W51" s="21"/>
      <c r="X51" s="21"/>
      <c r="Y51" s="21"/>
      <c r="Z51" s="21"/>
      <c r="AA51" s="21"/>
      <c r="AB51" s="21"/>
      <c r="AC51" s="21"/>
    </row>
    <row r="52" spans="1:29" s="19" customFormat="1" ht="12" customHeight="1">
      <c r="A52" s="207">
        <v>38159</v>
      </c>
      <c r="B52" s="19" t="s">
        <v>106</v>
      </c>
      <c r="C52" s="67"/>
      <c r="D52" s="67"/>
      <c r="E52" s="67"/>
      <c r="F52" s="67"/>
      <c r="G52" s="67"/>
      <c r="H52" s="67"/>
      <c r="I52" s="76"/>
      <c r="J52" s="76"/>
      <c r="K52" s="67"/>
      <c r="L52" s="44"/>
      <c r="M52" s="21"/>
      <c r="N52" s="21"/>
      <c r="O52" s="21"/>
      <c r="P52" s="21"/>
      <c r="Q52" s="21"/>
      <c r="R52" s="21"/>
      <c r="S52" s="21"/>
      <c r="T52" s="21"/>
      <c r="U52" s="21"/>
      <c r="V52" s="21"/>
      <c r="W52" s="21"/>
      <c r="X52" s="21"/>
      <c r="Y52" s="21"/>
      <c r="Z52" s="21"/>
      <c r="AA52" s="21"/>
      <c r="AB52" s="21"/>
      <c r="AC52" s="21"/>
    </row>
    <row r="53" spans="1:29" s="19" customFormat="1" ht="12" customHeight="1">
      <c r="A53" s="207">
        <v>38160</v>
      </c>
      <c r="B53" s="19" t="s">
        <v>107</v>
      </c>
      <c r="C53" s="67"/>
      <c r="D53" s="67"/>
      <c r="E53" s="67"/>
      <c r="F53" s="67"/>
      <c r="G53" s="67"/>
      <c r="H53" s="67"/>
      <c r="I53" s="76"/>
      <c r="J53" s="76"/>
      <c r="K53" s="67"/>
      <c r="L53" s="44"/>
      <c r="M53" s="21"/>
      <c r="N53" s="21"/>
      <c r="O53" s="21"/>
      <c r="P53" s="21"/>
      <c r="Q53" s="21"/>
      <c r="R53" s="21"/>
      <c r="S53" s="21"/>
      <c r="T53" s="21"/>
      <c r="U53" s="21"/>
      <c r="V53" s="21"/>
      <c r="W53" s="21"/>
      <c r="X53" s="21"/>
      <c r="Y53" s="21"/>
      <c r="Z53" s="21"/>
      <c r="AA53" s="21"/>
      <c r="AB53" s="21"/>
      <c r="AC53" s="21"/>
    </row>
    <row r="54" spans="1:29" s="19" customFormat="1" ht="12" customHeight="1">
      <c r="A54" s="207">
        <v>38169</v>
      </c>
      <c r="B54" s="19" t="s">
        <v>1959</v>
      </c>
      <c r="C54" s="67"/>
      <c r="D54" s="67"/>
      <c r="E54" s="67"/>
      <c r="F54" s="67"/>
      <c r="G54" s="67"/>
      <c r="H54" s="67"/>
      <c r="I54" s="76"/>
      <c r="J54" s="76"/>
      <c r="K54" s="67"/>
      <c r="L54" s="44"/>
      <c r="M54" s="21"/>
      <c r="N54" s="21"/>
      <c r="O54" s="21"/>
      <c r="P54" s="21"/>
      <c r="Q54" s="21"/>
      <c r="R54" s="21"/>
      <c r="S54" s="21"/>
      <c r="T54" s="21"/>
      <c r="U54" s="21"/>
      <c r="V54" s="21"/>
      <c r="W54" s="21"/>
      <c r="X54" s="21"/>
      <c r="Y54" s="21"/>
      <c r="Z54" s="21"/>
      <c r="AA54" s="21"/>
      <c r="AB54" s="21"/>
      <c r="AC54" s="21"/>
    </row>
    <row r="55" spans="1:29" s="19" customFormat="1" ht="12" customHeight="1">
      <c r="A55" s="207">
        <v>38211</v>
      </c>
      <c r="B55" s="19" t="s">
        <v>108</v>
      </c>
      <c r="C55" s="67"/>
      <c r="D55" s="67"/>
      <c r="E55" s="67"/>
      <c r="F55" s="67"/>
      <c r="G55" s="67"/>
      <c r="H55" s="67"/>
      <c r="I55" s="76"/>
      <c r="J55" s="76"/>
      <c r="K55" s="67"/>
      <c r="L55" s="44"/>
      <c r="M55" s="21"/>
      <c r="N55" s="21"/>
      <c r="O55" s="21"/>
      <c r="P55" s="21"/>
      <c r="Q55" s="21"/>
      <c r="R55" s="21"/>
      <c r="S55" s="21"/>
      <c r="T55" s="21"/>
      <c r="U55" s="21"/>
      <c r="V55" s="21"/>
      <c r="W55" s="21"/>
      <c r="X55" s="21"/>
      <c r="Y55" s="21"/>
      <c r="Z55" s="21"/>
      <c r="AA55" s="21"/>
      <c r="AB55" s="21"/>
      <c r="AC55" s="21"/>
    </row>
    <row r="56" spans="1:29" s="19" customFormat="1" ht="12" customHeight="1">
      <c r="A56" s="207">
        <v>38212</v>
      </c>
      <c r="B56" s="19" t="s">
        <v>109</v>
      </c>
      <c r="C56" s="67"/>
      <c r="D56" s="67"/>
      <c r="E56" s="67"/>
      <c r="F56" s="67"/>
      <c r="G56" s="67"/>
      <c r="H56" s="67"/>
      <c r="I56" s="76"/>
      <c r="J56" s="76"/>
      <c r="K56" s="67"/>
      <c r="L56" s="44"/>
      <c r="M56" s="21"/>
      <c r="N56" s="21"/>
      <c r="O56" s="21"/>
      <c r="P56" s="21"/>
      <c r="Q56" s="21"/>
      <c r="R56" s="21"/>
      <c r="S56" s="21"/>
      <c r="T56" s="21"/>
      <c r="U56" s="21"/>
      <c r="V56" s="21"/>
      <c r="W56" s="21"/>
      <c r="X56" s="21"/>
      <c r="Y56" s="21"/>
      <c r="Z56" s="21"/>
      <c r="AA56" s="21"/>
      <c r="AB56" s="21"/>
      <c r="AC56" s="21"/>
    </row>
    <row r="57" spans="1:29" s="19" customFormat="1" ht="12" customHeight="1">
      <c r="A57" s="207">
        <v>38279</v>
      </c>
      <c r="B57" s="19" t="s">
        <v>43</v>
      </c>
      <c r="C57" s="67"/>
      <c r="D57" s="67"/>
      <c r="E57" s="67"/>
      <c r="F57" s="67"/>
      <c r="G57" s="67"/>
      <c r="H57" s="67"/>
      <c r="I57" s="76"/>
      <c r="J57" s="76"/>
      <c r="K57" s="67"/>
      <c r="L57" s="44"/>
      <c r="M57" s="21"/>
      <c r="N57" s="21"/>
      <c r="O57" s="21"/>
      <c r="P57" s="21"/>
      <c r="Q57" s="21"/>
      <c r="R57" s="21"/>
      <c r="S57" s="21"/>
      <c r="T57" s="21"/>
      <c r="U57" s="21"/>
      <c r="V57" s="21"/>
      <c r="W57" s="21"/>
      <c r="X57" s="21"/>
      <c r="Y57" s="21"/>
      <c r="Z57" s="21"/>
      <c r="AA57" s="21"/>
      <c r="AB57" s="21"/>
      <c r="AC57" s="21"/>
    </row>
    <row r="58" spans="1:29" s="19" customFormat="1" ht="12" customHeight="1">
      <c r="A58" s="207">
        <v>38285</v>
      </c>
      <c r="B58" s="19" t="s">
        <v>104</v>
      </c>
      <c r="C58" s="67"/>
      <c r="D58" s="67"/>
      <c r="E58" s="67"/>
      <c r="F58" s="67"/>
      <c r="G58" s="67"/>
      <c r="H58" s="67"/>
      <c r="I58" s="76"/>
      <c r="J58" s="76"/>
      <c r="K58" s="67"/>
      <c r="L58" s="44"/>
      <c r="M58" s="21"/>
      <c r="N58" s="21"/>
      <c r="O58" s="21"/>
      <c r="P58" s="21"/>
      <c r="Q58" s="21"/>
      <c r="R58" s="21"/>
      <c r="S58" s="21"/>
      <c r="T58" s="21"/>
      <c r="U58" s="21"/>
      <c r="V58" s="21"/>
      <c r="W58" s="21"/>
      <c r="X58" s="21"/>
      <c r="Y58" s="21"/>
      <c r="Z58" s="21"/>
      <c r="AA58" s="21"/>
      <c r="AB58" s="21"/>
      <c r="AC58" s="21"/>
    </row>
    <row r="59" spans="1:29" s="19" customFormat="1" ht="12" customHeight="1">
      <c r="A59" s="207">
        <v>38287</v>
      </c>
      <c r="B59" s="19" t="s">
        <v>103</v>
      </c>
      <c r="C59" s="67"/>
      <c r="D59" s="67"/>
      <c r="E59" s="67"/>
      <c r="F59" s="67"/>
      <c r="G59" s="67"/>
      <c r="H59" s="67"/>
      <c r="I59" s="76"/>
      <c r="J59" s="76"/>
      <c r="K59" s="67"/>
      <c r="L59" s="44"/>
      <c r="M59" s="21"/>
      <c r="N59" s="21"/>
      <c r="O59" s="21"/>
      <c r="P59" s="21"/>
      <c r="Q59" s="21"/>
      <c r="R59" s="21"/>
      <c r="S59" s="21"/>
      <c r="T59" s="21"/>
      <c r="U59" s="21"/>
      <c r="V59" s="21"/>
      <c r="W59" s="21"/>
      <c r="X59" s="21"/>
      <c r="Y59" s="21"/>
      <c r="Z59" s="21"/>
      <c r="AA59" s="21"/>
      <c r="AB59" s="21"/>
      <c r="AC59" s="21"/>
    </row>
    <row r="60" spans="1:29" s="19" customFormat="1">
      <c r="A60" s="207">
        <v>38292</v>
      </c>
      <c r="B60" s="19" t="s">
        <v>101</v>
      </c>
      <c r="C60" s="67"/>
      <c r="D60" s="67"/>
      <c r="E60" s="67"/>
      <c r="F60" s="67"/>
      <c r="G60" s="67"/>
      <c r="H60" s="67"/>
      <c r="I60" s="76"/>
      <c r="J60" s="76"/>
      <c r="K60" s="67"/>
      <c r="L60" s="44"/>
      <c r="M60" s="21"/>
      <c r="N60" s="21"/>
      <c r="O60" s="21"/>
      <c r="P60" s="21"/>
      <c r="Q60" s="21"/>
      <c r="R60" s="21"/>
      <c r="S60" s="21"/>
      <c r="T60" s="21"/>
      <c r="U60" s="21"/>
      <c r="V60" s="21"/>
      <c r="W60" s="21"/>
      <c r="X60" s="21"/>
      <c r="Y60" s="21"/>
      <c r="Z60" s="21"/>
      <c r="AA60" s="21"/>
      <c r="AB60" s="21"/>
      <c r="AC60" s="21"/>
    </row>
    <row r="61" spans="1:29" s="19" customFormat="1">
      <c r="A61" s="207">
        <v>38306</v>
      </c>
      <c r="B61" s="19" t="s">
        <v>102</v>
      </c>
      <c r="C61" s="67"/>
      <c r="D61" s="67"/>
      <c r="E61" s="67"/>
      <c r="F61" s="67"/>
      <c r="G61" s="67"/>
      <c r="H61" s="67"/>
      <c r="I61" s="76"/>
      <c r="J61" s="76"/>
      <c r="K61" s="67"/>
      <c r="L61" s="44"/>
      <c r="M61" s="21"/>
      <c r="N61" s="21"/>
      <c r="O61" s="21"/>
      <c r="P61" s="21"/>
      <c r="Q61" s="21"/>
      <c r="R61" s="21"/>
      <c r="S61" s="21"/>
      <c r="T61" s="21"/>
      <c r="U61" s="21"/>
      <c r="V61" s="21"/>
      <c r="W61" s="21"/>
      <c r="X61" s="21"/>
      <c r="Y61" s="21"/>
      <c r="Z61" s="21"/>
      <c r="AA61" s="21"/>
      <c r="AB61" s="21"/>
      <c r="AC61" s="21"/>
    </row>
    <row r="62" spans="1:29" s="19" customFormat="1" ht="12" customHeight="1">
      <c r="A62" s="207">
        <v>38383</v>
      </c>
      <c r="B62" s="19" t="s">
        <v>100</v>
      </c>
      <c r="C62" s="67"/>
      <c r="D62" s="67"/>
      <c r="E62" s="67"/>
      <c r="F62" s="67"/>
      <c r="G62" s="67"/>
      <c r="H62" s="67"/>
      <c r="I62" s="76"/>
      <c r="J62" s="76"/>
      <c r="K62" s="67"/>
      <c r="L62" s="44"/>
      <c r="M62" s="21"/>
      <c r="N62" s="21"/>
      <c r="O62" s="21"/>
      <c r="P62" s="21"/>
      <c r="Q62" s="21"/>
      <c r="R62" s="21"/>
      <c r="S62" s="21"/>
      <c r="T62" s="21"/>
      <c r="U62" s="21"/>
      <c r="V62" s="21"/>
      <c r="W62" s="21"/>
      <c r="X62" s="21"/>
      <c r="Y62" s="21"/>
      <c r="Z62" s="21"/>
      <c r="AA62" s="21"/>
      <c r="AB62" s="21"/>
      <c r="AC62" s="21"/>
    </row>
    <row r="63" spans="1:29" s="19" customFormat="1" ht="12" customHeight="1">
      <c r="A63" s="207">
        <v>38455</v>
      </c>
      <c r="B63" s="19" t="s">
        <v>168</v>
      </c>
      <c r="C63" s="67"/>
      <c r="D63" s="67"/>
      <c r="E63" s="67"/>
      <c r="F63" s="67"/>
      <c r="G63" s="67"/>
      <c r="H63" s="67"/>
      <c r="I63" s="76"/>
      <c r="J63" s="76"/>
      <c r="K63" s="67"/>
      <c r="L63" s="44"/>
      <c r="M63" s="21"/>
      <c r="N63" s="21"/>
      <c r="O63" s="21"/>
      <c r="P63" s="21"/>
      <c r="Q63" s="21"/>
      <c r="R63" s="21"/>
      <c r="S63" s="21"/>
      <c r="T63" s="21"/>
      <c r="U63" s="21"/>
      <c r="V63" s="21"/>
      <c r="W63" s="21"/>
      <c r="X63" s="21"/>
      <c r="Y63" s="21"/>
      <c r="Z63" s="21"/>
      <c r="AA63" s="21"/>
      <c r="AB63" s="21"/>
      <c r="AC63" s="21"/>
    </row>
    <row r="64" spans="1:29" s="19" customFormat="1" ht="12" customHeight="1">
      <c r="A64" s="207">
        <v>38455</v>
      </c>
      <c r="B64" s="19" t="s">
        <v>99</v>
      </c>
      <c r="C64" s="67"/>
      <c r="D64" s="67"/>
      <c r="E64" s="67"/>
      <c r="F64" s="67"/>
      <c r="G64" s="67"/>
      <c r="H64" s="67"/>
      <c r="I64" s="76"/>
      <c r="J64" s="76"/>
      <c r="K64" s="67"/>
      <c r="L64" s="44"/>
      <c r="M64" s="21"/>
      <c r="N64" s="21"/>
      <c r="O64" s="21"/>
      <c r="P64" s="21"/>
      <c r="Q64" s="21"/>
      <c r="R64" s="21"/>
      <c r="S64" s="21"/>
      <c r="T64" s="21"/>
      <c r="U64" s="21"/>
      <c r="V64" s="21"/>
      <c r="W64" s="21"/>
      <c r="X64" s="21"/>
      <c r="Y64" s="21"/>
      <c r="Z64" s="21"/>
      <c r="AA64" s="21"/>
      <c r="AB64" s="21"/>
      <c r="AC64" s="21"/>
    </row>
    <row r="65" spans="1:29" s="19" customFormat="1" ht="12" customHeight="1">
      <c r="A65" s="207">
        <v>38488</v>
      </c>
      <c r="B65" s="19" t="s">
        <v>167</v>
      </c>
      <c r="C65" s="67"/>
      <c r="D65" s="67"/>
      <c r="E65" s="67"/>
      <c r="F65" s="67"/>
      <c r="G65" s="67"/>
      <c r="H65" s="67"/>
      <c r="I65" s="76"/>
      <c r="J65" s="76"/>
      <c r="K65" s="67"/>
      <c r="L65" s="44"/>
      <c r="M65" s="21"/>
      <c r="N65" s="21"/>
      <c r="O65" s="21"/>
      <c r="P65" s="21"/>
      <c r="Q65" s="21"/>
      <c r="R65" s="21"/>
      <c r="S65" s="21"/>
      <c r="T65" s="21"/>
      <c r="U65" s="21"/>
      <c r="V65" s="21"/>
      <c r="W65" s="21"/>
      <c r="X65" s="21"/>
      <c r="Y65" s="21"/>
      <c r="Z65" s="21"/>
      <c r="AA65" s="21"/>
      <c r="AB65" s="21"/>
      <c r="AC65" s="21"/>
    </row>
    <row r="66" spans="1:29" s="19" customFormat="1" ht="12.75" customHeight="1">
      <c r="A66" s="207">
        <v>38531</v>
      </c>
      <c r="B66" s="19" t="s">
        <v>111</v>
      </c>
      <c r="C66" s="67"/>
      <c r="D66" s="67"/>
      <c r="E66" s="67"/>
      <c r="F66" s="67"/>
      <c r="G66" s="67"/>
      <c r="H66" s="67"/>
      <c r="I66" s="76"/>
      <c r="J66" s="76"/>
      <c r="K66" s="67"/>
      <c r="L66" s="44"/>
      <c r="M66" s="21"/>
      <c r="N66" s="21"/>
      <c r="O66" s="21"/>
      <c r="P66" s="21"/>
      <c r="Q66" s="21"/>
      <c r="R66" s="21"/>
      <c r="S66" s="21"/>
      <c r="T66" s="21"/>
      <c r="U66" s="21"/>
      <c r="V66" s="21"/>
      <c r="W66" s="21"/>
      <c r="X66" s="21"/>
      <c r="Y66" s="21"/>
      <c r="Z66" s="21"/>
      <c r="AA66" s="21"/>
      <c r="AB66" s="21"/>
      <c r="AC66" s="21"/>
    </row>
    <row r="67" spans="1:29" s="19" customFormat="1" ht="12.75" customHeight="1">
      <c r="A67" s="207">
        <v>38531</v>
      </c>
      <c r="B67" s="19" t="s">
        <v>113</v>
      </c>
      <c r="C67" s="67"/>
      <c r="D67" s="67"/>
      <c r="E67" s="67"/>
      <c r="F67" s="67"/>
      <c r="G67" s="67"/>
      <c r="H67" s="67"/>
      <c r="I67" s="76"/>
      <c r="J67" s="76"/>
      <c r="K67" s="67"/>
      <c r="L67" s="44"/>
      <c r="M67" s="21"/>
      <c r="N67" s="21"/>
      <c r="O67" s="21"/>
      <c r="P67" s="21"/>
      <c r="Q67" s="21"/>
      <c r="R67" s="21"/>
      <c r="S67" s="21"/>
      <c r="T67" s="21"/>
      <c r="U67" s="21"/>
      <c r="V67" s="21"/>
      <c r="W67" s="21"/>
      <c r="X67" s="21"/>
      <c r="Y67" s="21"/>
      <c r="Z67" s="21"/>
      <c r="AA67" s="21"/>
      <c r="AB67" s="21"/>
      <c r="AC67" s="21"/>
    </row>
    <row r="68" spans="1:29" s="19" customFormat="1" ht="12.75" customHeight="1">
      <c r="A68" s="207">
        <v>38531</v>
      </c>
      <c r="B68" s="19" t="s">
        <v>164</v>
      </c>
      <c r="C68" s="67"/>
      <c r="D68" s="67"/>
      <c r="E68" s="67"/>
      <c r="F68" s="67"/>
      <c r="G68" s="67"/>
      <c r="H68" s="67"/>
      <c r="I68" s="76"/>
      <c r="J68" s="76"/>
      <c r="K68" s="67"/>
      <c r="L68" s="44"/>
      <c r="M68" s="21"/>
      <c r="N68" s="21"/>
      <c r="O68" s="21"/>
      <c r="P68" s="21"/>
      <c r="Q68" s="21"/>
      <c r="R68" s="21"/>
      <c r="S68" s="21"/>
      <c r="T68" s="21"/>
      <c r="U68" s="21"/>
      <c r="V68" s="21"/>
      <c r="W68" s="21"/>
      <c r="X68" s="21"/>
      <c r="Y68" s="21"/>
      <c r="Z68" s="21"/>
      <c r="AA68" s="21"/>
      <c r="AB68" s="21"/>
      <c r="AC68" s="21"/>
    </row>
    <row r="69" spans="1:29" s="19" customFormat="1" ht="12.75" customHeight="1">
      <c r="A69" s="207">
        <v>38531</v>
      </c>
      <c r="B69" s="19" t="s">
        <v>112</v>
      </c>
      <c r="C69" s="67"/>
      <c r="D69" s="67"/>
      <c r="E69" s="67"/>
      <c r="F69" s="67"/>
      <c r="G69" s="67"/>
      <c r="H69" s="67"/>
      <c r="I69" s="76"/>
      <c r="J69" s="76"/>
      <c r="K69" s="67"/>
      <c r="L69" s="44"/>
      <c r="M69" s="21"/>
      <c r="N69" s="21"/>
      <c r="O69" s="21"/>
      <c r="P69" s="21"/>
      <c r="Q69" s="21"/>
      <c r="R69" s="21"/>
      <c r="S69" s="21"/>
      <c r="T69" s="21"/>
      <c r="U69" s="21"/>
      <c r="V69" s="21"/>
      <c r="W69" s="21"/>
      <c r="X69" s="21"/>
      <c r="Y69" s="21"/>
      <c r="Z69" s="21"/>
      <c r="AA69" s="21"/>
      <c r="AB69" s="21"/>
      <c r="AC69" s="21"/>
    </row>
    <row r="70" spans="1:29" s="19" customFormat="1" ht="12.75" customHeight="1">
      <c r="A70" s="207">
        <v>38532</v>
      </c>
      <c r="B70" s="19" t="s">
        <v>166</v>
      </c>
      <c r="C70" s="67"/>
      <c r="D70" s="67"/>
      <c r="E70" s="67"/>
      <c r="F70" s="67"/>
      <c r="G70" s="67"/>
      <c r="H70" s="67"/>
      <c r="I70" s="76"/>
      <c r="J70" s="76"/>
      <c r="K70" s="67"/>
      <c r="L70" s="44"/>
      <c r="M70" s="21"/>
      <c r="N70" s="21"/>
      <c r="O70" s="21"/>
      <c r="P70" s="21"/>
      <c r="Q70" s="21"/>
      <c r="R70" s="21"/>
      <c r="S70" s="21"/>
      <c r="T70" s="21"/>
      <c r="U70" s="21"/>
      <c r="V70" s="21"/>
      <c r="W70" s="21"/>
      <c r="X70" s="21"/>
      <c r="Y70" s="21"/>
      <c r="Z70" s="21"/>
      <c r="AA70" s="21"/>
      <c r="AB70" s="21"/>
      <c r="AC70" s="21"/>
    </row>
    <row r="71" spans="1:29" s="19" customFormat="1" ht="12.75" customHeight="1">
      <c r="A71" s="207">
        <v>38533</v>
      </c>
      <c r="B71" s="19" t="s">
        <v>165</v>
      </c>
      <c r="C71" s="67"/>
      <c r="D71" s="67"/>
      <c r="E71" s="67"/>
      <c r="F71" s="67"/>
      <c r="G71" s="67"/>
      <c r="H71" s="67"/>
      <c r="I71" s="76"/>
      <c r="J71" s="76"/>
      <c r="K71" s="67"/>
      <c r="L71" s="44"/>
      <c r="M71" s="21"/>
      <c r="N71" s="21"/>
      <c r="O71" s="21"/>
      <c r="P71" s="21"/>
      <c r="Q71" s="21"/>
      <c r="R71" s="21"/>
      <c r="S71" s="21"/>
      <c r="T71" s="21"/>
      <c r="U71" s="21"/>
      <c r="V71" s="21"/>
      <c r="W71" s="21"/>
      <c r="X71" s="21"/>
      <c r="Y71" s="21"/>
      <c r="Z71" s="21"/>
      <c r="AA71" s="21"/>
      <c r="AB71" s="21"/>
      <c r="AC71" s="21"/>
    </row>
    <row r="72" spans="1:29" s="19" customFormat="1" ht="12.75" customHeight="1">
      <c r="A72" s="207">
        <v>38533</v>
      </c>
      <c r="B72" s="19" t="s">
        <v>110</v>
      </c>
      <c r="C72" s="67"/>
      <c r="D72" s="67"/>
      <c r="E72" s="67"/>
      <c r="F72" s="67"/>
      <c r="G72" s="67"/>
      <c r="H72" s="67"/>
      <c r="I72" s="76"/>
      <c r="J72" s="76"/>
      <c r="K72" s="67"/>
      <c r="L72" s="44"/>
      <c r="M72" s="21"/>
      <c r="N72" s="21"/>
      <c r="O72" s="21"/>
      <c r="P72" s="21"/>
      <c r="Q72" s="21"/>
      <c r="R72" s="21"/>
      <c r="S72" s="21"/>
      <c r="T72" s="21"/>
      <c r="U72" s="21"/>
      <c r="V72" s="21"/>
      <c r="W72" s="21"/>
      <c r="X72" s="21"/>
      <c r="Y72" s="21"/>
      <c r="Z72" s="21"/>
      <c r="AA72" s="21"/>
      <c r="AB72" s="21"/>
      <c r="AC72" s="21"/>
    </row>
    <row r="73" spans="1:29" s="19" customFormat="1" ht="12.75" customHeight="1">
      <c r="A73" s="207">
        <v>38538</v>
      </c>
      <c r="B73" s="19" t="s">
        <v>122</v>
      </c>
      <c r="C73" s="67"/>
      <c r="D73" s="67"/>
      <c r="E73" s="67"/>
      <c r="F73" s="67"/>
      <c r="G73" s="67"/>
      <c r="H73" s="67"/>
      <c r="I73" s="76"/>
      <c r="J73" s="76"/>
      <c r="K73" s="67"/>
      <c r="L73" s="44"/>
      <c r="M73" s="21"/>
      <c r="N73" s="21"/>
      <c r="O73" s="21"/>
      <c r="P73" s="21"/>
      <c r="Q73" s="21"/>
      <c r="R73" s="21"/>
      <c r="S73" s="21"/>
      <c r="T73" s="21"/>
      <c r="U73" s="21"/>
      <c r="V73" s="21"/>
      <c r="W73" s="21"/>
      <c r="X73" s="21"/>
      <c r="Y73" s="21"/>
      <c r="Z73" s="21"/>
      <c r="AA73" s="21"/>
      <c r="AB73" s="21"/>
      <c r="AC73" s="21"/>
    </row>
    <row r="74" spans="1:29" s="19" customFormat="1" ht="12.75" customHeight="1">
      <c r="A74" s="207">
        <v>38907</v>
      </c>
      <c r="B74" s="19" t="s">
        <v>7737</v>
      </c>
      <c r="C74" s="67"/>
      <c r="D74" s="67"/>
      <c r="E74" s="67"/>
      <c r="F74" s="67"/>
      <c r="G74" s="67"/>
      <c r="H74" s="67"/>
      <c r="I74" s="76"/>
      <c r="J74" s="76"/>
      <c r="K74" s="67"/>
      <c r="L74" s="44"/>
      <c r="M74" s="21"/>
      <c r="N74" s="21"/>
      <c r="O74" s="21"/>
      <c r="P74" s="21"/>
      <c r="Q74" s="21"/>
      <c r="R74" s="21"/>
      <c r="S74" s="21"/>
      <c r="T74" s="21"/>
      <c r="U74" s="21"/>
      <c r="V74" s="21"/>
      <c r="W74" s="21"/>
      <c r="X74" s="21"/>
      <c r="Y74" s="21"/>
      <c r="Z74" s="21"/>
      <c r="AA74" s="21"/>
      <c r="AB74" s="21"/>
      <c r="AC74" s="21"/>
    </row>
    <row r="75" spans="1:29" s="19" customFormat="1" ht="12.75" customHeight="1">
      <c r="A75" s="207">
        <v>38909</v>
      </c>
      <c r="B75" s="19" t="s">
        <v>121</v>
      </c>
      <c r="C75" s="67"/>
      <c r="D75" s="67"/>
      <c r="E75" s="67"/>
      <c r="F75" s="67"/>
      <c r="G75" s="67"/>
      <c r="H75" s="67"/>
      <c r="I75" s="76"/>
      <c r="J75" s="76"/>
      <c r="K75" s="67"/>
      <c r="L75" s="44"/>
      <c r="M75" s="21"/>
      <c r="N75" s="21"/>
      <c r="O75" s="21"/>
      <c r="P75" s="21"/>
      <c r="Q75" s="21"/>
      <c r="R75" s="21"/>
      <c r="S75" s="21"/>
      <c r="T75" s="21"/>
      <c r="U75" s="21"/>
      <c r="V75" s="21"/>
      <c r="W75" s="21"/>
      <c r="X75" s="21"/>
      <c r="Y75" s="21"/>
      <c r="Z75" s="21"/>
      <c r="AA75" s="21"/>
      <c r="AB75" s="21"/>
      <c r="AC75" s="21"/>
    </row>
    <row r="76" spans="1:29" s="19" customFormat="1" ht="12.75" customHeight="1">
      <c r="A76" s="207">
        <v>38931</v>
      </c>
      <c r="B76" s="19" t="s">
        <v>137</v>
      </c>
      <c r="C76" s="67"/>
      <c r="D76" s="67"/>
      <c r="E76" s="67"/>
      <c r="F76" s="67"/>
      <c r="G76" s="67"/>
      <c r="H76" s="67"/>
      <c r="I76" s="76"/>
      <c r="J76" s="76"/>
      <c r="K76" s="67"/>
      <c r="L76" s="44"/>
      <c r="M76" s="21"/>
      <c r="N76" s="21"/>
      <c r="O76" s="21"/>
      <c r="P76" s="21"/>
      <c r="Q76" s="21"/>
      <c r="R76" s="21"/>
      <c r="S76" s="21"/>
      <c r="T76" s="21"/>
      <c r="U76" s="21"/>
      <c r="V76" s="21"/>
      <c r="W76" s="21"/>
      <c r="X76" s="21"/>
      <c r="Y76" s="21"/>
      <c r="Z76" s="21"/>
      <c r="AA76" s="21"/>
      <c r="AB76" s="21"/>
      <c r="AC76" s="21"/>
    </row>
    <row r="77" spans="1:29" s="19" customFormat="1" ht="12.75" customHeight="1">
      <c r="A77" s="207">
        <v>39101</v>
      </c>
      <c r="B77" s="19" t="s">
        <v>136</v>
      </c>
      <c r="C77" s="67"/>
      <c r="D77" s="67"/>
      <c r="E77" s="67"/>
      <c r="F77" s="67"/>
      <c r="G77" s="67"/>
      <c r="H77" s="67"/>
      <c r="I77" s="76"/>
      <c r="J77" s="76"/>
      <c r="K77" s="67"/>
      <c r="L77" s="44"/>
      <c r="M77" s="21"/>
      <c r="N77" s="21"/>
      <c r="O77" s="21"/>
      <c r="P77" s="21"/>
      <c r="Q77" s="21"/>
      <c r="R77" s="21"/>
      <c r="S77" s="21"/>
      <c r="T77" s="21"/>
      <c r="U77" s="21"/>
      <c r="V77" s="21"/>
      <c r="W77" s="21"/>
      <c r="X77" s="21"/>
      <c r="Y77" s="21"/>
      <c r="Z77" s="21"/>
      <c r="AA77" s="21"/>
      <c r="AB77" s="21"/>
      <c r="AC77" s="21"/>
    </row>
    <row r="78" spans="1:29">
      <c r="A78" s="206">
        <v>40316</v>
      </c>
      <c r="B78" t="s">
        <v>120</v>
      </c>
    </row>
    <row r="79" spans="1:29">
      <c r="A79" s="206">
        <v>40332</v>
      </c>
      <c r="B79" t="s">
        <v>119</v>
      </c>
    </row>
    <row r="80" spans="1:29">
      <c r="A80" s="206">
        <v>40374</v>
      </c>
      <c r="B80" s="19" t="s">
        <v>82</v>
      </c>
    </row>
    <row r="81" spans="1:29">
      <c r="A81" s="206">
        <v>40375</v>
      </c>
      <c r="B81" s="19" t="s">
        <v>46</v>
      </c>
    </row>
    <row r="82" spans="1:29">
      <c r="A82" s="206">
        <v>40375</v>
      </c>
      <c r="B82" t="s">
        <v>47</v>
      </c>
    </row>
    <row r="83" spans="1:29" s="7" customFormat="1">
      <c r="A83" s="206">
        <v>40375</v>
      </c>
      <c r="B83" s="69" t="s">
        <v>32</v>
      </c>
      <c r="C83" s="30"/>
      <c r="D83" s="30"/>
      <c r="E83" s="30"/>
      <c r="F83" s="30"/>
      <c r="G83" s="30"/>
      <c r="H83" s="30"/>
      <c r="I83" s="77"/>
      <c r="J83" s="77"/>
      <c r="K83" s="30"/>
      <c r="L83" s="43"/>
      <c r="M83" s="21"/>
      <c r="N83" s="21"/>
      <c r="O83" s="21"/>
      <c r="P83" s="21"/>
      <c r="Q83" s="20"/>
      <c r="R83" s="20"/>
      <c r="S83" s="20"/>
      <c r="T83" s="20"/>
      <c r="U83" s="20"/>
      <c r="V83" s="20"/>
      <c r="W83" s="20"/>
      <c r="X83" s="20"/>
      <c r="Y83" s="20"/>
      <c r="Z83" s="20"/>
      <c r="AA83" s="20"/>
      <c r="AB83" s="20"/>
      <c r="AC83" s="20"/>
    </row>
    <row r="84" spans="1:29">
      <c r="A84" s="206">
        <v>40375</v>
      </c>
      <c r="B84" s="69" t="s">
        <v>0</v>
      </c>
    </row>
    <row r="86" spans="1:29" s="7" customFormat="1">
      <c r="A86" s="206">
        <v>41701</v>
      </c>
      <c r="B86" s="296" t="s">
        <v>8329</v>
      </c>
      <c r="C86" s="30"/>
      <c r="D86" s="30"/>
      <c r="E86" s="30"/>
      <c r="F86" s="30"/>
      <c r="G86" s="30"/>
      <c r="H86" s="30"/>
      <c r="I86" s="77"/>
      <c r="J86" s="77"/>
      <c r="K86" s="30"/>
      <c r="L86" s="43"/>
      <c r="M86" s="21"/>
      <c r="N86" s="21"/>
      <c r="O86" s="21"/>
      <c r="P86" s="21"/>
      <c r="Q86" s="20"/>
      <c r="R86" s="20"/>
      <c r="S86" s="20"/>
      <c r="T86" s="20"/>
      <c r="U86" s="20"/>
      <c r="V86" s="20"/>
      <c r="W86" s="20"/>
      <c r="X86" s="20"/>
      <c r="Y86" s="20"/>
      <c r="Z86" s="20"/>
      <c r="AA86" s="20"/>
      <c r="AB86" s="20"/>
      <c r="AC86" s="20"/>
    </row>
    <row r="87" spans="1:29">
      <c r="B87" s="296" t="s">
        <v>8331</v>
      </c>
      <c r="C87" t="s">
        <v>8330</v>
      </c>
      <c r="D87" t="s">
        <v>8332</v>
      </c>
      <c r="E87" t="s">
        <v>8333</v>
      </c>
    </row>
    <row r="88" spans="1:29" s="72" customFormat="1" ht="15" customHeight="1">
      <c r="A88" s="208"/>
      <c r="B88" s="296" t="s">
        <v>2778</v>
      </c>
      <c r="C88" s="30">
        <v>1027</v>
      </c>
      <c r="D88" s="30">
        <v>177</v>
      </c>
      <c r="E88" s="30">
        <f>C88-D88</f>
        <v>850</v>
      </c>
      <c r="F88" s="30"/>
      <c r="G88" s="30"/>
      <c r="H88" s="30"/>
      <c r="I88" s="77"/>
      <c r="J88" s="77"/>
      <c r="K88" s="30"/>
      <c r="L88" s="43"/>
      <c r="M88" s="21"/>
      <c r="N88" s="21"/>
      <c r="O88" s="21"/>
      <c r="P88" s="21"/>
      <c r="Q88" s="20"/>
      <c r="R88" s="70"/>
      <c r="S88" s="70"/>
      <c r="T88" s="70"/>
      <c r="U88" s="70"/>
      <c r="V88" s="70"/>
      <c r="W88" s="70"/>
      <c r="X88" s="70"/>
      <c r="Y88" s="70"/>
      <c r="Z88" s="70"/>
      <c r="AA88" s="70"/>
      <c r="AB88" s="70"/>
      <c r="AC88" s="71"/>
    </row>
    <row r="89" spans="1:29">
      <c r="B89" s="296" t="s">
        <v>2653</v>
      </c>
      <c r="C89">
        <v>347</v>
      </c>
      <c r="D89">
        <v>61</v>
      </c>
      <c r="E89" s="30">
        <f>C89-D89</f>
        <v>286</v>
      </c>
    </row>
    <row r="90" spans="1:29">
      <c r="B90" s="296" t="s">
        <v>3816</v>
      </c>
      <c r="C90">
        <v>785</v>
      </c>
      <c r="D90">
        <v>170</v>
      </c>
      <c r="E90" s="30">
        <f>C90-D90</f>
        <v>615</v>
      </c>
    </row>
    <row r="91" spans="1:29">
      <c r="B91" s="296" t="s">
        <v>2592</v>
      </c>
      <c r="C91">
        <v>1067</v>
      </c>
      <c r="D91">
        <v>227</v>
      </c>
      <c r="E91" s="30">
        <f>C91-D91</f>
        <v>840</v>
      </c>
    </row>
    <row r="92" spans="1:29">
      <c r="B92" s="296" t="s">
        <v>7297</v>
      </c>
      <c r="C92">
        <v>983</v>
      </c>
      <c r="D92">
        <v>200</v>
      </c>
      <c r="E92" s="30">
        <f>C92-D92</f>
        <v>783</v>
      </c>
    </row>
    <row r="93" spans="1:29">
      <c r="E93" s="30"/>
    </row>
    <row r="94" spans="1:29">
      <c r="A94" s="206">
        <v>41827</v>
      </c>
      <c r="B94" s="296" t="s">
        <v>8334</v>
      </c>
    </row>
    <row r="96" spans="1:29" s="312" customFormat="1" ht="18" customHeight="1">
      <c r="A96" s="304"/>
      <c r="B96" s="305"/>
      <c r="C96" s="305"/>
      <c r="D96" s="306" t="s">
        <v>8335</v>
      </c>
      <c r="E96" s="306" t="s">
        <v>8336</v>
      </c>
      <c r="F96" s="306" t="s">
        <v>8455</v>
      </c>
      <c r="G96" s="307" t="s">
        <v>4431</v>
      </c>
      <c r="H96" s="307" t="s">
        <v>4223</v>
      </c>
      <c r="I96" s="307" t="s">
        <v>8337</v>
      </c>
      <c r="J96" s="307" t="s">
        <v>3590</v>
      </c>
      <c r="K96" s="307" t="s">
        <v>4481</v>
      </c>
      <c r="L96" s="307" t="s">
        <v>8338</v>
      </c>
      <c r="M96" s="308" t="s">
        <v>8339</v>
      </c>
      <c r="N96" s="309" t="s">
        <v>8340</v>
      </c>
      <c r="O96" s="310" t="s">
        <v>8341</v>
      </c>
      <c r="P96" s="306" t="s">
        <v>8342</v>
      </c>
      <c r="Q96" s="311" t="s">
        <v>8343</v>
      </c>
    </row>
    <row r="97" spans="1:30" s="314" customFormat="1" ht="18" customHeight="1">
      <c r="A97" s="393" t="s">
        <v>8344</v>
      </c>
      <c r="B97" s="393"/>
      <c r="C97" s="393"/>
      <c r="D97" s="313"/>
      <c r="E97" s="313"/>
      <c r="F97" s="313"/>
      <c r="G97" s="313"/>
      <c r="H97" s="313"/>
      <c r="I97" s="313"/>
      <c r="J97" s="313"/>
      <c r="K97" s="313"/>
      <c r="L97" s="313"/>
      <c r="M97" s="313"/>
      <c r="N97" s="313"/>
      <c r="O97" s="313"/>
      <c r="P97" s="313"/>
      <c r="Q97" s="313"/>
      <c r="R97" s="313"/>
      <c r="S97" s="313"/>
      <c r="T97" s="313"/>
      <c r="U97" s="313"/>
      <c r="V97" s="313"/>
      <c r="W97" s="313"/>
      <c r="X97" s="313"/>
      <c r="Y97" s="313"/>
      <c r="Z97" s="313"/>
      <c r="AA97" s="313"/>
      <c r="AB97" s="313"/>
      <c r="AC97" s="313"/>
      <c r="AD97" s="313"/>
    </row>
    <row r="98" spans="1:30" s="324" customFormat="1" ht="18" customHeight="1">
      <c r="A98" s="315" t="s">
        <v>8459</v>
      </c>
      <c r="B98" s="315"/>
      <c r="C98" s="315"/>
      <c r="D98" s="316"/>
      <c r="E98" s="317" t="s">
        <v>8345</v>
      </c>
      <c r="F98" s="317" t="s">
        <v>8346</v>
      </c>
      <c r="G98" s="318" t="s">
        <v>5092</v>
      </c>
      <c r="H98" s="319" t="s">
        <v>3954</v>
      </c>
      <c r="I98" s="319" t="s">
        <v>2127</v>
      </c>
      <c r="J98" s="320" t="s">
        <v>2128</v>
      </c>
      <c r="K98" s="320" t="s">
        <v>7260</v>
      </c>
      <c r="L98" s="319" t="s">
        <v>8347</v>
      </c>
      <c r="M98" s="321">
        <v>1</v>
      </c>
      <c r="N98" s="322"/>
      <c r="O98" s="323"/>
      <c r="P98" s="302" t="s">
        <v>8345</v>
      </c>
      <c r="Q98" s="302" t="s">
        <v>8348</v>
      </c>
      <c r="R98" s="315"/>
      <c r="S98" s="315"/>
      <c r="T98" s="315"/>
      <c r="U98" s="315"/>
      <c r="V98" s="315"/>
      <c r="W98" s="315"/>
      <c r="X98" s="315"/>
      <c r="Y98" s="315"/>
      <c r="Z98" s="315"/>
      <c r="AA98" s="315"/>
      <c r="AB98" s="316"/>
      <c r="AC98" s="316"/>
      <c r="AD98" s="316"/>
    </row>
    <row r="99" spans="1:30" s="334" customFormat="1" ht="18" customHeight="1">
      <c r="A99" s="325" t="s">
        <v>8460</v>
      </c>
      <c r="B99" s="325"/>
      <c r="C99" s="325"/>
      <c r="D99" s="325" t="s">
        <v>8349</v>
      </c>
      <c r="E99" s="326" t="s">
        <v>8345</v>
      </c>
      <c r="F99" s="326"/>
      <c r="G99" s="327" t="s">
        <v>5092</v>
      </c>
      <c r="H99" s="328" t="s">
        <v>3954</v>
      </c>
      <c r="I99" s="328" t="s">
        <v>3955</v>
      </c>
      <c r="J99" s="329" t="s">
        <v>5969</v>
      </c>
      <c r="K99" s="329" t="s">
        <v>3092</v>
      </c>
      <c r="L99" s="328" t="s">
        <v>8350</v>
      </c>
      <c r="M99" s="330">
        <v>17</v>
      </c>
      <c r="N99" s="331"/>
      <c r="O99" s="332"/>
      <c r="P99" s="303" t="s">
        <v>8345</v>
      </c>
      <c r="Q99" s="303" t="s">
        <v>8351</v>
      </c>
      <c r="R99" s="325"/>
      <c r="S99" s="325"/>
      <c r="T99" s="325"/>
      <c r="U99" s="325"/>
      <c r="V99" s="325"/>
      <c r="W99" s="325"/>
      <c r="X99" s="325"/>
      <c r="Y99" s="325"/>
      <c r="Z99" s="325"/>
      <c r="AA99" s="325"/>
      <c r="AB99" s="333"/>
      <c r="AC99" s="333"/>
      <c r="AD99" s="333"/>
    </row>
    <row r="100" spans="1:30" s="324" customFormat="1" ht="18" customHeight="1">
      <c r="A100" s="315" t="s">
        <v>8459</v>
      </c>
      <c r="B100" s="316"/>
      <c r="C100" s="316"/>
      <c r="D100" s="316"/>
      <c r="E100" s="317" t="s">
        <v>8345</v>
      </c>
      <c r="F100" s="317"/>
      <c r="G100" s="335" t="s">
        <v>5092</v>
      </c>
      <c r="H100" s="302" t="s">
        <v>3001</v>
      </c>
      <c r="I100" s="302" t="s">
        <v>3358</v>
      </c>
      <c r="J100" s="316" t="s">
        <v>8352</v>
      </c>
      <c r="K100" s="316" t="s">
        <v>7347</v>
      </c>
      <c r="L100" s="316"/>
      <c r="M100" s="316"/>
      <c r="N100" s="316"/>
      <c r="O100" s="316"/>
      <c r="P100" s="316"/>
      <c r="Q100" s="316" t="s">
        <v>8353</v>
      </c>
      <c r="R100" s="316"/>
      <c r="S100" s="316"/>
      <c r="T100" s="316"/>
      <c r="U100" s="316"/>
      <c r="V100" s="316"/>
      <c r="W100" s="316"/>
      <c r="X100" s="316"/>
      <c r="Y100" s="316"/>
      <c r="Z100" s="316"/>
      <c r="AA100" s="316"/>
      <c r="AB100" s="316"/>
      <c r="AC100" s="316"/>
      <c r="AD100" s="316"/>
    </row>
    <row r="101" spans="1:30" s="324" customFormat="1" ht="18" customHeight="1">
      <c r="A101" s="325" t="s">
        <v>8459</v>
      </c>
      <c r="B101" s="315"/>
      <c r="C101" s="315"/>
      <c r="D101" s="337"/>
      <c r="E101" s="317" t="s">
        <v>8345</v>
      </c>
      <c r="F101" s="317"/>
      <c r="G101" s="335" t="s">
        <v>5092</v>
      </c>
      <c r="H101" s="302" t="s">
        <v>3001</v>
      </c>
      <c r="I101" s="302" t="s">
        <v>3358</v>
      </c>
      <c r="J101" s="338" t="s">
        <v>4067</v>
      </c>
      <c r="K101" s="338" t="s">
        <v>8082</v>
      </c>
      <c r="L101" s="302" t="s">
        <v>8354</v>
      </c>
      <c r="M101" s="321">
        <v>500</v>
      </c>
      <c r="N101" s="339" t="s">
        <v>8355</v>
      </c>
      <c r="O101" s="302"/>
      <c r="P101" s="303" t="s">
        <v>8345</v>
      </c>
      <c r="Q101" s="302" t="s">
        <v>8356</v>
      </c>
      <c r="R101" s="315"/>
      <c r="S101" s="315"/>
      <c r="T101" s="315"/>
      <c r="U101" s="315"/>
      <c r="V101" s="315"/>
      <c r="W101" s="315"/>
      <c r="X101" s="315"/>
      <c r="Y101" s="315"/>
      <c r="Z101" s="315"/>
      <c r="AA101" s="315"/>
      <c r="AB101" s="316"/>
      <c r="AC101" s="316"/>
      <c r="AD101" s="316"/>
    </row>
    <row r="102" spans="1:30" s="324" customFormat="1" ht="18" customHeight="1">
      <c r="A102" s="325" t="s">
        <v>8460</v>
      </c>
      <c r="B102" s="315"/>
      <c r="C102" s="315"/>
      <c r="D102" s="337" t="s">
        <v>8357</v>
      </c>
      <c r="E102" s="317" t="s">
        <v>8345</v>
      </c>
      <c r="F102" s="317" t="s">
        <v>8358</v>
      </c>
      <c r="G102" s="335" t="s">
        <v>5092</v>
      </c>
      <c r="H102" s="302" t="s">
        <v>3001</v>
      </c>
      <c r="I102" s="302" t="s">
        <v>3905</v>
      </c>
      <c r="J102" s="338" t="s">
        <v>8359</v>
      </c>
      <c r="K102" s="338" t="s">
        <v>4464</v>
      </c>
      <c r="L102" s="302" t="s">
        <v>8360</v>
      </c>
      <c r="M102" s="321">
        <v>850</v>
      </c>
      <c r="N102" s="340" t="s">
        <v>8355</v>
      </c>
      <c r="O102" s="302" t="s">
        <v>8361</v>
      </c>
      <c r="P102" s="303" t="s">
        <v>8345</v>
      </c>
      <c r="Q102" s="302" t="s">
        <v>8362</v>
      </c>
      <c r="R102" s="315"/>
      <c r="S102" s="315"/>
      <c r="T102" s="315"/>
      <c r="U102" s="315"/>
      <c r="V102" s="315"/>
      <c r="W102" s="315"/>
      <c r="X102" s="315"/>
      <c r="Y102" s="315"/>
      <c r="Z102" s="315"/>
      <c r="AA102" s="315"/>
      <c r="AB102" s="316"/>
      <c r="AC102" s="316"/>
      <c r="AD102" s="316"/>
    </row>
    <row r="103" spans="1:30" s="324" customFormat="1" ht="18" customHeight="1">
      <c r="A103" s="325" t="s">
        <v>8460</v>
      </c>
      <c r="B103" s="315"/>
      <c r="C103" s="315"/>
      <c r="D103" s="315" t="s">
        <v>8363</v>
      </c>
      <c r="E103" s="317" t="s">
        <v>8345</v>
      </c>
      <c r="F103" s="317" t="s">
        <v>8364</v>
      </c>
      <c r="G103" s="318" t="s">
        <v>5092</v>
      </c>
      <c r="H103" s="319" t="s">
        <v>4084</v>
      </c>
      <c r="I103" s="319" t="s">
        <v>3613</v>
      </c>
      <c r="J103" s="320" t="s">
        <v>7131</v>
      </c>
      <c r="K103" s="320" t="s">
        <v>4648</v>
      </c>
      <c r="L103" s="319" t="s">
        <v>8365</v>
      </c>
      <c r="M103" s="321">
        <v>10000</v>
      </c>
      <c r="N103" s="322" t="s">
        <v>8366</v>
      </c>
      <c r="O103" s="323" t="s">
        <v>8367</v>
      </c>
      <c r="P103" s="303" t="s">
        <v>8345</v>
      </c>
      <c r="Q103" s="302" t="s">
        <v>8368</v>
      </c>
      <c r="R103" s="315"/>
      <c r="S103" s="315"/>
      <c r="T103" s="315"/>
      <c r="U103" s="315"/>
      <c r="V103" s="315"/>
      <c r="W103" s="315"/>
      <c r="X103" s="315"/>
      <c r="Y103" s="315"/>
      <c r="Z103" s="315"/>
      <c r="AA103" s="315"/>
      <c r="AB103" s="316"/>
      <c r="AC103" s="316"/>
      <c r="AD103" s="316"/>
    </row>
    <row r="104" spans="1:30" s="350" customFormat="1" ht="18" customHeight="1">
      <c r="A104" s="325" t="s">
        <v>8460</v>
      </c>
      <c r="B104" s="341"/>
      <c r="C104" s="341"/>
      <c r="D104" s="342" t="s">
        <v>8369</v>
      </c>
      <c r="E104" s="343" t="s">
        <v>8345</v>
      </c>
      <c r="F104" s="343"/>
      <c r="G104" s="344" t="s">
        <v>5092</v>
      </c>
      <c r="H104" s="345" t="s">
        <v>3001</v>
      </c>
      <c r="I104" s="345" t="s">
        <v>3197</v>
      </c>
      <c r="J104" s="346" t="s">
        <v>7382</v>
      </c>
      <c r="K104" s="346" t="s">
        <v>7383</v>
      </c>
      <c r="L104" s="345" t="s">
        <v>8370</v>
      </c>
      <c r="M104" s="347">
        <v>55</v>
      </c>
      <c r="N104" s="348" t="s">
        <v>8371</v>
      </c>
      <c r="O104" s="345" t="s">
        <v>8372</v>
      </c>
      <c r="P104" s="345" t="s">
        <v>8345</v>
      </c>
      <c r="Q104" s="345" t="s">
        <v>8373</v>
      </c>
      <c r="R104" s="341"/>
      <c r="S104" s="341"/>
      <c r="T104" s="341"/>
      <c r="U104" s="341"/>
      <c r="V104" s="341"/>
      <c r="W104" s="341"/>
      <c r="X104" s="341"/>
      <c r="Y104" s="341"/>
      <c r="Z104" s="341"/>
      <c r="AA104" s="341"/>
      <c r="AB104" s="349"/>
      <c r="AC104" s="349"/>
      <c r="AD104" s="349"/>
    </row>
    <row r="105" spans="1:30" s="314" customFormat="1" ht="18" customHeight="1">
      <c r="A105" s="313"/>
      <c r="B105" s="313"/>
      <c r="C105" s="313"/>
      <c r="D105" s="313"/>
      <c r="E105" s="313"/>
      <c r="F105" s="313"/>
      <c r="G105" s="313"/>
      <c r="H105" s="313"/>
      <c r="I105" s="313"/>
      <c r="J105" s="313"/>
      <c r="K105" s="313"/>
      <c r="L105" s="313"/>
      <c r="M105" s="313"/>
      <c r="N105" s="313"/>
      <c r="O105" s="313"/>
      <c r="P105" s="313"/>
      <c r="Q105" s="313"/>
      <c r="R105" s="313"/>
      <c r="S105" s="313"/>
      <c r="T105" s="313"/>
      <c r="U105" s="313"/>
      <c r="V105" s="313"/>
      <c r="W105" s="313"/>
      <c r="X105" s="313"/>
      <c r="Y105" s="313"/>
      <c r="Z105" s="313"/>
      <c r="AA105" s="313"/>
      <c r="AB105" s="313"/>
      <c r="AC105" s="313"/>
      <c r="AD105" s="313"/>
    </row>
    <row r="106" spans="1:30" s="314" customFormat="1" ht="18" customHeight="1">
      <c r="A106" s="393" t="s">
        <v>8374</v>
      </c>
      <c r="B106" s="393"/>
      <c r="C106" s="393"/>
      <c r="D106" s="313"/>
      <c r="E106" s="313"/>
      <c r="F106" s="313"/>
      <c r="G106" s="313"/>
      <c r="H106" s="313"/>
      <c r="I106" s="313"/>
      <c r="J106" s="313"/>
      <c r="K106" s="313"/>
      <c r="L106" s="313"/>
      <c r="M106" s="313"/>
      <c r="N106" s="313"/>
      <c r="O106" s="313"/>
      <c r="P106" s="313"/>
      <c r="Q106" s="313"/>
      <c r="R106" s="313"/>
      <c r="S106" s="313"/>
      <c r="T106" s="313"/>
      <c r="U106" s="313"/>
      <c r="V106" s="313"/>
      <c r="W106" s="313"/>
      <c r="X106" s="313"/>
      <c r="Y106" s="313"/>
      <c r="Z106" s="313"/>
      <c r="AA106" s="313"/>
      <c r="AB106" s="313"/>
      <c r="AC106" s="313"/>
      <c r="AD106" s="313"/>
    </row>
    <row r="107" spans="1:30" s="324" customFormat="1" ht="18" customHeight="1">
      <c r="A107" s="336"/>
      <c r="B107" s="315"/>
      <c r="C107" s="315"/>
      <c r="D107" s="315" t="s">
        <v>8375</v>
      </c>
      <c r="E107" s="317" t="s">
        <v>8345</v>
      </c>
      <c r="F107" s="317"/>
      <c r="G107" s="318" t="s">
        <v>5092</v>
      </c>
      <c r="H107" s="319" t="s">
        <v>3954</v>
      </c>
      <c r="I107" s="319" t="s">
        <v>3955</v>
      </c>
      <c r="J107" s="320" t="s">
        <v>8376</v>
      </c>
      <c r="K107" s="320" t="s">
        <v>8377</v>
      </c>
      <c r="L107" s="319" t="s">
        <v>8378</v>
      </c>
      <c r="M107" s="321" t="s">
        <v>8379</v>
      </c>
      <c r="N107" s="322"/>
      <c r="O107" s="323"/>
      <c r="P107" s="302"/>
      <c r="Q107" s="302" t="s">
        <v>8380</v>
      </c>
      <c r="R107" s="315"/>
      <c r="S107" s="315"/>
      <c r="T107" s="315"/>
      <c r="U107" s="315"/>
      <c r="V107" s="315"/>
      <c r="W107" s="315"/>
      <c r="X107" s="315"/>
      <c r="Y107" s="315"/>
      <c r="Z107" s="315"/>
      <c r="AA107" s="315"/>
      <c r="AB107" s="316"/>
      <c r="AC107" s="316"/>
      <c r="AD107" s="316"/>
    </row>
    <row r="108" spans="1:30" s="314" customFormat="1" ht="18" customHeight="1">
      <c r="A108" s="313"/>
      <c r="B108" s="313"/>
      <c r="C108" s="313"/>
      <c r="D108" s="313"/>
      <c r="E108" s="313"/>
      <c r="F108" s="313"/>
      <c r="G108" s="313"/>
      <c r="H108" s="313"/>
      <c r="I108" s="313"/>
      <c r="J108" s="313"/>
      <c r="K108" s="313"/>
      <c r="L108" s="313"/>
      <c r="M108" s="313"/>
      <c r="N108" s="313"/>
      <c r="O108" s="313"/>
      <c r="P108" s="313"/>
      <c r="Q108" s="313"/>
      <c r="R108" s="313"/>
      <c r="S108" s="313"/>
      <c r="T108" s="313"/>
      <c r="U108" s="313"/>
      <c r="V108" s="313"/>
      <c r="W108" s="313"/>
      <c r="X108" s="313"/>
      <c r="Y108" s="313"/>
      <c r="Z108" s="313"/>
      <c r="AA108" s="313"/>
      <c r="AB108" s="313"/>
      <c r="AC108" s="313"/>
      <c r="AD108" s="313"/>
    </row>
    <row r="109" spans="1:30" s="314" customFormat="1" ht="18" customHeight="1">
      <c r="A109" s="313"/>
      <c r="B109" s="313"/>
      <c r="C109" s="313"/>
      <c r="D109" s="313"/>
      <c r="E109" s="313"/>
      <c r="F109" s="313"/>
      <c r="G109" s="313"/>
      <c r="H109" s="313"/>
      <c r="I109" s="313"/>
      <c r="J109" s="313"/>
      <c r="K109" s="313"/>
      <c r="L109" s="313"/>
      <c r="M109" s="313"/>
      <c r="N109" s="313"/>
      <c r="O109" s="313"/>
      <c r="P109" s="313"/>
      <c r="Q109" s="313"/>
      <c r="R109" s="313"/>
      <c r="S109" s="313"/>
      <c r="T109" s="313"/>
      <c r="U109" s="313"/>
      <c r="V109" s="313"/>
      <c r="W109" s="313"/>
      <c r="X109" s="313"/>
      <c r="Y109" s="313"/>
      <c r="Z109" s="313"/>
      <c r="AA109" s="313"/>
      <c r="AB109" s="313"/>
      <c r="AC109" s="313"/>
      <c r="AD109" s="313"/>
    </row>
    <row r="110" spans="1:30" s="334" customFormat="1" ht="18" customHeight="1">
      <c r="A110" s="351" t="s">
        <v>8464</v>
      </c>
      <c r="B110" s="325"/>
      <c r="C110" s="325"/>
      <c r="D110" s="325" t="s">
        <v>8381</v>
      </c>
      <c r="E110" s="326" t="s">
        <v>8345</v>
      </c>
      <c r="F110" s="326"/>
      <c r="G110" s="352" t="s">
        <v>5092</v>
      </c>
      <c r="H110" s="303" t="s">
        <v>3001</v>
      </c>
      <c r="I110" s="303" t="s">
        <v>7465</v>
      </c>
      <c r="J110" s="353" t="s">
        <v>4271</v>
      </c>
      <c r="K110" s="353" t="s">
        <v>2693</v>
      </c>
      <c r="L110" s="303" t="s">
        <v>8382</v>
      </c>
      <c r="M110" s="321">
        <f>(198+285+205+203)/4</f>
        <v>222.75</v>
      </c>
      <c r="N110" s="340"/>
      <c r="O110" s="303"/>
      <c r="P110" s="303" t="s">
        <v>8345</v>
      </c>
      <c r="Q110" s="303" t="s">
        <v>8383</v>
      </c>
      <c r="R110" s="325"/>
      <c r="S110" s="325"/>
      <c r="T110" s="325"/>
      <c r="U110" s="325"/>
      <c r="V110" s="325"/>
      <c r="W110" s="325"/>
      <c r="X110" s="325"/>
      <c r="Y110" s="325"/>
      <c r="Z110" s="325"/>
      <c r="AA110" s="325"/>
      <c r="AB110" s="333"/>
      <c r="AC110" s="333"/>
      <c r="AD110" s="333"/>
    </row>
    <row r="111" spans="1:30" s="334" customFormat="1" ht="18" customHeight="1">
      <c r="A111" s="351" t="s">
        <v>8464</v>
      </c>
      <c r="B111" s="325"/>
      <c r="C111" s="325"/>
      <c r="D111" s="325" t="s">
        <v>8384</v>
      </c>
      <c r="E111" s="326" t="s">
        <v>8345</v>
      </c>
      <c r="F111" s="326"/>
      <c r="G111" s="352" t="s">
        <v>5092</v>
      </c>
      <c r="H111" s="303" t="s">
        <v>3001</v>
      </c>
      <c r="I111" s="303" t="s">
        <v>4561</v>
      </c>
      <c r="J111" s="353" t="s">
        <v>7269</v>
      </c>
      <c r="K111" s="353" t="s">
        <v>7270</v>
      </c>
      <c r="L111" s="354" t="s">
        <v>8385</v>
      </c>
      <c r="M111" s="321">
        <v>136</v>
      </c>
      <c r="N111" s="340" t="s">
        <v>8386</v>
      </c>
      <c r="O111" s="303" t="s">
        <v>8387</v>
      </c>
      <c r="P111" s="303" t="s">
        <v>8345</v>
      </c>
      <c r="Q111" s="303" t="s">
        <v>8388</v>
      </c>
      <c r="R111" s="325"/>
      <c r="S111" s="325"/>
      <c r="T111" s="325"/>
      <c r="U111" s="325"/>
      <c r="V111" s="325"/>
      <c r="W111" s="325"/>
      <c r="X111" s="325"/>
      <c r="Y111" s="325"/>
      <c r="Z111" s="325"/>
      <c r="AA111" s="325"/>
      <c r="AB111" s="333"/>
      <c r="AC111" s="333"/>
      <c r="AD111" s="333"/>
    </row>
    <row r="112" spans="1:30" s="334" customFormat="1" ht="18" customHeight="1">
      <c r="A112" s="351" t="s">
        <v>8464</v>
      </c>
      <c r="B112" s="325"/>
      <c r="C112" s="325"/>
      <c r="D112" s="325" t="s">
        <v>8389</v>
      </c>
      <c r="E112" s="326" t="s">
        <v>8345</v>
      </c>
      <c r="F112" s="326"/>
      <c r="G112" s="352" t="s">
        <v>5092</v>
      </c>
      <c r="H112" s="303" t="s">
        <v>3001</v>
      </c>
      <c r="I112" s="303" t="s">
        <v>3358</v>
      </c>
      <c r="J112" s="353" t="s">
        <v>7420</v>
      </c>
      <c r="K112" s="353" t="s">
        <v>4565</v>
      </c>
      <c r="L112" s="303" t="s">
        <v>8390</v>
      </c>
      <c r="M112" s="321">
        <v>423</v>
      </c>
      <c r="N112" s="340" t="s">
        <v>8386</v>
      </c>
      <c r="O112" s="303" t="s">
        <v>8391</v>
      </c>
      <c r="P112" s="303" t="s">
        <v>8345</v>
      </c>
      <c r="Q112" s="302" t="s">
        <v>8392</v>
      </c>
      <c r="R112" s="325"/>
      <c r="S112" s="325"/>
      <c r="T112" s="325"/>
      <c r="U112" s="325"/>
      <c r="V112" s="325"/>
      <c r="W112" s="325"/>
      <c r="X112" s="325"/>
      <c r="Y112" s="325"/>
      <c r="Z112" s="325"/>
      <c r="AA112" s="325"/>
      <c r="AB112" s="333"/>
      <c r="AC112" s="333"/>
      <c r="AD112" s="333"/>
    </row>
    <row r="113" spans="1:30" s="334" customFormat="1" ht="18" customHeight="1">
      <c r="A113" s="351" t="s">
        <v>8464</v>
      </c>
      <c r="B113" s="325"/>
      <c r="C113" s="325"/>
      <c r="D113" s="325" t="s">
        <v>8393</v>
      </c>
      <c r="E113" s="326" t="s">
        <v>8345</v>
      </c>
      <c r="F113" s="326"/>
      <c r="G113" s="352" t="s">
        <v>5092</v>
      </c>
      <c r="H113" s="303" t="s">
        <v>3001</v>
      </c>
      <c r="I113" s="303" t="s">
        <v>3905</v>
      </c>
      <c r="J113" s="353" t="s">
        <v>8456</v>
      </c>
      <c r="K113" s="353" t="s">
        <v>7267</v>
      </c>
      <c r="L113" s="303" t="s">
        <v>8394</v>
      </c>
      <c r="M113" s="330">
        <v>157.5</v>
      </c>
      <c r="N113" s="340"/>
      <c r="O113" s="303"/>
      <c r="P113" s="303" t="s">
        <v>8345</v>
      </c>
      <c r="Q113" s="303" t="s">
        <v>8395</v>
      </c>
      <c r="R113" s="325"/>
      <c r="S113" s="325"/>
      <c r="T113" s="325"/>
      <c r="U113" s="325"/>
      <c r="V113" s="325"/>
      <c r="W113" s="325"/>
      <c r="X113" s="325"/>
      <c r="Y113" s="325"/>
      <c r="Z113" s="325"/>
      <c r="AA113" s="325"/>
      <c r="AB113" s="333"/>
      <c r="AC113" s="333"/>
      <c r="AD113" s="333"/>
    </row>
    <row r="114" spans="1:30" s="324" customFormat="1" ht="18" customHeight="1">
      <c r="A114" s="380" t="s">
        <v>8467</v>
      </c>
      <c r="B114" s="315"/>
      <c r="C114" s="315"/>
      <c r="D114" s="315" t="s">
        <v>8396</v>
      </c>
      <c r="E114" s="317" t="s">
        <v>8345</v>
      </c>
      <c r="F114" s="317"/>
      <c r="G114" s="318" t="s">
        <v>5092</v>
      </c>
      <c r="H114" s="319" t="s">
        <v>4084</v>
      </c>
      <c r="I114" s="319" t="s">
        <v>2721</v>
      </c>
      <c r="J114" s="320" t="s">
        <v>2605</v>
      </c>
      <c r="K114" s="320" t="s">
        <v>7388</v>
      </c>
      <c r="L114" s="319" t="s">
        <v>8397</v>
      </c>
      <c r="M114" s="321">
        <v>5000</v>
      </c>
      <c r="N114" s="322" t="s">
        <v>8398</v>
      </c>
      <c r="O114" s="323" t="s">
        <v>8399</v>
      </c>
      <c r="P114" s="302" t="s">
        <v>8345</v>
      </c>
      <c r="Q114" s="302" t="s">
        <v>8400</v>
      </c>
      <c r="R114" s="315"/>
      <c r="S114" s="315"/>
      <c r="T114" s="315"/>
      <c r="U114" s="315"/>
      <c r="V114" s="315"/>
      <c r="W114" s="315"/>
      <c r="X114" s="315"/>
      <c r="Y114" s="315"/>
      <c r="Z114" s="315"/>
      <c r="AA114" s="315"/>
      <c r="AB114" s="316"/>
      <c r="AC114" s="316"/>
      <c r="AD114" s="316"/>
    </row>
    <row r="115" spans="1:30" s="334" customFormat="1" ht="18" customHeight="1">
      <c r="A115" s="351" t="s">
        <v>8468</v>
      </c>
      <c r="B115" s="325"/>
      <c r="C115" s="325"/>
      <c r="D115" s="325" t="s">
        <v>8401</v>
      </c>
      <c r="E115" s="326" t="s">
        <v>8345</v>
      </c>
      <c r="F115" s="326" t="s">
        <v>8358</v>
      </c>
      <c r="G115" s="327" t="s">
        <v>5092</v>
      </c>
      <c r="H115" s="328" t="s">
        <v>6415</v>
      </c>
      <c r="I115" s="328" t="s">
        <v>7290</v>
      </c>
      <c r="J115" s="329" t="s">
        <v>8457</v>
      </c>
      <c r="K115" s="329" t="s">
        <v>5049</v>
      </c>
      <c r="L115" s="328" t="s">
        <v>8403</v>
      </c>
      <c r="M115" s="330">
        <v>1587</v>
      </c>
      <c r="N115" s="331" t="s">
        <v>8398</v>
      </c>
      <c r="O115" s="332"/>
      <c r="P115" s="303" t="s">
        <v>8345</v>
      </c>
      <c r="Q115" s="303" t="s">
        <v>8404</v>
      </c>
      <c r="R115" s="325"/>
      <c r="S115" s="325"/>
      <c r="T115" s="325"/>
      <c r="U115" s="325"/>
      <c r="V115" s="325"/>
      <c r="W115" s="325"/>
      <c r="X115" s="325"/>
      <c r="Y115" s="325"/>
      <c r="Z115" s="325"/>
      <c r="AA115" s="325"/>
      <c r="AB115" s="333"/>
      <c r="AC115" s="333"/>
      <c r="AD115" s="333"/>
    </row>
    <row r="116" spans="1:30" s="334" customFormat="1" ht="18" customHeight="1">
      <c r="A116" s="351" t="s">
        <v>8469</v>
      </c>
      <c r="B116" s="325"/>
      <c r="C116" s="325"/>
      <c r="D116" s="325" t="s">
        <v>8405</v>
      </c>
      <c r="E116" s="326" t="s">
        <v>8345</v>
      </c>
      <c r="F116" s="326" t="s">
        <v>8406</v>
      </c>
      <c r="G116" s="327" t="s">
        <v>5092</v>
      </c>
      <c r="H116" s="328" t="s">
        <v>6415</v>
      </c>
      <c r="I116" s="328" t="s">
        <v>2359</v>
      </c>
      <c r="J116" s="329" t="s">
        <v>2342</v>
      </c>
      <c r="K116" s="329" t="s">
        <v>8458</v>
      </c>
      <c r="L116" s="328" t="s">
        <v>8407</v>
      </c>
      <c r="M116" s="330">
        <v>3500</v>
      </c>
      <c r="N116" s="331" t="s">
        <v>8355</v>
      </c>
      <c r="O116" s="332"/>
      <c r="P116" s="303" t="s">
        <v>8345</v>
      </c>
      <c r="Q116" s="303"/>
      <c r="R116" s="325"/>
      <c r="S116" s="325"/>
      <c r="T116" s="325"/>
      <c r="U116" s="325"/>
      <c r="V116" s="325"/>
      <c r="W116" s="325"/>
      <c r="X116" s="325"/>
      <c r="Y116" s="325"/>
      <c r="Z116" s="325"/>
      <c r="AA116" s="325"/>
      <c r="AB116" s="333"/>
      <c r="AC116" s="333"/>
      <c r="AD116" s="333"/>
    </row>
    <row r="117" spans="1:30" s="314" customFormat="1" ht="18" customHeight="1">
      <c r="A117" s="355" t="s">
        <v>8379</v>
      </c>
      <c r="B117" s="356"/>
      <c r="C117" s="356"/>
      <c r="D117" s="301"/>
      <c r="E117" s="357"/>
      <c r="F117" s="357"/>
      <c r="G117" s="358" t="s">
        <v>3817</v>
      </c>
      <c r="H117" s="358" t="s">
        <v>3954</v>
      </c>
      <c r="I117" s="358" t="s">
        <v>7434</v>
      </c>
      <c r="J117" s="359" t="s">
        <v>7435</v>
      </c>
      <c r="K117" s="338" t="s">
        <v>7437</v>
      </c>
      <c r="L117" s="358"/>
      <c r="M117" s="360">
        <v>352.50071318520395</v>
      </c>
      <c r="N117" s="360" t="s">
        <v>8408</v>
      </c>
      <c r="O117" s="361"/>
      <c r="P117" s="358"/>
      <c r="Q117" s="301" t="s">
        <v>8409</v>
      </c>
      <c r="R117" s="356"/>
      <c r="S117" s="356"/>
      <c r="T117" s="356"/>
      <c r="U117" s="356"/>
      <c r="V117" s="356"/>
      <c r="W117" s="356"/>
      <c r="X117" s="356"/>
      <c r="Y117" s="356"/>
      <c r="Z117" s="356"/>
      <c r="AA117" s="356"/>
      <c r="AB117" s="313"/>
      <c r="AC117" s="313"/>
      <c r="AD117" s="313"/>
    </row>
    <row r="118" spans="1:30" s="314" customFormat="1" ht="18" customHeight="1">
      <c r="A118" s="313"/>
      <c r="B118" s="313"/>
      <c r="C118" s="313"/>
      <c r="D118" s="313"/>
      <c r="E118" s="313"/>
      <c r="F118" s="313"/>
      <c r="G118" s="313"/>
      <c r="H118" s="313"/>
      <c r="I118" s="313"/>
      <c r="J118" s="313"/>
      <c r="K118" s="313"/>
      <c r="L118" s="313"/>
      <c r="M118" s="313"/>
      <c r="N118" s="313"/>
      <c r="O118" s="313"/>
      <c r="P118" s="313"/>
      <c r="Q118" s="313"/>
      <c r="R118" s="313"/>
      <c r="S118" s="313"/>
      <c r="T118" s="313"/>
      <c r="U118" s="313"/>
      <c r="V118" s="313"/>
      <c r="W118" s="313"/>
      <c r="X118" s="313"/>
      <c r="Y118" s="313"/>
      <c r="Z118" s="313"/>
      <c r="AA118" s="313"/>
      <c r="AB118" s="313"/>
      <c r="AC118" s="313"/>
      <c r="AD118" s="313"/>
    </row>
    <row r="119" spans="1:30" s="363" customFormat="1" ht="18" customHeight="1">
      <c r="A119" s="394" t="s">
        <v>8410</v>
      </c>
      <c r="B119" s="394"/>
      <c r="C119" s="394"/>
      <c r="D119" s="394"/>
      <c r="E119" s="362"/>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row>
    <row r="120" spans="1:30" s="368" customFormat="1" ht="18" customHeight="1">
      <c r="A120" s="364"/>
      <c r="B120" s="364"/>
      <c r="C120" s="364"/>
      <c r="D120" s="364" t="s">
        <v>8411</v>
      </c>
      <c r="E120" s="364" t="s">
        <v>8345</v>
      </c>
      <c r="F120" s="364" t="s">
        <v>8412</v>
      </c>
      <c r="G120" s="365" t="s">
        <v>5092</v>
      </c>
      <c r="H120" s="366" t="s">
        <v>7273</v>
      </c>
      <c r="I120" s="366" t="s">
        <v>2558</v>
      </c>
      <c r="J120" s="367" t="s">
        <v>2559</v>
      </c>
      <c r="K120" s="367" t="s">
        <v>5997</v>
      </c>
      <c r="L120" s="364"/>
      <c r="M120" s="364">
        <v>394.8</v>
      </c>
      <c r="N120" s="364" t="s">
        <v>8413</v>
      </c>
      <c r="O120" s="364"/>
      <c r="P120" s="364" t="s">
        <v>8345</v>
      </c>
      <c r="Q120" s="364" t="s">
        <v>8414</v>
      </c>
      <c r="R120" s="364"/>
      <c r="S120" s="364"/>
      <c r="T120" s="364"/>
      <c r="U120" s="364"/>
      <c r="V120" s="364"/>
      <c r="W120" s="364"/>
      <c r="X120" s="364"/>
      <c r="Y120" s="364"/>
      <c r="Z120" s="364"/>
      <c r="AA120" s="364"/>
      <c r="AB120" s="364"/>
      <c r="AC120" s="364"/>
      <c r="AD120" s="364"/>
    </row>
    <row r="121" spans="1:30" s="368" customFormat="1" ht="18" customHeight="1">
      <c r="A121" s="364"/>
      <c r="B121" s="364"/>
      <c r="C121" s="364"/>
      <c r="D121" s="364" t="s">
        <v>8415</v>
      </c>
      <c r="E121" s="364" t="s">
        <v>8345</v>
      </c>
      <c r="F121" s="364" t="s">
        <v>8416</v>
      </c>
      <c r="G121" s="365" t="s">
        <v>5092</v>
      </c>
      <c r="H121" s="366" t="s">
        <v>7273</v>
      </c>
      <c r="I121" s="366" t="s">
        <v>2558</v>
      </c>
      <c r="J121" s="367" t="s">
        <v>2559</v>
      </c>
      <c r="K121" s="367" t="s">
        <v>6027</v>
      </c>
      <c r="L121" s="364"/>
      <c r="M121" s="364" t="s">
        <v>8379</v>
      </c>
      <c r="N121" s="364" t="s">
        <v>8413</v>
      </c>
      <c r="O121" s="364"/>
      <c r="P121" s="364" t="s">
        <v>8345</v>
      </c>
      <c r="Q121" s="369" t="s">
        <v>8417</v>
      </c>
      <c r="R121" s="364"/>
      <c r="S121" s="364"/>
      <c r="T121" s="364"/>
      <c r="U121" s="364"/>
      <c r="V121" s="364"/>
      <c r="W121" s="364"/>
      <c r="X121" s="364"/>
      <c r="Y121" s="364"/>
      <c r="Z121" s="364"/>
      <c r="AA121" s="364"/>
      <c r="AB121" s="364"/>
      <c r="AC121" s="364"/>
      <c r="AD121" s="364"/>
    </row>
    <row r="122" spans="1:30" s="368" customFormat="1" ht="18" customHeight="1">
      <c r="A122" s="364"/>
      <c r="B122" s="364"/>
      <c r="C122" s="364"/>
      <c r="D122" s="364" t="s">
        <v>8418</v>
      </c>
      <c r="E122" s="364" t="s">
        <v>8345</v>
      </c>
      <c r="F122" s="364" t="s">
        <v>8416</v>
      </c>
      <c r="G122" s="365" t="s">
        <v>5092</v>
      </c>
      <c r="H122" s="366" t="s">
        <v>7273</v>
      </c>
      <c r="I122" s="366" t="s">
        <v>2558</v>
      </c>
      <c r="J122" s="367" t="s">
        <v>2559</v>
      </c>
      <c r="K122" s="367" t="s">
        <v>4014</v>
      </c>
      <c r="L122" s="364"/>
      <c r="M122" s="364" t="s">
        <v>8379</v>
      </c>
      <c r="N122" s="364" t="s">
        <v>8413</v>
      </c>
      <c r="O122" s="364"/>
      <c r="P122" s="364" t="s">
        <v>8345</v>
      </c>
      <c r="Q122" s="369" t="s">
        <v>8419</v>
      </c>
      <c r="R122" s="364"/>
      <c r="S122" s="364"/>
      <c r="T122" s="364"/>
      <c r="U122" s="364"/>
      <c r="V122" s="364"/>
      <c r="W122" s="364"/>
      <c r="X122" s="364"/>
      <c r="Y122" s="364"/>
      <c r="Z122" s="364"/>
      <c r="AA122" s="364"/>
      <c r="AB122" s="364"/>
      <c r="AC122" s="364"/>
      <c r="AD122" s="364"/>
    </row>
    <row r="123" spans="1:30" s="368" customFormat="1" ht="18" customHeight="1">
      <c r="A123" s="364"/>
      <c r="B123" s="364"/>
      <c r="C123" s="364"/>
      <c r="D123" s="364" t="s">
        <v>8420</v>
      </c>
      <c r="E123" s="364" t="s">
        <v>8345</v>
      </c>
      <c r="F123" s="364" t="s">
        <v>8358</v>
      </c>
      <c r="G123" s="365" t="s">
        <v>5092</v>
      </c>
      <c r="H123" s="366" t="s">
        <v>7273</v>
      </c>
      <c r="I123" s="366" t="s">
        <v>2558</v>
      </c>
      <c r="J123" s="367" t="s">
        <v>2559</v>
      </c>
      <c r="K123" s="367" t="s">
        <v>8421</v>
      </c>
      <c r="L123" s="364"/>
      <c r="M123" s="364" t="s">
        <v>8379</v>
      </c>
      <c r="N123" s="364" t="s">
        <v>8413</v>
      </c>
      <c r="O123" s="364"/>
      <c r="P123" s="364" t="s">
        <v>8345</v>
      </c>
      <c r="Q123" s="369" t="s">
        <v>8422</v>
      </c>
      <c r="R123" s="364"/>
      <c r="S123" s="364"/>
      <c r="T123" s="364"/>
      <c r="U123" s="364"/>
      <c r="V123" s="364"/>
      <c r="W123" s="364"/>
      <c r="X123" s="364"/>
      <c r="Y123" s="364"/>
      <c r="Z123" s="364"/>
      <c r="AA123" s="364"/>
      <c r="AB123" s="364"/>
      <c r="AC123" s="364"/>
      <c r="AD123" s="364"/>
    </row>
    <row r="124" spans="1:30" s="368" customFormat="1" ht="18" customHeight="1">
      <c r="A124" s="364"/>
      <c r="B124" s="364"/>
      <c r="C124" s="364"/>
      <c r="D124" s="364" t="s">
        <v>8423</v>
      </c>
      <c r="E124" s="364" t="s">
        <v>8345</v>
      </c>
      <c r="F124" s="364" t="s">
        <v>8412</v>
      </c>
      <c r="G124" s="365" t="s">
        <v>5092</v>
      </c>
      <c r="H124" s="366" t="s">
        <v>7273</v>
      </c>
      <c r="I124" s="366" t="s">
        <v>2558</v>
      </c>
      <c r="J124" s="367" t="s">
        <v>2559</v>
      </c>
      <c r="K124" s="367" t="s">
        <v>8424</v>
      </c>
      <c r="L124" s="364"/>
      <c r="M124" s="364" t="s">
        <v>8379</v>
      </c>
      <c r="N124" s="364" t="s">
        <v>8413</v>
      </c>
      <c r="O124" s="364"/>
      <c r="P124" s="364" t="s">
        <v>8345</v>
      </c>
      <c r="Q124" s="369" t="s">
        <v>8425</v>
      </c>
      <c r="R124" s="364"/>
      <c r="S124" s="364"/>
      <c r="T124" s="364"/>
      <c r="U124" s="364"/>
      <c r="V124" s="364"/>
      <c r="W124" s="364"/>
      <c r="X124" s="364"/>
      <c r="Y124" s="364"/>
      <c r="Z124" s="364"/>
      <c r="AA124" s="364"/>
      <c r="AB124" s="364"/>
      <c r="AC124" s="364"/>
      <c r="AD124" s="364"/>
    </row>
    <row r="125" spans="1:30" s="368" customFormat="1" ht="18" customHeight="1">
      <c r="A125" s="364"/>
      <c r="B125" s="364"/>
      <c r="C125" s="364"/>
      <c r="D125" s="364" t="s">
        <v>8426</v>
      </c>
      <c r="E125" s="364" t="s">
        <v>8345</v>
      </c>
      <c r="F125" s="364" t="s">
        <v>8427</v>
      </c>
      <c r="G125" s="365" t="s">
        <v>5092</v>
      </c>
      <c r="H125" s="366" t="s">
        <v>7273</v>
      </c>
      <c r="I125" s="366" t="s">
        <v>2558</v>
      </c>
      <c r="J125" s="367" t="s">
        <v>2559</v>
      </c>
      <c r="K125" s="367" t="s">
        <v>5104</v>
      </c>
      <c r="L125" s="364"/>
      <c r="M125" s="364" t="s">
        <v>8379</v>
      </c>
      <c r="N125" s="364" t="s">
        <v>8413</v>
      </c>
      <c r="O125" s="364"/>
      <c r="P125" s="364" t="s">
        <v>8345</v>
      </c>
      <c r="Q125" s="369"/>
      <c r="R125" s="364"/>
      <c r="S125" s="364"/>
      <c r="T125" s="364"/>
      <c r="U125" s="364"/>
      <c r="V125" s="364"/>
      <c r="W125" s="364"/>
      <c r="X125" s="364"/>
      <c r="Y125" s="364"/>
      <c r="Z125" s="364"/>
      <c r="AA125" s="364"/>
      <c r="AB125" s="364"/>
      <c r="AC125" s="364"/>
      <c r="AD125" s="364"/>
    </row>
    <row r="126" spans="1:30" s="315" customFormat="1" ht="18" customHeight="1">
      <c r="D126" s="302" t="s">
        <v>8428</v>
      </c>
      <c r="E126" s="317" t="s">
        <v>8345</v>
      </c>
      <c r="F126" s="317" t="s">
        <v>8416</v>
      </c>
      <c r="G126" s="370" t="s">
        <v>5092</v>
      </c>
      <c r="H126" s="371" t="s">
        <v>7273</v>
      </c>
      <c r="I126" s="371" t="s">
        <v>2558</v>
      </c>
      <c r="J126" s="372" t="s">
        <v>2559</v>
      </c>
      <c r="K126" s="372" t="s">
        <v>2755</v>
      </c>
      <c r="L126" s="319" t="s">
        <v>8429</v>
      </c>
      <c r="M126" s="321">
        <v>334</v>
      </c>
      <c r="N126" s="315" t="s">
        <v>8413</v>
      </c>
      <c r="O126" s="323"/>
      <c r="P126" s="302" t="s">
        <v>8345</v>
      </c>
      <c r="Q126" s="302" t="s">
        <v>8430</v>
      </c>
    </row>
    <row r="127" spans="1:30" s="373" customFormat="1" ht="18" customHeight="1">
      <c r="D127" s="302" t="s">
        <v>8431</v>
      </c>
      <c r="E127" s="317" t="s">
        <v>8345</v>
      </c>
      <c r="F127" s="374" t="s">
        <v>8358</v>
      </c>
      <c r="G127" s="370" t="s">
        <v>5092</v>
      </c>
      <c r="H127" s="371" t="s">
        <v>7273</v>
      </c>
      <c r="I127" s="371" t="s">
        <v>2558</v>
      </c>
      <c r="J127" s="372" t="s">
        <v>2559</v>
      </c>
      <c r="K127" s="372" t="s">
        <v>2561</v>
      </c>
      <c r="L127" s="371"/>
      <c r="M127" s="321">
        <v>250</v>
      </c>
      <c r="N127" s="315" t="s">
        <v>8413</v>
      </c>
      <c r="O127" s="323"/>
      <c r="P127" s="302" t="s">
        <v>8345</v>
      </c>
      <c r="Q127" s="302" t="s">
        <v>8432</v>
      </c>
    </row>
    <row r="128" spans="1:30" s="373" customFormat="1" ht="18" customHeight="1">
      <c r="D128" s="302"/>
      <c r="E128" s="317" t="s">
        <v>8345</v>
      </c>
      <c r="F128" s="374"/>
      <c r="G128" s="370" t="s">
        <v>5092</v>
      </c>
      <c r="H128" s="371" t="s">
        <v>7273</v>
      </c>
      <c r="I128" s="371" t="s">
        <v>2558</v>
      </c>
      <c r="J128" s="372" t="s">
        <v>2559</v>
      </c>
      <c r="K128" s="372" t="s">
        <v>4335</v>
      </c>
      <c r="L128" s="319" t="s">
        <v>5101</v>
      </c>
      <c r="M128" s="321">
        <v>250</v>
      </c>
      <c r="N128" s="315" t="s">
        <v>8413</v>
      </c>
      <c r="O128" s="323"/>
      <c r="P128" s="302" t="s">
        <v>8345</v>
      </c>
      <c r="Q128" s="302" t="s">
        <v>8433</v>
      </c>
    </row>
    <row r="129" spans="1:30" s="315" customFormat="1" ht="18" customHeight="1">
      <c r="D129" s="302" t="s">
        <v>8434</v>
      </c>
      <c r="E129" s="317" t="s">
        <v>8345</v>
      </c>
      <c r="F129" s="317" t="s">
        <v>8416</v>
      </c>
      <c r="G129" s="370" t="s">
        <v>5092</v>
      </c>
      <c r="H129" s="371" t="s">
        <v>7273</v>
      </c>
      <c r="I129" s="371" t="s">
        <v>2558</v>
      </c>
      <c r="J129" s="372" t="s">
        <v>2559</v>
      </c>
      <c r="K129" s="372" t="s">
        <v>7133</v>
      </c>
      <c r="L129" s="319" t="s">
        <v>8435</v>
      </c>
      <c r="M129" s="321">
        <v>259</v>
      </c>
      <c r="N129" s="315" t="s">
        <v>8413</v>
      </c>
      <c r="O129" s="323"/>
      <c r="P129" s="302" t="s">
        <v>8345</v>
      </c>
      <c r="Q129" s="302" t="s">
        <v>8436</v>
      </c>
    </row>
    <row r="130" spans="1:30" s="314" customFormat="1" ht="18" customHeight="1">
      <c r="A130" s="313"/>
      <c r="B130" s="313"/>
      <c r="C130" s="313"/>
      <c r="D130" s="313"/>
      <c r="E130" s="313"/>
      <c r="F130" s="313"/>
      <c r="G130" s="313"/>
      <c r="H130" s="313"/>
      <c r="I130" s="313"/>
      <c r="J130" s="313"/>
      <c r="K130" s="313"/>
      <c r="L130" s="313"/>
      <c r="M130" s="313"/>
      <c r="N130" s="313"/>
      <c r="O130" s="313"/>
      <c r="P130" s="313"/>
      <c r="Q130" s="313"/>
      <c r="R130" s="313"/>
      <c r="S130" s="313"/>
      <c r="T130" s="313"/>
      <c r="U130" s="313"/>
      <c r="V130" s="313"/>
      <c r="W130" s="313"/>
      <c r="X130" s="313"/>
      <c r="Y130" s="313"/>
      <c r="Z130" s="313"/>
      <c r="AA130" s="313"/>
      <c r="AB130" s="313"/>
      <c r="AC130" s="313"/>
      <c r="AD130" s="313"/>
    </row>
    <row r="131" spans="1:30" s="325" customFormat="1" ht="18" customHeight="1">
      <c r="D131" s="303" t="s">
        <v>8437</v>
      </c>
      <c r="E131" s="326" t="s">
        <v>8345</v>
      </c>
      <c r="F131" s="326" t="s">
        <v>8438</v>
      </c>
      <c r="G131" s="327" t="s">
        <v>5092</v>
      </c>
      <c r="H131" s="328" t="s">
        <v>7273</v>
      </c>
      <c r="I131" s="328" t="s">
        <v>2558</v>
      </c>
      <c r="J131" s="329" t="s">
        <v>2559</v>
      </c>
      <c r="K131" s="329" t="s">
        <v>5963</v>
      </c>
      <c r="L131" s="328" t="s">
        <v>8439</v>
      </c>
      <c r="M131" s="330">
        <v>306</v>
      </c>
      <c r="N131" s="325" t="s">
        <v>8413</v>
      </c>
      <c r="O131" s="332"/>
      <c r="P131" s="303" t="s">
        <v>8345</v>
      </c>
      <c r="Q131" s="303" t="s">
        <v>8440</v>
      </c>
    </row>
    <row r="132" spans="1:30" s="325" customFormat="1" ht="18" customHeight="1">
      <c r="D132" s="303"/>
      <c r="E132" s="326" t="s">
        <v>8345</v>
      </c>
      <c r="F132" s="326"/>
      <c r="G132" s="327" t="s">
        <v>5092</v>
      </c>
      <c r="H132" s="328" t="s">
        <v>7273</v>
      </c>
      <c r="I132" s="328" t="s">
        <v>2558</v>
      </c>
      <c r="J132" s="329" t="s">
        <v>2559</v>
      </c>
      <c r="K132" s="329" t="s">
        <v>2754</v>
      </c>
      <c r="L132" s="328" t="s">
        <v>8441</v>
      </c>
      <c r="M132" s="330">
        <v>372</v>
      </c>
      <c r="N132" s="325" t="s">
        <v>8413</v>
      </c>
      <c r="O132" s="332"/>
      <c r="P132" s="303" t="s">
        <v>8345</v>
      </c>
      <c r="Q132" s="303" t="s">
        <v>8442</v>
      </c>
    </row>
    <row r="133" spans="1:30" s="325" customFormat="1" ht="18" customHeight="1">
      <c r="D133" s="303" t="s">
        <v>8443</v>
      </c>
      <c r="E133" s="326" t="s">
        <v>8345</v>
      </c>
      <c r="F133" s="326" t="s">
        <v>8358</v>
      </c>
      <c r="G133" s="327" t="s">
        <v>5092</v>
      </c>
      <c r="H133" s="328" t="s">
        <v>7273</v>
      </c>
      <c r="I133" s="328" t="s">
        <v>2558</v>
      </c>
      <c r="J133" s="329" t="s">
        <v>2559</v>
      </c>
      <c r="K133" s="329" t="s">
        <v>5962</v>
      </c>
      <c r="L133" s="328" t="s">
        <v>8429</v>
      </c>
      <c r="M133" s="330">
        <v>400</v>
      </c>
      <c r="N133" s="325" t="s">
        <v>8413</v>
      </c>
      <c r="O133" s="332"/>
      <c r="P133" s="303" t="s">
        <v>8345</v>
      </c>
      <c r="Q133" s="303" t="s">
        <v>8444</v>
      </c>
    </row>
    <row r="134" spans="1:30" s="325" customFormat="1" ht="18" customHeight="1">
      <c r="D134" s="303" t="s">
        <v>8445</v>
      </c>
      <c r="E134" s="326" t="s">
        <v>8345</v>
      </c>
      <c r="F134" s="326" t="s">
        <v>8358</v>
      </c>
      <c r="G134" s="327" t="s">
        <v>5092</v>
      </c>
      <c r="H134" s="328" t="s">
        <v>7273</v>
      </c>
      <c r="I134" s="328" t="s">
        <v>2558</v>
      </c>
      <c r="J134" s="329" t="s">
        <v>2559</v>
      </c>
      <c r="K134" s="329" t="s">
        <v>4255</v>
      </c>
      <c r="L134" s="328"/>
      <c r="M134" s="330">
        <v>400</v>
      </c>
      <c r="N134" s="325" t="s">
        <v>8413</v>
      </c>
      <c r="O134" s="332"/>
      <c r="P134" s="303" t="s">
        <v>8345</v>
      </c>
      <c r="Q134" s="303" t="s">
        <v>8446</v>
      </c>
    </row>
    <row r="135" spans="1:30" s="325" customFormat="1" ht="18" customHeight="1">
      <c r="D135" s="303" t="s">
        <v>8447</v>
      </c>
      <c r="E135" s="326" t="s">
        <v>8345</v>
      </c>
      <c r="F135" s="326" t="s">
        <v>8448</v>
      </c>
      <c r="G135" s="327" t="s">
        <v>5092</v>
      </c>
      <c r="H135" s="328" t="s">
        <v>7273</v>
      </c>
      <c r="I135" s="328" t="s">
        <v>2558</v>
      </c>
      <c r="J135" s="329" t="s">
        <v>2559</v>
      </c>
      <c r="K135" s="329" t="s">
        <v>5613</v>
      </c>
      <c r="L135" s="328" t="s">
        <v>8449</v>
      </c>
      <c r="M135" s="330">
        <v>555</v>
      </c>
      <c r="N135" s="325" t="s">
        <v>8413</v>
      </c>
      <c r="O135" s="332"/>
      <c r="P135" s="303" t="s">
        <v>8345</v>
      </c>
      <c r="Q135" s="303" t="s">
        <v>8450</v>
      </c>
    </row>
    <row r="136" spans="1:30" s="325" customFormat="1" ht="18" customHeight="1">
      <c r="D136" s="303" t="s">
        <v>8451</v>
      </c>
      <c r="E136" s="326" t="s">
        <v>8345</v>
      </c>
      <c r="F136" s="326" t="s">
        <v>8358</v>
      </c>
      <c r="G136" s="327" t="s">
        <v>5092</v>
      </c>
      <c r="H136" s="328" t="s">
        <v>7273</v>
      </c>
      <c r="I136" s="328" t="s">
        <v>2558</v>
      </c>
      <c r="J136" s="329" t="s">
        <v>2559</v>
      </c>
      <c r="K136" s="329" t="s">
        <v>4843</v>
      </c>
      <c r="L136" s="328" t="s">
        <v>8452</v>
      </c>
      <c r="M136" s="330">
        <v>574</v>
      </c>
      <c r="N136" s="325" t="s">
        <v>8413</v>
      </c>
      <c r="O136" s="332"/>
      <c r="P136" s="303" t="s">
        <v>8345</v>
      </c>
      <c r="Q136" s="303" t="s">
        <v>8453</v>
      </c>
    </row>
    <row r="137" spans="1:30" s="325" customFormat="1" ht="18" customHeight="1">
      <c r="D137" s="303"/>
      <c r="E137" s="326" t="s">
        <v>8345</v>
      </c>
      <c r="F137" s="326"/>
      <c r="G137" s="327" t="s">
        <v>5092</v>
      </c>
      <c r="H137" s="328" t="s">
        <v>7273</v>
      </c>
      <c r="I137" s="328" t="s">
        <v>2558</v>
      </c>
      <c r="J137" s="329" t="s">
        <v>2559</v>
      </c>
      <c r="K137" s="329" t="s">
        <v>2753</v>
      </c>
      <c r="L137" s="328"/>
      <c r="M137" s="330">
        <v>648</v>
      </c>
      <c r="N137" s="325" t="s">
        <v>8413</v>
      </c>
      <c r="O137" s="332"/>
      <c r="P137" s="303" t="s">
        <v>8345</v>
      </c>
      <c r="Q137" s="303" t="s">
        <v>8454</v>
      </c>
    </row>
    <row r="138" spans="1:30" ht="22.5">
      <c r="H138" s="390" t="s">
        <v>8471</v>
      </c>
      <c r="M138" s="391">
        <f>AVERAGE(M131:M137)</f>
        <v>465</v>
      </c>
    </row>
  </sheetData>
  <mergeCells count="11">
    <mergeCell ref="A97:C97"/>
    <mergeCell ref="A106:C106"/>
    <mergeCell ref="A119:D119"/>
    <mergeCell ref="B14:M14"/>
    <mergeCell ref="B15:C15"/>
    <mergeCell ref="B13:L13"/>
    <mergeCell ref="B8:C8"/>
    <mergeCell ref="B9:J9"/>
    <mergeCell ref="B10:G10"/>
    <mergeCell ref="B11:J11"/>
    <mergeCell ref="B12:L12"/>
  </mergeCells>
  <phoneticPr fontId="26"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751"/>
  <sheetViews>
    <sheetView tabSelected="1" topLeftCell="F5734" zoomScale="125" zoomScaleNormal="125" zoomScalePageLayoutView="125" workbookViewId="0">
      <selection activeCell="L4" sqref="L4:L5751"/>
    </sheetView>
  </sheetViews>
  <sheetFormatPr defaultColWidth="11.42578125" defaultRowHeight="12.75"/>
  <cols>
    <col min="1" max="1" width="9.140625" style="218" customWidth="1"/>
    <col min="2" max="2" width="23.28515625" style="174" customWidth="1"/>
    <col min="3" max="3" width="10.85546875" style="175" customWidth="1"/>
    <col min="4" max="4" width="9.85546875" style="174" customWidth="1"/>
    <col min="5" max="5" width="9" style="175" customWidth="1"/>
    <col min="6" max="6" width="5.85546875" style="175" customWidth="1"/>
    <col min="7" max="8" width="13.7109375" style="175" customWidth="1"/>
    <col min="9" max="9" width="15.28515625" style="175" customWidth="1"/>
    <col min="10" max="10" width="14.85546875" style="175" customWidth="1"/>
    <col min="11" max="11" width="17.140625" style="174" customWidth="1"/>
    <col min="12" max="12" width="22.42578125" style="174" bestFit="1" customWidth="1"/>
    <col min="13" max="13" width="9.42578125" style="142" customWidth="1"/>
    <col min="14" max="14" width="16.7109375" style="142" customWidth="1"/>
    <col min="15" max="15" width="22.140625" style="186" customWidth="1"/>
    <col min="16" max="16" width="9.140625" style="119" customWidth="1"/>
    <col min="17" max="17" width="9" style="90" customWidth="1"/>
    <col min="18" max="18" width="12.42578125" style="85" customWidth="1"/>
    <col min="19" max="20" width="9" style="85" customWidth="1"/>
    <col min="21" max="29" width="8.85546875" style="16" customWidth="1"/>
    <col min="30" max="30" width="10.85546875" style="18" customWidth="1"/>
  </cols>
  <sheetData>
    <row r="1" spans="1:30" s="73" customFormat="1" ht="42.95" customHeight="1">
      <c r="A1" s="274" t="s">
        <v>125</v>
      </c>
      <c r="B1" s="126"/>
      <c r="C1" s="127"/>
      <c r="D1" s="126"/>
      <c r="E1" s="127"/>
      <c r="F1" s="127"/>
      <c r="G1" s="127"/>
      <c r="H1" s="127"/>
      <c r="I1" s="127"/>
      <c r="J1" s="127"/>
      <c r="K1" s="126"/>
      <c r="L1" s="126"/>
      <c r="M1" s="128"/>
      <c r="N1" s="128"/>
      <c r="O1" s="177"/>
      <c r="P1" s="107"/>
      <c r="Q1" s="86"/>
      <c r="R1" s="86"/>
      <c r="S1" s="86"/>
      <c r="T1" s="86"/>
      <c r="U1" s="74"/>
      <c r="V1" s="74"/>
      <c r="W1" s="74"/>
      <c r="X1" s="74"/>
      <c r="Y1" s="74"/>
      <c r="Z1" s="74"/>
      <c r="AA1" s="74"/>
      <c r="AB1" s="74"/>
      <c r="AC1" s="74"/>
      <c r="AD1" s="74"/>
    </row>
    <row r="2" spans="1:30" s="19" customFormat="1">
      <c r="A2" s="129"/>
      <c r="B2" s="130"/>
      <c r="C2" s="131"/>
      <c r="D2" s="130"/>
      <c r="E2" s="131"/>
      <c r="F2" s="131"/>
      <c r="G2" s="131"/>
      <c r="H2" s="131"/>
      <c r="I2" s="131"/>
      <c r="J2" s="131"/>
      <c r="K2" s="130"/>
      <c r="L2" s="130"/>
      <c r="M2" s="132"/>
      <c r="N2" s="132"/>
      <c r="O2" s="178"/>
      <c r="P2" s="108"/>
      <c r="Q2" s="87"/>
      <c r="R2" s="87"/>
      <c r="S2" s="87"/>
      <c r="T2" s="87"/>
      <c r="U2" s="21"/>
      <c r="V2" s="21"/>
      <c r="W2" s="21"/>
      <c r="X2" s="21"/>
      <c r="Y2" s="21"/>
      <c r="Z2" s="21"/>
      <c r="AA2" s="21"/>
      <c r="AB2" s="21"/>
      <c r="AC2" s="21"/>
      <c r="AD2" s="21"/>
    </row>
    <row r="3" spans="1:30" s="284" customFormat="1" ht="75">
      <c r="A3" s="275" t="s">
        <v>3588</v>
      </c>
      <c r="B3" s="276" t="s">
        <v>5042</v>
      </c>
      <c r="C3" s="277" t="s">
        <v>4431</v>
      </c>
      <c r="D3" s="278" t="s">
        <v>44</v>
      </c>
      <c r="E3" s="279" t="s">
        <v>123</v>
      </c>
      <c r="F3" s="279" t="s">
        <v>124</v>
      </c>
      <c r="G3" s="277" t="s">
        <v>4223</v>
      </c>
      <c r="H3" s="277" t="s">
        <v>5090</v>
      </c>
      <c r="I3" s="277" t="s">
        <v>3590</v>
      </c>
      <c r="J3" s="277" t="s">
        <v>4481</v>
      </c>
      <c r="K3" s="278"/>
      <c r="L3" s="278" t="s">
        <v>8482</v>
      </c>
      <c r="M3" s="280" t="s">
        <v>3353</v>
      </c>
      <c r="N3" s="281" t="s">
        <v>3600</v>
      </c>
      <c r="O3" s="276" t="s">
        <v>3815</v>
      </c>
      <c r="P3" s="282" t="s">
        <v>5200</v>
      </c>
      <c r="Q3" s="276" t="s">
        <v>6970</v>
      </c>
      <c r="R3" s="276" t="s">
        <v>7779</v>
      </c>
      <c r="S3" s="283" t="s">
        <v>7779</v>
      </c>
      <c r="T3" s="283" t="s">
        <v>8190</v>
      </c>
      <c r="U3" s="283" t="s">
        <v>8191</v>
      </c>
      <c r="V3" s="283" t="s">
        <v>8192</v>
      </c>
    </row>
    <row r="4" spans="1:30">
      <c r="A4" s="134" t="s">
        <v>2778</v>
      </c>
      <c r="B4" s="135"/>
      <c r="C4" s="136" t="s">
        <v>3931</v>
      </c>
      <c r="D4" s="220">
        <v>1800</v>
      </c>
      <c r="E4" s="136"/>
      <c r="F4" s="136"/>
      <c r="G4" s="134" t="s">
        <v>3001</v>
      </c>
      <c r="H4" s="134" t="s">
        <v>3358</v>
      </c>
      <c r="I4" s="134" t="s">
        <v>4744</v>
      </c>
      <c r="J4" s="134" t="s">
        <v>6353</v>
      </c>
      <c r="K4" s="135" t="s">
        <v>90</v>
      </c>
      <c r="L4" s="135" t="str">
        <f>I4&amp;" "&amp;J4</f>
        <v>Hippotragus leucophaeus</v>
      </c>
      <c r="M4" s="133">
        <f t="shared" ref="M4:M35" si="0">LOG(N4)</f>
        <v>5.1760912590556813</v>
      </c>
      <c r="N4" s="137">
        <v>150000</v>
      </c>
      <c r="O4" s="180" t="s">
        <v>6773</v>
      </c>
      <c r="P4" s="116" t="s">
        <v>7195</v>
      </c>
      <c r="Q4" s="90" t="s">
        <v>6907</v>
      </c>
      <c r="T4" s="90"/>
    </row>
    <row r="5" spans="1:30" ht="15" customHeight="1">
      <c r="A5" s="237" t="s">
        <v>2778</v>
      </c>
      <c r="B5" s="238"/>
      <c r="C5" s="239" t="s">
        <v>3931</v>
      </c>
      <c r="D5" s="240">
        <v>1894</v>
      </c>
      <c r="E5" s="239"/>
      <c r="F5" s="239"/>
      <c r="G5" s="237" t="s">
        <v>3001</v>
      </c>
      <c r="H5" s="237" t="s">
        <v>3358</v>
      </c>
      <c r="I5" s="237" t="s">
        <v>88</v>
      </c>
      <c r="J5" s="237" t="s">
        <v>3705</v>
      </c>
      <c r="K5" s="238" t="s">
        <v>89</v>
      </c>
      <c r="L5" s="135" t="str">
        <f t="shared" ref="L5:L68" si="1">I5&amp;" "&amp;J5</f>
        <v>Eudorcas rufina</v>
      </c>
      <c r="M5" s="230">
        <f t="shared" si="0"/>
        <v>4.6020599913279625</v>
      </c>
      <c r="N5" s="241">
        <v>40000</v>
      </c>
      <c r="O5" s="242" t="s">
        <v>81</v>
      </c>
      <c r="P5" s="243" t="s">
        <v>3710</v>
      </c>
      <c r="Q5" s="233" t="s">
        <v>6907</v>
      </c>
      <c r="R5" s="233"/>
      <c r="S5" s="233"/>
      <c r="T5" s="233"/>
      <c r="U5" s="234"/>
      <c r="V5" s="234"/>
    </row>
    <row r="6" spans="1:30" ht="15" customHeight="1">
      <c r="A6" s="134" t="s">
        <v>2778</v>
      </c>
      <c r="B6" s="135"/>
      <c r="C6" s="136" t="s">
        <v>5092</v>
      </c>
      <c r="D6" s="220"/>
      <c r="E6" s="136"/>
      <c r="F6" s="136"/>
      <c r="G6" s="134" t="s">
        <v>3001</v>
      </c>
      <c r="H6" s="134" t="s">
        <v>3358</v>
      </c>
      <c r="I6" s="134" t="s">
        <v>3372</v>
      </c>
      <c r="J6" s="134" t="s">
        <v>7178</v>
      </c>
      <c r="K6" s="135"/>
      <c r="L6" s="135" t="str">
        <f t="shared" si="1"/>
        <v>Antidorcas bondi</v>
      </c>
      <c r="M6" s="133">
        <f t="shared" si="0"/>
        <v>4.5314789170422554</v>
      </c>
      <c r="N6" s="137">
        <v>34000</v>
      </c>
      <c r="O6" s="180"/>
      <c r="P6" s="109">
        <v>1</v>
      </c>
    </row>
    <row r="7" spans="1:30">
      <c r="A7" s="134" t="s">
        <v>2778</v>
      </c>
      <c r="B7" s="135"/>
      <c r="C7" s="136" t="s">
        <v>5092</v>
      </c>
      <c r="D7" s="220"/>
      <c r="E7" s="136"/>
      <c r="F7" s="136"/>
      <c r="G7" s="134" t="s">
        <v>3001</v>
      </c>
      <c r="H7" s="134" t="s">
        <v>3358</v>
      </c>
      <c r="I7" s="134" t="s">
        <v>3372</v>
      </c>
      <c r="J7" s="134" t="s">
        <v>3789</v>
      </c>
      <c r="K7" s="135"/>
      <c r="L7" s="135" t="str">
        <f t="shared" si="1"/>
        <v>Antidorcas australis</v>
      </c>
      <c r="M7" s="133">
        <f t="shared" si="0"/>
        <v>4.6020599913279625</v>
      </c>
      <c r="N7" s="137">
        <v>40000</v>
      </c>
      <c r="O7" s="180"/>
      <c r="P7" s="109">
        <v>2</v>
      </c>
    </row>
    <row r="8" spans="1:30" ht="15" customHeight="1">
      <c r="A8" s="134" t="s">
        <v>2778</v>
      </c>
      <c r="B8" s="135"/>
      <c r="C8" s="136" t="s">
        <v>5092</v>
      </c>
      <c r="D8" s="220"/>
      <c r="E8" s="136"/>
      <c r="F8" s="136"/>
      <c r="G8" s="134" t="s">
        <v>3001</v>
      </c>
      <c r="H8" s="134" t="s">
        <v>3358</v>
      </c>
      <c r="I8" s="134" t="s">
        <v>2001</v>
      </c>
      <c r="J8" s="134" t="s">
        <v>7180</v>
      </c>
      <c r="K8" s="135"/>
      <c r="L8" s="135" t="str">
        <f t="shared" si="1"/>
        <v>Gazella atlantica</v>
      </c>
      <c r="M8" s="133">
        <f t="shared" si="0"/>
        <v>4.648360010980932</v>
      </c>
      <c r="N8" s="137">
        <v>44500</v>
      </c>
      <c r="O8" s="180"/>
      <c r="P8" s="109" t="s">
        <v>3930</v>
      </c>
    </row>
    <row r="9" spans="1:30">
      <c r="A9" s="134" t="s">
        <v>2778</v>
      </c>
      <c r="B9" s="135"/>
      <c r="C9" s="136" t="s">
        <v>5092</v>
      </c>
      <c r="D9" s="220"/>
      <c r="E9" s="136"/>
      <c r="F9" s="136"/>
      <c r="G9" s="134" t="s">
        <v>3001</v>
      </c>
      <c r="H9" s="134" t="s">
        <v>3358</v>
      </c>
      <c r="I9" s="134" t="s">
        <v>7196</v>
      </c>
      <c r="J9" s="134" t="s">
        <v>2219</v>
      </c>
      <c r="K9" s="135"/>
      <c r="L9" s="135" t="str">
        <f t="shared" si="1"/>
        <v>Megalotragus priscus</v>
      </c>
      <c r="M9" s="133">
        <f t="shared" si="0"/>
        <v>5.3010299956639813</v>
      </c>
      <c r="N9" s="137">
        <v>200000</v>
      </c>
      <c r="O9" s="180"/>
      <c r="P9" s="110">
        <v>2</v>
      </c>
    </row>
    <row r="10" spans="1:30">
      <c r="A10" s="134" t="s">
        <v>2778</v>
      </c>
      <c r="B10" s="135"/>
      <c r="C10" s="136" t="s">
        <v>5092</v>
      </c>
      <c r="D10" s="220"/>
      <c r="E10" s="136"/>
      <c r="F10" s="136"/>
      <c r="G10" s="134" t="s">
        <v>3001</v>
      </c>
      <c r="H10" s="134" t="s">
        <v>3358</v>
      </c>
      <c r="I10" s="134" t="s">
        <v>7351</v>
      </c>
      <c r="J10" s="134" t="s">
        <v>2220</v>
      </c>
      <c r="K10" s="135"/>
      <c r="L10" s="135" t="str">
        <f t="shared" si="1"/>
        <v>Pelorovis antiquus</v>
      </c>
      <c r="M10" s="133">
        <f t="shared" si="0"/>
        <v>6</v>
      </c>
      <c r="N10" s="137">
        <v>1000000</v>
      </c>
      <c r="O10" s="180"/>
      <c r="P10" s="109" t="s">
        <v>2071</v>
      </c>
    </row>
    <row r="11" spans="1:30">
      <c r="A11" s="134" t="s">
        <v>2778</v>
      </c>
      <c r="B11" s="135"/>
      <c r="C11" s="136" t="s">
        <v>5092</v>
      </c>
      <c r="D11" s="220"/>
      <c r="E11" s="136"/>
      <c r="F11" s="136"/>
      <c r="G11" s="134" t="s">
        <v>3001</v>
      </c>
      <c r="H11" s="134" t="s">
        <v>7465</v>
      </c>
      <c r="I11" s="134" t="s">
        <v>7466</v>
      </c>
      <c r="J11" s="134" t="s">
        <v>4852</v>
      </c>
      <c r="K11" s="135"/>
      <c r="L11" s="135" t="str">
        <f t="shared" si="1"/>
        <v>Camelus thomasi</v>
      </c>
      <c r="M11" s="133">
        <f t="shared" si="0"/>
        <v>5.6989700043360187</v>
      </c>
      <c r="N11" s="137">
        <v>500000</v>
      </c>
      <c r="O11" s="180"/>
      <c r="P11" s="110">
        <v>1</v>
      </c>
    </row>
    <row r="12" spans="1:30">
      <c r="A12" s="134" t="s">
        <v>2778</v>
      </c>
      <c r="B12" s="135"/>
      <c r="C12" s="136" t="s">
        <v>5092</v>
      </c>
      <c r="D12" s="220"/>
      <c r="E12" s="136"/>
      <c r="F12" s="136"/>
      <c r="G12" s="134" t="s">
        <v>3001</v>
      </c>
      <c r="H12" s="134" t="s">
        <v>3905</v>
      </c>
      <c r="I12" s="134" t="s">
        <v>2477</v>
      </c>
      <c r="J12" s="134" t="s">
        <v>2478</v>
      </c>
      <c r="K12" s="135"/>
      <c r="L12" s="135" t="str">
        <f t="shared" si="1"/>
        <v>Megaloceros algericus</v>
      </c>
      <c r="M12" s="133">
        <f t="shared" si="0"/>
        <v>5.9030899869919438</v>
      </c>
      <c r="N12" s="137">
        <v>800000</v>
      </c>
      <c r="O12" s="180"/>
      <c r="P12" s="110">
        <v>1</v>
      </c>
    </row>
    <row r="13" spans="1:30">
      <c r="A13" s="134" t="s">
        <v>2778</v>
      </c>
      <c r="B13" s="135"/>
      <c r="C13" s="136" t="s">
        <v>5092</v>
      </c>
      <c r="D13" s="220"/>
      <c r="E13" s="136"/>
      <c r="F13" s="136"/>
      <c r="G13" s="134" t="s">
        <v>3001</v>
      </c>
      <c r="H13" s="134" t="s">
        <v>3724</v>
      </c>
      <c r="I13" s="134" t="s">
        <v>3725</v>
      </c>
      <c r="J13" s="134" t="s">
        <v>3786</v>
      </c>
      <c r="K13" s="135"/>
      <c r="L13" s="135" t="str">
        <f t="shared" si="1"/>
        <v>Giraffa gracilis</v>
      </c>
      <c r="M13" s="133">
        <f t="shared" si="0"/>
        <v>5.9294189257142929</v>
      </c>
      <c r="N13" s="137">
        <v>850000</v>
      </c>
      <c r="O13" s="180"/>
      <c r="P13" s="110">
        <v>6</v>
      </c>
    </row>
    <row r="14" spans="1:30">
      <c r="A14" s="134" t="s">
        <v>2778</v>
      </c>
      <c r="B14" s="135"/>
      <c r="C14" s="136" t="s">
        <v>5092</v>
      </c>
      <c r="D14" s="220"/>
      <c r="E14" s="136"/>
      <c r="F14" s="136"/>
      <c r="G14" s="134" t="s">
        <v>3001</v>
      </c>
      <c r="H14" s="134" t="s">
        <v>3267</v>
      </c>
      <c r="I14" s="134" t="s">
        <v>2479</v>
      </c>
      <c r="J14" s="134" t="s">
        <v>3124</v>
      </c>
      <c r="K14" s="135"/>
      <c r="L14" s="135" t="str">
        <f t="shared" si="1"/>
        <v>Metridiochoerus compactus</v>
      </c>
      <c r="M14" s="133">
        <f t="shared" si="0"/>
        <v>5.1522883443830567</v>
      </c>
      <c r="N14" s="137">
        <v>142000</v>
      </c>
      <c r="O14" s="180"/>
      <c r="P14" s="110">
        <v>2</v>
      </c>
    </row>
    <row r="15" spans="1:30">
      <c r="A15" s="118" t="s">
        <v>2778</v>
      </c>
      <c r="B15" s="130"/>
      <c r="C15" s="118" t="s">
        <v>3817</v>
      </c>
      <c r="D15" s="141"/>
      <c r="E15" s="118"/>
      <c r="F15" s="118"/>
      <c r="G15" s="118" t="s">
        <v>3001</v>
      </c>
      <c r="H15" s="118" t="s">
        <v>3358</v>
      </c>
      <c r="I15" s="118" t="s">
        <v>3359</v>
      </c>
      <c r="J15" s="118" t="s">
        <v>3360</v>
      </c>
      <c r="K15" s="141"/>
      <c r="L15" s="135" t="str">
        <f t="shared" si="1"/>
        <v>Addax nasomaculatus</v>
      </c>
      <c r="M15" s="133">
        <f t="shared" si="0"/>
        <v>4.8451000000000004</v>
      </c>
      <c r="N15" s="133">
        <v>70000.315913089813</v>
      </c>
      <c r="O15" s="179" t="s">
        <v>6773</v>
      </c>
      <c r="P15" s="108">
        <v>60</v>
      </c>
      <c r="Q15" s="90" t="s">
        <v>7071</v>
      </c>
    </row>
    <row r="16" spans="1:30" ht="25.5">
      <c r="A16" s="118" t="s">
        <v>2778</v>
      </c>
      <c r="B16" s="130"/>
      <c r="C16" s="118" t="s">
        <v>3817</v>
      </c>
      <c r="D16" s="141"/>
      <c r="E16" s="118"/>
      <c r="F16" s="118"/>
      <c r="G16" s="118" t="s">
        <v>3001</v>
      </c>
      <c r="H16" s="118" t="s">
        <v>3358</v>
      </c>
      <c r="I16" s="118" t="s">
        <v>3361</v>
      </c>
      <c r="J16" s="118" t="s">
        <v>3362</v>
      </c>
      <c r="K16" s="141"/>
      <c r="L16" s="135" t="str">
        <f t="shared" si="1"/>
        <v>Aepyceros melampus</v>
      </c>
      <c r="M16" s="133">
        <f t="shared" si="0"/>
        <v>4.7201600000000008</v>
      </c>
      <c r="N16" s="133">
        <v>52500.084208338223</v>
      </c>
      <c r="O16" s="179" t="s">
        <v>8159</v>
      </c>
      <c r="P16" s="108" t="s">
        <v>2835</v>
      </c>
      <c r="Q16" s="90" t="s">
        <v>6642</v>
      </c>
    </row>
    <row r="17" spans="1:30" ht="38.25">
      <c r="A17" s="118" t="s">
        <v>2778</v>
      </c>
      <c r="B17" s="130"/>
      <c r="C17" s="118" t="s">
        <v>3817</v>
      </c>
      <c r="D17" s="141"/>
      <c r="E17" s="118"/>
      <c r="F17" s="118"/>
      <c r="G17" s="118" t="s">
        <v>3001</v>
      </c>
      <c r="H17" s="118" t="s">
        <v>3358</v>
      </c>
      <c r="I17" s="118" t="s">
        <v>3631</v>
      </c>
      <c r="J17" s="118" t="s">
        <v>4041</v>
      </c>
      <c r="K17" s="141"/>
      <c r="L17" s="135" t="str">
        <f t="shared" si="1"/>
        <v>Alcelaphus buselaphus</v>
      </c>
      <c r="M17" s="133">
        <f t="shared" si="0"/>
        <v>5.2329999999999997</v>
      </c>
      <c r="N17" s="133">
        <v>171001.53150902878</v>
      </c>
      <c r="O17" s="179" t="s">
        <v>6986</v>
      </c>
      <c r="P17" s="108" t="s">
        <v>2835</v>
      </c>
      <c r="Q17" s="90" t="s">
        <v>6642</v>
      </c>
    </row>
    <row r="18" spans="1:30">
      <c r="A18" s="118" t="s">
        <v>2778</v>
      </c>
      <c r="B18" s="130"/>
      <c r="C18" s="118" t="s">
        <v>3817</v>
      </c>
      <c r="D18" s="141"/>
      <c r="E18" s="118"/>
      <c r="F18" s="118"/>
      <c r="G18" s="118" t="s">
        <v>3001</v>
      </c>
      <c r="H18" s="118" t="s">
        <v>3358</v>
      </c>
      <c r="I18" s="118" t="s">
        <v>4042</v>
      </c>
      <c r="J18" s="118" t="s">
        <v>4043</v>
      </c>
      <c r="K18" s="141"/>
      <c r="L18" s="135" t="str">
        <f t="shared" si="1"/>
        <v>Ammodorcas clarkei</v>
      </c>
      <c r="M18" s="133">
        <f t="shared" si="0"/>
        <v>4.4479300000000004</v>
      </c>
      <c r="N18" s="133">
        <v>28049.814919141725</v>
      </c>
      <c r="O18" s="179" t="s">
        <v>7082</v>
      </c>
      <c r="P18" s="108">
        <v>60</v>
      </c>
      <c r="Q18" s="90" t="s">
        <v>6988</v>
      </c>
    </row>
    <row r="19" spans="1:30">
      <c r="A19" s="118" t="s">
        <v>2778</v>
      </c>
      <c r="B19" s="130"/>
      <c r="C19" s="118" t="s">
        <v>3817</v>
      </c>
      <c r="D19" s="141"/>
      <c r="E19" s="118"/>
      <c r="F19" s="118"/>
      <c r="G19" s="118" t="s">
        <v>3001</v>
      </c>
      <c r="H19" s="118" t="s">
        <v>3358</v>
      </c>
      <c r="I19" s="118" t="s">
        <v>3635</v>
      </c>
      <c r="J19" s="118" t="s">
        <v>3371</v>
      </c>
      <c r="K19" s="141"/>
      <c r="L19" s="135" t="str">
        <f t="shared" si="1"/>
        <v>Ammotragus lervia</v>
      </c>
      <c r="M19" s="133">
        <f t="shared" si="0"/>
        <v>4.6812412373755876</v>
      </c>
      <c r="N19" s="133">
        <v>48000</v>
      </c>
      <c r="O19" s="179" t="s">
        <v>7081</v>
      </c>
      <c r="P19" s="108">
        <v>75</v>
      </c>
      <c r="Q19" s="90" t="s">
        <v>6988</v>
      </c>
    </row>
    <row r="20" spans="1:30" ht="25.5">
      <c r="A20" s="118" t="s">
        <v>2778</v>
      </c>
      <c r="B20" s="130"/>
      <c r="C20" s="118" t="s">
        <v>3817</v>
      </c>
      <c r="D20" s="141"/>
      <c r="E20" s="118"/>
      <c r="F20" s="118"/>
      <c r="G20" s="118" t="s">
        <v>3001</v>
      </c>
      <c r="H20" s="118" t="s">
        <v>3358</v>
      </c>
      <c r="I20" s="118" t="s">
        <v>3372</v>
      </c>
      <c r="J20" s="118" t="s">
        <v>3170</v>
      </c>
      <c r="K20" s="141"/>
      <c r="L20" s="135" t="str">
        <f t="shared" si="1"/>
        <v>Antidorcas marsupialis</v>
      </c>
      <c r="M20" s="133">
        <f t="shared" si="0"/>
        <v>4.4983105537896009</v>
      </c>
      <c r="N20" s="133">
        <f>AVERAGE(32000, 31000)</f>
        <v>31500</v>
      </c>
      <c r="O20" s="179" t="s">
        <v>7083</v>
      </c>
      <c r="P20" s="108">
        <v>236</v>
      </c>
      <c r="Q20" s="90" t="s">
        <v>6642</v>
      </c>
      <c r="T20" s="90"/>
    </row>
    <row r="21" spans="1:30">
      <c r="A21" s="118" t="s">
        <v>2778</v>
      </c>
      <c r="B21" s="130"/>
      <c r="C21" s="118" t="s">
        <v>3817</v>
      </c>
      <c r="D21" s="141"/>
      <c r="E21" s="118"/>
      <c r="F21" s="118"/>
      <c r="G21" s="118" t="s">
        <v>3001</v>
      </c>
      <c r="H21" s="118" t="s">
        <v>3358</v>
      </c>
      <c r="I21" s="118" t="s">
        <v>4067</v>
      </c>
      <c r="J21" s="118" t="s">
        <v>8083</v>
      </c>
      <c r="K21" s="141"/>
      <c r="L21" s="135" t="str">
        <f t="shared" si="1"/>
        <v>Bos taurus</v>
      </c>
      <c r="M21" s="133">
        <f t="shared" si="0"/>
        <v>5.9542425094393252</v>
      </c>
      <c r="N21" s="133">
        <v>900000</v>
      </c>
      <c r="O21" s="179" t="s">
        <v>6736</v>
      </c>
      <c r="P21" s="108">
        <v>-999</v>
      </c>
      <c r="Q21" s="80"/>
    </row>
    <row r="22" spans="1:30" ht="38.25">
      <c r="A22" s="118" t="s">
        <v>2778</v>
      </c>
      <c r="B22" s="130"/>
      <c r="C22" s="118" t="s">
        <v>3817</v>
      </c>
      <c r="D22" s="141"/>
      <c r="E22" s="118"/>
      <c r="F22" s="118"/>
      <c r="G22" s="118" t="s">
        <v>3001</v>
      </c>
      <c r="H22" s="118" t="s">
        <v>3358</v>
      </c>
      <c r="I22" s="118" t="s">
        <v>3171</v>
      </c>
      <c r="J22" s="118" t="s">
        <v>8252</v>
      </c>
      <c r="K22" s="141"/>
      <c r="L22" s="135" t="str">
        <f t="shared" si="1"/>
        <v>Capra nubiana</v>
      </c>
      <c r="M22" s="133">
        <f t="shared" si="0"/>
        <v>4.897625334934645</v>
      </c>
      <c r="N22" s="133">
        <v>78999.680512110644</v>
      </c>
      <c r="O22" s="179" t="s">
        <v>7001</v>
      </c>
      <c r="P22" s="108">
        <v>70</v>
      </c>
      <c r="Q22" s="90" t="s">
        <v>6640</v>
      </c>
    </row>
    <row r="23" spans="1:30" ht="25.5">
      <c r="A23" s="118" t="s">
        <v>2778</v>
      </c>
      <c r="B23" s="130"/>
      <c r="C23" s="118" t="s">
        <v>3817</v>
      </c>
      <c r="D23" s="141"/>
      <c r="E23" s="118"/>
      <c r="F23" s="118"/>
      <c r="G23" s="118" t="s">
        <v>3001</v>
      </c>
      <c r="H23" s="118" t="s">
        <v>3358</v>
      </c>
      <c r="I23" s="118" t="s">
        <v>3171</v>
      </c>
      <c r="J23" s="118" t="s">
        <v>5161</v>
      </c>
      <c r="K23" s="141"/>
      <c r="L23" s="135" t="str">
        <f t="shared" si="1"/>
        <v>Capra walie</v>
      </c>
      <c r="M23" s="133">
        <f t="shared" si="0"/>
        <v>5</v>
      </c>
      <c r="N23" s="133">
        <v>100000</v>
      </c>
      <c r="O23" s="179" t="s">
        <v>7119</v>
      </c>
      <c r="P23" s="108">
        <v>-999</v>
      </c>
      <c r="Q23" s="90" t="s">
        <v>7071</v>
      </c>
    </row>
    <row r="24" spans="1:30" s="236" customFormat="1">
      <c r="A24" s="118" t="s">
        <v>2778</v>
      </c>
      <c r="B24" s="130"/>
      <c r="C24" s="118" t="s">
        <v>3817</v>
      </c>
      <c r="D24" s="141"/>
      <c r="E24" s="118"/>
      <c r="F24" s="118"/>
      <c r="G24" s="118" t="s">
        <v>3001</v>
      </c>
      <c r="H24" s="118" t="s">
        <v>3358</v>
      </c>
      <c r="I24" s="118" t="s">
        <v>3171</v>
      </c>
      <c r="J24" s="118" t="s">
        <v>3172</v>
      </c>
      <c r="K24" s="141"/>
      <c r="L24" s="135" t="str">
        <f t="shared" si="1"/>
        <v>Capra ibex</v>
      </c>
      <c r="M24" s="133">
        <f t="shared" si="0"/>
        <v>5.0043200000000008</v>
      </c>
      <c r="N24" s="133">
        <v>100999.68051211064</v>
      </c>
      <c r="O24" s="179" t="s">
        <v>3356</v>
      </c>
      <c r="P24" s="108">
        <v>65</v>
      </c>
      <c r="Q24" s="90"/>
      <c r="R24" s="85"/>
      <c r="S24" s="85"/>
      <c r="T24" s="85"/>
      <c r="U24" s="16"/>
      <c r="V24" s="16"/>
      <c r="W24" s="234"/>
      <c r="X24" s="234"/>
      <c r="Y24" s="234"/>
      <c r="Z24" s="234"/>
      <c r="AA24" s="234"/>
      <c r="AB24" s="234"/>
      <c r="AC24" s="234"/>
      <c r="AD24" s="235"/>
    </row>
    <row r="25" spans="1:30" s="236" customFormat="1">
      <c r="A25" s="118" t="s">
        <v>2778</v>
      </c>
      <c r="B25" s="130"/>
      <c r="C25" s="118" t="s">
        <v>3817</v>
      </c>
      <c r="D25" s="141"/>
      <c r="E25" s="118"/>
      <c r="F25" s="118"/>
      <c r="G25" s="118" t="s">
        <v>3001</v>
      </c>
      <c r="H25" s="118" t="s">
        <v>3358</v>
      </c>
      <c r="I25" s="118" t="s">
        <v>3173</v>
      </c>
      <c r="J25" s="118" t="s">
        <v>4047</v>
      </c>
      <c r="K25" s="141"/>
      <c r="L25" s="135" t="str">
        <f t="shared" si="1"/>
        <v>Cephalophus monticola</v>
      </c>
      <c r="M25" s="133">
        <f t="shared" si="0"/>
        <v>3.7958799999999999</v>
      </c>
      <c r="N25" s="133">
        <v>6249.9997503986979</v>
      </c>
      <c r="O25" s="179" t="s">
        <v>3356</v>
      </c>
      <c r="P25" s="108">
        <v>60</v>
      </c>
      <c r="Q25" s="90"/>
      <c r="R25" s="85"/>
      <c r="S25" s="85"/>
      <c r="T25" s="85"/>
      <c r="U25" s="16"/>
      <c r="V25" s="16"/>
      <c r="W25" s="234"/>
      <c r="X25" s="234"/>
      <c r="Y25" s="234"/>
      <c r="Z25" s="234"/>
      <c r="AA25" s="234"/>
      <c r="AB25" s="234"/>
      <c r="AC25" s="234"/>
      <c r="AD25" s="235"/>
    </row>
    <row r="26" spans="1:30">
      <c r="A26" s="118" t="s">
        <v>2778</v>
      </c>
      <c r="B26" s="130"/>
      <c r="C26" s="118" t="s">
        <v>3817</v>
      </c>
      <c r="D26" s="141"/>
      <c r="E26" s="118"/>
      <c r="F26" s="118"/>
      <c r="G26" s="118" t="s">
        <v>3001</v>
      </c>
      <c r="H26" s="118" t="s">
        <v>3358</v>
      </c>
      <c r="I26" s="118" t="s">
        <v>3173</v>
      </c>
      <c r="J26" s="118" t="s">
        <v>3174</v>
      </c>
      <c r="K26" s="141"/>
      <c r="L26" s="135" t="str">
        <f t="shared" si="1"/>
        <v>Cephalophus adersi</v>
      </c>
      <c r="M26" s="133">
        <f t="shared" si="0"/>
        <v>3.9661400000000011</v>
      </c>
      <c r="N26" s="133">
        <v>9249.9630946172765</v>
      </c>
      <c r="O26" s="179" t="s">
        <v>7081</v>
      </c>
      <c r="P26" s="108" t="s">
        <v>2835</v>
      </c>
      <c r="Q26" s="90" t="s">
        <v>6640</v>
      </c>
    </row>
    <row r="27" spans="1:30">
      <c r="A27" s="118" t="s">
        <v>2778</v>
      </c>
      <c r="B27" s="130"/>
      <c r="C27" s="118" t="s">
        <v>3817</v>
      </c>
      <c r="D27" s="141"/>
      <c r="E27" s="118"/>
      <c r="F27" s="118"/>
      <c r="G27" s="118" t="s">
        <v>3001</v>
      </c>
      <c r="H27" s="118" t="s">
        <v>3358</v>
      </c>
      <c r="I27" s="118" t="s">
        <v>3173</v>
      </c>
      <c r="J27" s="118" t="s">
        <v>4046</v>
      </c>
      <c r="K27" s="141"/>
      <c r="L27" s="135" t="str">
        <f t="shared" si="1"/>
        <v>Cephalophus maxwellii</v>
      </c>
      <c r="M27" s="133">
        <f t="shared" si="0"/>
        <v>4.0791800000000009</v>
      </c>
      <c r="N27" s="133">
        <v>11999.965570481174</v>
      </c>
      <c r="O27" s="179" t="s">
        <v>6773</v>
      </c>
      <c r="P27" s="108" t="s">
        <v>2835</v>
      </c>
      <c r="Q27" s="90" t="s">
        <v>6642</v>
      </c>
    </row>
    <row r="28" spans="1:30">
      <c r="A28" s="118" t="s">
        <v>2778</v>
      </c>
      <c r="B28" s="130"/>
      <c r="C28" s="118" t="s">
        <v>3817</v>
      </c>
      <c r="D28" s="141"/>
      <c r="E28" s="118"/>
      <c r="F28" s="118"/>
      <c r="G28" s="118" t="s">
        <v>3001</v>
      </c>
      <c r="H28" s="118" t="s">
        <v>3358</v>
      </c>
      <c r="I28" s="118" t="s">
        <v>3173</v>
      </c>
      <c r="J28" s="118" t="s">
        <v>3636</v>
      </c>
      <c r="K28" s="141"/>
      <c r="L28" s="135" t="str">
        <f t="shared" si="1"/>
        <v>Cephalophus natalensis</v>
      </c>
      <c r="M28" s="133">
        <f t="shared" si="0"/>
        <v>4.0791800000000009</v>
      </c>
      <c r="N28" s="133">
        <v>11999.965570481174</v>
      </c>
      <c r="O28" s="179" t="s">
        <v>7081</v>
      </c>
      <c r="P28" s="108">
        <v>60</v>
      </c>
      <c r="Q28" s="90" t="s">
        <v>6642</v>
      </c>
    </row>
    <row r="29" spans="1:30">
      <c r="A29" s="118" t="s">
        <v>2778</v>
      </c>
      <c r="B29" s="130"/>
      <c r="C29" s="118" t="s">
        <v>3817</v>
      </c>
      <c r="D29" s="141"/>
      <c r="E29" s="118"/>
      <c r="F29" s="118"/>
      <c r="G29" s="118" t="s">
        <v>3001</v>
      </c>
      <c r="H29" s="118" t="s">
        <v>3358</v>
      </c>
      <c r="I29" s="118" t="s">
        <v>3173</v>
      </c>
      <c r="J29" s="118" t="s">
        <v>4076</v>
      </c>
      <c r="K29" s="141"/>
      <c r="L29" s="135" t="str">
        <f t="shared" si="1"/>
        <v>Cephalophus rufilatus</v>
      </c>
      <c r="M29" s="133">
        <f t="shared" si="0"/>
        <v>4.0791800000000009</v>
      </c>
      <c r="N29" s="133">
        <v>11999.965570481174</v>
      </c>
      <c r="O29" s="179" t="s">
        <v>6773</v>
      </c>
      <c r="P29" s="108" t="s">
        <v>2835</v>
      </c>
      <c r="Q29" s="90" t="s">
        <v>6642</v>
      </c>
    </row>
    <row r="30" spans="1:30">
      <c r="A30" s="118" t="s">
        <v>2778</v>
      </c>
      <c r="B30" s="130"/>
      <c r="C30" s="118" t="s">
        <v>3817</v>
      </c>
      <c r="D30" s="141"/>
      <c r="E30" s="118"/>
      <c r="F30" s="118"/>
      <c r="G30" s="118" t="s">
        <v>3001</v>
      </c>
      <c r="H30" s="118" t="s">
        <v>3358</v>
      </c>
      <c r="I30" s="118" t="s">
        <v>3173</v>
      </c>
      <c r="J30" s="118" t="s">
        <v>4045</v>
      </c>
      <c r="K30" s="141"/>
      <c r="L30" s="135" t="str">
        <f t="shared" si="1"/>
        <v>Cephalophus leucogaster</v>
      </c>
      <c r="M30" s="133">
        <f t="shared" si="0"/>
        <v>4.1038000000000006</v>
      </c>
      <c r="N30" s="133">
        <v>12699.891189181128</v>
      </c>
      <c r="O30" s="179" t="s">
        <v>7081</v>
      </c>
      <c r="P30" s="108">
        <v>60</v>
      </c>
      <c r="Q30" s="90" t="s">
        <v>6642</v>
      </c>
    </row>
    <row r="31" spans="1:30">
      <c r="A31" s="118" t="s">
        <v>2778</v>
      </c>
      <c r="B31" s="130"/>
      <c r="C31" s="118" t="s">
        <v>3817</v>
      </c>
      <c r="D31" s="141"/>
      <c r="E31" s="118"/>
      <c r="F31" s="118"/>
      <c r="G31" s="118" t="s">
        <v>3001</v>
      </c>
      <c r="H31" s="118" t="s">
        <v>3358</v>
      </c>
      <c r="I31" s="118" t="s">
        <v>3173</v>
      </c>
      <c r="J31" s="118" t="s">
        <v>3838</v>
      </c>
      <c r="K31" s="141"/>
      <c r="L31" s="135" t="str">
        <f t="shared" si="1"/>
        <v>Cephalophus nigrifrons</v>
      </c>
      <c r="M31" s="133">
        <f t="shared" si="0"/>
        <v>4.1430100000000003</v>
      </c>
      <c r="N31" s="133">
        <v>13899.846364239125</v>
      </c>
      <c r="O31" s="179" t="s">
        <v>7081</v>
      </c>
      <c r="P31" s="108">
        <v>60</v>
      </c>
      <c r="Q31" s="90" t="s">
        <v>6642</v>
      </c>
    </row>
    <row r="32" spans="1:30" s="236" customFormat="1">
      <c r="A32" s="118" t="s">
        <v>2778</v>
      </c>
      <c r="B32" s="130"/>
      <c r="C32" s="118" t="s">
        <v>3817</v>
      </c>
      <c r="D32" s="141"/>
      <c r="E32" s="118"/>
      <c r="F32" s="118"/>
      <c r="G32" s="118" t="s">
        <v>3001</v>
      </c>
      <c r="H32" s="118" t="s">
        <v>3358</v>
      </c>
      <c r="I32" s="118" t="s">
        <v>3173</v>
      </c>
      <c r="J32" s="118" t="s">
        <v>4299</v>
      </c>
      <c r="K32" s="141"/>
      <c r="L32" s="135" t="str">
        <f t="shared" si="1"/>
        <v>Cephalophus harveyi</v>
      </c>
      <c r="M32" s="133">
        <f t="shared" si="0"/>
        <v>4.1613700000000007</v>
      </c>
      <c r="N32" s="133">
        <v>14500.066700500938</v>
      </c>
      <c r="O32" s="179" t="s">
        <v>7081</v>
      </c>
      <c r="P32" s="108" t="s">
        <v>2835</v>
      </c>
      <c r="Q32" s="90" t="s">
        <v>6642</v>
      </c>
      <c r="R32" s="85"/>
      <c r="S32" s="85"/>
      <c r="T32" s="85"/>
      <c r="U32" s="16"/>
      <c r="V32" s="16"/>
      <c r="W32" s="234"/>
      <c r="X32" s="234"/>
      <c r="Y32" s="234"/>
      <c r="Z32" s="234"/>
      <c r="AA32" s="234"/>
      <c r="AB32" s="234"/>
      <c r="AC32" s="234"/>
      <c r="AD32" s="235"/>
    </row>
    <row r="33" spans="1:30">
      <c r="A33" s="118" t="s">
        <v>2778</v>
      </c>
      <c r="B33" s="130"/>
      <c r="C33" s="118" t="s">
        <v>3817</v>
      </c>
      <c r="D33" s="141"/>
      <c r="E33" s="118"/>
      <c r="F33" s="118"/>
      <c r="G33" s="118" t="s">
        <v>3001</v>
      </c>
      <c r="H33" s="118" t="s">
        <v>3358</v>
      </c>
      <c r="I33" s="118" t="s">
        <v>3173</v>
      </c>
      <c r="J33" s="118" t="s">
        <v>3601</v>
      </c>
      <c r="K33" s="141"/>
      <c r="L33" s="135" t="str">
        <f t="shared" si="1"/>
        <v>Cephalophus rubidus</v>
      </c>
      <c r="M33" s="133">
        <f t="shared" si="0"/>
        <v>4.1760900000000003</v>
      </c>
      <c r="N33" s="133">
        <v>14999.956513820405</v>
      </c>
      <c r="O33" s="179" t="s">
        <v>3356</v>
      </c>
      <c r="P33" s="108">
        <v>60</v>
      </c>
    </row>
    <row r="34" spans="1:30">
      <c r="A34" s="118" t="s">
        <v>2778</v>
      </c>
      <c r="B34" s="141" t="s">
        <v>6064</v>
      </c>
      <c r="C34" s="118" t="s">
        <v>3817</v>
      </c>
      <c r="D34" s="141"/>
      <c r="E34" s="118"/>
      <c r="F34" s="118"/>
      <c r="G34" s="118" t="s">
        <v>3001</v>
      </c>
      <c r="H34" s="118" t="s">
        <v>3358</v>
      </c>
      <c r="I34" s="118" t="s">
        <v>3173</v>
      </c>
      <c r="J34" s="118" t="s">
        <v>6169</v>
      </c>
      <c r="K34" s="141"/>
      <c r="L34" s="135" t="str">
        <f t="shared" si="1"/>
        <v>Cephalophus weynsi</v>
      </c>
      <c r="M34" s="142">
        <f t="shared" si="0"/>
        <v>4.2304489213782741</v>
      </c>
      <c r="N34" s="133">
        <f>AVERAGE(15000,19000)</f>
        <v>17000</v>
      </c>
      <c r="O34" s="179" t="s">
        <v>7081</v>
      </c>
      <c r="P34" s="108">
        <v>164</v>
      </c>
      <c r="Q34" s="80" t="s">
        <v>6642</v>
      </c>
    </row>
    <row r="35" spans="1:30">
      <c r="A35" s="118" t="s">
        <v>2778</v>
      </c>
      <c r="B35" s="130"/>
      <c r="C35" s="118" t="s">
        <v>3817</v>
      </c>
      <c r="D35" s="141"/>
      <c r="E35" s="118"/>
      <c r="F35" s="118"/>
      <c r="G35" s="118" t="s">
        <v>3001</v>
      </c>
      <c r="H35" s="118" t="s">
        <v>3358</v>
      </c>
      <c r="I35" s="118" t="s">
        <v>3173</v>
      </c>
      <c r="J35" s="118" t="s">
        <v>4079</v>
      </c>
      <c r="K35" s="141"/>
      <c r="L35" s="135" t="str">
        <f t="shared" si="1"/>
        <v>Cephalophus zebra</v>
      </c>
      <c r="M35" s="133">
        <f t="shared" si="0"/>
        <v>4.2430400000000006</v>
      </c>
      <c r="N35" s="133">
        <v>17500.078628829033</v>
      </c>
      <c r="O35" s="179" t="s">
        <v>7081</v>
      </c>
      <c r="P35" s="108">
        <v>65</v>
      </c>
      <c r="Q35" s="90" t="s">
        <v>6988</v>
      </c>
    </row>
    <row r="36" spans="1:30">
      <c r="A36" s="118" t="s">
        <v>2778</v>
      </c>
      <c r="B36" s="130"/>
      <c r="C36" s="118" t="s">
        <v>3817</v>
      </c>
      <c r="D36" s="141"/>
      <c r="E36" s="118"/>
      <c r="F36" s="118"/>
      <c r="G36" s="118" t="s">
        <v>3001</v>
      </c>
      <c r="H36" s="118" t="s">
        <v>3358</v>
      </c>
      <c r="I36" s="118" t="s">
        <v>3173</v>
      </c>
      <c r="J36" s="118" t="s">
        <v>3629</v>
      </c>
      <c r="K36" s="141"/>
      <c r="L36" s="135" t="str">
        <f t="shared" si="1"/>
        <v>Cephalophus callipygus</v>
      </c>
      <c r="M36" s="133">
        <f t="shared" ref="M36:M67" si="2">LOG(N36)</f>
        <v>4.26126</v>
      </c>
      <c r="N36" s="133">
        <v>18249.879447489526</v>
      </c>
      <c r="O36" s="179" t="s">
        <v>7081</v>
      </c>
      <c r="P36" s="108" t="s">
        <v>2835</v>
      </c>
      <c r="Q36" s="90" t="s">
        <v>6642</v>
      </c>
    </row>
    <row r="37" spans="1:30">
      <c r="A37" s="118" t="s">
        <v>2778</v>
      </c>
      <c r="B37" s="130"/>
      <c r="C37" s="118" t="s">
        <v>3817</v>
      </c>
      <c r="D37" s="141"/>
      <c r="E37" s="118"/>
      <c r="F37" s="118"/>
      <c r="G37" s="118" t="s">
        <v>3001</v>
      </c>
      <c r="H37" s="118" t="s">
        <v>3358</v>
      </c>
      <c r="I37" s="118" t="s">
        <v>3173</v>
      </c>
      <c r="J37" s="118" t="s">
        <v>3630</v>
      </c>
      <c r="K37" s="141"/>
      <c r="L37" s="135" t="str">
        <f t="shared" si="1"/>
        <v>Cephalophus dorsalis</v>
      </c>
      <c r="M37" s="133">
        <f t="shared" si="2"/>
        <v>4.3010300000000008</v>
      </c>
      <c r="N37" s="133">
        <v>20000.000199681075</v>
      </c>
      <c r="O37" s="179" t="s">
        <v>7081</v>
      </c>
      <c r="P37" s="108">
        <v>60</v>
      </c>
      <c r="Q37" s="90" t="s">
        <v>6642</v>
      </c>
    </row>
    <row r="38" spans="1:30" s="60" customFormat="1">
      <c r="A38" s="118" t="s">
        <v>2778</v>
      </c>
      <c r="B38" s="130"/>
      <c r="C38" s="118" t="s">
        <v>3817</v>
      </c>
      <c r="D38" s="141"/>
      <c r="E38" s="118"/>
      <c r="F38" s="118"/>
      <c r="G38" s="118" t="s">
        <v>3001</v>
      </c>
      <c r="H38" s="118" t="s">
        <v>3358</v>
      </c>
      <c r="I38" s="118" t="s">
        <v>3173</v>
      </c>
      <c r="J38" s="118" t="s">
        <v>3839</v>
      </c>
      <c r="K38" s="141"/>
      <c r="L38" s="135" t="str">
        <f t="shared" si="1"/>
        <v>Cephalophus ogilbyi</v>
      </c>
      <c r="M38" s="133">
        <f t="shared" si="2"/>
        <v>4.3010300000000008</v>
      </c>
      <c r="N38" s="133">
        <v>20000.000199681075</v>
      </c>
      <c r="O38" s="179" t="s">
        <v>7081</v>
      </c>
      <c r="P38" s="108" t="s">
        <v>2835</v>
      </c>
      <c r="Q38" s="90" t="s">
        <v>6642</v>
      </c>
      <c r="R38" s="85"/>
      <c r="S38" s="85"/>
      <c r="T38" s="85"/>
      <c r="U38" s="16"/>
      <c r="V38" s="16"/>
      <c r="W38" s="59"/>
      <c r="X38" s="59"/>
      <c r="Y38" s="59"/>
      <c r="Z38" s="59"/>
      <c r="AA38" s="59"/>
      <c r="AB38" s="59"/>
      <c r="AC38" s="59"/>
      <c r="AD38" s="63"/>
    </row>
    <row r="39" spans="1:30" s="60" customFormat="1">
      <c r="A39" s="118" t="s">
        <v>2778</v>
      </c>
      <c r="B39" s="130"/>
      <c r="C39" s="118" t="s">
        <v>3817</v>
      </c>
      <c r="D39" s="141"/>
      <c r="E39" s="118"/>
      <c r="F39" s="118"/>
      <c r="G39" s="118" t="s">
        <v>3001</v>
      </c>
      <c r="H39" s="118" t="s">
        <v>3358</v>
      </c>
      <c r="I39" s="118" t="s">
        <v>3173</v>
      </c>
      <c r="J39" s="118" t="s">
        <v>3837</v>
      </c>
      <c r="K39" s="141"/>
      <c r="L39" s="135" t="str">
        <f t="shared" si="1"/>
        <v>Cephalophus niger</v>
      </c>
      <c r="M39" s="133">
        <f t="shared" si="2"/>
        <v>4.3096300000000012</v>
      </c>
      <c r="N39" s="133">
        <v>20399.992135549033</v>
      </c>
      <c r="O39" s="179" t="s">
        <v>6773</v>
      </c>
      <c r="P39" s="108">
        <v>60</v>
      </c>
      <c r="Q39" s="90" t="s">
        <v>6642</v>
      </c>
      <c r="R39" s="85"/>
      <c r="S39" s="85"/>
      <c r="T39" s="85"/>
      <c r="U39" s="16"/>
      <c r="V39" s="16"/>
      <c r="W39" s="59"/>
      <c r="X39" s="59"/>
      <c r="Y39" s="59"/>
      <c r="Z39" s="59"/>
      <c r="AA39" s="59"/>
      <c r="AB39" s="59"/>
      <c r="AC39" s="59"/>
      <c r="AD39" s="63"/>
    </row>
    <row r="40" spans="1:30" ht="25.5">
      <c r="A40" s="118" t="s">
        <v>2778</v>
      </c>
      <c r="B40" s="130"/>
      <c r="C40" s="118" t="s">
        <v>3817</v>
      </c>
      <c r="D40" s="141"/>
      <c r="E40" s="118"/>
      <c r="F40" s="118"/>
      <c r="G40" s="118" t="s">
        <v>3001</v>
      </c>
      <c r="H40" s="118" t="s">
        <v>3358</v>
      </c>
      <c r="I40" s="118" t="s">
        <v>3173</v>
      </c>
      <c r="J40" s="118" t="s">
        <v>4078</v>
      </c>
      <c r="K40" s="141"/>
      <c r="L40" s="135" t="str">
        <f t="shared" si="1"/>
        <v>Cephalophus spadix</v>
      </c>
      <c r="M40" s="133">
        <f t="shared" si="2"/>
        <v>4.748190000000001</v>
      </c>
      <c r="N40" s="133">
        <v>56000.254407800254</v>
      </c>
      <c r="O40" s="179" t="s">
        <v>7119</v>
      </c>
      <c r="P40" s="108" t="s">
        <v>2835</v>
      </c>
      <c r="Q40" s="90" t="s">
        <v>6642</v>
      </c>
    </row>
    <row r="41" spans="1:30" s="52" customFormat="1">
      <c r="A41" s="118" t="s">
        <v>2778</v>
      </c>
      <c r="B41" s="130"/>
      <c r="C41" s="118" t="s">
        <v>3817</v>
      </c>
      <c r="D41" s="141"/>
      <c r="E41" s="118"/>
      <c r="F41" s="118"/>
      <c r="G41" s="118" t="s">
        <v>3001</v>
      </c>
      <c r="H41" s="118" t="s">
        <v>3358</v>
      </c>
      <c r="I41" s="118" t="s">
        <v>3173</v>
      </c>
      <c r="J41" s="118" t="s">
        <v>4044</v>
      </c>
      <c r="K41" s="141"/>
      <c r="L41" s="135" t="str">
        <f t="shared" si="1"/>
        <v>Cephalophus jentinki</v>
      </c>
      <c r="M41" s="133">
        <f t="shared" si="2"/>
        <v>4.8451000000000004</v>
      </c>
      <c r="N41" s="133">
        <v>70000.315913089813</v>
      </c>
      <c r="O41" s="179" t="s">
        <v>7081</v>
      </c>
      <c r="P41" s="108">
        <v>65</v>
      </c>
      <c r="Q41" s="90" t="s">
        <v>6988</v>
      </c>
      <c r="R41" s="85"/>
      <c r="S41" s="85"/>
      <c r="T41" s="85"/>
      <c r="U41" s="16"/>
      <c r="V41" s="16"/>
      <c r="W41" s="251"/>
      <c r="X41" s="251"/>
      <c r="Y41" s="251"/>
      <c r="Z41" s="251"/>
      <c r="AA41" s="251"/>
      <c r="AB41" s="251"/>
      <c r="AC41" s="251"/>
      <c r="AD41" s="252"/>
    </row>
    <row r="42" spans="1:30" s="60" customFormat="1">
      <c r="A42" s="118" t="s">
        <v>2778</v>
      </c>
      <c r="B42" s="130"/>
      <c r="C42" s="118" t="s">
        <v>3817</v>
      </c>
      <c r="D42" s="141"/>
      <c r="E42" s="118"/>
      <c r="F42" s="118"/>
      <c r="G42" s="118" t="s">
        <v>3001</v>
      </c>
      <c r="H42" s="118" t="s">
        <v>3358</v>
      </c>
      <c r="I42" s="118" t="s">
        <v>3173</v>
      </c>
      <c r="J42" s="118" t="s">
        <v>4077</v>
      </c>
      <c r="K42" s="141"/>
      <c r="L42" s="135" t="str">
        <f t="shared" si="1"/>
        <v>Cephalophus silvicultor</v>
      </c>
      <c r="M42" s="133">
        <f t="shared" si="2"/>
        <v>4.8603399999999999</v>
      </c>
      <c r="N42" s="133">
        <v>72500.332778657481</v>
      </c>
      <c r="O42" s="179" t="s">
        <v>7081</v>
      </c>
      <c r="P42" s="108">
        <v>60</v>
      </c>
      <c r="Q42" s="90" t="s">
        <v>6642</v>
      </c>
      <c r="R42" s="85"/>
      <c r="S42" s="85"/>
      <c r="T42" s="85"/>
      <c r="U42" s="16"/>
      <c r="V42" s="16"/>
      <c r="W42" s="59"/>
      <c r="X42" s="59"/>
      <c r="Y42" s="59"/>
      <c r="Z42" s="59"/>
      <c r="AA42" s="59"/>
      <c r="AB42" s="59"/>
      <c r="AC42" s="59"/>
      <c r="AD42" s="63"/>
    </row>
    <row r="43" spans="1:30">
      <c r="A43" s="118" t="s">
        <v>2778</v>
      </c>
      <c r="B43" s="130"/>
      <c r="C43" s="118" t="s">
        <v>3817</v>
      </c>
      <c r="D43" s="141"/>
      <c r="E43" s="118"/>
      <c r="F43" s="118"/>
      <c r="G43" s="118" t="s">
        <v>3001</v>
      </c>
      <c r="H43" s="118" t="s">
        <v>3358</v>
      </c>
      <c r="I43" s="118" t="s">
        <v>4616</v>
      </c>
      <c r="J43" s="118" t="s">
        <v>7219</v>
      </c>
      <c r="K43" s="141"/>
      <c r="L43" s="135" t="str">
        <f t="shared" si="1"/>
        <v>Connochaetes gnou</v>
      </c>
      <c r="M43" s="133">
        <f t="shared" si="2"/>
        <v>5.2552700000000012</v>
      </c>
      <c r="N43" s="133">
        <v>179998.96172455972</v>
      </c>
      <c r="O43" s="179" t="s">
        <v>6968</v>
      </c>
      <c r="P43" s="108">
        <v>60</v>
      </c>
      <c r="Q43" s="90" t="s">
        <v>6642</v>
      </c>
    </row>
    <row r="44" spans="1:30" ht="41.1" customHeight="1">
      <c r="A44" s="118" t="s">
        <v>2778</v>
      </c>
      <c r="B44" s="130"/>
      <c r="C44" s="118" t="s">
        <v>3817</v>
      </c>
      <c r="D44" s="141"/>
      <c r="E44" s="118"/>
      <c r="F44" s="118"/>
      <c r="G44" s="118" t="s">
        <v>3001</v>
      </c>
      <c r="H44" s="118" t="s">
        <v>3358</v>
      </c>
      <c r="I44" s="118" t="s">
        <v>4616</v>
      </c>
      <c r="J44" s="118" t="s">
        <v>7220</v>
      </c>
      <c r="K44" s="141"/>
      <c r="L44" s="135" t="str">
        <f t="shared" si="1"/>
        <v>Connochaetes taurinus</v>
      </c>
      <c r="M44" s="133">
        <f t="shared" si="2"/>
        <v>5.2552700000000012</v>
      </c>
      <c r="N44" s="133">
        <v>179998.96172455972</v>
      </c>
      <c r="O44" s="179" t="s">
        <v>6969</v>
      </c>
      <c r="P44" s="108" t="s">
        <v>2835</v>
      </c>
      <c r="Q44" s="90" t="s">
        <v>6642</v>
      </c>
      <c r="U44" s="59"/>
      <c r="V44" s="59"/>
    </row>
    <row r="45" spans="1:30" s="60" customFormat="1" ht="38.25">
      <c r="A45" s="118" t="s">
        <v>2778</v>
      </c>
      <c r="B45" s="130"/>
      <c r="C45" s="118" t="s">
        <v>3817</v>
      </c>
      <c r="D45" s="141"/>
      <c r="E45" s="118"/>
      <c r="F45" s="118"/>
      <c r="G45" s="118" t="s">
        <v>3001</v>
      </c>
      <c r="H45" s="118" t="s">
        <v>3358</v>
      </c>
      <c r="I45" s="118" t="s">
        <v>7231</v>
      </c>
      <c r="J45" s="118" t="s">
        <v>7232</v>
      </c>
      <c r="K45" s="141"/>
      <c r="L45" s="135" t="str">
        <f t="shared" si="1"/>
        <v>Damaliscus hunteri</v>
      </c>
      <c r="M45" s="133">
        <f t="shared" si="2"/>
        <v>4.9030900000000006</v>
      </c>
      <c r="N45" s="133">
        <v>80000.00239617264</v>
      </c>
      <c r="O45" s="179" t="s">
        <v>6986</v>
      </c>
      <c r="P45" s="108" t="s">
        <v>2835</v>
      </c>
      <c r="Q45" s="90" t="s">
        <v>7071</v>
      </c>
      <c r="R45" s="85"/>
      <c r="S45" s="85"/>
      <c r="T45" s="85"/>
      <c r="U45" s="16"/>
      <c r="V45" s="16"/>
      <c r="W45" s="59"/>
      <c r="X45" s="59"/>
      <c r="Y45" s="59"/>
      <c r="Z45" s="59"/>
      <c r="AA45" s="59"/>
      <c r="AB45" s="59"/>
      <c r="AC45" s="59"/>
      <c r="AD45" s="63"/>
    </row>
    <row r="46" spans="1:30" ht="25.5">
      <c r="A46" s="118" t="s">
        <v>2778</v>
      </c>
      <c r="B46" s="130"/>
      <c r="C46" s="118" t="s">
        <v>3817</v>
      </c>
      <c r="D46" s="141"/>
      <c r="E46" s="118"/>
      <c r="F46" s="118"/>
      <c r="G46" s="118" t="s">
        <v>3001</v>
      </c>
      <c r="H46" s="118" t="s">
        <v>3358</v>
      </c>
      <c r="I46" s="118" t="s">
        <v>7231</v>
      </c>
      <c r="J46" s="118" t="s">
        <v>1998</v>
      </c>
      <c r="K46" s="141"/>
      <c r="L46" s="135" t="str">
        <f t="shared" si="1"/>
        <v>Damaliscus pygargus</v>
      </c>
      <c r="M46" s="133">
        <f t="shared" si="2"/>
        <v>5.008600171761918</v>
      </c>
      <c r="N46" s="133">
        <v>102000</v>
      </c>
      <c r="O46" s="179" t="s">
        <v>7561</v>
      </c>
      <c r="P46" s="114">
        <v>75</v>
      </c>
      <c r="Q46" s="90" t="s">
        <v>6642</v>
      </c>
      <c r="U46" s="59"/>
      <c r="V46" s="59"/>
    </row>
    <row r="47" spans="1:30" ht="30.95" customHeight="1">
      <c r="A47" s="118" t="s">
        <v>2778</v>
      </c>
      <c r="B47" s="130"/>
      <c r="C47" s="118" t="s">
        <v>3817</v>
      </c>
      <c r="D47" s="141"/>
      <c r="E47" s="118"/>
      <c r="F47" s="118"/>
      <c r="G47" s="118" t="s">
        <v>3001</v>
      </c>
      <c r="H47" s="118" t="s">
        <v>3358</v>
      </c>
      <c r="I47" s="118" t="s">
        <v>7231</v>
      </c>
      <c r="J47" s="118" t="s">
        <v>4620</v>
      </c>
      <c r="K47" s="141"/>
      <c r="L47" s="135" t="str">
        <f t="shared" si="1"/>
        <v>Damaliscus lunatus</v>
      </c>
      <c r="M47" s="133">
        <f t="shared" si="2"/>
        <v>5.1335400000000009</v>
      </c>
      <c r="N47" s="133">
        <v>136000.34184601295</v>
      </c>
      <c r="O47" s="179" t="s">
        <v>7560</v>
      </c>
      <c r="P47" s="108" t="s">
        <v>2835</v>
      </c>
      <c r="Q47" s="90" t="s">
        <v>6642</v>
      </c>
    </row>
    <row r="48" spans="1:30" ht="24" customHeight="1">
      <c r="A48" s="118" t="s">
        <v>2778</v>
      </c>
      <c r="B48" s="130"/>
      <c r="C48" s="118" t="s">
        <v>3817</v>
      </c>
      <c r="D48" s="141"/>
      <c r="E48" s="118"/>
      <c r="F48" s="118"/>
      <c r="G48" s="118" t="s">
        <v>3001</v>
      </c>
      <c r="H48" s="118" t="s">
        <v>3358</v>
      </c>
      <c r="I48" s="118" t="s">
        <v>1999</v>
      </c>
      <c r="J48" s="118" t="s">
        <v>2000</v>
      </c>
      <c r="K48" s="141"/>
      <c r="L48" s="135" t="str">
        <f t="shared" si="1"/>
        <v>Dorcatragus megalotis</v>
      </c>
      <c r="M48" s="133">
        <f t="shared" si="2"/>
        <v>4.010720000000001</v>
      </c>
      <c r="N48" s="133">
        <v>10249.908771372877</v>
      </c>
      <c r="O48" s="179" t="s">
        <v>6641</v>
      </c>
      <c r="P48" s="108">
        <v>65</v>
      </c>
      <c r="Q48" s="90" t="s">
        <v>6988</v>
      </c>
    </row>
    <row r="49" spans="1:30">
      <c r="A49" s="118" t="s">
        <v>2778</v>
      </c>
      <c r="B49" s="130"/>
      <c r="C49" s="118" t="s">
        <v>3817</v>
      </c>
      <c r="D49" s="141"/>
      <c r="E49" s="118"/>
      <c r="F49" s="118"/>
      <c r="G49" s="118" t="s">
        <v>3001</v>
      </c>
      <c r="H49" s="118" t="s">
        <v>3358</v>
      </c>
      <c r="I49" s="118" t="s">
        <v>2001</v>
      </c>
      <c r="J49" s="118" t="s">
        <v>4741</v>
      </c>
      <c r="K49" s="141"/>
      <c r="L49" s="135" t="str">
        <f t="shared" si="1"/>
        <v>Gazella spekei</v>
      </c>
      <c r="M49" s="133">
        <f t="shared" si="2"/>
        <v>4.3010300000000008</v>
      </c>
      <c r="N49" s="133">
        <v>20000.000199681075</v>
      </c>
      <c r="O49" s="179" t="s">
        <v>6641</v>
      </c>
      <c r="P49" s="108">
        <v>65</v>
      </c>
      <c r="Q49" s="90" t="s">
        <v>6988</v>
      </c>
    </row>
    <row r="50" spans="1:30">
      <c r="A50" s="118" t="s">
        <v>2778</v>
      </c>
      <c r="B50" s="130"/>
      <c r="C50" s="118" t="s">
        <v>3817</v>
      </c>
      <c r="D50" s="141"/>
      <c r="E50" s="118"/>
      <c r="F50" s="118"/>
      <c r="G50" s="118" t="s">
        <v>3001</v>
      </c>
      <c r="H50" s="118" t="s">
        <v>3358</v>
      </c>
      <c r="I50" s="118" t="s">
        <v>2001</v>
      </c>
      <c r="J50" s="118" t="s">
        <v>4742</v>
      </c>
      <c r="K50" s="141"/>
      <c r="L50" s="135" t="str">
        <f t="shared" si="1"/>
        <v>Gazella thomsonii</v>
      </c>
      <c r="M50" s="133">
        <f t="shared" si="2"/>
        <v>4.31175</v>
      </c>
      <c r="N50" s="133">
        <v>20499.817747416979</v>
      </c>
      <c r="O50" s="179" t="s">
        <v>6773</v>
      </c>
      <c r="P50" s="108" t="s">
        <v>2835</v>
      </c>
      <c r="Q50" s="90" t="s">
        <v>6642</v>
      </c>
    </row>
    <row r="51" spans="1:30">
      <c r="A51" s="118" t="s">
        <v>2778</v>
      </c>
      <c r="B51" s="130"/>
      <c r="C51" s="118" t="s">
        <v>3817</v>
      </c>
      <c r="D51" s="141"/>
      <c r="E51" s="118"/>
      <c r="F51" s="118"/>
      <c r="G51" s="118" t="s">
        <v>3001</v>
      </c>
      <c r="H51" s="118" t="s">
        <v>3358</v>
      </c>
      <c r="I51" s="118" t="s">
        <v>2001</v>
      </c>
      <c r="J51" s="118" t="s">
        <v>5723</v>
      </c>
      <c r="K51" s="141"/>
      <c r="L51" s="135" t="str">
        <f t="shared" si="1"/>
        <v>Gazella leptoceros</v>
      </c>
      <c r="M51" s="133">
        <f t="shared" si="2"/>
        <v>4.3463529744506388</v>
      </c>
      <c r="N51" s="133">
        <v>22200</v>
      </c>
      <c r="O51" s="179" t="s">
        <v>6321</v>
      </c>
      <c r="P51" s="108">
        <v>75</v>
      </c>
      <c r="Q51" s="90" t="s">
        <v>6640</v>
      </c>
    </row>
    <row r="52" spans="1:30" ht="25.5">
      <c r="A52" s="118" t="s">
        <v>2778</v>
      </c>
      <c r="B52" s="130"/>
      <c r="C52" s="118" t="s">
        <v>3817</v>
      </c>
      <c r="D52" s="141"/>
      <c r="E52" s="118"/>
      <c r="F52" s="118"/>
      <c r="G52" s="118" t="s">
        <v>3001</v>
      </c>
      <c r="H52" s="118" t="s">
        <v>3358</v>
      </c>
      <c r="I52" s="118" t="s">
        <v>2001</v>
      </c>
      <c r="J52" s="118" t="s">
        <v>7280</v>
      </c>
      <c r="K52" s="141"/>
      <c r="L52" s="135" t="str">
        <f t="shared" si="1"/>
        <v>Gazella gazella</v>
      </c>
      <c r="M52" s="133">
        <f t="shared" si="2"/>
        <v>4.3521800000000006</v>
      </c>
      <c r="N52" s="133">
        <v>22499.869541650296</v>
      </c>
      <c r="O52" s="179" t="s">
        <v>7100</v>
      </c>
      <c r="P52" s="108">
        <v>65</v>
      </c>
      <c r="Q52" s="90" t="s">
        <v>6642</v>
      </c>
    </row>
    <row r="53" spans="1:30">
      <c r="A53" s="118" t="s">
        <v>2778</v>
      </c>
      <c r="B53" s="130"/>
      <c r="C53" s="118" t="s">
        <v>3817</v>
      </c>
      <c r="D53" s="141"/>
      <c r="E53" s="118"/>
      <c r="F53" s="118"/>
      <c r="G53" s="118" t="s">
        <v>3001</v>
      </c>
      <c r="H53" s="118" t="s">
        <v>3358</v>
      </c>
      <c r="I53" s="118" t="s">
        <v>2001</v>
      </c>
      <c r="J53" s="118" t="s">
        <v>1994</v>
      </c>
      <c r="K53" s="141"/>
      <c r="L53" s="135" t="str">
        <f t="shared" si="1"/>
        <v>Gazella dorcas</v>
      </c>
      <c r="M53" s="133">
        <f t="shared" si="2"/>
        <v>4.3617299999999997</v>
      </c>
      <c r="N53" s="133">
        <v>23000.114603619051</v>
      </c>
      <c r="O53" s="179" t="s">
        <v>7081</v>
      </c>
      <c r="P53" s="108">
        <v>65</v>
      </c>
      <c r="Q53" s="90" t="s">
        <v>6988</v>
      </c>
      <c r="T53" s="90"/>
    </row>
    <row r="54" spans="1:30">
      <c r="A54" s="118" t="s">
        <v>2778</v>
      </c>
      <c r="B54" s="130"/>
      <c r="C54" s="118" t="s">
        <v>3817</v>
      </c>
      <c r="D54" s="141"/>
      <c r="E54" s="118"/>
      <c r="F54" s="118"/>
      <c r="G54" s="118" t="s">
        <v>3001</v>
      </c>
      <c r="H54" s="118" t="s">
        <v>3358</v>
      </c>
      <c r="I54" s="118" t="s">
        <v>2001</v>
      </c>
      <c r="J54" s="118" t="s">
        <v>4743</v>
      </c>
      <c r="K54" s="141"/>
      <c r="L54" s="135" t="str">
        <f t="shared" si="1"/>
        <v>Gazella cuvieri</v>
      </c>
      <c r="M54" s="133">
        <f t="shared" si="2"/>
        <v>4.3979400086720375</v>
      </c>
      <c r="N54" s="133">
        <v>25000</v>
      </c>
      <c r="O54" s="179" t="s">
        <v>7081</v>
      </c>
      <c r="P54" s="115">
        <v>-999</v>
      </c>
      <c r="Q54" s="90" t="s">
        <v>6640</v>
      </c>
    </row>
    <row r="55" spans="1:30">
      <c r="A55" s="118" t="s">
        <v>2778</v>
      </c>
      <c r="B55" s="130"/>
      <c r="C55" s="121" t="s">
        <v>3817</v>
      </c>
      <c r="D55" s="156"/>
      <c r="E55" s="121"/>
      <c r="F55" s="121"/>
      <c r="G55" s="121" t="s">
        <v>3001</v>
      </c>
      <c r="H55" s="118" t="s">
        <v>3358</v>
      </c>
      <c r="I55" s="121" t="s">
        <v>2001</v>
      </c>
      <c r="J55" s="121" t="s">
        <v>2005</v>
      </c>
      <c r="K55" s="156"/>
      <c r="L55" s="135" t="str">
        <f t="shared" si="1"/>
        <v>Gazella rufifrons</v>
      </c>
      <c r="M55" s="133">
        <f t="shared" si="2"/>
        <v>4.4313599999999997</v>
      </c>
      <c r="N55" s="143">
        <v>26999.76598401209</v>
      </c>
      <c r="O55" s="179" t="s">
        <v>7081</v>
      </c>
      <c r="P55" s="108">
        <v>60</v>
      </c>
      <c r="Q55" s="90" t="s">
        <v>6988</v>
      </c>
    </row>
    <row r="56" spans="1:30">
      <c r="A56" s="118" t="s">
        <v>2778</v>
      </c>
      <c r="B56" s="130"/>
      <c r="C56" s="118" t="s">
        <v>3817</v>
      </c>
      <c r="D56" s="141"/>
      <c r="E56" s="118"/>
      <c r="F56" s="118"/>
      <c r="G56" s="118" t="s">
        <v>3001</v>
      </c>
      <c r="H56" s="118" t="s">
        <v>3358</v>
      </c>
      <c r="I56" s="118" t="s">
        <v>2001</v>
      </c>
      <c r="J56" s="118" t="s">
        <v>4740</v>
      </c>
      <c r="K56" s="141"/>
      <c r="L56" s="135" t="str">
        <f t="shared" si="1"/>
        <v>Gazella soemmerringii</v>
      </c>
      <c r="M56" s="133">
        <f t="shared" si="2"/>
        <v>4.6020599999999998</v>
      </c>
      <c r="N56" s="133">
        <v>40000.000798724192</v>
      </c>
      <c r="O56" s="179" t="s">
        <v>7081</v>
      </c>
      <c r="P56" s="108" t="s">
        <v>2835</v>
      </c>
      <c r="Q56" s="90" t="s">
        <v>6988</v>
      </c>
    </row>
    <row r="57" spans="1:30" ht="12" customHeight="1">
      <c r="A57" s="118" t="s">
        <v>2778</v>
      </c>
      <c r="B57" s="130"/>
      <c r="C57" s="118" t="s">
        <v>3817</v>
      </c>
      <c r="D57" s="141"/>
      <c r="E57" s="118"/>
      <c r="F57" s="118"/>
      <c r="G57" s="118" t="s">
        <v>3001</v>
      </c>
      <c r="H57" s="118" t="s">
        <v>3358</v>
      </c>
      <c r="I57" s="118" t="s">
        <v>2001</v>
      </c>
      <c r="J57" s="118" t="s">
        <v>7281</v>
      </c>
      <c r="K57" s="141"/>
      <c r="L57" s="135" t="str">
        <f t="shared" si="1"/>
        <v>Gazella granti</v>
      </c>
      <c r="M57" s="133">
        <f t="shared" si="2"/>
        <v>4.7403600000000008</v>
      </c>
      <c r="N57" s="133">
        <v>54999.659397640258</v>
      </c>
      <c r="O57" s="179" t="s">
        <v>7081</v>
      </c>
      <c r="P57" s="108" t="s">
        <v>2835</v>
      </c>
      <c r="Q57" s="88" t="s">
        <v>6642</v>
      </c>
    </row>
    <row r="58" spans="1:30">
      <c r="A58" s="118" t="s">
        <v>2778</v>
      </c>
      <c r="B58" s="130"/>
      <c r="C58" s="118" t="s">
        <v>3817</v>
      </c>
      <c r="D58" s="141"/>
      <c r="E58" s="118"/>
      <c r="F58" s="118"/>
      <c r="G58" s="118" t="s">
        <v>3001</v>
      </c>
      <c r="H58" s="118" t="s">
        <v>3358</v>
      </c>
      <c r="I58" s="118" t="s">
        <v>2001</v>
      </c>
      <c r="J58" s="118" t="s">
        <v>4891</v>
      </c>
      <c r="K58" s="141"/>
      <c r="L58" s="135" t="str">
        <f t="shared" si="1"/>
        <v>Gazella dama</v>
      </c>
      <c r="M58" s="133">
        <f t="shared" si="2"/>
        <v>4.8633199999999999</v>
      </c>
      <c r="N58" s="133">
        <v>72999.519247620075</v>
      </c>
      <c r="O58" s="179" t="s">
        <v>7081</v>
      </c>
      <c r="P58" s="108">
        <v>60</v>
      </c>
      <c r="Q58" s="90" t="s">
        <v>6640</v>
      </c>
    </row>
    <row r="59" spans="1:30">
      <c r="A59" s="118" t="s">
        <v>2778</v>
      </c>
      <c r="B59" s="130"/>
      <c r="C59" s="118" t="s">
        <v>3817</v>
      </c>
      <c r="D59" s="141"/>
      <c r="E59" s="118"/>
      <c r="F59" s="118"/>
      <c r="G59" s="118" t="s">
        <v>3001</v>
      </c>
      <c r="H59" s="118" t="s">
        <v>3358</v>
      </c>
      <c r="I59" s="118" t="s">
        <v>4744</v>
      </c>
      <c r="J59" s="118" t="s">
        <v>3837</v>
      </c>
      <c r="K59" s="141"/>
      <c r="L59" s="135" t="str">
        <f t="shared" si="1"/>
        <v>Hippotragus niger</v>
      </c>
      <c r="M59" s="133">
        <f t="shared" si="2"/>
        <v>5.356980000000001</v>
      </c>
      <c r="N59" s="133">
        <v>227499.26610759203</v>
      </c>
      <c r="O59" s="179" t="s">
        <v>7081</v>
      </c>
      <c r="P59" s="108" t="s">
        <v>2835</v>
      </c>
      <c r="Q59" s="90" t="s">
        <v>6642</v>
      </c>
    </row>
    <row r="60" spans="1:30">
      <c r="A60" s="118" t="s">
        <v>2778</v>
      </c>
      <c r="B60" s="130"/>
      <c r="C60" s="118" t="s">
        <v>3817</v>
      </c>
      <c r="D60" s="141"/>
      <c r="E60" s="118"/>
      <c r="F60" s="118"/>
      <c r="G60" s="118" t="s">
        <v>3001</v>
      </c>
      <c r="H60" s="118" t="s">
        <v>3358</v>
      </c>
      <c r="I60" s="118" t="s">
        <v>4744</v>
      </c>
      <c r="J60" s="118" t="s">
        <v>2235</v>
      </c>
      <c r="K60" s="141"/>
      <c r="L60" s="135" t="str">
        <f t="shared" si="1"/>
        <v>Hippotragus equinus</v>
      </c>
      <c r="M60" s="133">
        <f t="shared" si="2"/>
        <v>5.4313600000000006</v>
      </c>
      <c r="N60" s="133">
        <v>269997.65984012122</v>
      </c>
      <c r="O60" s="179" t="s">
        <v>7081</v>
      </c>
      <c r="P60" s="108" t="s">
        <v>2835</v>
      </c>
      <c r="Q60" s="90" t="s">
        <v>6642</v>
      </c>
    </row>
    <row r="61" spans="1:30">
      <c r="A61" s="118" t="s">
        <v>2778</v>
      </c>
      <c r="B61" s="130"/>
      <c r="C61" s="118" t="s">
        <v>3817</v>
      </c>
      <c r="D61" s="141"/>
      <c r="E61" s="118"/>
      <c r="F61" s="118"/>
      <c r="G61" s="118" t="s">
        <v>3001</v>
      </c>
      <c r="H61" s="118" t="s">
        <v>3358</v>
      </c>
      <c r="I61" s="118" t="s">
        <v>2236</v>
      </c>
      <c r="J61" s="118" t="s">
        <v>4903</v>
      </c>
      <c r="K61" s="141"/>
      <c r="L61" s="135" t="str">
        <f t="shared" si="1"/>
        <v>Kobus vardonii</v>
      </c>
      <c r="M61" s="133">
        <f t="shared" si="2"/>
        <v>4.8543099999999999</v>
      </c>
      <c r="N61" s="133">
        <v>71500.651660392279</v>
      </c>
      <c r="O61" s="179" t="s">
        <v>6321</v>
      </c>
      <c r="P61" s="108" t="s">
        <v>2835</v>
      </c>
      <c r="Q61" s="90" t="s">
        <v>6642</v>
      </c>
    </row>
    <row r="62" spans="1:30">
      <c r="A62" s="118" t="s">
        <v>2778</v>
      </c>
      <c r="B62" s="130"/>
      <c r="C62" s="118" t="s">
        <v>3817</v>
      </c>
      <c r="D62" s="141"/>
      <c r="E62" s="118"/>
      <c r="F62" s="118"/>
      <c r="G62" s="118" t="s">
        <v>3001</v>
      </c>
      <c r="H62" s="118" t="s">
        <v>3358</v>
      </c>
      <c r="I62" s="118" t="s">
        <v>2236</v>
      </c>
      <c r="J62" s="118" t="s">
        <v>7249</v>
      </c>
      <c r="K62" s="141"/>
      <c r="L62" s="135" t="str">
        <f t="shared" si="1"/>
        <v>Kobus kob</v>
      </c>
      <c r="M62" s="133">
        <f t="shared" si="2"/>
        <v>4.8948700000000009</v>
      </c>
      <c r="N62" s="133">
        <v>78500.062044325954</v>
      </c>
      <c r="O62" s="179" t="s">
        <v>7082</v>
      </c>
      <c r="P62" s="108" t="s">
        <v>2835</v>
      </c>
      <c r="Q62" s="90" t="s">
        <v>6642</v>
      </c>
      <c r="S62" s="90"/>
    </row>
    <row r="63" spans="1:30" s="236" customFormat="1" ht="25.5">
      <c r="A63" s="118" t="s">
        <v>2778</v>
      </c>
      <c r="B63" s="130"/>
      <c r="C63" s="118" t="s">
        <v>3817</v>
      </c>
      <c r="D63" s="141"/>
      <c r="E63" s="118"/>
      <c r="F63" s="118"/>
      <c r="G63" s="118" t="s">
        <v>3001</v>
      </c>
      <c r="H63" s="118" t="s">
        <v>3358</v>
      </c>
      <c r="I63" s="118" t="s">
        <v>2236</v>
      </c>
      <c r="J63" s="118" t="s">
        <v>4902</v>
      </c>
      <c r="K63" s="141"/>
      <c r="L63" s="135" t="str">
        <f t="shared" si="1"/>
        <v>Kobus megaceros</v>
      </c>
      <c r="M63" s="133">
        <f t="shared" si="2"/>
        <v>4.9420100000000007</v>
      </c>
      <c r="N63" s="133">
        <v>87500.392270536715</v>
      </c>
      <c r="O63" s="179" t="s">
        <v>6711</v>
      </c>
      <c r="P63" s="108">
        <v>65</v>
      </c>
      <c r="Q63" s="90" t="s">
        <v>6642</v>
      </c>
      <c r="R63" s="85"/>
      <c r="S63" s="85"/>
      <c r="T63" s="85"/>
      <c r="U63" s="16"/>
      <c r="V63" s="16"/>
      <c r="W63" s="234"/>
      <c r="X63" s="234"/>
      <c r="Y63" s="234"/>
      <c r="Z63" s="234"/>
      <c r="AA63" s="234"/>
      <c r="AB63" s="234"/>
      <c r="AC63" s="234"/>
      <c r="AD63" s="235"/>
    </row>
    <row r="64" spans="1:30" s="236" customFormat="1">
      <c r="A64" s="118" t="s">
        <v>2778</v>
      </c>
      <c r="B64" s="130"/>
      <c r="C64" s="118" t="s">
        <v>3817</v>
      </c>
      <c r="D64" s="141"/>
      <c r="E64" s="118"/>
      <c r="F64" s="118"/>
      <c r="G64" s="118" t="s">
        <v>3001</v>
      </c>
      <c r="H64" s="118" t="s">
        <v>3358</v>
      </c>
      <c r="I64" s="118" t="s">
        <v>2236</v>
      </c>
      <c r="J64" s="118" t="s">
        <v>4901</v>
      </c>
      <c r="K64" s="141"/>
      <c r="L64" s="135" t="str">
        <f t="shared" si="1"/>
        <v>Kobus leche</v>
      </c>
      <c r="M64" s="133">
        <f t="shared" si="2"/>
        <v>5.04434</v>
      </c>
      <c r="N64" s="133">
        <v>110749.04756364247</v>
      </c>
      <c r="O64" s="179" t="s">
        <v>7081</v>
      </c>
      <c r="P64" s="111">
        <v>60</v>
      </c>
      <c r="Q64" s="90" t="s">
        <v>6642</v>
      </c>
      <c r="R64" s="85"/>
      <c r="S64" s="85"/>
      <c r="T64" s="90"/>
      <c r="U64" s="16"/>
      <c r="V64" s="16"/>
      <c r="W64" s="234"/>
      <c r="X64" s="234"/>
      <c r="Y64" s="234"/>
      <c r="Z64" s="234"/>
      <c r="AA64" s="234"/>
      <c r="AB64" s="234"/>
      <c r="AC64" s="234"/>
      <c r="AD64" s="235"/>
    </row>
    <row r="65" spans="1:30">
      <c r="A65" s="121" t="s">
        <v>2778</v>
      </c>
      <c r="B65" s="130"/>
      <c r="C65" s="118" t="s">
        <v>3817</v>
      </c>
      <c r="D65" s="141"/>
      <c r="E65" s="118"/>
      <c r="F65" s="118"/>
      <c r="G65" s="118" t="s">
        <v>3001</v>
      </c>
      <c r="H65" s="118" t="s">
        <v>3358</v>
      </c>
      <c r="I65" s="118" t="s">
        <v>2236</v>
      </c>
      <c r="J65" s="118" t="s">
        <v>7248</v>
      </c>
      <c r="K65" s="141"/>
      <c r="L65" s="135" t="str">
        <f t="shared" si="1"/>
        <v>Kobus ellipsiprymnus</v>
      </c>
      <c r="M65" s="133">
        <f t="shared" si="2"/>
        <v>5.3222200000000006</v>
      </c>
      <c r="N65" s="133">
        <v>210000.34102666145</v>
      </c>
      <c r="O65" s="179" t="s">
        <v>7081</v>
      </c>
      <c r="P65" s="108" t="s">
        <v>2835</v>
      </c>
      <c r="Q65" s="90" t="s">
        <v>6642</v>
      </c>
    </row>
    <row r="66" spans="1:30">
      <c r="A66" s="121" t="s">
        <v>2778</v>
      </c>
      <c r="B66" s="130"/>
      <c r="C66" s="118" t="s">
        <v>3817</v>
      </c>
      <c r="D66" s="141"/>
      <c r="E66" s="118"/>
      <c r="F66" s="118"/>
      <c r="G66" s="118" t="s">
        <v>3001</v>
      </c>
      <c r="H66" s="118" t="s">
        <v>3358</v>
      </c>
      <c r="I66" s="118" t="s">
        <v>4904</v>
      </c>
      <c r="J66" s="118" t="s">
        <v>3891</v>
      </c>
      <c r="K66" s="141"/>
      <c r="L66" s="135" t="str">
        <f t="shared" si="1"/>
        <v>Litocranius walleri</v>
      </c>
      <c r="M66" s="133">
        <f t="shared" si="2"/>
        <v>4.5797800000000013</v>
      </c>
      <c r="N66" s="133">
        <v>37999.685303685583</v>
      </c>
      <c r="O66" s="179" t="s">
        <v>7081</v>
      </c>
      <c r="P66" s="108" t="s">
        <v>2835</v>
      </c>
      <c r="Q66" s="90" t="s">
        <v>6642</v>
      </c>
      <c r="S66" s="90"/>
    </row>
    <row r="67" spans="1:30" ht="15" customHeight="1">
      <c r="A67" s="118" t="s">
        <v>2778</v>
      </c>
      <c r="B67" s="141" t="s">
        <v>2610</v>
      </c>
      <c r="C67" s="118" t="s">
        <v>3817</v>
      </c>
      <c r="D67" s="141"/>
      <c r="E67" s="118"/>
      <c r="F67" s="118"/>
      <c r="G67" s="118" t="s">
        <v>3001</v>
      </c>
      <c r="H67" s="118" t="s">
        <v>3358</v>
      </c>
      <c r="I67" s="118" t="s">
        <v>3892</v>
      </c>
      <c r="J67" s="118" t="s">
        <v>5726</v>
      </c>
      <c r="K67" s="141"/>
      <c r="L67" s="135" t="str">
        <f t="shared" si="1"/>
        <v>Madoqua piacentinii</v>
      </c>
      <c r="M67" s="133">
        <f t="shared" si="2"/>
        <v>3.3979400086720375</v>
      </c>
      <c r="N67" s="133">
        <v>2500</v>
      </c>
      <c r="O67" s="179" t="s">
        <v>7081</v>
      </c>
      <c r="P67" s="108">
        <v>70</v>
      </c>
      <c r="Q67" s="90" t="s">
        <v>6988</v>
      </c>
    </row>
    <row r="68" spans="1:30">
      <c r="A68" s="118" t="s">
        <v>2778</v>
      </c>
      <c r="B68" s="130"/>
      <c r="C68" s="118" t="s">
        <v>3817</v>
      </c>
      <c r="D68" s="141"/>
      <c r="E68" s="118"/>
      <c r="F68" s="118"/>
      <c r="G68" s="118" t="s">
        <v>3001</v>
      </c>
      <c r="H68" s="118" t="s">
        <v>3358</v>
      </c>
      <c r="I68" s="118" t="s">
        <v>3892</v>
      </c>
      <c r="J68" s="118" t="s">
        <v>3843</v>
      </c>
      <c r="K68" s="141"/>
      <c r="L68" s="135" t="str">
        <f t="shared" si="1"/>
        <v>Madoqua saltiana</v>
      </c>
      <c r="M68" s="133">
        <f t="shared" ref="M68:M99" si="3">LOG(N68)</f>
        <v>3.5118800000000006</v>
      </c>
      <c r="N68" s="133">
        <v>3249.9748485428022</v>
      </c>
      <c r="O68" s="179" t="s">
        <v>3356</v>
      </c>
      <c r="P68" s="108">
        <v>65</v>
      </c>
    </row>
    <row r="69" spans="1:30" ht="24" customHeight="1">
      <c r="A69" s="118" t="s">
        <v>2778</v>
      </c>
      <c r="B69" s="130"/>
      <c r="C69" s="118" t="s">
        <v>3817</v>
      </c>
      <c r="D69" s="141"/>
      <c r="E69" s="118"/>
      <c r="F69" s="118"/>
      <c r="G69" s="118" t="s">
        <v>3001</v>
      </c>
      <c r="H69" s="118" t="s">
        <v>3358</v>
      </c>
      <c r="I69" s="118" t="s">
        <v>3892</v>
      </c>
      <c r="J69" s="118" t="s">
        <v>3896</v>
      </c>
      <c r="K69" s="141"/>
      <c r="L69" s="135" t="str">
        <f t="shared" ref="L69:L132" si="4">I69&amp;" "&amp;J69</f>
        <v>Madoqua kirkii</v>
      </c>
      <c r="M69" s="133">
        <f t="shared" si="3"/>
        <v>3.7242800000000007</v>
      </c>
      <c r="N69" s="133">
        <v>5300.0504063966555</v>
      </c>
      <c r="O69" s="179" t="s">
        <v>3356</v>
      </c>
      <c r="P69" s="108" t="s">
        <v>2835</v>
      </c>
    </row>
    <row r="70" spans="1:30">
      <c r="A70" s="118" t="s">
        <v>2778</v>
      </c>
      <c r="B70" s="130"/>
      <c r="C70" s="118" t="s">
        <v>3817</v>
      </c>
      <c r="D70" s="141"/>
      <c r="E70" s="118"/>
      <c r="F70" s="118"/>
      <c r="G70" s="118" t="s">
        <v>3001</v>
      </c>
      <c r="H70" s="118" t="s">
        <v>3358</v>
      </c>
      <c r="I70" s="118" t="s">
        <v>3892</v>
      </c>
      <c r="J70" s="118" t="s">
        <v>3895</v>
      </c>
      <c r="K70" s="141"/>
      <c r="L70" s="135" t="str">
        <f t="shared" si="4"/>
        <v>Madoqua guentheri</v>
      </c>
      <c r="M70" s="133">
        <f t="shared" si="3"/>
        <v>3.8750599999999999</v>
      </c>
      <c r="N70" s="133">
        <v>7499.9781820300241</v>
      </c>
      <c r="O70" s="179" t="s">
        <v>3356</v>
      </c>
      <c r="P70" s="108" t="s">
        <v>2835</v>
      </c>
    </row>
    <row r="71" spans="1:30">
      <c r="A71" s="118" t="s">
        <v>2778</v>
      </c>
      <c r="B71" s="130"/>
      <c r="C71" s="118" t="s">
        <v>3817</v>
      </c>
      <c r="D71" s="141"/>
      <c r="E71" s="118"/>
      <c r="F71" s="118"/>
      <c r="G71" s="118" t="s">
        <v>3001</v>
      </c>
      <c r="H71" s="118" t="s">
        <v>3358</v>
      </c>
      <c r="I71" s="118" t="s">
        <v>4774</v>
      </c>
      <c r="J71" s="118" t="s">
        <v>7222</v>
      </c>
      <c r="K71" s="141"/>
      <c r="L71" s="135" t="str">
        <f t="shared" si="4"/>
        <v>Neotragus batesi</v>
      </c>
      <c r="M71" s="133">
        <f t="shared" si="3"/>
        <v>3.4771200000000007</v>
      </c>
      <c r="N71" s="133">
        <v>2999.9913327161544</v>
      </c>
      <c r="O71" s="179" t="s">
        <v>7081</v>
      </c>
      <c r="P71" s="108">
        <v>60</v>
      </c>
      <c r="Q71" s="90" t="s">
        <v>6642</v>
      </c>
    </row>
    <row r="72" spans="1:30" s="60" customFormat="1">
      <c r="A72" s="118" t="s">
        <v>2778</v>
      </c>
      <c r="B72" s="130"/>
      <c r="C72" s="118" t="s">
        <v>3817</v>
      </c>
      <c r="D72" s="141"/>
      <c r="E72" s="118"/>
      <c r="F72" s="118"/>
      <c r="G72" s="118" t="s">
        <v>3001</v>
      </c>
      <c r="H72" s="118" t="s">
        <v>3358</v>
      </c>
      <c r="I72" s="118" t="s">
        <v>4774</v>
      </c>
      <c r="J72" s="118" t="s">
        <v>7234</v>
      </c>
      <c r="K72" s="141"/>
      <c r="L72" s="135" t="str">
        <f t="shared" si="4"/>
        <v>Neotragus pygmaeus</v>
      </c>
      <c r="M72" s="133">
        <f t="shared" si="3"/>
        <v>3.6020600000000003</v>
      </c>
      <c r="N72" s="133">
        <v>4000.0000798724222</v>
      </c>
      <c r="O72" s="179" t="s">
        <v>7081</v>
      </c>
      <c r="P72" s="111">
        <v>60</v>
      </c>
      <c r="Q72" s="90" t="s">
        <v>6642</v>
      </c>
      <c r="R72" s="85"/>
      <c r="S72" s="85"/>
      <c r="T72" s="85"/>
      <c r="U72" s="16"/>
      <c r="V72" s="16"/>
      <c r="W72" s="59"/>
      <c r="X72" s="59"/>
      <c r="Y72" s="59"/>
      <c r="Z72" s="59"/>
      <c r="AA72" s="59"/>
      <c r="AB72" s="59"/>
      <c r="AC72" s="59"/>
      <c r="AD72" s="63"/>
    </row>
    <row r="73" spans="1:30">
      <c r="A73" s="118" t="s">
        <v>2778</v>
      </c>
      <c r="B73" s="130"/>
      <c r="C73" s="118" t="s">
        <v>3817</v>
      </c>
      <c r="D73" s="141"/>
      <c r="E73" s="118"/>
      <c r="F73" s="118"/>
      <c r="G73" s="118" t="s">
        <v>3001</v>
      </c>
      <c r="H73" s="118" t="s">
        <v>3358</v>
      </c>
      <c r="I73" s="118" t="s">
        <v>4774</v>
      </c>
      <c r="J73" s="118" t="s">
        <v>7233</v>
      </c>
      <c r="K73" s="141"/>
      <c r="L73" s="135" t="str">
        <f t="shared" si="4"/>
        <v>Neotragus moschatus</v>
      </c>
      <c r="M73" s="133">
        <f t="shared" si="3"/>
        <v>3.81291</v>
      </c>
      <c r="N73" s="133">
        <v>6499.9497619814347</v>
      </c>
      <c r="O73" s="179" t="s">
        <v>6641</v>
      </c>
      <c r="P73" s="108" t="s">
        <v>2835</v>
      </c>
      <c r="Q73" s="90" t="s">
        <v>6642</v>
      </c>
    </row>
    <row r="74" spans="1:30" s="60" customFormat="1" ht="25.5">
      <c r="A74" s="118" t="s">
        <v>2778</v>
      </c>
      <c r="B74" s="130"/>
      <c r="C74" s="118" t="s">
        <v>3817</v>
      </c>
      <c r="D74" s="141"/>
      <c r="E74" s="118"/>
      <c r="F74" s="118"/>
      <c r="G74" s="118" t="s">
        <v>3001</v>
      </c>
      <c r="H74" s="118" t="s">
        <v>3358</v>
      </c>
      <c r="I74" s="118" t="s">
        <v>7223</v>
      </c>
      <c r="J74" s="118" t="s">
        <v>7438</v>
      </c>
      <c r="K74" s="141"/>
      <c r="L74" s="135" t="str">
        <f t="shared" si="4"/>
        <v>Oreotragus oreotragus</v>
      </c>
      <c r="M74" s="133">
        <f t="shared" si="3"/>
        <v>4.1139400000000013</v>
      </c>
      <c r="N74" s="133">
        <v>12999.899653754575</v>
      </c>
      <c r="O74" s="179" t="s">
        <v>7018</v>
      </c>
      <c r="P74" s="108" t="s">
        <v>2835</v>
      </c>
      <c r="Q74" s="90" t="s">
        <v>6642</v>
      </c>
      <c r="R74" s="85"/>
      <c r="S74" s="85"/>
      <c r="T74" s="85"/>
      <c r="U74" s="16"/>
      <c r="V74" s="16"/>
      <c r="W74" s="59"/>
      <c r="X74" s="59"/>
      <c r="Y74" s="59"/>
      <c r="Z74" s="59"/>
      <c r="AA74" s="59"/>
      <c r="AB74" s="59"/>
      <c r="AC74" s="59"/>
      <c r="AD74" s="63"/>
    </row>
    <row r="75" spans="1:30" ht="25.5">
      <c r="A75" s="121" t="s">
        <v>2778</v>
      </c>
      <c r="B75" s="130"/>
      <c r="C75" s="118" t="s">
        <v>3817</v>
      </c>
      <c r="D75" s="141"/>
      <c r="E75" s="118"/>
      <c r="F75" s="118"/>
      <c r="G75" s="118" t="s">
        <v>3001</v>
      </c>
      <c r="H75" s="118" t="s">
        <v>3358</v>
      </c>
      <c r="I75" s="118" t="s">
        <v>7439</v>
      </c>
      <c r="J75" s="118" t="s">
        <v>7280</v>
      </c>
      <c r="K75" s="141"/>
      <c r="L75" s="135" t="str">
        <f t="shared" si="4"/>
        <v>Oryx gazella</v>
      </c>
      <c r="M75" s="133">
        <f t="shared" si="3"/>
        <v>5.2278900000000013</v>
      </c>
      <c r="N75" s="133">
        <v>169001.2823612215</v>
      </c>
      <c r="O75" s="179" t="s">
        <v>7019</v>
      </c>
      <c r="P75" s="108" t="s">
        <v>2835</v>
      </c>
      <c r="Q75" s="90" t="s">
        <v>6642</v>
      </c>
    </row>
    <row r="76" spans="1:30">
      <c r="A76" s="118" t="s">
        <v>2778</v>
      </c>
      <c r="B76" s="130"/>
      <c r="C76" s="118" t="s">
        <v>3817</v>
      </c>
      <c r="D76" s="141"/>
      <c r="E76" s="118"/>
      <c r="F76" s="118"/>
      <c r="G76" s="118" t="s">
        <v>3001</v>
      </c>
      <c r="H76" s="118" t="s">
        <v>3358</v>
      </c>
      <c r="I76" s="118" t="s">
        <v>7439</v>
      </c>
      <c r="J76" s="118" t="s">
        <v>7440</v>
      </c>
      <c r="K76" s="141"/>
      <c r="L76" s="135" t="str">
        <f t="shared" si="4"/>
        <v>Oryx dammah</v>
      </c>
      <c r="M76" s="133">
        <f t="shared" si="3"/>
        <v>5.3010299999999999</v>
      </c>
      <c r="N76" s="133">
        <v>200000.00199681061</v>
      </c>
      <c r="O76" s="179" t="s">
        <v>7081</v>
      </c>
      <c r="P76" s="108">
        <v>60</v>
      </c>
      <c r="Q76" s="90" t="s">
        <v>7008</v>
      </c>
    </row>
    <row r="77" spans="1:30">
      <c r="A77" s="121" t="s">
        <v>2778</v>
      </c>
      <c r="B77" s="130"/>
      <c r="C77" s="118" t="s">
        <v>3817</v>
      </c>
      <c r="D77" s="141"/>
      <c r="E77" s="118"/>
      <c r="F77" s="118"/>
      <c r="G77" s="118" t="s">
        <v>3001</v>
      </c>
      <c r="H77" s="118" t="s">
        <v>3358</v>
      </c>
      <c r="I77" s="118" t="s">
        <v>7441</v>
      </c>
      <c r="J77" s="118" t="s">
        <v>7442</v>
      </c>
      <c r="K77" s="141"/>
      <c r="L77" s="135" t="str">
        <f t="shared" si="4"/>
        <v>Ourebia ourebi</v>
      </c>
      <c r="M77" s="133">
        <f t="shared" si="3"/>
        <v>4.2367900000000001</v>
      </c>
      <c r="N77" s="133">
        <v>17250.035771133316</v>
      </c>
      <c r="O77" s="179" t="s">
        <v>7081</v>
      </c>
      <c r="P77" s="111" t="s">
        <v>2835</v>
      </c>
      <c r="Q77" s="90" t="s">
        <v>6642</v>
      </c>
    </row>
    <row r="78" spans="1:30">
      <c r="A78" s="118" t="s">
        <v>2778</v>
      </c>
      <c r="B78" s="130"/>
      <c r="C78" s="118" t="s">
        <v>3817</v>
      </c>
      <c r="D78" s="141"/>
      <c r="E78" s="118"/>
      <c r="F78" s="118"/>
      <c r="G78" s="118" t="s">
        <v>3001</v>
      </c>
      <c r="H78" s="118" t="s">
        <v>3358</v>
      </c>
      <c r="I78" s="118" t="s">
        <v>7443</v>
      </c>
      <c r="J78" s="118" t="s">
        <v>7224</v>
      </c>
      <c r="K78" s="141"/>
      <c r="L78" s="135" t="str">
        <f t="shared" si="4"/>
        <v>Pelea capreolus</v>
      </c>
      <c r="M78" s="133">
        <f t="shared" si="3"/>
        <v>4.3010300000000008</v>
      </c>
      <c r="N78" s="133">
        <v>20000.000199681075</v>
      </c>
      <c r="O78" s="179" t="s">
        <v>6773</v>
      </c>
      <c r="P78" s="108">
        <v>60</v>
      </c>
      <c r="Q78" s="90" t="s">
        <v>6642</v>
      </c>
    </row>
    <row r="79" spans="1:30" ht="15" customHeight="1">
      <c r="A79" s="121" t="s">
        <v>2778</v>
      </c>
      <c r="B79" s="130"/>
      <c r="C79" s="118" t="s">
        <v>3817</v>
      </c>
      <c r="D79" s="141"/>
      <c r="E79" s="118"/>
      <c r="F79" s="118"/>
      <c r="G79" s="118" t="s">
        <v>3001</v>
      </c>
      <c r="H79" s="118" t="s">
        <v>3358</v>
      </c>
      <c r="I79" s="118" t="s">
        <v>7235</v>
      </c>
      <c r="J79" s="118" t="s">
        <v>7225</v>
      </c>
      <c r="K79" s="141"/>
      <c r="L79" s="135" t="str">
        <f t="shared" si="4"/>
        <v>Raphicerus sharpei</v>
      </c>
      <c r="M79" s="133">
        <f t="shared" si="3"/>
        <v>3.9777200000000006</v>
      </c>
      <c r="N79" s="133">
        <v>9499.9211362259666</v>
      </c>
      <c r="O79" s="179" t="s">
        <v>7081</v>
      </c>
      <c r="P79" s="111" t="s">
        <v>2835</v>
      </c>
      <c r="Q79" s="90" t="s">
        <v>6642</v>
      </c>
    </row>
    <row r="80" spans="1:30">
      <c r="A80" s="118" t="s">
        <v>2778</v>
      </c>
      <c r="B80" s="130"/>
      <c r="C80" s="118" t="s">
        <v>3817</v>
      </c>
      <c r="D80" s="141"/>
      <c r="E80" s="118"/>
      <c r="F80" s="118"/>
      <c r="G80" s="118" t="s">
        <v>3001</v>
      </c>
      <c r="H80" s="118" t="s">
        <v>3358</v>
      </c>
      <c r="I80" s="118" t="s">
        <v>7235</v>
      </c>
      <c r="J80" s="118" t="s">
        <v>4633</v>
      </c>
      <c r="K80" s="141"/>
      <c r="L80" s="135" t="str">
        <f t="shared" si="4"/>
        <v>Raphicerus melanotis</v>
      </c>
      <c r="M80" s="133">
        <f t="shared" si="3"/>
        <v>4.010720000000001</v>
      </c>
      <c r="N80" s="133">
        <v>10249.908771372877</v>
      </c>
      <c r="O80" s="179" t="s">
        <v>7080</v>
      </c>
      <c r="P80" s="108">
        <v>60</v>
      </c>
      <c r="Q80" s="90" t="s">
        <v>6642</v>
      </c>
    </row>
    <row r="81" spans="1:20">
      <c r="A81" s="118" t="s">
        <v>2778</v>
      </c>
      <c r="B81" s="130"/>
      <c r="C81" s="118" t="s">
        <v>3817</v>
      </c>
      <c r="D81" s="141"/>
      <c r="E81" s="118"/>
      <c r="F81" s="118"/>
      <c r="G81" s="118" t="s">
        <v>3001</v>
      </c>
      <c r="H81" s="118" t="s">
        <v>3358</v>
      </c>
      <c r="I81" s="118" t="s">
        <v>7235</v>
      </c>
      <c r="J81" s="118" t="s">
        <v>3628</v>
      </c>
      <c r="K81" s="141"/>
      <c r="L81" s="135" t="str">
        <f t="shared" si="4"/>
        <v>Raphicerus campestris</v>
      </c>
      <c r="M81" s="133">
        <f t="shared" si="3"/>
        <v>4.0211900000000007</v>
      </c>
      <c r="N81" s="133">
        <v>10500.016946500356</v>
      </c>
      <c r="O81" s="179" t="s">
        <v>3356</v>
      </c>
      <c r="P81" s="108" t="s">
        <v>2835</v>
      </c>
    </row>
    <row r="82" spans="1:20" ht="25.5">
      <c r="A82" s="118" t="s">
        <v>2778</v>
      </c>
      <c r="B82" s="130"/>
      <c r="C82" s="118" t="s">
        <v>3817</v>
      </c>
      <c r="D82" s="141"/>
      <c r="E82" s="118"/>
      <c r="F82" s="118"/>
      <c r="G82" s="118" t="s">
        <v>3001</v>
      </c>
      <c r="H82" s="118" t="s">
        <v>3358</v>
      </c>
      <c r="I82" s="118" t="s">
        <v>7227</v>
      </c>
      <c r="J82" s="118" t="s">
        <v>2280</v>
      </c>
      <c r="K82" s="141"/>
      <c r="L82" s="135" t="str">
        <f t="shared" si="4"/>
        <v>Redunca fulvorufula</v>
      </c>
      <c r="M82" s="133">
        <f t="shared" si="3"/>
        <v>4.4698200000000003</v>
      </c>
      <c r="N82" s="133">
        <v>29499.863062460532</v>
      </c>
      <c r="O82" s="179" t="s">
        <v>7934</v>
      </c>
      <c r="P82" s="111" t="s">
        <v>2835</v>
      </c>
      <c r="Q82" s="90" t="s">
        <v>6642</v>
      </c>
      <c r="T82" s="90"/>
    </row>
    <row r="83" spans="1:20">
      <c r="A83" s="118" t="s">
        <v>2778</v>
      </c>
      <c r="B83" s="130"/>
      <c r="C83" s="121" t="s">
        <v>3817</v>
      </c>
      <c r="D83" s="156"/>
      <c r="E83" s="121"/>
      <c r="F83" s="121"/>
      <c r="G83" s="121" t="s">
        <v>3001</v>
      </c>
      <c r="H83" s="121" t="s">
        <v>3358</v>
      </c>
      <c r="I83" s="121" t="s">
        <v>7227</v>
      </c>
      <c r="J83" s="121" t="s">
        <v>7454</v>
      </c>
      <c r="K83" s="156"/>
      <c r="L83" s="135" t="str">
        <f t="shared" si="4"/>
        <v>Redunca redunca</v>
      </c>
      <c r="M83" s="133">
        <f t="shared" si="3"/>
        <v>4.6439500000000011</v>
      </c>
      <c r="N83" s="143">
        <v>44050.414567309555</v>
      </c>
      <c r="O83" s="179" t="s">
        <v>7081</v>
      </c>
      <c r="P83" s="108" t="s">
        <v>2835</v>
      </c>
      <c r="Q83" s="90" t="s">
        <v>6642</v>
      </c>
    </row>
    <row r="84" spans="1:20">
      <c r="A84" s="118" t="s">
        <v>2778</v>
      </c>
      <c r="B84" s="130"/>
      <c r="C84" s="118" t="s">
        <v>3817</v>
      </c>
      <c r="D84" s="141"/>
      <c r="E84" s="118"/>
      <c r="F84" s="118"/>
      <c r="G84" s="118" t="s">
        <v>3001</v>
      </c>
      <c r="H84" s="118" t="s">
        <v>3358</v>
      </c>
      <c r="I84" s="118" t="s">
        <v>7227</v>
      </c>
      <c r="J84" s="118" t="s">
        <v>7451</v>
      </c>
      <c r="K84" s="141"/>
      <c r="L84" s="135" t="str">
        <f t="shared" si="4"/>
        <v>Redunca arundinum</v>
      </c>
      <c r="M84" s="133">
        <f t="shared" si="3"/>
        <v>4.7634300000000005</v>
      </c>
      <c r="N84" s="133">
        <v>58000.267960159108</v>
      </c>
      <c r="O84" s="179" t="s">
        <v>6641</v>
      </c>
      <c r="P84" s="108" t="s">
        <v>2835</v>
      </c>
      <c r="Q84" s="90" t="s">
        <v>6642</v>
      </c>
    </row>
    <row r="85" spans="1:20">
      <c r="A85" s="121" t="s">
        <v>2778</v>
      </c>
      <c r="B85" s="130"/>
      <c r="C85" s="118" t="s">
        <v>3817</v>
      </c>
      <c r="D85" s="141"/>
      <c r="E85" s="118"/>
      <c r="F85" s="118"/>
      <c r="G85" s="118" t="s">
        <v>3001</v>
      </c>
      <c r="H85" s="118" t="s">
        <v>3358</v>
      </c>
      <c r="I85" s="118" t="s">
        <v>7683</v>
      </c>
      <c r="J85" s="118" t="s">
        <v>4785</v>
      </c>
      <c r="K85" s="141"/>
      <c r="L85" s="135" t="str">
        <f t="shared" si="4"/>
        <v>Sigmoceros lichtensteinii</v>
      </c>
      <c r="M85" s="133">
        <f t="shared" si="3"/>
        <v>5.2342600000000008</v>
      </c>
      <c r="N85" s="133">
        <v>171498.37131800401</v>
      </c>
      <c r="O85" s="179" t="s">
        <v>7081</v>
      </c>
      <c r="P85" s="108">
        <v>60</v>
      </c>
      <c r="Q85" s="90" t="s">
        <v>6642</v>
      </c>
    </row>
    <row r="86" spans="1:20">
      <c r="A86" s="118" t="s">
        <v>2778</v>
      </c>
      <c r="B86" s="130"/>
      <c r="C86" s="118" t="s">
        <v>3817</v>
      </c>
      <c r="D86" s="141"/>
      <c r="E86" s="118"/>
      <c r="F86" s="118"/>
      <c r="G86" s="118" t="s">
        <v>3001</v>
      </c>
      <c r="H86" s="118" t="s">
        <v>3358</v>
      </c>
      <c r="I86" s="118" t="s">
        <v>3888</v>
      </c>
      <c r="J86" s="118" t="s">
        <v>3889</v>
      </c>
      <c r="K86" s="141"/>
      <c r="L86" s="135" t="str">
        <f t="shared" si="4"/>
        <v>Sylvicapra grimmia</v>
      </c>
      <c r="M86" s="133">
        <f t="shared" si="3"/>
        <v>4.2900300000000007</v>
      </c>
      <c r="N86" s="133">
        <v>19499.792949034705</v>
      </c>
      <c r="O86" s="179" t="s">
        <v>3356</v>
      </c>
      <c r="P86" s="108" t="s">
        <v>2835</v>
      </c>
    </row>
    <row r="87" spans="1:20" ht="38.25">
      <c r="A87" s="118" t="s">
        <v>2778</v>
      </c>
      <c r="B87" s="130"/>
      <c r="C87" s="118" t="s">
        <v>3817</v>
      </c>
      <c r="D87" s="141"/>
      <c r="E87" s="118"/>
      <c r="F87" s="118"/>
      <c r="G87" s="118" t="s">
        <v>3001</v>
      </c>
      <c r="H87" s="118" t="s">
        <v>3358</v>
      </c>
      <c r="I87" s="118" t="s">
        <v>4301</v>
      </c>
      <c r="J87" s="118" t="s">
        <v>6514</v>
      </c>
      <c r="K87" s="141"/>
      <c r="L87" s="135" t="str">
        <f t="shared" si="4"/>
        <v>Syncerus caffer</v>
      </c>
      <c r="M87" s="133">
        <f t="shared" si="3"/>
        <v>5.7634299999999996</v>
      </c>
      <c r="N87" s="133">
        <v>580002.67960159073</v>
      </c>
      <c r="O87" s="179" t="s">
        <v>6729</v>
      </c>
      <c r="P87" s="108" t="s">
        <v>2835</v>
      </c>
      <c r="Q87" s="90" t="s">
        <v>6642</v>
      </c>
    </row>
    <row r="88" spans="1:20">
      <c r="A88" s="118" t="s">
        <v>2778</v>
      </c>
      <c r="B88" s="130"/>
      <c r="C88" s="118" t="s">
        <v>3817</v>
      </c>
      <c r="D88" s="141"/>
      <c r="E88" s="118"/>
      <c r="F88" s="118"/>
      <c r="G88" s="118" t="s">
        <v>3001</v>
      </c>
      <c r="H88" s="118" t="s">
        <v>3358</v>
      </c>
      <c r="I88" s="118" t="s">
        <v>3415</v>
      </c>
      <c r="J88" s="118" t="s">
        <v>3899</v>
      </c>
      <c r="K88" s="141"/>
      <c r="L88" s="135" t="str">
        <f t="shared" si="4"/>
        <v>Taurotragus oryx</v>
      </c>
      <c r="M88" s="133">
        <f t="shared" si="3"/>
        <v>5.7558700000000007</v>
      </c>
      <c r="N88" s="133">
        <v>569993.62709414295</v>
      </c>
      <c r="O88" s="179" t="s">
        <v>3356</v>
      </c>
      <c r="P88" s="108" t="s">
        <v>2835</v>
      </c>
    </row>
    <row r="89" spans="1:20">
      <c r="A89" s="118" t="s">
        <v>2778</v>
      </c>
      <c r="B89" s="130"/>
      <c r="C89" s="118" t="s">
        <v>3817</v>
      </c>
      <c r="D89" s="141"/>
      <c r="E89" s="118"/>
      <c r="F89" s="118"/>
      <c r="G89" s="118" t="s">
        <v>3001</v>
      </c>
      <c r="H89" s="118" t="s">
        <v>3358</v>
      </c>
      <c r="I89" s="118" t="s">
        <v>3415</v>
      </c>
      <c r="J89" s="118" t="s">
        <v>3062</v>
      </c>
      <c r="K89" s="141"/>
      <c r="L89" s="135" t="str">
        <f t="shared" si="4"/>
        <v>Taurotragus derbianus</v>
      </c>
      <c r="M89" s="133">
        <f t="shared" si="3"/>
        <v>5.8325089127062366</v>
      </c>
      <c r="N89" s="133">
        <v>680000</v>
      </c>
      <c r="O89" s="179" t="s">
        <v>6736</v>
      </c>
      <c r="P89" s="111">
        <v>68</v>
      </c>
      <c r="Q89" s="90" t="s">
        <v>6642</v>
      </c>
    </row>
    <row r="90" spans="1:20">
      <c r="A90" s="118" t="s">
        <v>2778</v>
      </c>
      <c r="B90" s="130"/>
      <c r="C90" s="118" t="s">
        <v>3817</v>
      </c>
      <c r="D90" s="141"/>
      <c r="E90" s="118"/>
      <c r="F90" s="118"/>
      <c r="G90" s="118" t="s">
        <v>3001</v>
      </c>
      <c r="H90" s="118" t="s">
        <v>3358</v>
      </c>
      <c r="I90" s="118" t="s">
        <v>3900</v>
      </c>
      <c r="J90" s="118" t="s">
        <v>4497</v>
      </c>
      <c r="K90" s="141"/>
      <c r="L90" s="135" t="str">
        <f t="shared" si="4"/>
        <v>Tragelaphus scriptus</v>
      </c>
      <c r="M90" s="133">
        <f t="shared" si="3"/>
        <v>4.6359899999999996</v>
      </c>
      <c r="N90" s="133">
        <v>43250.387215066643</v>
      </c>
      <c r="O90" s="179" t="s">
        <v>3356</v>
      </c>
      <c r="P90" s="108" t="s">
        <v>2835</v>
      </c>
    </row>
    <row r="91" spans="1:20">
      <c r="A91" s="118" t="s">
        <v>2778</v>
      </c>
      <c r="B91" s="130"/>
      <c r="C91" s="118" t="s">
        <v>3817</v>
      </c>
      <c r="D91" s="141"/>
      <c r="E91" s="118"/>
      <c r="F91" s="118"/>
      <c r="G91" s="118" t="s">
        <v>3001</v>
      </c>
      <c r="H91" s="118" t="s">
        <v>3358</v>
      </c>
      <c r="I91" s="118" t="s">
        <v>3900</v>
      </c>
      <c r="J91" s="118" t="s">
        <v>4063</v>
      </c>
      <c r="K91" s="141"/>
      <c r="L91" s="135" t="str">
        <f t="shared" si="4"/>
        <v>Tragelaphus spekii</v>
      </c>
      <c r="M91" s="133">
        <f t="shared" si="3"/>
        <v>4.8920899999999996</v>
      </c>
      <c r="N91" s="133">
        <v>77999.173353634396</v>
      </c>
      <c r="O91" s="179" t="s">
        <v>7081</v>
      </c>
      <c r="P91" s="108" t="s">
        <v>2835</v>
      </c>
      <c r="Q91" s="90" t="s">
        <v>6642</v>
      </c>
    </row>
    <row r="92" spans="1:20" ht="25.5">
      <c r="A92" s="118" t="s">
        <v>2778</v>
      </c>
      <c r="B92" s="130"/>
      <c r="C92" s="118" t="s">
        <v>3817</v>
      </c>
      <c r="D92" s="141"/>
      <c r="E92" s="118"/>
      <c r="F92" s="118"/>
      <c r="G92" s="118" t="s">
        <v>3001</v>
      </c>
      <c r="H92" s="118" t="s">
        <v>3358</v>
      </c>
      <c r="I92" s="118" t="s">
        <v>3900</v>
      </c>
      <c r="J92" s="118" t="s">
        <v>3417</v>
      </c>
      <c r="K92" s="141"/>
      <c r="L92" s="135" t="str">
        <f t="shared" si="4"/>
        <v>Tragelaphus imberbis</v>
      </c>
      <c r="M92" s="133">
        <f t="shared" si="3"/>
        <v>4.9115600000000006</v>
      </c>
      <c r="N92" s="133">
        <v>81575.548013253661</v>
      </c>
      <c r="O92" s="179" t="s">
        <v>6662</v>
      </c>
      <c r="P92" s="108" t="s">
        <v>2835</v>
      </c>
      <c r="Q92" s="90" t="s">
        <v>6642</v>
      </c>
    </row>
    <row r="93" spans="1:20" ht="36" customHeight="1">
      <c r="A93" s="118" t="s">
        <v>2778</v>
      </c>
      <c r="B93" s="130"/>
      <c r="C93" s="121" t="s">
        <v>3817</v>
      </c>
      <c r="D93" s="156"/>
      <c r="E93" s="121"/>
      <c r="F93" s="121"/>
      <c r="G93" s="121" t="s">
        <v>3001</v>
      </c>
      <c r="H93" s="118" t="s">
        <v>3358</v>
      </c>
      <c r="I93" s="121" t="s">
        <v>3900</v>
      </c>
      <c r="J93" s="121" t="s">
        <v>3901</v>
      </c>
      <c r="K93" s="156"/>
      <c r="L93" s="135" t="str">
        <f t="shared" si="4"/>
        <v>Tragelaphus angasii</v>
      </c>
      <c r="M93" s="133">
        <f t="shared" si="3"/>
        <v>4.9375200000000001</v>
      </c>
      <c r="N93" s="133">
        <v>86600.420340917175</v>
      </c>
      <c r="O93" s="179" t="s">
        <v>3356</v>
      </c>
      <c r="P93" s="108">
        <v>60</v>
      </c>
      <c r="Q93" s="90" t="s">
        <v>6642</v>
      </c>
    </row>
    <row r="94" spans="1:20">
      <c r="A94" s="121" t="s">
        <v>2778</v>
      </c>
      <c r="B94" s="130"/>
      <c r="C94" s="118" t="s">
        <v>3817</v>
      </c>
      <c r="D94" s="141"/>
      <c r="E94" s="118"/>
      <c r="F94" s="118"/>
      <c r="G94" s="118" t="s">
        <v>3001</v>
      </c>
      <c r="H94" s="118" t="s">
        <v>3358</v>
      </c>
      <c r="I94" s="118" t="s">
        <v>3900</v>
      </c>
      <c r="J94" s="118" t="s">
        <v>4064</v>
      </c>
      <c r="K94" s="141"/>
      <c r="L94" s="135" t="str">
        <f t="shared" si="4"/>
        <v>Tragelaphus strepsiceros</v>
      </c>
      <c r="M94" s="133">
        <f t="shared" si="3"/>
        <v>5.3293999999999997</v>
      </c>
      <c r="N94" s="133">
        <v>213501.04251272275</v>
      </c>
      <c r="O94" s="179" t="s">
        <v>3356</v>
      </c>
      <c r="P94" s="108" t="s">
        <v>2835</v>
      </c>
      <c r="Q94" s="90" t="s">
        <v>6642</v>
      </c>
    </row>
    <row r="95" spans="1:20">
      <c r="A95" s="118" t="s">
        <v>2778</v>
      </c>
      <c r="B95" s="130"/>
      <c r="C95" s="118" t="s">
        <v>3817</v>
      </c>
      <c r="D95" s="141"/>
      <c r="E95" s="118"/>
      <c r="F95" s="118"/>
      <c r="G95" s="118" t="s">
        <v>3001</v>
      </c>
      <c r="H95" s="118" t="s">
        <v>3358</v>
      </c>
      <c r="I95" s="118" t="s">
        <v>3900</v>
      </c>
      <c r="J95" s="118" t="s">
        <v>3883</v>
      </c>
      <c r="K95" s="141"/>
      <c r="L95" s="135" t="str">
        <f t="shared" si="4"/>
        <v>Tragelaphus buxtoni</v>
      </c>
      <c r="M95" s="133">
        <f t="shared" si="3"/>
        <v>5.3324400000000001</v>
      </c>
      <c r="N95" s="133">
        <v>215000.76242905634</v>
      </c>
      <c r="O95" s="179" t="s">
        <v>7080</v>
      </c>
      <c r="P95" s="108">
        <v>65</v>
      </c>
      <c r="Q95" s="90" t="s">
        <v>6640</v>
      </c>
    </row>
    <row r="96" spans="1:20">
      <c r="A96" s="118" t="s">
        <v>2778</v>
      </c>
      <c r="B96" s="130"/>
      <c r="C96" s="118" t="s">
        <v>3817</v>
      </c>
      <c r="D96" s="141"/>
      <c r="E96" s="118"/>
      <c r="F96" s="118"/>
      <c r="G96" s="118" t="s">
        <v>3001</v>
      </c>
      <c r="H96" s="118" t="s">
        <v>3358</v>
      </c>
      <c r="I96" s="118" t="s">
        <v>3900</v>
      </c>
      <c r="J96" s="118" t="s">
        <v>3416</v>
      </c>
      <c r="K96" s="141"/>
      <c r="L96" s="135" t="str">
        <f t="shared" si="4"/>
        <v>Tragelaphus eurycerus</v>
      </c>
      <c r="M96" s="133">
        <f t="shared" si="3"/>
        <v>5.5171999999999999</v>
      </c>
      <c r="N96" s="133">
        <v>329003.10752470582</v>
      </c>
      <c r="O96" s="179" t="s">
        <v>7081</v>
      </c>
      <c r="P96" s="108">
        <v>60</v>
      </c>
      <c r="Q96" s="90" t="s">
        <v>6642</v>
      </c>
    </row>
    <row r="97" spans="1:19">
      <c r="A97" s="118" t="s">
        <v>2778</v>
      </c>
      <c r="B97" s="130"/>
      <c r="C97" s="118" t="s">
        <v>3817</v>
      </c>
      <c r="D97" s="141"/>
      <c r="E97" s="118"/>
      <c r="F97" s="118"/>
      <c r="G97" s="118" t="s">
        <v>3001</v>
      </c>
      <c r="H97" s="118" t="s">
        <v>3905</v>
      </c>
      <c r="I97" s="118" t="s">
        <v>3906</v>
      </c>
      <c r="J97" s="118" t="s">
        <v>3863</v>
      </c>
      <c r="K97" s="141"/>
      <c r="L97" s="135" t="str">
        <f t="shared" si="4"/>
        <v>Cervus elaphus</v>
      </c>
      <c r="M97" s="133">
        <f t="shared" si="3"/>
        <v>5.1938200000000005</v>
      </c>
      <c r="N97" s="133">
        <v>156249.99063995146</v>
      </c>
      <c r="O97" s="179" t="s">
        <v>3356</v>
      </c>
      <c r="P97" s="108">
        <v>65</v>
      </c>
    </row>
    <row r="98" spans="1:19">
      <c r="A98" s="118" t="s">
        <v>2778</v>
      </c>
      <c r="B98" s="130"/>
      <c r="C98" s="118" t="s">
        <v>3817</v>
      </c>
      <c r="D98" s="141"/>
      <c r="E98" s="118"/>
      <c r="F98" s="118"/>
      <c r="G98" s="118" t="s">
        <v>3001</v>
      </c>
      <c r="H98" s="118" t="s">
        <v>3724</v>
      </c>
      <c r="I98" s="118" t="s">
        <v>3725</v>
      </c>
      <c r="J98" s="118" t="s">
        <v>3726</v>
      </c>
      <c r="K98" s="141"/>
      <c r="L98" s="135" t="str">
        <f t="shared" si="4"/>
        <v>Giraffa camelopardalis</v>
      </c>
      <c r="M98" s="133">
        <f t="shared" si="3"/>
        <v>5.9542400000000013</v>
      </c>
      <c r="N98" s="133">
        <v>899994.79963720404</v>
      </c>
      <c r="O98" s="179" t="s">
        <v>6641</v>
      </c>
      <c r="P98" s="111" t="s">
        <v>2835</v>
      </c>
      <c r="Q98" s="90" t="s">
        <v>6642</v>
      </c>
    </row>
    <row r="99" spans="1:19">
      <c r="A99" s="118" t="s">
        <v>2778</v>
      </c>
      <c r="B99" s="130"/>
      <c r="C99" s="118" t="s">
        <v>3817</v>
      </c>
      <c r="D99" s="141"/>
      <c r="E99" s="118"/>
      <c r="F99" s="118"/>
      <c r="G99" s="118" t="s">
        <v>3001</v>
      </c>
      <c r="H99" s="118" t="s">
        <v>3724</v>
      </c>
      <c r="I99" s="118" t="s">
        <v>3476</v>
      </c>
      <c r="J99" s="118" t="s">
        <v>3718</v>
      </c>
      <c r="K99" s="141"/>
      <c r="L99" s="135" t="str">
        <f t="shared" si="4"/>
        <v>Okapia johnstoni</v>
      </c>
      <c r="M99" s="133">
        <f t="shared" si="3"/>
        <v>5.3617300000000006</v>
      </c>
      <c r="N99" s="133">
        <v>230001.14603619074</v>
      </c>
      <c r="O99" s="179" t="s">
        <v>7081</v>
      </c>
      <c r="P99" s="108" t="s">
        <v>2835</v>
      </c>
      <c r="Q99" s="90" t="s">
        <v>6642</v>
      </c>
    </row>
    <row r="100" spans="1:19">
      <c r="A100" s="118" t="s">
        <v>2778</v>
      </c>
      <c r="B100" s="130"/>
      <c r="C100" s="118" t="s">
        <v>3817</v>
      </c>
      <c r="D100" s="141"/>
      <c r="E100" s="118"/>
      <c r="F100" s="118"/>
      <c r="G100" s="118" t="s">
        <v>3001</v>
      </c>
      <c r="H100" s="118" t="s">
        <v>3719</v>
      </c>
      <c r="I100" s="118" t="s">
        <v>3720</v>
      </c>
      <c r="J100" s="118" t="s">
        <v>3721</v>
      </c>
      <c r="K100" s="141"/>
      <c r="L100" s="135" t="str">
        <f t="shared" si="4"/>
        <v>Hexaprotodon liberiensis</v>
      </c>
      <c r="M100" s="133">
        <f t="shared" ref="M100:M131" si="5">LOG(N100)</f>
        <v>5.3710700000000005</v>
      </c>
      <c r="N100" s="133">
        <v>235001.15674363667</v>
      </c>
      <c r="O100" s="179" t="s">
        <v>7081</v>
      </c>
      <c r="P100" s="108">
        <v>60</v>
      </c>
      <c r="Q100" s="90" t="s">
        <v>6988</v>
      </c>
    </row>
    <row r="101" spans="1:19">
      <c r="A101" s="118" t="s">
        <v>2778</v>
      </c>
      <c r="B101" s="130"/>
      <c r="C101" s="118" t="s">
        <v>3817</v>
      </c>
      <c r="D101" s="141"/>
      <c r="E101" s="118"/>
      <c r="F101" s="118"/>
      <c r="G101" s="118" t="s">
        <v>3001</v>
      </c>
      <c r="H101" s="118" t="s">
        <v>3719</v>
      </c>
      <c r="I101" s="118" t="s">
        <v>3722</v>
      </c>
      <c r="J101" s="118" t="s">
        <v>3723</v>
      </c>
      <c r="K101" s="141"/>
      <c r="L101" s="135" t="str">
        <f t="shared" si="4"/>
        <v>Hippopotamus amphibius</v>
      </c>
      <c r="M101" s="133">
        <f t="shared" si="5"/>
        <v>6.1515199999999997</v>
      </c>
      <c r="N101" s="133">
        <v>1417489.98776606</v>
      </c>
      <c r="O101" s="179" t="s">
        <v>3356</v>
      </c>
      <c r="P101" s="108" t="s">
        <v>2835</v>
      </c>
    </row>
    <row r="102" spans="1:19">
      <c r="A102" s="118" t="s">
        <v>2778</v>
      </c>
      <c r="B102" s="130"/>
      <c r="C102" s="118" t="s">
        <v>3817</v>
      </c>
      <c r="D102" s="141"/>
      <c r="E102" s="118"/>
      <c r="F102" s="118"/>
      <c r="G102" s="118" t="s">
        <v>3001</v>
      </c>
      <c r="H102" s="118" t="s">
        <v>3267</v>
      </c>
      <c r="I102" s="118" t="s">
        <v>3064</v>
      </c>
      <c r="J102" s="118" t="s">
        <v>3479</v>
      </c>
      <c r="K102" s="141"/>
      <c r="L102" s="135" t="str">
        <f t="shared" si="4"/>
        <v>Hylochoerus meinertzhageni</v>
      </c>
      <c r="M102" s="133">
        <f t="shared" si="5"/>
        <v>5.2753113545418113</v>
      </c>
      <c r="N102" s="133">
        <f>AVERAGE(145000, 275000, 130000, 204000)</f>
        <v>188500</v>
      </c>
      <c r="O102" s="179" t="s">
        <v>3356</v>
      </c>
      <c r="P102" s="108">
        <v>116</v>
      </c>
    </row>
    <row r="103" spans="1:19">
      <c r="A103" s="118" t="s">
        <v>2778</v>
      </c>
      <c r="B103" s="130"/>
      <c r="C103" s="118" t="s">
        <v>3817</v>
      </c>
      <c r="D103" s="141"/>
      <c r="E103" s="118"/>
      <c r="F103" s="118"/>
      <c r="G103" s="118" t="s">
        <v>3001</v>
      </c>
      <c r="H103" s="118" t="s">
        <v>3267</v>
      </c>
      <c r="I103" s="118" t="s">
        <v>3480</v>
      </c>
      <c r="J103" s="118" t="s">
        <v>3481</v>
      </c>
      <c r="K103" s="141"/>
      <c r="L103" s="135" t="str">
        <f t="shared" si="4"/>
        <v>Phacochoerus aethiopicus</v>
      </c>
      <c r="M103" s="133">
        <f t="shared" si="5"/>
        <v>4.8512599999999999</v>
      </c>
      <c r="N103" s="133">
        <v>71000.269957767028</v>
      </c>
      <c r="O103" s="179" t="s">
        <v>3356</v>
      </c>
      <c r="P103" s="108" t="s">
        <v>2835</v>
      </c>
    </row>
    <row r="104" spans="1:19" ht="38.25">
      <c r="A104" s="121" t="s">
        <v>2778</v>
      </c>
      <c r="B104" s="141" t="s">
        <v>4733</v>
      </c>
      <c r="C104" s="118" t="s">
        <v>3817</v>
      </c>
      <c r="D104" s="141"/>
      <c r="E104" s="118"/>
      <c r="F104" s="118"/>
      <c r="G104" s="118" t="s">
        <v>3001</v>
      </c>
      <c r="H104" s="118" t="s">
        <v>3267</v>
      </c>
      <c r="I104" s="118" t="s">
        <v>3480</v>
      </c>
      <c r="J104" s="118" t="s">
        <v>7242</v>
      </c>
      <c r="K104" s="141"/>
      <c r="L104" s="135" t="str">
        <f t="shared" si="4"/>
        <v>Phacochoerus africanus</v>
      </c>
      <c r="M104" s="133">
        <f t="shared" si="5"/>
        <v>4.9164539485499255</v>
      </c>
      <c r="N104" s="133">
        <f>AVERAGE(60000, 105000)</f>
        <v>82500</v>
      </c>
      <c r="O104" s="179" t="s">
        <v>6949</v>
      </c>
      <c r="P104" s="111">
        <v>70</v>
      </c>
      <c r="Q104" s="82"/>
    </row>
    <row r="105" spans="1:19">
      <c r="A105" s="118" t="s">
        <v>2778</v>
      </c>
      <c r="B105" s="130"/>
      <c r="C105" s="118" t="s">
        <v>3817</v>
      </c>
      <c r="D105" s="141"/>
      <c r="E105" s="118"/>
      <c r="F105" s="118"/>
      <c r="G105" s="118" t="s">
        <v>3001</v>
      </c>
      <c r="H105" s="118" t="s">
        <v>3267</v>
      </c>
      <c r="I105" s="118" t="s">
        <v>3482</v>
      </c>
      <c r="J105" s="118" t="s">
        <v>3483</v>
      </c>
      <c r="K105" s="141"/>
      <c r="L105" s="135" t="str">
        <f t="shared" si="4"/>
        <v>Potamochoerus porcus</v>
      </c>
      <c r="M105" s="133">
        <f t="shared" si="5"/>
        <v>4.8451000000000004</v>
      </c>
      <c r="N105" s="133">
        <v>70000.315913089813</v>
      </c>
      <c r="O105" s="179" t="s">
        <v>3356</v>
      </c>
      <c r="P105" s="108" t="s">
        <v>2835</v>
      </c>
    </row>
    <row r="106" spans="1:19" ht="38.25">
      <c r="A106" s="118" t="s">
        <v>2778</v>
      </c>
      <c r="B106" s="141" t="s">
        <v>7500</v>
      </c>
      <c r="C106" s="118" t="s">
        <v>3817</v>
      </c>
      <c r="D106" s="141"/>
      <c r="E106" s="118"/>
      <c r="F106" s="118"/>
      <c r="G106" s="118" t="s">
        <v>3001</v>
      </c>
      <c r="H106" s="118" t="s">
        <v>3267</v>
      </c>
      <c r="I106" s="118" t="s">
        <v>3482</v>
      </c>
      <c r="J106" s="118" t="s">
        <v>5823</v>
      </c>
      <c r="K106" s="141"/>
      <c r="L106" s="135" t="str">
        <f t="shared" si="4"/>
        <v>Potamochoerus larvatus</v>
      </c>
      <c r="M106" s="133">
        <f t="shared" si="5"/>
        <v>4.989004615698537</v>
      </c>
      <c r="N106" s="133">
        <f>AVERAGE(45000, 150000)</f>
        <v>97500</v>
      </c>
      <c r="O106" s="179" t="s">
        <v>3356</v>
      </c>
      <c r="P106" s="108">
        <v>70</v>
      </c>
    </row>
    <row r="107" spans="1:19">
      <c r="A107" s="118" t="s">
        <v>2778</v>
      </c>
      <c r="B107" s="130"/>
      <c r="C107" s="118" t="s">
        <v>3817</v>
      </c>
      <c r="D107" s="141"/>
      <c r="E107" s="118"/>
      <c r="F107" s="118"/>
      <c r="G107" s="118" t="s">
        <v>3001</v>
      </c>
      <c r="H107" s="118" t="s">
        <v>3951</v>
      </c>
      <c r="I107" s="118" t="s">
        <v>3952</v>
      </c>
      <c r="J107" s="118" t="s">
        <v>3953</v>
      </c>
      <c r="K107" s="141"/>
      <c r="L107" s="135" t="str">
        <f t="shared" si="4"/>
        <v>Hyemoschus aquaticus</v>
      </c>
      <c r="M107" s="133">
        <f t="shared" si="5"/>
        <v>4.0354299999999999</v>
      </c>
      <c r="N107" s="133">
        <v>10850.006540950035</v>
      </c>
      <c r="O107" s="179" t="s">
        <v>7081</v>
      </c>
      <c r="P107" s="108">
        <v>60</v>
      </c>
      <c r="Q107" s="90" t="s">
        <v>6987</v>
      </c>
    </row>
    <row r="108" spans="1:19">
      <c r="A108" s="118" t="s">
        <v>2778</v>
      </c>
      <c r="B108" s="130"/>
      <c r="C108" s="118" t="s">
        <v>3817</v>
      </c>
      <c r="D108" s="141"/>
      <c r="E108" s="118"/>
      <c r="F108" s="118"/>
      <c r="G108" s="118" t="s">
        <v>3954</v>
      </c>
      <c r="H108" s="118" t="s">
        <v>3955</v>
      </c>
      <c r="I108" s="118" t="s">
        <v>3956</v>
      </c>
      <c r="J108" s="118" t="s">
        <v>7365</v>
      </c>
      <c r="K108" s="141"/>
      <c r="L108" s="135" t="str">
        <f t="shared" si="4"/>
        <v>Canis mesomelas</v>
      </c>
      <c r="M108" s="133">
        <f t="shared" si="5"/>
        <v>3.9294200000000004</v>
      </c>
      <c r="N108" s="133">
        <v>8500.0210259171836</v>
      </c>
      <c r="O108" s="179" t="s">
        <v>3356</v>
      </c>
      <c r="P108" s="108" t="s">
        <v>2835</v>
      </c>
      <c r="S108" s="90"/>
    </row>
    <row r="109" spans="1:19" ht="38.25">
      <c r="A109" s="118" t="s">
        <v>2778</v>
      </c>
      <c r="B109" s="130"/>
      <c r="C109" s="118" t="s">
        <v>3817</v>
      </c>
      <c r="D109" s="141"/>
      <c r="E109" s="118"/>
      <c r="F109" s="118"/>
      <c r="G109" s="118" t="s">
        <v>3954</v>
      </c>
      <c r="H109" s="118" t="s">
        <v>3955</v>
      </c>
      <c r="I109" s="118" t="s">
        <v>3956</v>
      </c>
      <c r="J109" s="118" t="s">
        <v>7127</v>
      </c>
      <c r="K109" s="141"/>
      <c r="L109" s="135" t="str">
        <f t="shared" si="4"/>
        <v>Canis simensis</v>
      </c>
      <c r="M109" s="133">
        <f t="shared" si="5"/>
        <v>4</v>
      </c>
      <c r="N109" s="133">
        <v>10000</v>
      </c>
      <c r="O109" s="179" t="s">
        <v>7974</v>
      </c>
      <c r="P109" s="108">
        <v>65</v>
      </c>
      <c r="Q109" s="90" t="s">
        <v>7071</v>
      </c>
    </row>
    <row r="110" spans="1:19">
      <c r="A110" s="118" t="s">
        <v>2778</v>
      </c>
      <c r="B110" s="130"/>
      <c r="C110" s="118" t="s">
        <v>3817</v>
      </c>
      <c r="D110" s="141"/>
      <c r="E110" s="118"/>
      <c r="F110" s="118"/>
      <c r="G110" s="118" t="s">
        <v>3954</v>
      </c>
      <c r="H110" s="118" t="s">
        <v>3955</v>
      </c>
      <c r="I110" s="118" t="s">
        <v>3956</v>
      </c>
      <c r="J110" s="118" t="s">
        <v>3957</v>
      </c>
      <c r="K110" s="141"/>
      <c r="L110" s="135" t="str">
        <f t="shared" si="4"/>
        <v>Canis adustus</v>
      </c>
      <c r="M110" s="133">
        <f t="shared" si="5"/>
        <v>4.010720000000001</v>
      </c>
      <c r="N110" s="133">
        <v>10249.908771372877</v>
      </c>
      <c r="O110" s="179" t="s">
        <v>3356</v>
      </c>
      <c r="P110" s="108" t="s">
        <v>2835</v>
      </c>
    </row>
    <row r="111" spans="1:19">
      <c r="A111" s="118" t="s">
        <v>2778</v>
      </c>
      <c r="B111" s="130"/>
      <c r="C111" s="118" t="s">
        <v>3817</v>
      </c>
      <c r="D111" s="141"/>
      <c r="E111" s="118"/>
      <c r="F111" s="118"/>
      <c r="G111" s="118" t="s">
        <v>3954</v>
      </c>
      <c r="H111" s="118" t="s">
        <v>3955</v>
      </c>
      <c r="I111" s="118" t="s">
        <v>3956</v>
      </c>
      <c r="J111" s="118" t="s">
        <v>7364</v>
      </c>
      <c r="K111" s="141"/>
      <c r="L111" s="135" t="str">
        <f t="shared" si="4"/>
        <v>Canis aureus</v>
      </c>
      <c r="M111" s="133">
        <f t="shared" si="5"/>
        <v>4.0413899999999998</v>
      </c>
      <c r="N111" s="133">
        <v>10999.931989351941</v>
      </c>
      <c r="O111" s="179" t="s">
        <v>3356</v>
      </c>
      <c r="P111" s="108" t="s">
        <v>2835</v>
      </c>
    </row>
    <row r="112" spans="1:19" ht="76.5">
      <c r="A112" s="118" t="s">
        <v>2778</v>
      </c>
      <c r="B112" s="130"/>
      <c r="C112" s="118" t="s">
        <v>3817</v>
      </c>
      <c r="D112" s="141"/>
      <c r="E112" s="118"/>
      <c r="F112" s="118"/>
      <c r="G112" s="118" t="s">
        <v>3954</v>
      </c>
      <c r="H112" s="118" t="s">
        <v>3955</v>
      </c>
      <c r="I112" s="118" t="s">
        <v>7128</v>
      </c>
      <c r="J112" s="118" t="s">
        <v>7639</v>
      </c>
      <c r="K112" s="141"/>
      <c r="L112" s="135" t="str">
        <f t="shared" si="4"/>
        <v>Lycaon pictus</v>
      </c>
      <c r="M112" s="133">
        <f t="shared" si="5"/>
        <v>4.3434100000000013</v>
      </c>
      <c r="N112" s="133">
        <v>22050.071395508028</v>
      </c>
      <c r="O112" s="179" t="s">
        <v>6709</v>
      </c>
      <c r="P112" s="108">
        <v>60</v>
      </c>
      <c r="Q112" s="90" t="s">
        <v>6640</v>
      </c>
    </row>
    <row r="113" spans="1:17">
      <c r="A113" s="118" t="s">
        <v>2778</v>
      </c>
      <c r="B113" s="130"/>
      <c r="C113" s="118" t="s">
        <v>3817</v>
      </c>
      <c r="D113" s="141"/>
      <c r="E113" s="118"/>
      <c r="F113" s="118"/>
      <c r="G113" s="118" t="s">
        <v>3954</v>
      </c>
      <c r="H113" s="118" t="s">
        <v>3955</v>
      </c>
      <c r="I113" s="118" t="s">
        <v>7640</v>
      </c>
      <c r="J113" s="118" t="s">
        <v>2000</v>
      </c>
      <c r="K113" s="141"/>
      <c r="L113" s="135" t="str">
        <f t="shared" si="4"/>
        <v>Otocyon megalotis</v>
      </c>
      <c r="M113" s="133">
        <f t="shared" si="5"/>
        <v>3.6180500000000002</v>
      </c>
      <c r="N113" s="133">
        <v>4150.0181873416614</v>
      </c>
      <c r="O113" s="179" t="s">
        <v>3356</v>
      </c>
      <c r="P113" s="108" t="s">
        <v>2835</v>
      </c>
    </row>
    <row r="114" spans="1:17">
      <c r="A114" s="118" t="s">
        <v>2778</v>
      </c>
      <c r="B114" s="130"/>
      <c r="C114" s="121" t="s">
        <v>3817</v>
      </c>
      <c r="D114" s="156"/>
      <c r="E114" s="121"/>
      <c r="F114" s="121"/>
      <c r="G114" s="121" t="s">
        <v>3954</v>
      </c>
      <c r="H114" s="121" t="s">
        <v>3955</v>
      </c>
      <c r="I114" s="121" t="s">
        <v>4544</v>
      </c>
      <c r="J114" s="121" t="s">
        <v>4677</v>
      </c>
      <c r="K114" s="156"/>
      <c r="L114" s="135" t="str">
        <f t="shared" si="4"/>
        <v>Vulpes zerda</v>
      </c>
      <c r="M114" s="133">
        <f t="shared" si="5"/>
        <v>3.0413926851582249</v>
      </c>
      <c r="N114" s="133">
        <v>1100</v>
      </c>
      <c r="O114" s="179" t="s">
        <v>6773</v>
      </c>
      <c r="P114" s="114">
        <v>75</v>
      </c>
      <c r="Q114" s="90" t="s">
        <v>6987</v>
      </c>
    </row>
    <row r="115" spans="1:17">
      <c r="A115" s="118" t="s">
        <v>2778</v>
      </c>
      <c r="B115" s="130"/>
      <c r="C115" s="118" t="s">
        <v>3817</v>
      </c>
      <c r="D115" s="141"/>
      <c r="E115" s="118"/>
      <c r="F115" s="118"/>
      <c r="G115" s="118" t="s">
        <v>3954</v>
      </c>
      <c r="H115" s="118" t="s">
        <v>3955</v>
      </c>
      <c r="I115" s="118" t="s">
        <v>4544</v>
      </c>
      <c r="J115" s="118" t="s">
        <v>4546</v>
      </c>
      <c r="K115" s="141"/>
      <c r="L115" s="135" t="str">
        <f t="shared" si="4"/>
        <v>Vulpes pallida</v>
      </c>
      <c r="M115" s="133">
        <f t="shared" si="5"/>
        <v>3.4471600000000002</v>
      </c>
      <c r="N115" s="133">
        <v>2800.012692434535</v>
      </c>
      <c r="O115" s="179" t="s">
        <v>3356</v>
      </c>
      <c r="P115" s="108">
        <v>65</v>
      </c>
      <c r="Q115" s="90" t="s">
        <v>6987</v>
      </c>
    </row>
    <row r="116" spans="1:17">
      <c r="A116" s="118" t="s">
        <v>2778</v>
      </c>
      <c r="B116" s="130"/>
      <c r="C116" s="118" t="s">
        <v>3817</v>
      </c>
      <c r="D116" s="141"/>
      <c r="E116" s="118"/>
      <c r="F116" s="118"/>
      <c r="G116" s="118" t="s">
        <v>3954</v>
      </c>
      <c r="H116" s="118" t="s">
        <v>3955</v>
      </c>
      <c r="I116" s="118" t="s">
        <v>4544</v>
      </c>
      <c r="J116" s="118" t="s">
        <v>4545</v>
      </c>
      <c r="K116" s="141"/>
      <c r="L116" s="135" t="str">
        <f t="shared" si="4"/>
        <v>Vulpes chama</v>
      </c>
      <c r="M116" s="133">
        <f t="shared" si="5"/>
        <v>3.4705599999999999</v>
      </c>
      <c r="N116" s="133">
        <v>2955.0171109806356</v>
      </c>
      <c r="O116" s="179" t="s">
        <v>3356</v>
      </c>
      <c r="P116" s="108">
        <v>60</v>
      </c>
    </row>
    <row r="117" spans="1:17" ht="25.5">
      <c r="A117" s="118" t="s">
        <v>2778</v>
      </c>
      <c r="B117" s="130"/>
      <c r="C117" s="118" t="s">
        <v>3817</v>
      </c>
      <c r="D117" s="141"/>
      <c r="E117" s="118"/>
      <c r="F117" s="118"/>
      <c r="G117" s="118" t="s">
        <v>3954</v>
      </c>
      <c r="H117" s="118" t="s">
        <v>3955</v>
      </c>
      <c r="I117" s="118" t="s">
        <v>4544</v>
      </c>
      <c r="J117" s="118" t="s">
        <v>4675</v>
      </c>
      <c r="K117" s="141"/>
      <c r="L117" s="135" t="str">
        <f t="shared" si="4"/>
        <v>Vulpes rueppelli</v>
      </c>
      <c r="M117" s="133">
        <f t="shared" si="5"/>
        <v>3.5118800000000006</v>
      </c>
      <c r="N117" s="133">
        <v>3249.9748485428022</v>
      </c>
      <c r="O117" s="179" t="s">
        <v>8158</v>
      </c>
      <c r="P117" s="108">
        <v>65</v>
      </c>
      <c r="Q117" s="90" t="s">
        <v>6987</v>
      </c>
    </row>
    <row r="118" spans="1:17">
      <c r="A118" s="118" t="s">
        <v>2778</v>
      </c>
      <c r="B118" s="130"/>
      <c r="C118" s="118" t="s">
        <v>3817</v>
      </c>
      <c r="D118" s="141"/>
      <c r="E118" s="118"/>
      <c r="F118" s="118"/>
      <c r="G118" s="118" t="s">
        <v>3954</v>
      </c>
      <c r="H118" s="118" t="s">
        <v>3955</v>
      </c>
      <c r="I118" s="118" t="s">
        <v>4544</v>
      </c>
      <c r="J118" s="118" t="s">
        <v>4676</v>
      </c>
      <c r="K118" s="285" t="s">
        <v>8472</v>
      </c>
      <c r="L118" s="135" t="str">
        <f t="shared" si="4"/>
        <v>Vulpes vulpes</v>
      </c>
      <c r="M118" s="133">
        <f t="shared" si="5"/>
        <v>3.7781500000000001</v>
      </c>
      <c r="N118" s="133">
        <v>5999.9827253364419</v>
      </c>
      <c r="O118" s="179" t="s">
        <v>3356</v>
      </c>
      <c r="P118" s="111">
        <v>65</v>
      </c>
    </row>
    <row r="119" spans="1:17" ht="38.25">
      <c r="A119" s="118" t="s">
        <v>2778</v>
      </c>
      <c r="B119" s="130"/>
      <c r="C119" s="118" t="s">
        <v>3817</v>
      </c>
      <c r="D119" s="141"/>
      <c r="E119" s="118"/>
      <c r="F119" s="118"/>
      <c r="G119" s="118" t="s">
        <v>3954</v>
      </c>
      <c r="H119" s="118" t="s">
        <v>7321</v>
      </c>
      <c r="I119" s="118" t="s">
        <v>4684</v>
      </c>
      <c r="J119" s="118" t="s">
        <v>4836</v>
      </c>
      <c r="K119" s="141"/>
      <c r="L119" s="135" t="str">
        <f t="shared" si="4"/>
        <v>Acinonyx jubatus</v>
      </c>
      <c r="M119" s="133">
        <f t="shared" si="5"/>
        <v>4.6374897295125104</v>
      </c>
      <c r="N119" s="133">
        <f>AVERAGE(50000, 42300, 37900)</f>
        <v>43400</v>
      </c>
      <c r="O119" s="179" t="s">
        <v>8155</v>
      </c>
      <c r="P119" s="108" t="s">
        <v>1799</v>
      </c>
      <c r="Q119" s="90" t="s">
        <v>6988</v>
      </c>
    </row>
    <row r="120" spans="1:17">
      <c r="A120" s="118" t="s">
        <v>2778</v>
      </c>
      <c r="B120" s="130"/>
      <c r="C120" s="118" t="s">
        <v>3817</v>
      </c>
      <c r="D120" s="141"/>
      <c r="E120" s="118"/>
      <c r="F120" s="118"/>
      <c r="G120" s="118" t="s">
        <v>3954</v>
      </c>
      <c r="H120" s="118" t="s">
        <v>7321</v>
      </c>
      <c r="I120" s="118" t="s">
        <v>4837</v>
      </c>
      <c r="J120" s="118" t="s">
        <v>4838</v>
      </c>
      <c r="K120" s="141"/>
      <c r="L120" s="135" t="str">
        <f t="shared" si="4"/>
        <v>Caracal caracal</v>
      </c>
      <c r="M120" s="133">
        <f t="shared" si="5"/>
        <v>4.138300000000001</v>
      </c>
      <c r="N120" s="133">
        <v>13749.91457485034</v>
      </c>
      <c r="O120" s="179" t="s">
        <v>3356</v>
      </c>
      <c r="P120" s="108" t="s">
        <v>2835</v>
      </c>
    </row>
    <row r="121" spans="1:17" ht="38.25">
      <c r="A121" s="118" t="s">
        <v>2778</v>
      </c>
      <c r="B121" s="130"/>
      <c r="C121" s="118" t="s">
        <v>3817</v>
      </c>
      <c r="D121" s="141"/>
      <c r="E121" s="118"/>
      <c r="F121" s="118"/>
      <c r="G121" s="118" t="s">
        <v>3954</v>
      </c>
      <c r="H121" s="118" t="s">
        <v>7321</v>
      </c>
      <c r="I121" s="118" t="s">
        <v>4839</v>
      </c>
      <c r="J121" s="118" t="s">
        <v>4856</v>
      </c>
      <c r="K121" s="141"/>
      <c r="L121" s="135" t="str">
        <f t="shared" si="4"/>
        <v>Felis nigripes</v>
      </c>
      <c r="M121" s="133">
        <f t="shared" si="5"/>
        <v>3.1139400000000004</v>
      </c>
      <c r="N121" s="133">
        <v>1299.9899653754551</v>
      </c>
      <c r="O121" s="179" t="s">
        <v>8017</v>
      </c>
      <c r="P121" s="108">
        <v>60</v>
      </c>
      <c r="Q121" s="90" t="s">
        <v>6988</v>
      </c>
    </row>
    <row r="122" spans="1:17" ht="25.5">
      <c r="A122" s="121" t="s">
        <v>2778</v>
      </c>
      <c r="B122" s="130"/>
      <c r="C122" s="118" t="s">
        <v>3817</v>
      </c>
      <c r="D122" s="141"/>
      <c r="E122" s="118"/>
      <c r="F122" s="118"/>
      <c r="G122" s="118" t="s">
        <v>3954</v>
      </c>
      <c r="H122" s="118" t="s">
        <v>7321</v>
      </c>
      <c r="I122" s="118" t="s">
        <v>4839</v>
      </c>
      <c r="J122" s="118" t="s">
        <v>4855</v>
      </c>
      <c r="K122" s="141"/>
      <c r="L122" s="135" t="str">
        <f t="shared" si="4"/>
        <v>Felis margarita</v>
      </c>
      <c r="M122" s="133">
        <f t="shared" si="5"/>
        <v>3.4022600000000005</v>
      </c>
      <c r="N122" s="133">
        <v>2524.9919623834612</v>
      </c>
      <c r="O122" s="179" t="s">
        <v>7890</v>
      </c>
      <c r="P122" s="108">
        <v>65</v>
      </c>
      <c r="Q122" s="90" t="s">
        <v>6985</v>
      </c>
    </row>
    <row r="123" spans="1:17">
      <c r="A123" s="118" t="s">
        <v>2778</v>
      </c>
      <c r="B123" s="130"/>
      <c r="C123" s="118" t="s">
        <v>3817</v>
      </c>
      <c r="D123" s="141"/>
      <c r="E123" s="118"/>
      <c r="F123" s="118"/>
      <c r="G123" s="118" t="s">
        <v>3954</v>
      </c>
      <c r="H123" s="118" t="s">
        <v>7321</v>
      </c>
      <c r="I123" s="118" t="s">
        <v>4839</v>
      </c>
      <c r="J123" s="118" t="s">
        <v>4857</v>
      </c>
      <c r="K123" s="141"/>
      <c r="L123" s="135" t="str">
        <f t="shared" si="4"/>
        <v>Felis silvestris</v>
      </c>
      <c r="M123" s="133">
        <f t="shared" si="5"/>
        <v>3.6674500000000005</v>
      </c>
      <c r="N123" s="133">
        <v>4649.9683834536818</v>
      </c>
      <c r="O123" s="179" t="s">
        <v>3356</v>
      </c>
      <c r="P123" s="108" t="s">
        <v>2835</v>
      </c>
    </row>
    <row r="124" spans="1:17">
      <c r="A124" s="121" t="s">
        <v>2778</v>
      </c>
      <c r="B124" s="130"/>
      <c r="C124" s="118" t="s">
        <v>3817</v>
      </c>
      <c r="D124" s="141"/>
      <c r="E124" s="118"/>
      <c r="F124" s="118"/>
      <c r="G124" s="118" t="s">
        <v>3954</v>
      </c>
      <c r="H124" s="118" t="s">
        <v>7321</v>
      </c>
      <c r="I124" s="118" t="s">
        <v>4839</v>
      </c>
      <c r="J124" s="118" t="s">
        <v>4840</v>
      </c>
      <c r="K124" s="141"/>
      <c r="L124" s="135" t="str">
        <f t="shared" si="4"/>
        <v>Felis chaus</v>
      </c>
      <c r="M124" s="133">
        <f t="shared" si="5"/>
        <v>3.8292999999999999</v>
      </c>
      <c r="N124" s="133">
        <v>6749.9413612194912</v>
      </c>
      <c r="O124" s="179" t="s">
        <v>3356</v>
      </c>
      <c r="P124" s="108">
        <v>65</v>
      </c>
    </row>
    <row r="125" spans="1:17">
      <c r="A125" s="118" t="s">
        <v>2778</v>
      </c>
      <c r="B125" s="130"/>
      <c r="C125" s="118" t="s">
        <v>3817</v>
      </c>
      <c r="D125" s="141"/>
      <c r="E125" s="118"/>
      <c r="F125" s="118"/>
      <c r="G125" s="118" t="s">
        <v>3954</v>
      </c>
      <c r="H125" s="118" t="s">
        <v>7321</v>
      </c>
      <c r="I125" s="118" t="s">
        <v>4858</v>
      </c>
      <c r="J125" s="118" t="s">
        <v>4859</v>
      </c>
      <c r="K125" s="141"/>
      <c r="L125" s="135" t="str">
        <f t="shared" si="4"/>
        <v>Leptailurus serval</v>
      </c>
      <c r="M125" s="133">
        <f t="shared" si="5"/>
        <v>4.0791800000000009</v>
      </c>
      <c r="N125" s="133">
        <v>11999.965570481174</v>
      </c>
      <c r="O125" s="179" t="s">
        <v>3356</v>
      </c>
      <c r="P125" s="108" t="s">
        <v>2835</v>
      </c>
    </row>
    <row r="126" spans="1:17">
      <c r="A126" s="118" t="s">
        <v>2778</v>
      </c>
      <c r="B126" s="130"/>
      <c r="C126" s="118" t="s">
        <v>3817</v>
      </c>
      <c r="D126" s="141"/>
      <c r="E126" s="118"/>
      <c r="F126" s="118"/>
      <c r="G126" s="118" t="s">
        <v>3954</v>
      </c>
      <c r="H126" s="118" t="s">
        <v>7321</v>
      </c>
      <c r="I126" s="118" t="s">
        <v>4860</v>
      </c>
      <c r="J126" s="118" t="s">
        <v>2184</v>
      </c>
      <c r="K126" s="141"/>
      <c r="L126" s="135" t="str">
        <f t="shared" si="4"/>
        <v>Panthera pardus</v>
      </c>
      <c r="M126" s="133">
        <f t="shared" si="5"/>
        <v>4.7403600000000008</v>
      </c>
      <c r="N126" s="133">
        <v>54999.659397640258</v>
      </c>
      <c r="O126" s="179" t="s">
        <v>3356</v>
      </c>
      <c r="P126" s="108" t="s">
        <v>2835</v>
      </c>
    </row>
    <row r="127" spans="1:17">
      <c r="A127" s="118" t="s">
        <v>2778</v>
      </c>
      <c r="B127" s="130"/>
      <c r="C127" s="118" t="s">
        <v>3817</v>
      </c>
      <c r="D127" s="141"/>
      <c r="E127" s="118"/>
      <c r="F127" s="118"/>
      <c r="G127" s="118" t="s">
        <v>3954</v>
      </c>
      <c r="H127" s="118" t="s">
        <v>7321</v>
      </c>
      <c r="I127" s="118" t="s">
        <v>4860</v>
      </c>
      <c r="J127" s="118" t="s">
        <v>4861</v>
      </c>
      <c r="K127" s="141"/>
      <c r="L127" s="135" t="str">
        <f t="shared" si="4"/>
        <v>Panthera leo</v>
      </c>
      <c r="M127" s="133">
        <f t="shared" si="5"/>
        <v>5.2081700000000009</v>
      </c>
      <c r="N127" s="133">
        <v>161499.06041736645</v>
      </c>
      <c r="O127" s="179" t="s">
        <v>6916</v>
      </c>
      <c r="P127" s="108" t="s">
        <v>2835</v>
      </c>
      <c r="Q127" s="90" t="s">
        <v>6988</v>
      </c>
    </row>
    <row r="128" spans="1:17" ht="25.5">
      <c r="A128" s="118" t="s">
        <v>2778</v>
      </c>
      <c r="B128" s="130"/>
      <c r="C128" s="118" t="s">
        <v>3817</v>
      </c>
      <c r="D128" s="141"/>
      <c r="E128" s="118"/>
      <c r="F128" s="118"/>
      <c r="G128" s="118" t="s">
        <v>3954</v>
      </c>
      <c r="H128" s="118" t="s">
        <v>7321</v>
      </c>
      <c r="I128" s="118" t="s">
        <v>3749</v>
      </c>
      <c r="J128" s="118" t="s">
        <v>4862</v>
      </c>
      <c r="K128" s="141"/>
      <c r="L128" s="135" t="str">
        <f t="shared" si="4"/>
        <v>Profelis aurata</v>
      </c>
      <c r="M128" s="133">
        <f t="shared" si="5"/>
        <v>4.0273500000000002</v>
      </c>
      <c r="N128" s="133">
        <v>10650.009618360145</v>
      </c>
      <c r="O128" s="179" t="s">
        <v>6724</v>
      </c>
      <c r="P128" s="108" t="s">
        <v>2835</v>
      </c>
      <c r="Q128" s="90" t="s">
        <v>6988</v>
      </c>
    </row>
    <row r="129" spans="1:17">
      <c r="A129" s="121" t="s">
        <v>2778</v>
      </c>
      <c r="B129" s="130"/>
      <c r="C129" s="118" t="s">
        <v>3817</v>
      </c>
      <c r="D129" s="141"/>
      <c r="E129" s="118"/>
      <c r="F129" s="118"/>
      <c r="G129" s="118" t="s">
        <v>3954</v>
      </c>
      <c r="H129" s="118" t="s">
        <v>4180</v>
      </c>
      <c r="I129" s="118" t="s">
        <v>4181</v>
      </c>
      <c r="J129" s="118" t="s">
        <v>4182</v>
      </c>
      <c r="K129" s="141"/>
      <c r="L129" s="135" t="str">
        <f t="shared" si="4"/>
        <v>Atilax paludinosus</v>
      </c>
      <c r="M129" s="133">
        <f t="shared" si="5"/>
        <v>3.51851</v>
      </c>
      <c r="N129" s="133">
        <v>3299.9700628522901</v>
      </c>
      <c r="O129" s="179" t="s">
        <v>3356</v>
      </c>
      <c r="P129" s="108" t="s">
        <v>2835</v>
      </c>
    </row>
    <row r="130" spans="1:17">
      <c r="A130" s="118" t="s">
        <v>2778</v>
      </c>
      <c r="B130" s="130"/>
      <c r="C130" s="118" t="s">
        <v>3817</v>
      </c>
      <c r="D130" s="141"/>
      <c r="E130" s="118"/>
      <c r="F130" s="118"/>
      <c r="G130" s="118" t="s">
        <v>3954</v>
      </c>
      <c r="H130" s="118" t="s">
        <v>4180</v>
      </c>
      <c r="I130" s="118" t="s">
        <v>4183</v>
      </c>
      <c r="J130" s="118" t="s">
        <v>4184</v>
      </c>
      <c r="K130" s="141"/>
      <c r="L130" s="135" t="str">
        <f t="shared" si="4"/>
        <v>Bdeogale crassicauda</v>
      </c>
      <c r="M130" s="133">
        <f t="shared" si="5"/>
        <v>3.1903300000000003</v>
      </c>
      <c r="N130" s="133">
        <v>1549.9939392303729</v>
      </c>
      <c r="O130" s="179" t="s">
        <v>3356</v>
      </c>
      <c r="P130" s="108" t="s">
        <v>2835</v>
      </c>
    </row>
    <row r="131" spans="1:17">
      <c r="A131" s="118" t="s">
        <v>2778</v>
      </c>
      <c r="B131" s="130"/>
      <c r="C131" s="118" t="s">
        <v>3817</v>
      </c>
      <c r="D131" s="141"/>
      <c r="E131" s="118"/>
      <c r="F131" s="118"/>
      <c r="G131" s="118" t="s">
        <v>3954</v>
      </c>
      <c r="H131" s="118" t="s">
        <v>4180</v>
      </c>
      <c r="I131" s="118" t="s">
        <v>4183</v>
      </c>
      <c r="J131" s="118" t="s">
        <v>4856</v>
      </c>
      <c r="K131" s="141"/>
      <c r="L131" s="135" t="str">
        <f t="shared" si="4"/>
        <v>Bdeogale nigripes</v>
      </c>
      <c r="M131" s="133">
        <f t="shared" si="5"/>
        <v>3.3979400000000002</v>
      </c>
      <c r="N131" s="133">
        <v>2499.9999500797412</v>
      </c>
      <c r="O131" s="179" t="s">
        <v>3356</v>
      </c>
      <c r="P131" s="108" t="s">
        <v>2835</v>
      </c>
    </row>
    <row r="132" spans="1:17">
      <c r="A132" s="118" t="s">
        <v>2778</v>
      </c>
      <c r="B132" s="130"/>
      <c r="C132" s="118" t="s">
        <v>3817</v>
      </c>
      <c r="D132" s="141"/>
      <c r="E132" s="118"/>
      <c r="F132" s="118"/>
      <c r="G132" s="118" t="s">
        <v>3954</v>
      </c>
      <c r="H132" s="118" t="s">
        <v>4180</v>
      </c>
      <c r="I132" s="118" t="s">
        <v>4183</v>
      </c>
      <c r="J132" s="118" t="s">
        <v>4056</v>
      </c>
      <c r="K132" s="141"/>
      <c r="L132" s="135" t="str">
        <f t="shared" si="4"/>
        <v>Bdeogale jacksoni</v>
      </c>
      <c r="M132" s="133">
        <f t="shared" ref="M132:M163" si="6">LOG(N132)</f>
        <v>3.3979400086720375</v>
      </c>
      <c r="N132" s="133">
        <v>2500</v>
      </c>
      <c r="O132" s="179" t="s">
        <v>6641</v>
      </c>
      <c r="P132" s="108">
        <v>70</v>
      </c>
      <c r="Q132" s="90" t="s">
        <v>6988</v>
      </c>
    </row>
    <row r="133" spans="1:17" ht="38.25">
      <c r="A133" s="118" t="s">
        <v>2778</v>
      </c>
      <c r="B133" s="130"/>
      <c r="C133" s="118" t="s">
        <v>3817</v>
      </c>
      <c r="D133" s="141"/>
      <c r="E133" s="118"/>
      <c r="F133" s="118"/>
      <c r="G133" s="118" t="s">
        <v>3954</v>
      </c>
      <c r="H133" s="118" t="s">
        <v>4180</v>
      </c>
      <c r="I133" s="118" t="s">
        <v>7092</v>
      </c>
      <c r="J133" s="118" t="s">
        <v>3995</v>
      </c>
      <c r="K133" s="141"/>
      <c r="L133" s="135" t="str">
        <f t="shared" ref="L133:L196" si="7">I133&amp;" "&amp;J133</f>
        <v>Crossarchus ansorgei</v>
      </c>
      <c r="M133" s="133">
        <f t="shared" si="6"/>
        <v>2.8450980400142569</v>
      </c>
      <c r="N133" s="133">
        <v>700</v>
      </c>
      <c r="O133" s="179" t="s">
        <v>6663</v>
      </c>
      <c r="P133" s="108">
        <v>85</v>
      </c>
    </row>
    <row r="134" spans="1:17">
      <c r="A134" s="118" t="s">
        <v>2778</v>
      </c>
      <c r="B134" s="130"/>
      <c r="C134" s="118" t="s">
        <v>3817</v>
      </c>
      <c r="D134" s="141"/>
      <c r="E134" s="118"/>
      <c r="F134" s="118"/>
      <c r="G134" s="118" t="s">
        <v>3954</v>
      </c>
      <c r="H134" s="118" t="s">
        <v>4180</v>
      </c>
      <c r="I134" s="118" t="s">
        <v>7092</v>
      </c>
      <c r="J134" s="118" t="s">
        <v>7543</v>
      </c>
      <c r="K134" s="141"/>
      <c r="L134" s="135" t="str">
        <f t="shared" si="7"/>
        <v>Crossarchus obscurus</v>
      </c>
      <c r="M134" s="133">
        <f t="shared" si="6"/>
        <v>3.0969100000000003</v>
      </c>
      <c r="N134" s="133">
        <v>1249.9999625598048</v>
      </c>
      <c r="O134" s="179" t="s">
        <v>3356</v>
      </c>
      <c r="P134" s="108">
        <v>60</v>
      </c>
    </row>
    <row r="135" spans="1:17">
      <c r="A135" s="118" t="s">
        <v>2778</v>
      </c>
      <c r="B135" s="130"/>
      <c r="C135" s="118" t="s">
        <v>3817</v>
      </c>
      <c r="D135" s="141"/>
      <c r="E135" s="118"/>
      <c r="F135" s="118"/>
      <c r="G135" s="118" t="s">
        <v>3954</v>
      </c>
      <c r="H135" s="118" t="s">
        <v>4180</v>
      </c>
      <c r="I135" s="118" t="s">
        <v>7092</v>
      </c>
      <c r="J135" s="118" t="s">
        <v>3547</v>
      </c>
      <c r="K135" s="141"/>
      <c r="L135" s="135" t="str">
        <f t="shared" si="7"/>
        <v>Crossarchus alexandri</v>
      </c>
      <c r="M135" s="133">
        <f t="shared" si="6"/>
        <v>3.1760912590556813</v>
      </c>
      <c r="N135" s="133">
        <v>1500</v>
      </c>
      <c r="O135" s="179" t="s">
        <v>3356</v>
      </c>
      <c r="P135" s="108">
        <v>70</v>
      </c>
    </row>
    <row r="136" spans="1:17">
      <c r="A136" s="118" t="s">
        <v>2778</v>
      </c>
      <c r="B136" s="130"/>
      <c r="C136" s="118" t="s">
        <v>3817</v>
      </c>
      <c r="D136" s="141"/>
      <c r="E136" s="118"/>
      <c r="F136" s="118"/>
      <c r="G136" s="118" t="s">
        <v>3954</v>
      </c>
      <c r="H136" s="118" t="s">
        <v>4180</v>
      </c>
      <c r="I136" s="118" t="s">
        <v>4226</v>
      </c>
      <c r="J136" s="118" t="s">
        <v>7098</v>
      </c>
      <c r="K136" s="141"/>
      <c r="L136" s="135" t="str">
        <f t="shared" si="7"/>
        <v>Cynictis penicillata</v>
      </c>
      <c r="M136" s="133">
        <f t="shared" si="6"/>
        <v>2.9222100000000006</v>
      </c>
      <c r="N136" s="133">
        <v>836.00716581593815</v>
      </c>
      <c r="O136" s="179" t="s">
        <v>3356</v>
      </c>
      <c r="P136" s="108">
        <v>60</v>
      </c>
    </row>
    <row r="137" spans="1:17">
      <c r="A137" s="118" t="s">
        <v>2778</v>
      </c>
      <c r="B137" s="130"/>
      <c r="C137" s="118" t="s">
        <v>3817</v>
      </c>
      <c r="D137" s="141"/>
      <c r="E137" s="118"/>
      <c r="F137" s="118"/>
      <c r="G137" s="118" t="s">
        <v>3954</v>
      </c>
      <c r="H137" s="118" t="s">
        <v>4180</v>
      </c>
      <c r="I137" s="118" t="s">
        <v>3756</v>
      </c>
      <c r="J137" s="118" t="s">
        <v>4412</v>
      </c>
      <c r="K137" s="141"/>
      <c r="L137" s="135" t="str">
        <f t="shared" si="7"/>
        <v>Dologale dybowskii</v>
      </c>
      <c r="M137" s="133">
        <f t="shared" si="6"/>
        <v>2.5440700000000005</v>
      </c>
      <c r="N137" s="133">
        <v>350.00157607101471</v>
      </c>
      <c r="O137" s="179" t="s">
        <v>3356</v>
      </c>
      <c r="P137" s="108" t="s">
        <v>2835</v>
      </c>
    </row>
    <row r="138" spans="1:17">
      <c r="A138" s="118" t="s">
        <v>2778</v>
      </c>
      <c r="B138" s="130"/>
      <c r="C138" s="118" t="s">
        <v>3817</v>
      </c>
      <c r="D138" s="141"/>
      <c r="E138" s="118"/>
      <c r="F138" s="118"/>
      <c r="G138" s="118" t="s">
        <v>3954</v>
      </c>
      <c r="H138" s="118" t="s">
        <v>4180</v>
      </c>
      <c r="I138" s="118" t="s">
        <v>7537</v>
      </c>
      <c r="J138" s="118" t="s">
        <v>7428</v>
      </c>
      <c r="K138" s="141"/>
      <c r="L138" s="135" t="str">
        <f t="shared" si="7"/>
        <v>Galerella sanguinea</v>
      </c>
      <c r="M138" s="133">
        <f t="shared" si="6"/>
        <v>2.7403600000000004</v>
      </c>
      <c r="N138" s="133">
        <v>549.99659397640232</v>
      </c>
      <c r="O138" s="179" t="s">
        <v>3356</v>
      </c>
      <c r="P138" s="108" t="s">
        <v>2835</v>
      </c>
    </row>
    <row r="139" spans="1:17" ht="25.5">
      <c r="A139" s="118" t="s">
        <v>2778</v>
      </c>
      <c r="B139" s="141" t="s">
        <v>2165</v>
      </c>
      <c r="C139" s="118" t="s">
        <v>3817</v>
      </c>
      <c r="D139" s="141"/>
      <c r="E139" s="118"/>
      <c r="F139" s="118"/>
      <c r="G139" s="118" t="s">
        <v>3954</v>
      </c>
      <c r="H139" s="118" t="s">
        <v>4180</v>
      </c>
      <c r="I139" s="118" t="s">
        <v>7537</v>
      </c>
      <c r="J139" s="118" t="s">
        <v>7584</v>
      </c>
      <c r="K139" s="141"/>
      <c r="L139" s="135" t="str">
        <f t="shared" si="7"/>
        <v>Galerella flavescens</v>
      </c>
      <c r="M139" s="133">
        <f t="shared" si="6"/>
        <v>2.8750612633917001</v>
      </c>
      <c r="N139" s="133">
        <f>AVERAGE(500, 1000)</f>
        <v>750</v>
      </c>
      <c r="O139" s="179" t="s">
        <v>3096</v>
      </c>
      <c r="P139" s="108">
        <v>130</v>
      </c>
      <c r="Q139" s="80"/>
    </row>
    <row r="140" spans="1:17" ht="25.5">
      <c r="A140" s="118" t="s">
        <v>2778</v>
      </c>
      <c r="B140" s="141" t="s">
        <v>2166</v>
      </c>
      <c r="C140" s="118" t="s">
        <v>3817</v>
      </c>
      <c r="D140" s="141"/>
      <c r="E140" s="118"/>
      <c r="F140" s="118"/>
      <c r="G140" s="118" t="s">
        <v>3954</v>
      </c>
      <c r="H140" s="118" t="s">
        <v>4180</v>
      </c>
      <c r="I140" s="118" t="s">
        <v>7537</v>
      </c>
      <c r="J140" s="118" t="s">
        <v>3000</v>
      </c>
      <c r="K140" s="141"/>
      <c r="L140" s="135" t="str">
        <f t="shared" si="7"/>
        <v>Galerella swalius</v>
      </c>
      <c r="M140" s="133">
        <f t="shared" si="6"/>
        <v>2.8750612633917001</v>
      </c>
      <c r="N140" s="133">
        <f>AVERAGE(500, 1000)</f>
        <v>750</v>
      </c>
      <c r="O140" s="179" t="s">
        <v>3096</v>
      </c>
      <c r="P140" s="108">
        <v>130</v>
      </c>
      <c r="Q140" s="80"/>
    </row>
    <row r="141" spans="1:17">
      <c r="A141" s="118" t="s">
        <v>2778</v>
      </c>
      <c r="B141" s="130"/>
      <c r="C141" s="118" t="s">
        <v>3817</v>
      </c>
      <c r="D141" s="141"/>
      <c r="E141" s="118"/>
      <c r="F141" s="118"/>
      <c r="G141" s="118" t="s">
        <v>3954</v>
      </c>
      <c r="H141" s="118" t="s">
        <v>4180</v>
      </c>
      <c r="I141" s="118" t="s">
        <v>7537</v>
      </c>
      <c r="J141" s="118" t="s">
        <v>7538</v>
      </c>
      <c r="K141" s="141"/>
      <c r="L141" s="135" t="str">
        <f t="shared" si="7"/>
        <v>Galerella pulverulenta</v>
      </c>
      <c r="M141" s="133">
        <f t="shared" si="6"/>
        <v>2.9014600000000002</v>
      </c>
      <c r="N141" s="133">
        <v>797.00308051320008</v>
      </c>
      <c r="O141" s="179" t="s">
        <v>3356</v>
      </c>
      <c r="P141" s="108">
        <v>60</v>
      </c>
    </row>
    <row r="142" spans="1:17">
      <c r="A142" s="118" t="s">
        <v>2778</v>
      </c>
      <c r="B142" s="130"/>
      <c r="C142" s="118" t="s">
        <v>3817</v>
      </c>
      <c r="D142" s="141"/>
      <c r="E142" s="118"/>
      <c r="F142" s="118"/>
      <c r="G142" s="118" t="s">
        <v>3954</v>
      </c>
      <c r="H142" s="118" t="s">
        <v>4180</v>
      </c>
      <c r="I142" s="118" t="s">
        <v>7429</v>
      </c>
      <c r="J142" s="118" t="s">
        <v>7430</v>
      </c>
      <c r="K142" s="141"/>
      <c r="L142" s="135" t="str">
        <f t="shared" si="7"/>
        <v>Helogale hirtula</v>
      </c>
      <c r="M142" s="133">
        <f t="shared" si="6"/>
        <v>2.4609000000000005</v>
      </c>
      <c r="N142" s="133">
        <v>289.00143553494735</v>
      </c>
      <c r="O142" s="179" t="s">
        <v>3356</v>
      </c>
      <c r="P142" s="108">
        <v>60</v>
      </c>
    </row>
    <row r="143" spans="1:17">
      <c r="A143" s="118" t="s">
        <v>2778</v>
      </c>
      <c r="B143" s="130"/>
      <c r="C143" s="118" t="s">
        <v>3817</v>
      </c>
      <c r="D143" s="141"/>
      <c r="E143" s="118"/>
      <c r="F143" s="118"/>
      <c r="G143" s="118" t="s">
        <v>3954</v>
      </c>
      <c r="H143" s="118" t="s">
        <v>4180</v>
      </c>
      <c r="I143" s="118" t="s">
        <v>7429</v>
      </c>
      <c r="J143" s="118" t="s">
        <v>7431</v>
      </c>
      <c r="K143" s="141"/>
      <c r="L143" s="135" t="str">
        <f t="shared" si="7"/>
        <v>Helogale parvula</v>
      </c>
      <c r="M143" s="133">
        <f t="shared" si="6"/>
        <v>2.4771200000000007</v>
      </c>
      <c r="N143" s="133">
        <v>299.99913327161516</v>
      </c>
      <c r="O143" s="179" t="s">
        <v>3356</v>
      </c>
      <c r="P143" s="108">
        <v>60</v>
      </c>
    </row>
    <row r="144" spans="1:17" ht="12" customHeight="1">
      <c r="A144" s="118" t="s">
        <v>2778</v>
      </c>
      <c r="B144" s="130"/>
      <c r="C144" s="118" t="s">
        <v>3817</v>
      </c>
      <c r="D144" s="141"/>
      <c r="E144" s="118"/>
      <c r="F144" s="118"/>
      <c r="G144" s="118" t="s">
        <v>3954</v>
      </c>
      <c r="H144" s="118" t="s">
        <v>4180</v>
      </c>
      <c r="I144" s="118" t="s">
        <v>7086</v>
      </c>
      <c r="J144" s="118" t="s">
        <v>7087</v>
      </c>
      <c r="K144" s="141"/>
      <c r="L144" s="135" t="str">
        <f t="shared" si="7"/>
        <v>Herpestes ichneumon</v>
      </c>
      <c r="M144" s="133">
        <f t="shared" si="6"/>
        <v>3.4548400000000004</v>
      </c>
      <c r="N144" s="133">
        <v>2849.9681070164825</v>
      </c>
      <c r="O144" s="179" t="s">
        <v>3356</v>
      </c>
      <c r="P144" s="108" t="s">
        <v>2835</v>
      </c>
      <c r="Q144" s="88"/>
    </row>
    <row r="145" spans="1:30">
      <c r="A145" s="118" t="s">
        <v>2778</v>
      </c>
      <c r="B145" s="130"/>
      <c r="C145" s="121" t="s">
        <v>3817</v>
      </c>
      <c r="D145" s="156"/>
      <c r="E145" s="121"/>
      <c r="F145" s="121"/>
      <c r="G145" s="121" t="s">
        <v>3954</v>
      </c>
      <c r="H145" s="121" t="s">
        <v>4180</v>
      </c>
      <c r="I145" s="121" t="s">
        <v>7086</v>
      </c>
      <c r="J145" s="121" t="s">
        <v>7088</v>
      </c>
      <c r="K145" s="156"/>
      <c r="L145" s="135" t="str">
        <f t="shared" si="7"/>
        <v>Herpestes naso</v>
      </c>
      <c r="M145" s="133">
        <f t="shared" si="6"/>
        <v>3.4771200000000007</v>
      </c>
      <c r="N145" s="133">
        <v>2999.9913327161544</v>
      </c>
      <c r="O145" s="179" t="s">
        <v>3356</v>
      </c>
      <c r="P145" s="108">
        <v>60</v>
      </c>
    </row>
    <row r="146" spans="1:30">
      <c r="A146" s="118" t="s">
        <v>2778</v>
      </c>
      <c r="B146" s="130"/>
      <c r="C146" s="118" t="s">
        <v>3817</v>
      </c>
      <c r="D146" s="141"/>
      <c r="E146" s="118"/>
      <c r="F146" s="118"/>
      <c r="G146" s="118" t="s">
        <v>3954</v>
      </c>
      <c r="H146" s="118" t="s">
        <v>4180</v>
      </c>
      <c r="I146" s="118" t="s">
        <v>4253</v>
      </c>
      <c r="J146" s="118" t="s">
        <v>7096</v>
      </c>
      <c r="K146" s="141"/>
      <c r="L146" s="135" t="str">
        <f t="shared" si="7"/>
        <v>Ichneumia albicauda</v>
      </c>
      <c r="M146" s="133">
        <f t="shared" si="6"/>
        <v>3.5440700000000001</v>
      </c>
      <c r="N146" s="133">
        <v>3500.0157607101446</v>
      </c>
      <c r="O146" s="179" t="s">
        <v>3356</v>
      </c>
      <c r="P146" s="108" t="s">
        <v>2835</v>
      </c>
      <c r="T146" s="82"/>
    </row>
    <row r="147" spans="1:30">
      <c r="A147" s="121" t="s">
        <v>2778</v>
      </c>
      <c r="B147" s="130"/>
      <c r="C147" s="121" t="s">
        <v>3817</v>
      </c>
      <c r="D147" s="156"/>
      <c r="E147" s="121"/>
      <c r="F147" s="121"/>
      <c r="G147" s="121" t="s">
        <v>3954</v>
      </c>
      <c r="H147" s="121" t="s">
        <v>4180</v>
      </c>
      <c r="I147" s="121" t="s">
        <v>3983</v>
      </c>
      <c r="J147" s="121" t="s">
        <v>3984</v>
      </c>
      <c r="K147" s="156"/>
      <c r="L147" s="135" t="str">
        <f t="shared" si="7"/>
        <v>Liberiictis kuhni</v>
      </c>
      <c r="M147" s="133">
        <f t="shared" si="6"/>
        <v>3.3324400000000005</v>
      </c>
      <c r="N147" s="143">
        <v>2150.0076242905643</v>
      </c>
      <c r="O147" s="179" t="s">
        <v>7081</v>
      </c>
      <c r="P147" s="108" t="s">
        <v>2835</v>
      </c>
      <c r="Q147" s="90" t="s">
        <v>6640</v>
      </c>
    </row>
    <row r="148" spans="1:30" ht="51">
      <c r="A148" s="118" t="s">
        <v>2778</v>
      </c>
      <c r="B148" s="130" t="s">
        <v>2495</v>
      </c>
      <c r="C148" s="118" t="s">
        <v>3817</v>
      </c>
      <c r="D148" s="141"/>
      <c r="E148" s="118"/>
      <c r="F148" s="118"/>
      <c r="G148" s="118" t="s">
        <v>3954</v>
      </c>
      <c r="H148" s="118" t="s">
        <v>4180</v>
      </c>
      <c r="I148" s="118" t="s">
        <v>3973</v>
      </c>
      <c r="J148" s="118" t="s">
        <v>4900</v>
      </c>
      <c r="K148" s="141"/>
      <c r="L148" s="135" t="str">
        <f t="shared" si="7"/>
        <v>Mungos gambianus</v>
      </c>
      <c r="M148" s="133">
        <f t="shared" si="6"/>
        <v>3.1760912590556813</v>
      </c>
      <c r="N148" s="133">
        <v>1500</v>
      </c>
      <c r="O148" s="179" t="s">
        <v>6882</v>
      </c>
      <c r="P148" s="108">
        <v>-999</v>
      </c>
      <c r="Q148" s="90" t="s">
        <v>6987</v>
      </c>
    </row>
    <row r="149" spans="1:30">
      <c r="A149" s="118" t="s">
        <v>2778</v>
      </c>
      <c r="B149" s="130"/>
      <c r="C149" s="118" t="s">
        <v>3817</v>
      </c>
      <c r="D149" s="141"/>
      <c r="E149" s="118"/>
      <c r="F149" s="118"/>
      <c r="G149" s="118" t="s">
        <v>3954</v>
      </c>
      <c r="H149" s="118" t="s">
        <v>4180</v>
      </c>
      <c r="I149" s="118" t="s">
        <v>3973</v>
      </c>
      <c r="J149" s="118" t="s">
        <v>4279</v>
      </c>
      <c r="K149" s="141"/>
      <c r="L149" s="135" t="str">
        <f t="shared" si="7"/>
        <v>Mungos mungo</v>
      </c>
      <c r="M149" s="133">
        <f t="shared" si="6"/>
        <v>3.28443</v>
      </c>
      <c r="N149" s="133">
        <v>1924.9967472543051</v>
      </c>
      <c r="O149" s="179" t="s">
        <v>3356</v>
      </c>
      <c r="P149" s="108" t="s">
        <v>2835</v>
      </c>
    </row>
    <row r="150" spans="1:30">
      <c r="A150" s="118" t="s">
        <v>2778</v>
      </c>
      <c r="B150" s="130"/>
      <c r="C150" s="118" t="s">
        <v>3817</v>
      </c>
      <c r="D150" s="141"/>
      <c r="E150" s="118"/>
      <c r="F150" s="118"/>
      <c r="G150" s="118" t="s">
        <v>3954</v>
      </c>
      <c r="H150" s="118" t="s">
        <v>4180</v>
      </c>
      <c r="I150" s="118" t="s">
        <v>4280</v>
      </c>
      <c r="J150" s="118" t="s">
        <v>4281</v>
      </c>
      <c r="K150" s="141"/>
      <c r="L150" s="135" t="str">
        <f t="shared" si="7"/>
        <v>Paracynictis selousi</v>
      </c>
      <c r="M150" s="133">
        <f t="shared" si="6"/>
        <v>3.2148400000000006</v>
      </c>
      <c r="N150" s="133">
        <v>1639.9854689144613</v>
      </c>
      <c r="O150" s="179" t="s">
        <v>3356</v>
      </c>
      <c r="P150" s="108">
        <v>60</v>
      </c>
    </row>
    <row r="151" spans="1:30">
      <c r="A151" s="118" t="s">
        <v>2778</v>
      </c>
      <c r="B151" s="130"/>
      <c r="C151" s="118" t="s">
        <v>3817</v>
      </c>
      <c r="D151" s="141"/>
      <c r="E151" s="118"/>
      <c r="F151" s="118"/>
      <c r="G151" s="118" t="s">
        <v>3954</v>
      </c>
      <c r="H151" s="118" t="s">
        <v>4180</v>
      </c>
      <c r="I151" s="118" t="s">
        <v>3986</v>
      </c>
      <c r="J151" s="118" t="s">
        <v>3987</v>
      </c>
      <c r="K151" s="141"/>
      <c r="L151" s="135" t="str">
        <f t="shared" si="7"/>
        <v>Rhynchogale melleri</v>
      </c>
      <c r="M151" s="133">
        <f t="shared" si="6"/>
        <v>3.3979400000000002</v>
      </c>
      <c r="N151" s="133">
        <v>2499.9999500797412</v>
      </c>
      <c r="O151" s="179" t="s">
        <v>3356</v>
      </c>
      <c r="P151" s="108" t="s">
        <v>2835</v>
      </c>
    </row>
    <row r="152" spans="1:30">
      <c r="A152" s="118" t="s">
        <v>2778</v>
      </c>
      <c r="B152" s="130"/>
      <c r="C152" s="118" t="s">
        <v>3817</v>
      </c>
      <c r="D152" s="141"/>
      <c r="E152" s="118"/>
      <c r="F152" s="118"/>
      <c r="G152" s="118" t="s">
        <v>3954</v>
      </c>
      <c r="H152" s="118" t="s">
        <v>4180</v>
      </c>
      <c r="I152" s="118" t="s">
        <v>4188</v>
      </c>
      <c r="J152" s="118" t="s">
        <v>4189</v>
      </c>
      <c r="K152" s="141"/>
      <c r="L152" s="135" t="str">
        <f t="shared" si="7"/>
        <v>Suricata suricatta</v>
      </c>
      <c r="M152" s="133">
        <f t="shared" si="6"/>
        <v>2.8606400000000005</v>
      </c>
      <c r="N152" s="133">
        <v>725.50431535811094</v>
      </c>
      <c r="O152" s="179" t="s">
        <v>3356</v>
      </c>
      <c r="P152" s="108">
        <v>60</v>
      </c>
    </row>
    <row r="153" spans="1:30" ht="25.5">
      <c r="A153" s="118" t="s">
        <v>2778</v>
      </c>
      <c r="B153" s="130"/>
      <c r="C153" s="118" t="s">
        <v>3817</v>
      </c>
      <c r="D153" s="141"/>
      <c r="E153" s="118"/>
      <c r="F153" s="118"/>
      <c r="G153" s="118" t="s">
        <v>3954</v>
      </c>
      <c r="H153" s="118" t="s">
        <v>7097</v>
      </c>
      <c r="I153" s="118" t="s">
        <v>4190</v>
      </c>
      <c r="J153" s="118" t="s">
        <v>4011</v>
      </c>
      <c r="K153" s="141"/>
      <c r="L153" s="135" t="str">
        <f t="shared" si="7"/>
        <v>Crocuta crocuta</v>
      </c>
      <c r="M153" s="133">
        <f t="shared" si="6"/>
        <v>4.7993400000000008</v>
      </c>
      <c r="N153" s="133">
        <v>62999.920294742056</v>
      </c>
      <c r="O153" s="179" t="s">
        <v>6908</v>
      </c>
      <c r="P153" s="108" t="s">
        <v>2835</v>
      </c>
      <c r="Q153" s="90" t="s">
        <v>6642</v>
      </c>
      <c r="W153"/>
      <c r="X153"/>
      <c r="Y153"/>
      <c r="Z153"/>
      <c r="AA153"/>
      <c r="AB153"/>
      <c r="AC153"/>
      <c r="AD153"/>
    </row>
    <row r="154" spans="1:30" ht="25.5">
      <c r="A154" s="118" t="s">
        <v>2778</v>
      </c>
      <c r="B154" s="130"/>
      <c r="C154" s="118" t="s">
        <v>3817</v>
      </c>
      <c r="D154" s="141"/>
      <c r="E154" s="118"/>
      <c r="F154" s="118"/>
      <c r="G154" s="118" t="s">
        <v>3954</v>
      </c>
      <c r="H154" s="118" t="s">
        <v>7097</v>
      </c>
      <c r="I154" s="118" t="s">
        <v>4012</v>
      </c>
      <c r="J154" s="118" t="s">
        <v>4013</v>
      </c>
      <c r="K154" s="141"/>
      <c r="L154" s="135" t="str">
        <f t="shared" si="7"/>
        <v>Hyaena hyaena</v>
      </c>
      <c r="M154" s="133">
        <f t="shared" si="6"/>
        <v>4.6627599999999996</v>
      </c>
      <c r="N154" s="133">
        <v>46000.229666506813</v>
      </c>
      <c r="O154" s="179" t="s">
        <v>6947</v>
      </c>
      <c r="P154" s="108" t="s">
        <v>2835</v>
      </c>
      <c r="Q154" s="90" t="s">
        <v>6642</v>
      </c>
      <c r="W154"/>
      <c r="X154"/>
      <c r="Y154"/>
      <c r="Z154"/>
      <c r="AA154"/>
      <c r="AB154"/>
      <c r="AC154"/>
      <c r="AD154"/>
    </row>
    <row r="155" spans="1:30">
      <c r="A155" s="118" t="s">
        <v>2778</v>
      </c>
      <c r="B155" s="130"/>
      <c r="C155" s="118" t="s">
        <v>3817</v>
      </c>
      <c r="D155" s="141"/>
      <c r="E155" s="118"/>
      <c r="F155" s="118"/>
      <c r="G155" s="118" t="s">
        <v>3954</v>
      </c>
      <c r="H155" s="118" t="s">
        <v>7097</v>
      </c>
      <c r="I155" s="118" t="s">
        <v>4201</v>
      </c>
      <c r="J155" s="118" t="s">
        <v>4202</v>
      </c>
      <c r="K155" s="141"/>
      <c r="L155" s="135" t="str">
        <f t="shared" si="7"/>
        <v>Parahyaena brunnea</v>
      </c>
      <c r="M155" s="133">
        <f t="shared" si="6"/>
        <v>4.5078600000000009</v>
      </c>
      <c r="N155" s="133">
        <v>32200.306087301626</v>
      </c>
      <c r="O155" s="179" t="s">
        <v>6916</v>
      </c>
      <c r="P155" s="108">
        <v>60</v>
      </c>
      <c r="Q155" s="90" t="s">
        <v>6642</v>
      </c>
    </row>
    <row r="156" spans="1:30">
      <c r="A156" s="118" t="s">
        <v>2778</v>
      </c>
      <c r="B156" s="130"/>
      <c r="C156" s="118" t="s">
        <v>3817</v>
      </c>
      <c r="D156" s="141"/>
      <c r="E156" s="118"/>
      <c r="F156" s="118"/>
      <c r="G156" s="118" t="s">
        <v>3954</v>
      </c>
      <c r="H156" s="118" t="s">
        <v>7097</v>
      </c>
      <c r="I156" s="118" t="s">
        <v>4203</v>
      </c>
      <c r="J156" s="118" t="s">
        <v>3792</v>
      </c>
      <c r="K156" s="141"/>
      <c r="L156" s="135" t="str">
        <f t="shared" si="7"/>
        <v>Proteles cristatus</v>
      </c>
      <c r="M156" s="133">
        <f t="shared" si="6"/>
        <v>4</v>
      </c>
      <c r="N156" s="133">
        <v>10000</v>
      </c>
      <c r="O156" s="179" t="s">
        <v>3356</v>
      </c>
      <c r="P156" s="108" t="s">
        <v>2835</v>
      </c>
      <c r="T156" s="82"/>
    </row>
    <row r="157" spans="1:30">
      <c r="A157" s="118" t="s">
        <v>2778</v>
      </c>
      <c r="B157" s="130"/>
      <c r="C157" s="118" t="s">
        <v>3817</v>
      </c>
      <c r="D157" s="141"/>
      <c r="E157" s="118"/>
      <c r="F157" s="118"/>
      <c r="G157" s="118" t="s">
        <v>3954</v>
      </c>
      <c r="H157" s="118" t="s">
        <v>4257</v>
      </c>
      <c r="I157" s="118" t="s">
        <v>4258</v>
      </c>
      <c r="J157" s="118" t="s">
        <v>4259</v>
      </c>
      <c r="K157" s="141"/>
      <c r="L157" s="135" t="str">
        <f t="shared" si="7"/>
        <v>Aonyx capensis</v>
      </c>
      <c r="M157" s="133">
        <f t="shared" si="6"/>
        <v>4.2787499999999996</v>
      </c>
      <c r="N157" s="133">
        <v>18999.842462147328</v>
      </c>
      <c r="O157" s="179" t="s">
        <v>3356</v>
      </c>
      <c r="P157" s="108" t="s">
        <v>2835</v>
      </c>
    </row>
    <row r="158" spans="1:30" ht="25.5">
      <c r="A158" s="118" t="s">
        <v>2778</v>
      </c>
      <c r="B158" s="130"/>
      <c r="C158" s="118" t="s">
        <v>3817</v>
      </c>
      <c r="D158" s="141"/>
      <c r="E158" s="118"/>
      <c r="F158" s="118"/>
      <c r="G158" s="118" t="s">
        <v>3954</v>
      </c>
      <c r="H158" s="118" t="s">
        <v>4257</v>
      </c>
      <c r="I158" s="118" t="s">
        <v>4258</v>
      </c>
      <c r="J158" s="118" t="s">
        <v>4260</v>
      </c>
      <c r="K158" s="141"/>
      <c r="L158" s="135" t="str">
        <f t="shared" si="7"/>
        <v>Aonyx congicus</v>
      </c>
      <c r="M158" s="133">
        <f t="shared" si="6"/>
        <v>4.3765799999999997</v>
      </c>
      <c r="N158" s="133">
        <v>23800.166758528496</v>
      </c>
      <c r="O158" s="179" t="s">
        <v>6908</v>
      </c>
      <c r="P158" s="108" t="s">
        <v>2835</v>
      </c>
      <c r="Q158" s="90" t="s">
        <v>6987</v>
      </c>
    </row>
    <row r="159" spans="1:30">
      <c r="A159" s="118" t="s">
        <v>2778</v>
      </c>
      <c r="B159" s="130"/>
      <c r="C159" s="118" t="s">
        <v>3817</v>
      </c>
      <c r="D159" s="141"/>
      <c r="E159" s="118"/>
      <c r="F159" s="118"/>
      <c r="G159" s="118" t="s">
        <v>3954</v>
      </c>
      <c r="H159" s="118" t="s">
        <v>4257</v>
      </c>
      <c r="I159" s="118" t="s">
        <v>3783</v>
      </c>
      <c r="J159" s="118" t="s">
        <v>3589</v>
      </c>
      <c r="K159" s="141"/>
      <c r="L159" s="135" t="str">
        <f t="shared" si="7"/>
        <v>Ictonyx libyca</v>
      </c>
      <c r="M159" s="133">
        <f t="shared" si="6"/>
        <v>2.7958800000000004</v>
      </c>
      <c r="N159" s="133">
        <v>624.99997503987015</v>
      </c>
      <c r="O159" s="179" t="s">
        <v>3356</v>
      </c>
      <c r="P159" s="108">
        <v>65</v>
      </c>
    </row>
    <row r="160" spans="1:30">
      <c r="A160" s="118" t="s">
        <v>2778</v>
      </c>
      <c r="B160" s="130"/>
      <c r="C160" s="118" t="s">
        <v>3817</v>
      </c>
      <c r="D160" s="141"/>
      <c r="E160" s="118"/>
      <c r="F160" s="118"/>
      <c r="G160" s="118" t="s">
        <v>3954</v>
      </c>
      <c r="H160" s="118" t="s">
        <v>4257</v>
      </c>
      <c r="I160" s="118" t="s">
        <v>3783</v>
      </c>
      <c r="J160" s="118" t="s">
        <v>3807</v>
      </c>
      <c r="K160" s="141"/>
      <c r="L160" s="135" t="str">
        <f t="shared" si="7"/>
        <v>Ictonyx striatus</v>
      </c>
      <c r="M160" s="133">
        <f t="shared" si="6"/>
        <v>3.1139400000000004</v>
      </c>
      <c r="N160" s="133">
        <v>1299.9899653754551</v>
      </c>
      <c r="O160" s="179" t="s">
        <v>3356</v>
      </c>
      <c r="P160" s="108" t="s">
        <v>2835</v>
      </c>
    </row>
    <row r="161" spans="1:19" ht="25.5">
      <c r="A161" s="118" t="s">
        <v>2778</v>
      </c>
      <c r="B161" s="130"/>
      <c r="C161" s="118" t="s">
        <v>3817</v>
      </c>
      <c r="D161" s="141"/>
      <c r="E161" s="118"/>
      <c r="F161" s="118"/>
      <c r="G161" s="118" t="s">
        <v>3954</v>
      </c>
      <c r="H161" s="118" t="s">
        <v>4257</v>
      </c>
      <c r="I161" s="118" t="s">
        <v>4480</v>
      </c>
      <c r="J161" s="118" t="s">
        <v>3818</v>
      </c>
      <c r="K161" s="141"/>
      <c r="L161" s="135" t="str">
        <f t="shared" si="7"/>
        <v>Lutra maculicollis</v>
      </c>
      <c r="M161" s="133">
        <f t="shared" si="6"/>
        <v>3.6020600000000003</v>
      </c>
      <c r="N161" s="133">
        <v>4000.0000798724222</v>
      </c>
      <c r="O161" s="179" t="s">
        <v>6908</v>
      </c>
      <c r="P161" s="108">
        <v>60</v>
      </c>
      <c r="Q161" s="90" t="s">
        <v>6988</v>
      </c>
    </row>
    <row r="162" spans="1:19" ht="38.25">
      <c r="A162" s="118" t="s">
        <v>2778</v>
      </c>
      <c r="B162" s="130"/>
      <c r="C162" s="118" t="s">
        <v>3817</v>
      </c>
      <c r="D162" s="141"/>
      <c r="E162" s="118"/>
      <c r="F162" s="118"/>
      <c r="G162" s="118" t="s">
        <v>3954</v>
      </c>
      <c r="H162" s="118" t="s">
        <v>4257</v>
      </c>
      <c r="I162" s="118" t="s">
        <v>4480</v>
      </c>
      <c r="J162" s="118" t="s">
        <v>3795</v>
      </c>
      <c r="K162" s="141"/>
      <c r="L162" s="135" t="str">
        <f t="shared" si="7"/>
        <v>Lutra lutra</v>
      </c>
      <c r="M162" s="133">
        <f t="shared" si="6"/>
        <v>4.0413899999999998</v>
      </c>
      <c r="N162" s="133">
        <v>10999.931989351941</v>
      </c>
      <c r="O162" s="179" t="s">
        <v>6990</v>
      </c>
      <c r="P162" s="108">
        <v>65</v>
      </c>
      <c r="Q162" s="90" t="s">
        <v>6988</v>
      </c>
    </row>
    <row r="163" spans="1:19">
      <c r="A163" s="118" t="s">
        <v>2778</v>
      </c>
      <c r="B163" s="130"/>
      <c r="C163" s="118" t="s">
        <v>3817</v>
      </c>
      <c r="D163" s="141"/>
      <c r="E163" s="118"/>
      <c r="F163" s="118"/>
      <c r="G163" s="118" t="s">
        <v>3954</v>
      </c>
      <c r="H163" s="118" t="s">
        <v>4257</v>
      </c>
      <c r="I163" s="118" t="s">
        <v>3354</v>
      </c>
      <c r="J163" s="118" t="s">
        <v>4259</v>
      </c>
      <c r="K163" s="141"/>
      <c r="L163" s="135" t="str">
        <f t="shared" si="7"/>
        <v>Mellivora capensis</v>
      </c>
      <c r="M163" s="133">
        <f t="shared" si="6"/>
        <v>3.9030900000000006</v>
      </c>
      <c r="N163" s="133">
        <v>8000.0002396172686</v>
      </c>
      <c r="O163" s="179" t="s">
        <v>3356</v>
      </c>
      <c r="P163" s="108" t="s">
        <v>2835</v>
      </c>
    </row>
    <row r="164" spans="1:19">
      <c r="A164" s="121" t="s">
        <v>2778</v>
      </c>
      <c r="B164" s="130"/>
      <c r="C164" s="118" t="s">
        <v>3817</v>
      </c>
      <c r="D164" s="141"/>
      <c r="E164" s="118"/>
      <c r="F164" s="118"/>
      <c r="G164" s="118" t="s">
        <v>3954</v>
      </c>
      <c r="H164" s="118" t="s">
        <v>4257</v>
      </c>
      <c r="I164" s="118" t="s">
        <v>4479</v>
      </c>
      <c r="J164" s="118" t="s">
        <v>3806</v>
      </c>
      <c r="K164" s="141"/>
      <c r="L164" s="135" t="str">
        <f t="shared" si="7"/>
        <v>Mustela nivalis</v>
      </c>
      <c r="M164" s="133">
        <f t="shared" ref="M164:M189" si="8">LOG(N164)</f>
        <v>2.2730000000000006</v>
      </c>
      <c r="N164" s="133">
        <v>187.49945080674203</v>
      </c>
      <c r="O164" s="179" t="s">
        <v>3356</v>
      </c>
      <c r="P164" s="108">
        <v>65</v>
      </c>
    </row>
    <row r="165" spans="1:19">
      <c r="A165" s="118" t="s">
        <v>2778</v>
      </c>
      <c r="B165" s="130"/>
      <c r="C165" s="118" t="s">
        <v>3817</v>
      </c>
      <c r="D165" s="141"/>
      <c r="E165" s="118"/>
      <c r="F165" s="118"/>
      <c r="G165" s="118" t="s">
        <v>3954</v>
      </c>
      <c r="H165" s="118" t="s">
        <v>4257</v>
      </c>
      <c r="I165" s="118" t="s">
        <v>4479</v>
      </c>
      <c r="J165" s="118" t="s">
        <v>3597</v>
      </c>
      <c r="K165" s="141"/>
      <c r="L165" s="135" t="str">
        <f t="shared" si="7"/>
        <v>Mustela putorius</v>
      </c>
      <c r="M165" s="133">
        <f t="shared" si="8"/>
        <v>3.0413900000000003</v>
      </c>
      <c r="N165" s="133">
        <v>1099.9931989351937</v>
      </c>
      <c r="O165" s="179" t="s">
        <v>3356</v>
      </c>
      <c r="P165" s="108">
        <v>65</v>
      </c>
    </row>
    <row r="166" spans="1:19">
      <c r="A166" s="118" t="s">
        <v>2778</v>
      </c>
      <c r="B166" s="130"/>
      <c r="C166" s="118" t="s">
        <v>3817</v>
      </c>
      <c r="D166" s="141"/>
      <c r="E166" s="118"/>
      <c r="F166" s="118"/>
      <c r="G166" s="118" t="s">
        <v>3954</v>
      </c>
      <c r="H166" s="118" t="s">
        <v>4257</v>
      </c>
      <c r="I166" s="118" t="s">
        <v>3598</v>
      </c>
      <c r="J166" s="118" t="s">
        <v>2988</v>
      </c>
      <c r="K166" s="141"/>
      <c r="L166" s="135" t="str">
        <f t="shared" si="7"/>
        <v>Poecilogale albinucha</v>
      </c>
      <c r="M166" s="133">
        <f t="shared" si="8"/>
        <v>2.5314800000000006</v>
      </c>
      <c r="N166" s="133">
        <v>340.00084782585969</v>
      </c>
      <c r="O166" s="179" t="s">
        <v>3356</v>
      </c>
      <c r="P166" s="108" t="s">
        <v>2835</v>
      </c>
    </row>
    <row r="167" spans="1:19" ht="51">
      <c r="A167" s="118" t="s">
        <v>2778</v>
      </c>
      <c r="B167" s="130" t="s">
        <v>2511</v>
      </c>
      <c r="C167" s="118" t="s">
        <v>3817</v>
      </c>
      <c r="D167" s="141"/>
      <c r="E167" s="118"/>
      <c r="F167" s="118"/>
      <c r="G167" s="118" t="s">
        <v>3954</v>
      </c>
      <c r="H167" s="118" t="s">
        <v>4613</v>
      </c>
      <c r="I167" s="118" t="s">
        <v>7918</v>
      </c>
      <c r="J167" s="118" t="s">
        <v>7174</v>
      </c>
      <c r="K167" s="141"/>
      <c r="L167" s="135" t="str">
        <f t="shared" si="7"/>
        <v>Monachus monachus</v>
      </c>
      <c r="M167" s="133">
        <f t="shared" si="8"/>
        <v>5.4393326938302629</v>
      </c>
      <c r="N167" s="133">
        <v>275000</v>
      </c>
      <c r="O167" s="179" t="s">
        <v>6929</v>
      </c>
      <c r="P167" s="108">
        <v>68</v>
      </c>
      <c r="Q167" s="90" t="s">
        <v>7071</v>
      </c>
    </row>
    <row r="168" spans="1:19">
      <c r="A168" s="118" t="s">
        <v>2778</v>
      </c>
      <c r="B168" s="130"/>
      <c r="C168" s="118" t="s">
        <v>3817</v>
      </c>
      <c r="D168" s="141"/>
      <c r="E168" s="118"/>
      <c r="F168" s="118"/>
      <c r="G168" s="118" t="s">
        <v>3954</v>
      </c>
      <c r="H168" s="118" t="s">
        <v>4908</v>
      </c>
      <c r="I168" s="118" t="s">
        <v>4909</v>
      </c>
      <c r="J168" s="118" t="s">
        <v>4910</v>
      </c>
      <c r="K168" s="141"/>
      <c r="L168" s="135" t="str">
        <f t="shared" si="7"/>
        <v>Civettictis civetta</v>
      </c>
      <c r="M168" s="133">
        <f t="shared" si="8"/>
        <v>4.0791800000000009</v>
      </c>
      <c r="N168" s="133">
        <v>11999.965570481174</v>
      </c>
      <c r="O168" s="179" t="s">
        <v>3356</v>
      </c>
      <c r="P168" s="108" t="s">
        <v>2835</v>
      </c>
      <c r="S168" s="92"/>
    </row>
    <row r="169" spans="1:19">
      <c r="A169" s="118" t="s">
        <v>2778</v>
      </c>
      <c r="B169" s="130"/>
      <c r="C169" s="118" t="s">
        <v>3817</v>
      </c>
      <c r="D169" s="141"/>
      <c r="E169" s="118"/>
      <c r="F169" s="118"/>
      <c r="G169" s="118" t="s">
        <v>3954</v>
      </c>
      <c r="H169" s="118" t="s">
        <v>4908</v>
      </c>
      <c r="I169" s="118" t="s">
        <v>2120</v>
      </c>
      <c r="J169" s="118" t="s">
        <v>4915</v>
      </c>
      <c r="K169" s="141"/>
      <c r="L169" s="135" t="str">
        <f t="shared" si="7"/>
        <v>Genetta servalina</v>
      </c>
      <c r="M169" s="133">
        <f t="shared" si="8"/>
        <v>3.0232500000000004</v>
      </c>
      <c r="N169" s="133">
        <v>1054.994025007627</v>
      </c>
      <c r="O169" s="179" t="s">
        <v>6641</v>
      </c>
      <c r="P169" s="108" t="s">
        <v>2835</v>
      </c>
      <c r="Q169" s="90" t="s">
        <v>6640</v>
      </c>
    </row>
    <row r="170" spans="1:19">
      <c r="A170" s="121" t="s">
        <v>2778</v>
      </c>
      <c r="B170" s="130"/>
      <c r="C170" s="118" t="s">
        <v>3817</v>
      </c>
      <c r="D170" s="141"/>
      <c r="E170" s="118"/>
      <c r="F170" s="118"/>
      <c r="G170" s="118" t="s">
        <v>3954</v>
      </c>
      <c r="H170" s="118" t="s">
        <v>4908</v>
      </c>
      <c r="I170" s="118" t="s">
        <v>2120</v>
      </c>
      <c r="J170" s="118" t="s">
        <v>4916</v>
      </c>
      <c r="K170" s="141"/>
      <c r="L170" s="135" t="str">
        <f t="shared" si="7"/>
        <v>Genetta thierryi</v>
      </c>
      <c r="M170" s="133">
        <f t="shared" si="8"/>
        <v>3.1461299999999999</v>
      </c>
      <c r="N170" s="133">
        <v>1400.0063322395304</v>
      </c>
      <c r="O170" s="179" t="s">
        <v>3356</v>
      </c>
      <c r="P170" s="108">
        <v>65</v>
      </c>
    </row>
    <row r="171" spans="1:19">
      <c r="A171" s="118" t="s">
        <v>2778</v>
      </c>
      <c r="B171" s="130"/>
      <c r="C171" s="118" t="s">
        <v>3817</v>
      </c>
      <c r="D171" s="141"/>
      <c r="E171" s="118"/>
      <c r="F171" s="118"/>
      <c r="G171" s="118" t="s">
        <v>3954</v>
      </c>
      <c r="H171" s="118" t="s">
        <v>4908</v>
      </c>
      <c r="I171" s="118" t="s">
        <v>2120</v>
      </c>
      <c r="J171" s="118" t="s">
        <v>7236</v>
      </c>
      <c r="K171" s="141"/>
      <c r="L171" s="135" t="str">
        <f t="shared" si="7"/>
        <v>Genetta abyssinica</v>
      </c>
      <c r="M171" s="133">
        <f t="shared" si="8"/>
        <v>3.2174800000000006</v>
      </c>
      <c r="N171" s="133">
        <v>1649.9850149526105</v>
      </c>
      <c r="O171" s="179" t="s">
        <v>6641</v>
      </c>
      <c r="P171" s="108">
        <v>65</v>
      </c>
      <c r="Q171" s="90" t="s">
        <v>6987</v>
      </c>
    </row>
    <row r="172" spans="1:19">
      <c r="A172" s="118" t="s">
        <v>2778</v>
      </c>
      <c r="B172" s="130"/>
      <c r="C172" s="118" t="s">
        <v>3817</v>
      </c>
      <c r="D172" s="141"/>
      <c r="E172" s="118"/>
      <c r="F172" s="118"/>
      <c r="G172" s="118" t="s">
        <v>3954</v>
      </c>
      <c r="H172" s="118" t="s">
        <v>4908</v>
      </c>
      <c r="I172" s="118" t="s">
        <v>2120</v>
      </c>
      <c r="J172" s="118" t="s">
        <v>4911</v>
      </c>
      <c r="K172" s="141"/>
      <c r="L172" s="135" t="str">
        <f t="shared" si="7"/>
        <v>Genetta angolensis</v>
      </c>
      <c r="M172" s="133">
        <f t="shared" si="8"/>
        <v>3.2174800000000006</v>
      </c>
      <c r="N172" s="133">
        <v>1649.9850149526105</v>
      </c>
      <c r="O172" s="179" t="s">
        <v>3356</v>
      </c>
      <c r="P172" s="108">
        <v>65</v>
      </c>
    </row>
    <row r="173" spans="1:19">
      <c r="A173" s="118" t="s">
        <v>2778</v>
      </c>
      <c r="B173" s="130"/>
      <c r="C173" s="118" t="s">
        <v>3817</v>
      </c>
      <c r="D173" s="141"/>
      <c r="E173" s="118"/>
      <c r="F173" s="118"/>
      <c r="G173" s="118" t="s">
        <v>3954</v>
      </c>
      <c r="H173" s="118" t="s">
        <v>4908</v>
      </c>
      <c r="I173" s="118" t="s">
        <v>2120</v>
      </c>
      <c r="J173" s="118" t="s">
        <v>4912</v>
      </c>
      <c r="K173" s="141"/>
      <c r="L173" s="135" t="str">
        <f t="shared" si="7"/>
        <v>Genetta genetta</v>
      </c>
      <c r="M173" s="133">
        <f t="shared" si="8"/>
        <v>3.3010299999999999</v>
      </c>
      <c r="N173" s="133">
        <v>2000.0000199681051</v>
      </c>
      <c r="O173" s="179" t="s">
        <v>3356</v>
      </c>
      <c r="P173" s="108" t="s">
        <v>2835</v>
      </c>
    </row>
    <row r="174" spans="1:19">
      <c r="A174" s="118" t="s">
        <v>2778</v>
      </c>
      <c r="B174" s="130"/>
      <c r="C174" s="118" t="s">
        <v>3817</v>
      </c>
      <c r="D174" s="141"/>
      <c r="E174" s="118"/>
      <c r="F174" s="118"/>
      <c r="G174" s="118" t="s">
        <v>3954</v>
      </c>
      <c r="H174" s="118" t="s">
        <v>4908</v>
      </c>
      <c r="I174" s="118" t="s">
        <v>2120</v>
      </c>
      <c r="J174" s="118" t="s">
        <v>3718</v>
      </c>
      <c r="K174" s="141"/>
      <c r="L174" s="135" t="str">
        <f t="shared" si="7"/>
        <v>Genetta johnstoni</v>
      </c>
      <c r="M174" s="133">
        <f t="shared" si="8"/>
        <v>3.3473300000000004</v>
      </c>
      <c r="N174" s="133">
        <v>2224.9999215274088</v>
      </c>
      <c r="O174" s="179" t="s">
        <v>6641</v>
      </c>
      <c r="P174" s="108">
        <v>65</v>
      </c>
      <c r="Q174" s="90" t="s">
        <v>6987</v>
      </c>
    </row>
    <row r="175" spans="1:19">
      <c r="A175" s="118" t="s">
        <v>2778</v>
      </c>
      <c r="B175" s="130"/>
      <c r="C175" s="118" t="s">
        <v>3817</v>
      </c>
      <c r="D175" s="141"/>
      <c r="E175" s="118"/>
      <c r="F175" s="118"/>
      <c r="G175" s="118" t="s">
        <v>3954</v>
      </c>
      <c r="H175" s="118" t="s">
        <v>4908</v>
      </c>
      <c r="I175" s="118" t="s">
        <v>2120</v>
      </c>
      <c r="J175" s="118" t="s">
        <v>4913</v>
      </c>
      <c r="K175" s="141"/>
      <c r="L175" s="135" t="str">
        <f t="shared" si="7"/>
        <v>Genetta maculata</v>
      </c>
      <c r="M175" s="133">
        <f t="shared" si="8"/>
        <v>3.3473300000000004</v>
      </c>
      <c r="N175" s="133">
        <v>2224.9999215274088</v>
      </c>
      <c r="O175" s="179" t="s">
        <v>3356</v>
      </c>
      <c r="P175" s="114">
        <v>-999</v>
      </c>
    </row>
    <row r="176" spans="1:19">
      <c r="A176" s="121" t="s">
        <v>2778</v>
      </c>
      <c r="B176" s="130"/>
      <c r="C176" s="118" t="s">
        <v>3817</v>
      </c>
      <c r="D176" s="141"/>
      <c r="E176" s="118"/>
      <c r="F176" s="118"/>
      <c r="G176" s="118" t="s">
        <v>3954</v>
      </c>
      <c r="H176" s="118" t="s">
        <v>4908</v>
      </c>
      <c r="I176" s="118" t="s">
        <v>2120</v>
      </c>
      <c r="J176" s="118" t="s">
        <v>4917</v>
      </c>
      <c r="K176" s="141"/>
      <c r="L176" s="135" t="str">
        <f t="shared" si="7"/>
        <v>Genetta tigrina</v>
      </c>
      <c r="M176" s="133">
        <f t="shared" si="8"/>
        <v>3.3473300000000004</v>
      </c>
      <c r="N176" s="133">
        <v>2224.9999215274088</v>
      </c>
      <c r="O176" s="179" t="s">
        <v>3356</v>
      </c>
      <c r="P176" s="108" t="s">
        <v>2835</v>
      </c>
    </row>
    <row r="177" spans="1:19" ht="24" customHeight="1">
      <c r="A177" s="121" t="s">
        <v>2778</v>
      </c>
      <c r="B177" s="130"/>
      <c r="C177" s="118" t="s">
        <v>3817</v>
      </c>
      <c r="D177" s="141"/>
      <c r="E177" s="118"/>
      <c r="F177" s="118"/>
      <c r="G177" s="118" t="s">
        <v>3954</v>
      </c>
      <c r="H177" s="118" t="s">
        <v>4908</v>
      </c>
      <c r="I177" s="118" t="s">
        <v>2120</v>
      </c>
      <c r="J177" s="118" t="s">
        <v>4918</v>
      </c>
      <c r="K177" s="141"/>
      <c r="L177" s="135" t="str">
        <f t="shared" si="7"/>
        <v>Genetta victoriae</v>
      </c>
      <c r="M177" s="133">
        <f t="shared" si="8"/>
        <v>3.4771200000000007</v>
      </c>
      <c r="N177" s="133">
        <v>2999.9913327161544</v>
      </c>
      <c r="O177" s="179" t="s">
        <v>3356</v>
      </c>
      <c r="P177" s="111" t="s">
        <v>2835</v>
      </c>
    </row>
    <row r="178" spans="1:19">
      <c r="A178" s="118" t="s">
        <v>2778</v>
      </c>
      <c r="B178" s="130"/>
      <c r="C178" s="118" t="s">
        <v>3817</v>
      </c>
      <c r="D178" s="141"/>
      <c r="E178" s="118"/>
      <c r="F178" s="118"/>
      <c r="G178" s="118" t="s">
        <v>3954</v>
      </c>
      <c r="H178" s="118" t="s">
        <v>4908</v>
      </c>
      <c r="I178" s="118" t="s">
        <v>7444</v>
      </c>
      <c r="J178" s="118" t="s">
        <v>7445</v>
      </c>
      <c r="K178" s="141"/>
      <c r="L178" s="135" t="str">
        <f t="shared" si="7"/>
        <v>Nandinia binotata</v>
      </c>
      <c r="M178" s="133">
        <f t="shared" si="8"/>
        <v>3.3010299999999999</v>
      </c>
      <c r="N178" s="133">
        <v>2000.0000199681051</v>
      </c>
      <c r="O178" s="179" t="s">
        <v>3356</v>
      </c>
      <c r="P178" s="108" t="s">
        <v>2835</v>
      </c>
    </row>
    <row r="179" spans="1:19">
      <c r="A179" s="118" t="s">
        <v>2778</v>
      </c>
      <c r="B179" s="130"/>
      <c r="C179" s="118" t="s">
        <v>3817</v>
      </c>
      <c r="D179" s="141"/>
      <c r="E179" s="118"/>
      <c r="F179" s="118"/>
      <c r="G179" s="118" t="s">
        <v>3954</v>
      </c>
      <c r="H179" s="118" t="s">
        <v>4908</v>
      </c>
      <c r="I179" s="118" t="s">
        <v>7446</v>
      </c>
      <c r="J179" s="118" t="s">
        <v>7447</v>
      </c>
      <c r="K179" s="141"/>
      <c r="L179" s="135" t="str">
        <f t="shared" si="7"/>
        <v>Osbornictis piscivora</v>
      </c>
      <c r="M179" s="133">
        <f t="shared" si="8"/>
        <v>3.4771200000000007</v>
      </c>
      <c r="N179" s="133">
        <v>2999.9913327161544</v>
      </c>
      <c r="O179" s="179" t="s">
        <v>6641</v>
      </c>
      <c r="P179" s="108">
        <v>65</v>
      </c>
      <c r="Q179" s="90" t="s">
        <v>6987</v>
      </c>
    </row>
    <row r="180" spans="1:19">
      <c r="A180" s="118" t="s">
        <v>2778</v>
      </c>
      <c r="B180" s="130"/>
      <c r="C180" s="118" t="s">
        <v>3817</v>
      </c>
      <c r="D180" s="141"/>
      <c r="E180" s="118"/>
      <c r="F180" s="118"/>
      <c r="G180" s="118" t="s">
        <v>3954</v>
      </c>
      <c r="H180" s="118" t="s">
        <v>4908</v>
      </c>
      <c r="I180" s="118" t="s">
        <v>3890</v>
      </c>
      <c r="J180" s="118" t="s">
        <v>3422</v>
      </c>
      <c r="K180" s="141"/>
      <c r="L180" s="135" t="str">
        <f t="shared" si="7"/>
        <v>Poiana richardsonii</v>
      </c>
      <c r="M180" s="133">
        <f t="shared" si="8"/>
        <v>2.6989700000000005</v>
      </c>
      <c r="N180" s="133">
        <v>499.99999500797441</v>
      </c>
      <c r="O180" s="179" t="s">
        <v>3356</v>
      </c>
      <c r="P180" s="108">
        <v>60</v>
      </c>
    </row>
    <row r="181" spans="1:19" ht="51">
      <c r="A181" s="109" t="s">
        <v>2778</v>
      </c>
      <c r="B181" s="141" t="s">
        <v>1636</v>
      </c>
      <c r="C181" s="148" t="s">
        <v>3817</v>
      </c>
      <c r="D181" s="223"/>
      <c r="E181" s="148"/>
      <c r="F181" s="148"/>
      <c r="G181" s="109" t="s">
        <v>2663</v>
      </c>
      <c r="H181" s="148" t="s">
        <v>2839</v>
      </c>
      <c r="I181" s="148" t="s">
        <v>1734</v>
      </c>
      <c r="J181" s="148" t="s">
        <v>3490</v>
      </c>
      <c r="K181" s="223"/>
      <c r="L181" s="135" t="str">
        <f t="shared" si="7"/>
        <v>Coleura afra</v>
      </c>
      <c r="M181" s="133">
        <f t="shared" si="8"/>
        <v>1.0280287236002572</v>
      </c>
      <c r="N181" s="149">
        <v>10.666666666667</v>
      </c>
      <c r="O181" s="191"/>
      <c r="P181" s="109">
        <v>153</v>
      </c>
      <c r="Q181" s="91"/>
      <c r="R181" s="82"/>
    </row>
    <row r="182" spans="1:19" ht="25.5">
      <c r="A182" s="110" t="s">
        <v>2778</v>
      </c>
      <c r="B182" s="141" t="s">
        <v>1410</v>
      </c>
      <c r="C182" s="150" t="s">
        <v>3817</v>
      </c>
      <c r="D182" s="221"/>
      <c r="E182" s="150"/>
      <c r="F182" s="150"/>
      <c r="G182" s="110" t="s">
        <v>2663</v>
      </c>
      <c r="H182" s="150" t="s">
        <v>2839</v>
      </c>
      <c r="I182" s="150" t="s">
        <v>3133</v>
      </c>
      <c r="J182" s="150" t="s">
        <v>1411</v>
      </c>
      <c r="K182" s="221"/>
      <c r="L182" s="135" t="str">
        <f t="shared" si="7"/>
        <v>Saccolaimus peli</v>
      </c>
      <c r="M182" s="133">
        <f t="shared" si="8"/>
        <v>2</v>
      </c>
      <c r="N182" s="152">
        <v>100</v>
      </c>
      <c r="O182" s="191"/>
      <c r="P182" s="109">
        <v>153</v>
      </c>
      <c r="Q182" s="83"/>
      <c r="S182" s="92"/>
    </row>
    <row r="183" spans="1:19">
      <c r="A183" s="110" t="s">
        <v>2778</v>
      </c>
      <c r="B183" s="141" t="s">
        <v>1596</v>
      </c>
      <c r="C183" s="150" t="s">
        <v>3817</v>
      </c>
      <c r="D183" s="221"/>
      <c r="E183" s="150"/>
      <c r="F183" s="150"/>
      <c r="G183" s="110" t="s">
        <v>2663</v>
      </c>
      <c r="H183" s="150" t="s">
        <v>2839</v>
      </c>
      <c r="I183" s="150" t="s">
        <v>6197</v>
      </c>
      <c r="J183" s="150" t="s">
        <v>1597</v>
      </c>
      <c r="K183" s="221"/>
      <c r="L183" s="135" t="str">
        <f t="shared" si="7"/>
        <v>Taphozous hamiltoni</v>
      </c>
      <c r="M183" s="151">
        <f t="shared" si="8"/>
        <v>1.3424226808222062</v>
      </c>
      <c r="N183" s="146">
        <v>22</v>
      </c>
      <c r="O183" s="189"/>
      <c r="P183" s="109" t="s">
        <v>7827</v>
      </c>
      <c r="Q183" s="91"/>
      <c r="R183" s="92"/>
      <c r="S183" s="82"/>
    </row>
    <row r="184" spans="1:19" ht="51">
      <c r="A184" s="110" t="s">
        <v>2778</v>
      </c>
      <c r="B184" s="141" t="s">
        <v>4441</v>
      </c>
      <c r="C184" s="150" t="s">
        <v>3817</v>
      </c>
      <c r="D184" s="221"/>
      <c r="E184" s="150"/>
      <c r="F184" s="150"/>
      <c r="G184" s="110" t="s">
        <v>2663</v>
      </c>
      <c r="H184" s="150" t="s">
        <v>2839</v>
      </c>
      <c r="I184" s="150" t="s">
        <v>6197</v>
      </c>
      <c r="J184" s="150" t="s">
        <v>4035</v>
      </c>
      <c r="K184" s="221"/>
      <c r="L184" s="135" t="str">
        <f t="shared" si="7"/>
        <v>Taphozous nudiventris</v>
      </c>
      <c r="M184" s="133">
        <f t="shared" si="8"/>
        <v>1.414973347970818</v>
      </c>
      <c r="N184" s="152">
        <f>AVERAGE(19.5, 32.5)</f>
        <v>26</v>
      </c>
      <c r="O184" s="191"/>
      <c r="P184" s="109" t="s">
        <v>1927</v>
      </c>
      <c r="Q184" s="91"/>
      <c r="R184" s="92" t="s">
        <v>1925</v>
      </c>
      <c r="S184" s="85" t="s">
        <v>1926</v>
      </c>
    </row>
    <row r="185" spans="1:19" ht="51">
      <c r="A185" s="110" t="s">
        <v>2778</v>
      </c>
      <c r="B185" s="141" t="s">
        <v>1437</v>
      </c>
      <c r="C185" s="150" t="s">
        <v>3817</v>
      </c>
      <c r="D185" s="221"/>
      <c r="E185" s="150"/>
      <c r="F185" s="150"/>
      <c r="G185" s="110" t="s">
        <v>2663</v>
      </c>
      <c r="H185" s="150" t="s">
        <v>2839</v>
      </c>
      <c r="I185" s="150" t="s">
        <v>6197</v>
      </c>
      <c r="J185" s="150" t="s">
        <v>1345</v>
      </c>
      <c r="K185" s="221"/>
      <c r="L185" s="135" t="str">
        <f t="shared" si="7"/>
        <v>Taphozous perforatus</v>
      </c>
      <c r="M185" s="133">
        <f t="shared" si="8"/>
        <v>1.436692597664049</v>
      </c>
      <c r="N185" s="152">
        <v>27.333333333333002</v>
      </c>
      <c r="O185" s="191"/>
      <c r="P185" s="109">
        <v>153</v>
      </c>
      <c r="Q185" s="82"/>
      <c r="S185" s="85" t="s">
        <v>1928</v>
      </c>
    </row>
    <row r="186" spans="1:19" ht="76.5">
      <c r="A186" s="110" t="s">
        <v>2778</v>
      </c>
      <c r="B186" s="141" t="s">
        <v>1236</v>
      </c>
      <c r="C186" s="150" t="s">
        <v>3817</v>
      </c>
      <c r="D186" s="221"/>
      <c r="E186" s="150"/>
      <c r="F186" s="150"/>
      <c r="G186" s="110" t="s">
        <v>2663</v>
      </c>
      <c r="H186" s="148" t="s">
        <v>2839</v>
      </c>
      <c r="I186" s="150" t="s">
        <v>6197</v>
      </c>
      <c r="J186" s="150" t="s">
        <v>6198</v>
      </c>
      <c r="K186" s="221"/>
      <c r="L186" s="135" t="str">
        <f t="shared" si="7"/>
        <v>Taphozous mauritianus</v>
      </c>
      <c r="M186" s="133">
        <f t="shared" si="8"/>
        <v>1.4368911625453118</v>
      </c>
      <c r="N186" s="152">
        <v>27.345833333333001</v>
      </c>
      <c r="O186" s="191"/>
      <c r="P186" s="109">
        <v>153</v>
      </c>
      <c r="Q186" s="82"/>
      <c r="R186" s="85" t="s">
        <v>1923</v>
      </c>
      <c r="S186" s="92" t="s">
        <v>1924</v>
      </c>
    </row>
    <row r="187" spans="1:19" ht="25.5">
      <c r="A187" s="109" t="s">
        <v>2778</v>
      </c>
      <c r="B187" s="141" t="s">
        <v>699</v>
      </c>
      <c r="C187" s="150" t="s">
        <v>3817</v>
      </c>
      <c r="D187" s="221"/>
      <c r="E187" s="150"/>
      <c r="F187" s="150"/>
      <c r="G187" s="110" t="s">
        <v>2663</v>
      </c>
      <c r="H187" s="150" t="s">
        <v>2839</v>
      </c>
      <c r="I187" s="150" t="s">
        <v>6197</v>
      </c>
      <c r="J187" s="150" t="s">
        <v>6683</v>
      </c>
      <c r="K187" s="221"/>
      <c r="L187" s="135" t="str">
        <f t="shared" si="7"/>
        <v>Taphozous hildegardeae</v>
      </c>
      <c r="M187" s="133">
        <f t="shared" si="8"/>
        <v>1.4712917110589385</v>
      </c>
      <c r="N187" s="152">
        <v>29.6</v>
      </c>
      <c r="O187" s="191"/>
      <c r="P187" s="109">
        <v>153</v>
      </c>
      <c r="Q187" s="91"/>
      <c r="R187" s="92"/>
      <c r="S187" s="92"/>
    </row>
    <row r="188" spans="1:19" ht="38.25">
      <c r="A188" s="110" t="s">
        <v>2778</v>
      </c>
      <c r="B188" s="141" t="s">
        <v>1391</v>
      </c>
      <c r="C188" s="150" t="s">
        <v>3817</v>
      </c>
      <c r="D188" s="221"/>
      <c r="E188" s="150"/>
      <c r="F188" s="150"/>
      <c r="G188" s="110" t="s">
        <v>2663</v>
      </c>
      <c r="H188" s="150" t="s">
        <v>1392</v>
      </c>
      <c r="I188" s="150" t="s">
        <v>1393</v>
      </c>
      <c r="J188" s="150" t="s">
        <v>1394</v>
      </c>
      <c r="K188" s="221"/>
      <c r="L188" s="135" t="str">
        <f t="shared" si="7"/>
        <v>Cardioderma cor</v>
      </c>
      <c r="M188" s="133">
        <f t="shared" si="8"/>
        <v>1.4447137991033623</v>
      </c>
      <c r="N188" s="152">
        <v>27.842857142857</v>
      </c>
      <c r="O188" s="191"/>
      <c r="P188" s="109">
        <v>153</v>
      </c>
      <c r="Q188" s="91"/>
      <c r="R188" s="92"/>
    </row>
    <row r="189" spans="1:19" ht="38.25">
      <c r="A189" s="110" t="s">
        <v>2778</v>
      </c>
      <c r="B189" s="141" t="s">
        <v>4766</v>
      </c>
      <c r="C189" s="150" t="s">
        <v>3817</v>
      </c>
      <c r="D189" s="221"/>
      <c r="E189" s="150"/>
      <c r="F189" s="150"/>
      <c r="G189" s="110" t="s">
        <v>2663</v>
      </c>
      <c r="H189" s="150" t="s">
        <v>1392</v>
      </c>
      <c r="I189" s="150" t="s">
        <v>4767</v>
      </c>
      <c r="J189" s="150" t="s">
        <v>4768</v>
      </c>
      <c r="K189" s="221"/>
      <c r="L189" s="135" t="str">
        <f t="shared" si="7"/>
        <v>Lavia frons</v>
      </c>
      <c r="M189" s="133">
        <f t="shared" si="8"/>
        <v>1.3790031895226318</v>
      </c>
      <c r="N189" s="152">
        <v>23.933333333333</v>
      </c>
      <c r="O189" s="191"/>
      <c r="P189" s="109">
        <v>153</v>
      </c>
      <c r="Q189" s="91"/>
      <c r="R189" s="92"/>
      <c r="S189" s="92" t="s">
        <v>1752</v>
      </c>
    </row>
    <row r="190" spans="1:19" ht="15" customHeight="1">
      <c r="A190" s="110" t="s">
        <v>2778</v>
      </c>
      <c r="B190" s="141" t="s">
        <v>1282</v>
      </c>
      <c r="C190" s="148" t="s">
        <v>3817</v>
      </c>
      <c r="D190" s="223"/>
      <c r="E190" s="148"/>
      <c r="F190" s="148"/>
      <c r="G190" s="109" t="s">
        <v>2663</v>
      </c>
      <c r="H190" s="148" t="s">
        <v>2533</v>
      </c>
      <c r="I190" s="148" t="s">
        <v>6040</v>
      </c>
      <c r="J190" s="148" t="s">
        <v>1283</v>
      </c>
      <c r="K190" s="223"/>
      <c r="L190" s="135" t="str">
        <f t="shared" si="7"/>
        <v>Chaerephon aloysiisabaudiae</v>
      </c>
      <c r="M190" s="151">
        <v>-999</v>
      </c>
      <c r="N190" s="151">
        <v>-999</v>
      </c>
      <c r="O190" s="189"/>
      <c r="P190" s="109">
        <v>-999</v>
      </c>
    </row>
    <row r="191" spans="1:19" ht="38.25">
      <c r="A191" s="110" t="s">
        <v>2778</v>
      </c>
      <c r="B191" s="141" t="s">
        <v>1568</v>
      </c>
      <c r="C191" s="148" t="s">
        <v>3817</v>
      </c>
      <c r="D191" s="223"/>
      <c r="E191" s="148"/>
      <c r="F191" s="148"/>
      <c r="G191" s="109" t="s">
        <v>2663</v>
      </c>
      <c r="H191" s="148" t="s">
        <v>2533</v>
      </c>
      <c r="I191" s="148" t="s">
        <v>6040</v>
      </c>
      <c r="J191" s="148" t="s">
        <v>4528</v>
      </c>
      <c r="K191" s="223"/>
      <c r="L191" s="135" t="str">
        <f t="shared" si="7"/>
        <v>Chaerephon bemmeleni</v>
      </c>
      <c r="M191" s="151">
        <f>LOG(N191)</f>
        <v>1.2787536009528289</v>
      </c>
      <c r="N191" s="151">
        <v>19</v>
      </c>
      <c r="O191" s="189"/>
      <c r="P191" s="109">
        <v>282</v>
      </c>
    </row>
    <row r="192" spans="1:19">
      <c r="A192" s="110" t="s">
        <v>2778</v>
      </c>
      <c r="B192" s="141" t="s">
        <v>6064</v>
      </c>
      <c r="C192" s="148" t="s">
        <v>3817</v>
      </c>
      <c r="D192" s="223"/>
      <c r="E192" s="148"/>
      <c r="F192" s="148"/>
      <c r="G192" s="109" t="s">
        <v>2663</v>
      </c>
      <c r="H192" s="148" t="s">
        <v>2533</v>
      </c>
      <c r="I192" s="148" t="s">
        <v>6040</v>
      </c>
      <c r="J192" s="148" t="s">
        <v>570</v>
      </c>
      <c r="K192" s="223"/>
      <c r="L192" s="135" t="str">
        <f t="shared" si="7"/>
        <v>Chaerephon gallagheri</v>
      </c>
      <c r="M192" s="151">
        <v>-999</v>
      </c>
      <c r="N192" s="151">
        <v>-999</v>
      </c>
      <c r="O192" s="189"/>
      <c r="P192" s="109">
        <v>-999</v>
      </c>
    </row>
    <row r="193" spans="1:30" ht="51">
      <c r="A193" s="110" t="s">
        <v>2778</v>
      </c>
      <c r="B193" s="141" t="s">
        <v>2103</v>
      </c>
      <c r="C193" s="150" t="s">
        <v>3817</v>
      </c>
      <c r="D193" s="221"/>
      <c r="E193" s="150"/>
      <c r="F193" s="150"/>
      <c r="G193" s="110" t="s">
        <v>2663</v>
      </c>
      <c r="H193" s="150" t="s">
        <v>2533</v>
      </c>
      <c r="I193" s="150" t="s">
        <v>6040</v>
      </c>
      <c r="J193" s="150" t="s">
        <v>2104</v>
      </c>
      <c r="K193" s="221"/>
      <c r="L193" s="135" t="str">
        <f t="shared" si="7"/>
        <v>Chaerephon chapini</v>
      </c>
      <c r="M193" s="146">
        <f t="shared" ref="M193:M200" si="9">LOG(N193)</f>
        <v>1</v>
      </c>
      <c r="N193" s="154">
        <v>10</v>
      </c>
      <c r="O193" s="183"/>
      <c r="P193" s="110">
        <v>232</v>
      </c>
      <c r="Q193" s="80"/>
    </row>
    <row r="194" spans="1:30" ht="76.5">
      <c r="A194" s="110" t="s">
        <v>2778</v>
      </c>
      <c r="B194" s="141" t="s">
        <v>1976</v>
      </c>
      <c r="C194" s="148" t="s">
        <v>3817</v>
      </c>
      <c r="D194" s="223"/>
      <c r="E194" s="148"/>
      <c r="F194" s="148"/>
      <c r="G194" s="109" t="s">
        <v>2663</v>
      </c>
      <c r="H194" s="148" t="s">
        <v>2533</v>
      </c>
      <c r="I194" s="148" t="s">
        <v>6040</v>
      </c>
      <c r="J194" s="148" t="s">
        <v>5487</v>
      </c>
      <c r="K194" s="223"/>
      <c r="L194" s="135" t="str">
        <f t="shared" si="7"/>
        <v>Chaerephon pumila</v>
      </c>
      <c r="M194" s="133">
        <f t="shared" si="9"/>
        <v>1.0529716716372919</v>
      </c>
      <c r="N194" s="149">
        <v>11.297222222222</v>
      </c>
      <c r="O194" s="191"/>
      <c r="P194" s="109">
        <v>153</v>
      </c>
      <c r="Q194" s="91"/>
      <c r="R194" s="92"/>
    </row>
    <row r="195" spans="1:30" ht="51">
      <c r="A195" s="212" t="s">
        <v>2778</v>
      </c>
      <c r="B195" s="141" t="s">
        <v>1639</v>
      </c>
      <c r="C195" s="150" t="s">
        <v>3817</v>
      </c>
      <c r="D195" s="221"/>
      <c r="E195" s="150"/>
      <c r="F195" s="150"/>
      <c r="G195" s="110" t="s">
        <v>2663</v>
      </c>
      <c r="H195" s="148" t="s">
        <v>2533</v>
      </c>
      <c r="I195" s="150" t="s">
        <v>6040</v>
      </c>
      <c r="J195" s="150" t="s">
        <v>5838</v>
      </c>
      <c r="K195" s="221"/>
      <c r="L195" s="135" t="str">
        <f t="shared" si="7"/>
        <v>Chaerephon major</v>
      </c>
      <c r="M195" s="133">
        <f t="shared" si="9"/>
        <v>1.1687920203141817</v>
      </c>
      <c r="N195" s="152">
        <v>14.75</v>
      </c>
      <c r="O195" s="191"/>
      <c r="P195" s="109">
        <v>153</v>
      </c>
    </row>
    <row r="196" spans="1:30" ht="38.25">
      <c r="A196" s="110" t="s">
        <v>2778</v>
      </c>
      <c r="B196" s="141" t="s">
        <v>1736</v>
      </c>
      <c r="C196" s="150" t="s">
        <v>3817</v>
      </c>
      <c r="D196" s="221"/>
      <c r="E196" s="150"/>
      <c r="F196" s="150"/>
      <c r="G196" s="110" t="s">
        <v>2663</v>
      </c>
      <c r="H196" s="148" t="s">
        <v>2533</v>
      </c>
      <c r="I196" s="150" t="s">
        <v>6040</v>
      </c>
      <c r="J196" s="150" t="s">
        <v>1737</v>
      </c>
      <c r="K196" s="221"/>
      <c r="L196" s="135" t="str">
        <f t="shared" si="7"/>
        <v>Chaerephon bivittata</v>
      </c>
      <c r="M196" s="133">
        <f t="shared" si="9"/>
        <v>1.1760912590556813</v>
      </c>
      <c r="N196" s="152">
        <v>15</v>
      </c>
      <c r="O196" s="191"/>
      <c r="P196" s="109">
        <v>153</v>
      </c>
    </row>
    <row r="197" spans="1:30" ht="38.25">
      <c r="A197" s="110" t="s">
        <v>2778</v>
      </c>
      <c r="B197" s="141" t="s">
        <v>4504</v>
      </c>
      <c r="C197" s="148" t="s">
        <v>3817</v>
      </c>
      <c r="D197" s="223"/>
      <c r="E197" s="148"/>
      <c r="F197" s="148"/>
      <c r="G197" s="109" t="s">
        <v>2663</v>
      </c>
      <c r="H197" s="148" t="s">
        <v>2533</v>
      </c>
      <c r="I197" s="148" t="s">
        <v>6040</v>
      </c>
      <c r="J197" s="148" t="s">
        <v>3995</v>
      </c>
      <c r="K197" s="223"/>
      <c r="L197" s="135" t="str">
        <f t="shared" ref="L197:L260" si="10">I197&amp;" "&amp;J197</f>
        <v>Chaerephon ansorgei</v>
      </c>
      <c r="M197" s="151">
        <f t="shared" si="9"/>
        <v>1.2077689697399236</v>
      </c>
      <c r="N197" s="151">
        <f>AVERAGE(16.5, 15.77)</f>
        <v>16.134999999999998</v>
      </c>
      <c r="O197" s="189"/>
      <c r="P197" s="109">
        <v>255</v>
      </c>
    </row>
    <row r="198" spans="1:30" ht="25.5">
      <c r="A198" s="110" t="s">
        <v>2778</v>
      </c>
      <c r="B198" s="141" t="s">
        <v>1738</v>
      </c>
      <c r="C198" s="150" t="s">
        <v>3817</v>
      </c>
      <c r="D198" s="221"/>
      <c r="E198" s="150"/>
      <c r="F198" s="150"/>
      <c r="G198" s="110" t="s">
        <v>2663</v>
      </c>
      <c r="H198" s="148" t="s">
        <v>2533</v>
      </c>
      <c r="I198" s="150" t="s">
        <v>6040</v>
      </c>
      <c r="J198" s="150" t="s">
        <v>1739</v>
      </c>
      <c r="K198" s="221"/>
      <c r="L198" s="135" t="str">
        <f t="shared" si="10"/>
        <v>Chaerephon russata</v>
      </c>
      <c r="M198" s="133">
        <f t="shared" si="9"/>
        <v>1.2181414681576779</v>
      </c>
      <c r="N198" s="152">
        <v>16.524999999999999</v>
      </c>
      <c r="O198" s="191"/>
      <c r="P198" s="109">
        <v>153</v>
      </c>
    </row>
    <row r="199" spans="1:30" ht="51">
      <c r="A199" s="110" t="s">
        <v>2778</v>
      </c>
      <c r="B199" s="141" t="s">
        <v>1781</v>
      </c>
      <c r="C199" s="150" t="s">
        <v>3817</v>
      </c>
      <c r="D199" s="221"/>
      <c r="E199" s="150"/>
      <c r="F199" s="150"/>
      <c r="G199" s="110" t="s">
        <v>2663</v>
      </c>
      <c r="H199" s="148" t="s">
        <v>2533</v>
      </c>
      <c r="I199" s="150" t="s">
        <v>6040</v>
      </c>
      <c r="J199" s="150" t="s">
        <v>4165</v>
      </c>
      <c r="K199" s="221"/>
      <c r="L199" s="135" t="str">
        <f t="shared" si="10"/>
        <v>Chaerephon nigeriae</v>
      </c>
      <c r="M199" s="133">
        <f t="shared" si="9"/>
        <v>1.2966651902615312</v>
      </c>
      <c r="N199" s="152">
        <v>19.8</v>
      </c>
      <c r="O199" s="191"/>
      <c r="P199" s="109">
        <v>153</v>
      </c>
    </row>
    <row r="200" spans="1:30" ht="89.25">
      <c r="A200" s="110" t="s">
        <v>2778</v>
      </c>
      <c r="B200" s="141" t="s">
        <v>1541</v>
      </c>
      <c r="C200" s="150" t="s">
        <v>3817</v>
      </c>
      <c r="D200" s="221"/>
      <c r="E200" s="150"/>
      <c r="F200" s="150"/>
      <c r="G200" s="110" t="s">
        <v>2663</v>
      </c>
      <c r="H200" s="148" t="s">
        <v>2533</v>
      </c>
      <c r="I200" s="150" t="s">
        <v>6040</v>
      </c>
      <c r="J200" s="150" t="s">
        <v>4935</v>
      </c>
      <c r="K200" s="221"/>
      <c r="L200" s="135" t="str">
        <f t="shared" si="10"/>
        <v>Chaerephon plicata</v>
      </c>
      <c r="M200" s="133">
        <f t="shared" si="9"/>
        <v>1.3017532172830699</v>
      </c>
      <c r="N200" s="152">
        <v>20.033333333333001</v>
      </c>
      <c r="O200" s="191"/>
      <c r="P200" s="109">
        <v>153</v>
      </c>
    </row>
    <row r="201" spans="1:30" ht="25.5">
      <c r="A201" s="110" t="s">
        <v>2778</v>
      </c>
      <c r="B201" s="141" t="s">
        <v>4609</v>
      </c>
      <c r="C201" s="148" t="s">
        <v>3817</v>
      </c>
      <c r="D201" s="223"/>
      <c r="E201" s="148"/>
      <c r="F201" s="148"/>
      <c r="G201" s="109" t="s">
        <v>2663</v>
      </c>
      <c r="H201" s="148" t="s">
        <v>2533</v>
      </c>
      <c r="I201" s="148" t="s">
        <v>4439</v>
      </c>
      <c r="J201" s="148" t="s">
        <v>1650</v>
      </c>
      <c r="K201" s="223"/>
      <c r="L201" s="135" t="str">
        <f t="shared" si="10"/>
        <v>Mops demonstrator</v>
      </c>
      <c r="M201" s="151">
        <v>-999</v>
      </c>
      <c r="N201" s="151">
        <v>-999</v>
      </c>
      <c r="O201" s="189"/>
      <c r="P201" s="109">
        <v>-999</v>
      </c>
    </row>
    <row r="202" spans="1:30" s="273" customFormat="1" ht="25.5">
      <c r="A202" s="110" t="s">
        <v>2778</v>
      </c>
      <c r="B202" s="141" t="s">
        <v>4600</v>
      </c>
      <c r="C202" s="148" t="s">
        <v>3817</v>
      </c>
      <c r="D202" s="223"/>
      <c r="E202" s="148"/>
      <c r="F202" s="148"/>
      <c r="G202" s="109" t="s">
        <v>2663</v>
      </c>
      <c r="H202" s="148" t="s">
        <v>2533</v>
      </c>
      <c r="I202" s="148" t="s">
        <v>4439</v>
      </c>
      <c r="J202" s="148" t="s">
        <v>4601</v>
      </c>
      <c r="K202" s="223"/>
      <c r="L202" s="135" t="str">
        <f t="shared" si="10"/>
        <v>Mops nanulus</v>
      </c>
      <c r="M202" s="151">
        <v>-999</v>
      </c>
      <c r="N202" s="151">
        <v>-999</v>
      </c>
      <c r="O202" s="189"/>
      <c r="P202" s="109">
        <v>-999</v>
      </c>
      <c r="Q202" s="90"/>
      <c r="R202" s="85"/>
      <c r="S202" s="85"/>
      <c r="T202" s="85"/>
      <c r="U202" s="16"/>
      <c r="V202" s="16"/>
      <c r="W202" s="271"/>
      <c r="X202" s="271"/>
      <c r="Y202" s="271"/>
      <c r="Z202" s="271"/>
      <c r="AA202" s="271"/>
      <c r="AB202" s="271"/>
      <c r="AC202" s="271"/>
      <c r="AD202" s="272"/>
    </row>
    <row r="203" spans="1:30" ht="15" customHeight="1">
      <c r="A203" s="110" t="s">
        <v>2778</v>
      </c>
      <c r="B203" s="141" t="s">
        <v>6064</v>
      </c>
      <c r="C203" s="148" t="s">
        <v>3817</v>
      </c>
      <c r="D203" s="223"/>
      <c r="E203" s="148"/>
      <c r="F203" s="148"/>
      <c r="G203" s="109" t="s">
        <v>2663</v>
      </c>
      <c r="H203" s="148" t="s">
        <v>2533</v>
      </c>
      <c r="I203" s="148" t="s">
        <v>4439</v>
      </c>
      <c r="J203" s="148" t="s">
        <v>4769</v>
      </c>
      <c r="K203" s="223"/>
      <c r="L203" s="135" t="str">
        <f t="shared" si="10"/>
        <v>Mops niangarae</v>
      </c>
      <c r="M203" s="151">
        <v>-999</v>
      </c>
      <c r="N203" s="151">
        <v>-999</v>
      </c>
      <c r="O203" s="189"/>
      <c r="P203" s="109">
        <v>-999</v>
      </c>
    </row>
    <row r="204" spans="1:30" ht="25.5">
      <c r="A204" s="110" t="s">
        <v>2778</v>
      </c>
      <c r="B204" s="141" t="s">
        <v>1617</v>
      </c>
      <c r="C204" s="148" t="s">
        <v>3817</v>
      </c>
      <c r="D204" s="223"/>
      <c r="E204" s="148"/>
      <c r="F204" s="148"/>
      <c r="G204" s="109" t="s">
        <v>2663</v>
      </c>
      <c r="H204" s="148" t="s">
        <v>2533</v>
      </c>
      <c r="I204" s="148" t="s">
        <v>4439</v>
      </c>
      <c r="J204" s="148" t="s">
        <v>3262</v>
      </c>
      <c r="K204" s="223"/>
      <c r="L204" s="135" t="str">
        <f t="shared" si="10"/>
        <v>Mops petersoni</v>
      </c>
      <c r="M204" s="151">
        <v>-999</v>
      </c>
      <c r="N204" s="151">
        <v>-999</v>
      </c>
      <c r="O204" s="189"/>
      <c r="P204" s="109">
        <v>-999</v>
      </c>
    </row>
    <row r="205" spans="1:30" ht="51">
      <c r="A205" s="110" t="s">
        <v>2778</v>
      </c>
      <c r="B205" s="141" t="s">
        <v>4772</v>
      </c>
      <c r="C205" s="148" t="s">
        <v>3817</v>
      </c>
      <c r="D205" s="223"/>
      <c r="E205" s="148"/>
      <c r="F205" s="148"/>
      <c r="G205" s="109" t="s">
        <v>2663</v>
      </c>
      <c r="H205" s="148" t="s">
        <v>2533</v>
      </c>
      <c r="I205" s="148" t="s">
        <v>4439</v>
      </c>
      <c r="J205" s="148" t="s">
        <v>4759</v>
      </c>
      <c r="K205" s="223"/>
      <c r="L205" s="135" t="str">
        <f t="shared" si="10"/>
        <v>Mops spurrelli</v>
      </c>
      <c r="M205" s="151">
        <v>-999</v>
      </c>
      <c r="N205" s="151">
        <v>-999</v>
      </c>
      <c r="O205" s="189"/>
      <c r="P205" s="109">
        <v>-999</v>
      </c>
    </row>
    <row r="206" spans="1:30">
      <c r="A206" s="110" t="s">
        <v>2778</v>
      </c>
      <c r="B206" s="141" t="s">
        <v>4760</v>
      </c>
      <c r="C206" s="148" t="s">
        <v>3817</v>
      </c>
      <c r="D206" s="223"/>
      <c r="E206" s="148"/>
      <c r="F206" s="148"/>
      <c r="G206" s="109" t="s">
        <v>2663</v>
      </c>
      <c r="H206" s="148" t="s">
        <v>2533</v>
      </c>
      <c r="I206" s="148" t="s">
        <v>4439</v>
      </c>
      <c r="J206" s="148" t="s">
        <v>4761</v>
      </c>
      <c r="K206" s="223"/>
      <c r="L206" s="135" t="str">
        <f t="shared" si="10"/>
        <v>Mops trevori</v>
      </c>
      <c r="M206" s="151">
        <v>-999</v>
      </c>
      <c r="N206" s="151">
        <v>-999</v>
      </c>
      <c r="O206" s="189"/>
      <c r="P206" s="109">
        <v>-999</v>
      </c>
    </row>
    <row r="207" spans="1:30" ht="38.25">
      <c r="A207" s="110" t="s">
        <v>2778</v>
      </c>
      <c r="B207" s="141" t="s">
        <v>4438</v>
      </c>
      <c r="C207" s="150" t="s">
        <v>3817</v>
      </c>
      <c r="D207" s="221"/>
      <c r="E207" s="150"/>
      <c r="F207" s="150"/>
      <c r="G207" s="110" t="s">
        <v>2663</v>
      </c>
      <c r="H207" s="148" t="s">
        <v>2533</v>
      </c>
      <c r="I207" s="150" t="s">
        <v>4439</v>
      </c>
      <c r="J207" s="150" t="s">
        <v>2705</v>
      </c>
      <c r="K207" s="221"/>
      <c r="L207" s="135" t="str">
        <f t="shared" si="10"/>
        <v>Mops brachypterus</v>
      </c>
      <c r="M207" s="133">
        <f t="shared" ref="M207:M212" si="11">LOG(N207)</f>
        <v>1.2041199826559248</v>
      </c>
      <c r="N207" s="152">
        <v>16</v>
      </c>
      <c r="O207" s="191"/>
      <c r="P207" s="109">
        <v>153</v>
      </c>
    </row>
    <row r="208" spans="1:30" ht="38.25">
      <c r="A208" s="110" t="s">
        <v>2778</v>
      </c>
      <c r="B208" s="141" t="s">
        <v>1703</v>
      </c>
      <c r="C208" s="150" t="s">
        <v>3817</v>
      </c>
      <c r="D208" s="221"/>
      <c r="E208" s="150"/>
      <c r="F208" s="150"/>
      <c r="G208" s="110" t="s">
        <v>2663</v>
      </c>
      <c r="H208" s="148" t="s">
        <v>2533</v>
      </c>
      <c r="I208" s="150" t="s">
        <v>4439</v>
      </c>
      <c r="J208" s="150" t="s">
        <v>1647</v>
      </c>
      <c r="K208" s="221"/>
      <c r="L208" s="135" t="str">
        <f t="shared" si="10"/>
        <v>Mops niveiventer</v>
      </c>
      <c r="M208" s="133">
        <f t="shared" si="11"/>
        <v>1.3364597338485296</v>
      </c>
      <c r="N208" s="152">
        <v>21.7</v>
      </c>
      <c r="O208" s="191"/>
      <c r="P208" s="109">
        <v>153</v>
      </c>
    </row>
    <row r="209" spans="1:30" ht="38.25">
      <c r="A209" s="110" t="s">
        <v>2778</v>
      </c>
      <c r="B209" s="141" t="s">
        <v>2139</v>
      </c>
      <c r="C209" s="150" t="s">
        <v>3817</v>
      </c>
      <c r="D209" s="221"/>
      <c r="E209" s="150"/>
      <c r="F209" s="150"/>
      <c r="G209" s="110" t="s">
        <v>2663</v>
      </c>
      <c r="H209" s="148" t="s">
        <v>2533</v>
      </c>
      <c r="I209" s="150" t="s">
        <v>4439</v>
      </c>
      <c r="J209" s="150" t="s">
        <v>2140</v>
      </c>
      <c r="K209" s="221"/>
      <c r="L209" s="135" t="str">
        <f t="shared" si="10"/>
        <v>Mops thersites</v>
      </c>
      <c r="M209" s="133">
        <f t="shared" si="11"/>
        <v>1.3424226808222062</v>
      </c>
      <c r="N209" s="152">
        <v>22</v>
      </c>
      <c r="O209" s="191"/>
      <c r="P209" s="109">
        <v>153</v>
      </c>
    </row>
    <row r="210" spans="1:30" ht="51">
      <c r="A210" s="110" t="s">
        <v>2778</v>
      </c>
      <c r="B210" s="141" t="s">
        <v>1616</v>
      </c>
      <c r="C210" s="150" t="s">
        <v>3817</v>
      </c>
      <c r="D210" s="221"/>
      <c r="E210" s="150"/>
      <c r="F210" s="150"/>
      <c r="G210" s="110" t="s">
        <v>2663</v>
      </c>
      <c r="H210" s="150" t="s">
        <v>2533</v>
      </c>
      <c r="I210" s="150" t="s">
        <v>4439</v>
      </c>
      <c r="J210" s="150" t="s">
        <v>1618</v>
      </c>
      <c r="K210" s="221"/>
      <c r="L210" s="135" t="str">
        <f t="shared" si="10"/>
        <v>Mops condylurus</v>
      </c>
      <c r="M210" s="133">
        <f t="shared" si="11"/>
        <v>1.4529103602313054</v>
      </c>
      <c r="N210" s="152">
        <v>28.373333333333001</v>
      </c>
      <c r="O210" s="191"/>
      <c r="P210" s="109">
        <v>153</v>
      </c>
    </row>
    <row r="211" spans="1:30" ht="38.25">
      <c r="A211" s="110" t="s">
        <v>2778</v>
      </c>
      <c r="B211" s="141" t="s">
        <v>1444</v>
      </c>
      <c r="C211" s="150" t="s">
        <v>3817</v>
      </c>
      <c r="D211" s="221"/>
      <c r="E211" s="150"/>
      <c r="F211" s="150"/>
      <c r="G211" s="110" t="s">
        <v>2663</v>
      </c>
      <c r="H211" s="150" t="s">
        <v>2533</v>
      </c>
      <c r="I211" s="150" t="s">
        <v>4439</v>
      </c>
      <c r="J211" s="150" t="s">
        <v>4260</v>
      </c>
      <c r="K211" s="221"/>
      <c r="L211" s="135" t="str">
        <f t="shared" si="10"/>
        <v>Mops congicus</v>
      </c>
      <c r="M211" s="133">
        <f t="shared" si="11"/>
        <v>1.6329631681672612</v>
      </c>
      <c r="N211" s="152">
        <v>42.95</v>
      </c>
      <c r="O211" s="191"/>
      <c r="P211" s="109">
        <v>153</v>
      </c>
    </row>
    <row r="212" spans="1:30" ht="51">
      <c r="A212" s="110" t="s">
        <v>2778</v>
      </c>
      <c r="B212" s="130" t="s">
        <v>4765</v>
      </c>
      <c r="C212" s="155" t="s">
        <v>3817</v>
      </c>
      <c r="D212" s="225"/>
      <c r="E212" s="155"/>
      <c r="F212" s="155"/>
      <c r="G212" s="110" t="s">
        <v>2663</v>
      </c>
      <c r="H212" s="155" t="s">
        <v>2533</v>
      </c>
      <c r="I212" s="155" t="s">
        <v>4439</v>
      </c>
      <c r="J212" s="155" t="s">
        <v>7493</v>
      </c>
      <c r="K212" s="225"/>
      <c r="L212" s="135" t="str">
        <f t="shared" si="10"/>
        <v>Mops midas</v>
      </c>
      <c r="M212" s="133">
        <f t="shared" si="11"/>
        <v>1.6553305580093409</v>
      </c>
      <c r="N212" s="152">
        <v>45.22</v>
      </c>
      <c r="O212" s="191"/>
      <c r="P212" s="109">
        <v>153</v>
      </c>
    </row>
    <row r="213" spans="1:30" s="273" customFormat="1" ht="51">
      <c r="A213" s="110" t="s">
        <v>2778</v>
      </c>
      <c r="B213" s="141" t="s">
        <v>1979</v>
      </c>
      <c r="C213" s="148" t="s">
        <v>3817</v>
      </c>
      <c r="D213" s="223"/>
      <c r="E213" s="148"/>
      <c r="F213" s="148"/>
      <c r="G213" s="109" t="s">
        <v>2663</v>
      </c>
      <c r="H213" s="148" t="s">
        <v>2533</v>
      </c>
      <c r="I213" s="148" t="s">
        <v>2496</v>
      </c>
      <c r="J213" s="148" t="s">
        <v>2499</v>
      </c>
      <c r="K213" s="223"/>
      <c r="L213" s="135" t="str">
        <f t="shared" si="10"/>
        <v>Mormopterus acetabulosus</v>
      </c>
      <c r="M213" s="151">
        <v>-999</v>
      </c>
      <c r="N213" s="151">
        <v>-999</v>
      </c>
      <c r="O213" s="189"/>
      <c r="P213" s="109">
        <v>-999</v>
      </c>
      <c r="Q213" s="90"/>
      <c r="R213" s="85"/>
      <c r="S213" s="85"/>
      <c r="T213" s="85"/>
      <c r="U213" s="16"/>
      <c r="V213" s="16"/>
      <c r="W213" s="271"/>
      <c r="X213" s="271"/>
      <c r="Y213" s="271"/>
      <c r="Z213" s="271"/>
      <c r="AA213" s="271"/>
      <c r="AB213" s="271"/>
      <c r="AC213" s="271"/>
      <c r="AD213" s="272"/>
    </row>
    <row r="214" spans="1:30">
      <c r="A214" s="110" t="s">
        <v>2778</v>
      </c>
      <c r="B214" s="141" t="s">
        <v>1978</v>
      </c>
      <c r="C214" s="148" t="s">
        <v>3817</v>
      </c>
      <c r="D214" s="223"/>
      <c r="E214" s="148"/>
      <c r="F214" s="148"/>
      <c r="G214" s="109" t="s">
        <v>2663</v>
      </c>
      <c r="H214" s="148" t="s">
        <v>2533</v>
      </c>
      <c r="I214" s="148" t="s">
        <v>2496</v>
      </c>
      <c r="J214" s="148" t="s">
        <v>4529</v>
      </c>
      <c r="K214" s="223"/>
      <c r="L214" s="135" t="str">
        <f t="shared" si="10"/>
        <v>Mormopterus setiger</v>
      </c>
      <c r="M214" s="151">
        <v>-999</v>
      </c>
      <c r="N214" s="151">
        <v>-999</v>
      </c>
      <c r="O214" s="189"/>
      <c r="P214" s="109">
        <v>-999</v>
      </c>
    </row>
    <row r="215" spans="1:30" ht="51">
      <c r="A215" s="110" t="s">
        <v>2778</v>
      </c>
      <c r="B215" s="141" t="s">
        <v>1929</v>
      </c>
      <c r="C215" s="148" t="s">
        <v>3817</v>
      </c>
      <c r="D215" s="223"/>
      <c r="E215" s="148"/>
      <c r="F215" s="148"/>
      <c r="G215" s="109" t="s">
        <v>2663</v>
      </c>
      <c r="H215" s="148" t="s">
        <v>2533</v>
      </c>
      <c r="I215" s="148" t="s">
        <v>2496</v>
      </c>
      <c r="J215" s="148" t="s">
        <v>1930</v>
      </c>
      <c r="K215" s="223"/>
      <c r="L215" s="135" t="str">
        <f t="shared" si="10"/>
        <v>Mormopterus petrophilus</v>
      </c>
      <c r="M215" s="133">
        <f>LOG(N215)</f>
        <v>1.1430148002540952</v>
      </c>
      <c r="N215" s="149">
        <v>13.9</v>
      </c>
      <c r="O215" s="191"/>
      <c r="P215" s="109">
        <v>153</v>
      </c>
    </row>
    <row r="216" spans="1:30" ht="25.5">
      <c r="A216" s="110" t="s">
        <v>2778</v>
      </c>
      <c r="B216" s="141" t="s">
        <v>1782</v>
      </c>
      <c r="C216" s="148" t="s">
        <v>3817</v>
      </c>
      <c r="D216" s="223"/>
      <c r="E216" s="148"/>
      <c r="F216" s="148"/>
      <c r="G216" s="109" t="s">
        <v>2663</v>
      </c>
      <c r="H216" s="148" t="s">
        <v>2533</v>
      </c>
      <c r="I216" s="148" t="s">
        <v>1982</v>
      </c>
      <c r="J216" s="148" t="s">
        <v>1680</v>
      </c>
      <c r="K216" s="223"/>
      <c r="L216" s="135" t="str">
        <f t="shared" si="10"/>
        <v>Myopterus daubentonii</v>
      </c>
      <c r="M216" s="151">
        <v>-999</v>
      </c>
      <c r="N216" s="151">
        <v>-999</v>
      </c>
      <c r="O216" s="189"/>
      <c r="P216" s="109">
        <v>-999</v>
      </c>
    </row>
    <row r="217" spans="1:30" ht="25.5">
      <c r="A217" s="110" t="s">
        <v>2778</v>
      </c>
      <c r="B217" s="141" t="s">
        <v>4530</v>
      </c>
      <c r="C217" s="148" t="s">
        <v>3817</v>
      </c>
      <c r="D217" s="223"/>
      <c r="E217" s="148"/>
      <c r="F217" s="148"/>
      <c r="G217" s="109" t="s">
        <v>2663</v>
      </c>
      <c r="H217" s="148" t="s">
        <v>2533</v>
      </c>
      <c r="I217" s="148" t="s">
        <v>1982</v>
      </c>
      <c r="J217" s="148" t="s">
        <v>581</v>
      </c>
      <c r="K217" s="223"/>
      <c r="L217" s="135" t="str">
        <f t="shared" si="10"/>
        <v>Myopterus whitleyi</v>
      </c>
      <c r="M217" s="133">
        <f>LOG(N217)</f>
        <v>1.0606978403536116</v>
      </c>
      <c r="N217" s="149">
        <v>11.5</v>
      </c>
      <c r="O217" s="191"/>
      <c r="P217" s="109">
        <v>153</v>
      </c>
      <c r="R217" s="85" t="s">
        <v>1891</v>
      </c>
      <c r="S217" s="85" t="s">
        <v>1771</v>
      </c>
    </row>
    <row r="218" spans="1:30" ht="51">
      <c r="A218" s="109" t="s">
        <v>2778</v>
      </c>
      <c r="B218" s="141" t="s">
        <v>573</v>
      </c>
      <c r="C218" s="150" t="s">
        <v>3817</v>
      </c>
      <c r="D218" s="221"/>
      <c r="E218" s="150"/>
      <c r="F218" s="150"/>
      <c r="G218" s="110" t="s">
        <v>2663</v>
      </c>
      <c r="H218" s="150" t="s">
        <v>2533</v>
      </c>
      <c r="I218" s="150" t="s">
        <v>1189</v>
      </c>
      <c r="J218" s="150" t="s">
        <v>574</v>
      </c>
      <c r="K218" s="221"/>
      <c r="L218" s="135" t="str">
        <f t="shared" si="10"/>
        <v>Otomops martiensseni</v>
      </c>
      <c r="M218" s="133">
        <f>LOG(N218)</f>
        <v>1.5352941200427705</v>
      </c>
      <c r="N218" s="152">
        <v>34.299999999999997</v>
      </c>
      <c r="O218" s="191"/>
      <c r="P218" s="109">
        <v>153</v>
      </c>
    </row>
    <row r="219" spans="1:30">
      <c r="A219" s="109" t="s">
        <v>2778</v>
      </c>
      <c r="B219" s="141" t="s">
        <v>4693</v>
      </c>
      <c r="C219" s="150" t="s">
        <v>3817</v>
      </c>
      <c r="D219" s="221"/>
      <c r="E219" s="150"/>
      <c r="F219" s="150"/>
      <c r="G219" s="110" t="s">
        <v>2663</v>
      </c>
      <c r="H219" s="150" t="s">
        <v>2533</v>
      </c>
      <c r="I219" s="150" t="s">
        <v>2501</v>
      </c>
      <c r="J219" s="150" t="s">
        <v>4694</v>
      </c>
      <c r="K219" s="221"/>
      <c r="L219" s="135" t="str">
        <f t="shared" si="10"/>
        <v>Tadarida lobata</v>
      </c>
      <c r="M219" s="151">
        <v>-999</v>
      </c>
      <c r="N219" s="146">
        <v>-999</v>
      </c>
      <c r="O219" s="189"/>
      <c r="P219" s="109">
        <v>-999</v>
      </c>
    </row>
    <row r="220" spans="1:30">
      <c r="A220" s="109" t="s">
        <v>2778</v>
      </c>
      <c r="B220" s="141" t="s">
        <v>4695</v>
      </c>
      <c r="C220" s="150" t="s">
        <v>3817</v>
      </c>
      <c r="D220" s="221"/>
      <c r="E220" s="150"/>
      <c r="F220" s="150"/>
      <c r="G220" s="110" t="s">
        <v>2663</v>
      </c>
      <c r="H220" s="150" t="s">
        <v>2533</v>
      </c>
      <c r="I220" s="150" t="s">
        <v>2501</v>
      </c>
      <c r="J220" s="150" t="s">
        <v>2214</v>
      </c>
      <c r="K220" s="221"/>
      <c r="L220" s="135" t="str">
        <f t="shared" si="10"/>
        <v>Tadarida ventralis</v>
      </c>
      <c r="M220" s="151">
        <v>-999</v>
      </c>
      <c r="N220" s="146">
        <v>-999</v>
      </c>
      <c r="O220" s="189"/>
      <c r="P220" s="109">
        <v>-999</v>
      </c>
      <c r="S220" s="92"/>
    </row>
    <row r="221" spans="1:30" ht="51">
      <c r="A221" s="110" t="s">
        <v>2778</v>
      </c>
      <c r="B221" s="130" t="s">
        <v>4350</v>
      </c>
      <c r="C221" s="155" t="s">
        <v>3817</v>
      </c>
      <c r="D221" s="225"/>
      <c r="E221" s="155"/>
      <c r="F221" s="155"/>
      <c r="G221" s="110" t="s">
        <v>2663</v>
      </c>
      <c r="H221" s="155" t="s">
        <v>2533</v>
      </c>
      <c r="I221" s="155" t="s">
        <v>2501</v>
      </c>
      <c r="J221" s="155" t="s">
        <v>4351</v>
      </c>
      <c r="K221" s="225"/>
      <c r="L221" s="135" t="str">
        <f t="shared" si="10"/>
        <v>Tadarida aegyptiaca</v>
      </c>
      <c r="M221" s="133">
        <f>LOG(N221)</f>
        <v>1.2247919564926815</v>
      </c>
      <c r="N221" s="152">
        <v>16.78</v>
      </c>
      <c r="O221" s="191"/>
      <c r="P221" s="109">
        <v>153</v>
      </c>
      <c r="S221" s="85" t="s">
        <v>1937</v>
      </c>
    </row>
    <row r="222" spans="1:30" ht="63.75">
      <c r="A222" s="110" t="s">
        <v>2778</v>
      </c>
      <c r="B222" s="141" t="s">
        <v>4690</v>
      </c>
      <c r="C222" s="150" t="s">
        <v>3817</v>
      </c>
      <c r="D222" s="221"/>
      <c r="E222" s="150"/>
      <c r="F222" s="150"/>
      <c r="G222" s="110" t="s">
        <v>2663</v>
      </c>
      <c r="H222" s="150" t="s">
        <v>2533</v>
      </c>
      <c r="I222" s="150" t="s">
        <v>2501</v>
      </c>
      <c r="J222" s="150" t="s">
        <v>2502</v>
      </c>
      <c r="K222" s="221"/>
      <c r="L222" s="135" t="str">
        <f t="shared" si="10"/>
        <v>Tadarida fulminans</v>
      </c>
      <c r="M222" s="133">
        <f>LOG(N222)</f>
        <v>1.5475285764597821</v>
      </c>
      <c r="N222" s="152">
        <v>35.28</v>
      </c>
      <c r="O222" s="191"/>
      <c r="P222" s="109">
        <v>153</v>
      </c>
    </row>
    <row r="223" spans="1:30">
      <c r="A223" s="110" t="s">
        <v>2778</v>
      </c>
      <c r="B223" s="141" t="s">
        <v>447</v>
      </c>
      <c r="C223" s="148" t="s">
        <v>3817</v>
      </c>
      <c r="D223" s="223"/>
      <c r="E223" s="148"/>
      <c r="F223" s="148"/>
      <c r="G223" s="109" t="s">
        <v>2663</v>
      </c>
      <c r="H223" s="148" t="s">
        <v>6200</v>
      </c>
      <c r="I223" s="148" t="s">
        <v>6201</v>
      </c>
      <c r="J223" s="148" t="s">
        <v>5838</v>
      </c>
      <c r="K223" s="223"/>
      <c r="L223" s="135" t="str">
        <f t="shared" si="10"/>
        <v>Nycteris major</v>
      </c>
      <c r="M223" s="151">
        <v>-999</v>
      </c>
      <c r="N223" s="151">
        <v>-999</v>
      </c>
      <c r="O223" s="189"/>
      <c r="P223" s="109">
        <v>-999</v>
      </c>
    </row>
    <row r="224" spans="1:30">
      <c r="A224" s="110" t="s">
        <v>2778</v>
      </c>
      <c r="B224" s="141" t="s">
        <v>4598</v>
      </c>
      <c r="C224" s="148" t="s">
        <v>3817</v>
      </c>
      <c r="D224" s="223"/>
      <c r="E224" s="148"/>
      <c r="F224" s="148"/>
      <c r="G224" s="109" t="s">
        <v>2663</v>
      </c>
      <c r="H224" s="148" t="s">
        <v>6200</v>
      </c>
      <c r="I224" s="148" t="s">
        <v>6201</v>
      </c>
      <c r="J224" s="148" t="s">
        <v>4599</v>
      </c>
      <c r="K224" s="223"/>
      <c r="L224" s="135" t="str">
        <f t="shared" si="10"/>
        <v>Nycteris gambiensis</v>
      </c>
      <c r="M224" s="133">
        <f t="shared" ref="M224:M234" si="12">LOG(N224)</f>
        <v>0.84198480459011393</v>
      </c>
      <c r="N224" s="149">
        <v>6.95</v>
      </c>
      <c r="O224" s="191"/>
      <c r="P224" s="109">
        <v>153</v>
      </c>
    </row>
    <row r="225" spans="1:20" ht="38.25">
      <c r="A225" s="110" t="s">
        <v>2778</v>
      </c>
      <c r="B225" s="141" t="s">
        <v>1448</v>
      </c>
      <c r="C225" s="148" t="s">
        <v>3817</v>
      </c>
      <c r="D225" s="223"/>
      <c r="E225" s="148"/>
      <c r="F225" s="148"/>
      <c r="G225" s="109" t="s">
        <v>2663</v>
      </c>
      <c r="H225" s="148" t="s">
        <v>6200</v>
      </c>
      <c r="I225" s="148" t="s">
        <v>6201</v>
      </c>
      <c r="J225" s="148" t="s">
        <v>3504</v>
      </c>
      <c r="K225" s="223"/>
      <c r="L225" s="135" t="str">
        <f t="shared" si="10"/>
        <v>Nycteris nana</v>
      </c>
      <c r="M225" s="133">
        <f t="shared" si="12"/>
        <v>0.84198480459011393</v>
      </c>
      <c r="N225" s="149">
        <v>6.95</v>
      </c>
      <c r="O225" s="191"/>
      <c r="P225" s="109">
        <v>153</v>
      </c>
    </row>
    <row r="226" spans="1:20" ht="38.25">
      <c r="A226" s="212" t="s">
        <v>2778</v>
      </c>
      <c r="B226" s="141" t="s">
        <v>4602</v>
      </c>
      <c r="C226" s="148" t="s">
        <v>3817</v>
      </c>
      <c r="D226" s="223"/>
      <c r="E226" s="148"/>
      <c r="F226" s="148"/>
      <c r="G226" s="109" t="s">
        <v>2663</v>
      </c>
      <c r="H226" s="148" t="s">
        <v>6200</v>
      </c>
      <c r="I226" s="148" t="s">
        <v>6201</v>
      </c>
      <c r="J226" s="148" t="s">
        <v>4603</v>
      </c>
      <c r="K226" s="223"/>
      <c r="L226" s="135" t="str">
        <f t="shared" si="10"/>
        <v>Nycteris woodi</v>
      </c>
      <c r="M226" s="133">
        <f t="shared" si="12"/>
        <v>0.87794695162918823</v>
      </c>
      <c r="N226" s="149">
        <v>7.55</v>
      </c>
      <c r="O226" s="191"/>
      <c r="P226" s="109">
        <v>153</v>
      </c>
    </row>
    <row r="227" spans="1:20" ht="51">
      <c r="A227" s="110" t="s">
        <v>2778</v>
      </c>
      <c r="B227" s="141" t="s">
        <v>4755</v>
      </c>
      <c r="C227" s="148" t="s">
        <v>3817</v>
      </c>
      <c r="D227" s="223"/>
      <c r="E227" s="148"/>
      <c r="F227" s="148"/>
      <c r="G227" s="109" t="s">
        <v>2663</v>
      </c>
      <c r="H227" s="148" t="s">
        <v>6200</v>
      </c>
      <c r="I227" s="148" t="s">
        <v>6201</v>
      </c>
      <c r="J227" s="148" t="s">
        <v>5337</v>
      </c>
      <c r="K227" s="223"/>
      <c r="L227" s="135" t="str">
        <f t="shared" si="10"/>
        <v>Nycteris hispida</v>
      </c>
      <c r="M227" s="133">
        <f t="shared" si="12"/>
        <v>0.93613658702149183</v>
      </c>
      <c r="N227" s="149">
        <v>8.6325000000000003</v>
      </c>
      <c r="O227" s="191"/>
      <c r="P227" s="109">
        <v>153</v>
      </c>
      <c r="R227" s="85" t="s">
        <v>1748</v>
      </c>
      <c r="S227" s="85" t="s">
        <v>1749</v>
      </c>
    </row>
    <row r="228" spans="1:20" ht="89.25">
      <c r="A228" s="110" t="s">
        <v>2778</v>
      </c>
      <c r="B228" s="130" t="s">
        <v>1540</v>
      </c>
      <c r="C228" s="153" t="s">
        <v>3817</v>
      </c>
      <c r="D228" s="224"/>
      <c r="E228" s="153"/>
      <c r="F228" s="153"/>
      <c r="G228" s="109" t="s">
        <v>2663</v>
      </c>
      <c r="H228" s="153" t="s">
        <v>6200</v>
      </c>
      <c r="I228" s="153" t="s">
        <v>6201</v>
      </c>
      <c r="J228" s="153" t="s">
        <v>1438</v>
      </c>
      <c r="K228" s="224"/>
      <c r="L228" s="135" t="str">
        <f t="shared" si="10"/>
        <v>Nycteris thebaica</v>
      </c>
      <c r="M228" s="133">
        <f t="shared" si="12"/>
        <v>0.99166900737994856</v>
      </c>
      <c r="N228" s="149">
        <v>9.81</v>
      </c>
      <c r="O228" s="191"/>
      <c r="P228" s="109">
        <v>153</v>
      </c>
      <c r="R228" s="85" t="s">
        <v>1750</v>
      </c>
      <c r="S228" s="85" t="s">
        <v>1751</v>
      </c>
    </row>
    <row r="229" spans="1:20" ht="25.5">
      <c r="A229" s="110" t="s">
        <v>2778</v>
      </c>
      <c r="B229" s="141" t="s">
        <v>1932</v>
      </c>
      <c r="C229" s="150" t="s">
        <v>3817</v>
      </c>
      <c r="D229" s="221"/>
      <c r="E229" s="150"/>
      <c r="F229" s="150"/>
      <c r="G229" s="110" t="s">
        <v>2663</v>
      </c>
      <c r="H229" s="150" t="s">
        <v>6200</v>
      </c>
      <c r="I229" s="150" t="s">
        <v>6201</v>
      </c>
      <c r="J229" s="150" t="s">
        <v>514</v>
      </c>
      <c r="K229" s="221"/>
      <c r="L229" s="135" t="str">
        <f t="shared" si="10"/>
        <v>Nycteris intermedia</v>
      </c>
      <c r="M229" s="146">
        <f t="shared" si="12"/>
        <v>1.0273496077747566</v>
      </c>
      <c r="N229" s="154">
        <v>10.65</v>
      </c>
      <c r="O229" s="183"/>
      <c r="P229" s="109">
        <v>231</v>
      </c>
      <c r="Q229" s="80"/>
    </row>
    <row r="230" spans="1:20" ht="38.25">
      <c r="A230" s="110" t="s">
        <v>2778</v>
      </c>
      <c r="B230" s="141" t="s">
        <v>4638</v>
      </c>
      <c r="C230" s="148" t="s">
        <v>3817</v>
      </c>
      <c r="D230" s="223"/>
      <c r="E230" s="148"/>
      <c r="F230" s="148"/>
      <c r="G230" s="109" t="s">
        <v>2663</v>
      </c>
      <c r="H230" s="148" t="s">
        <v>6200</v>
      </c>
      <c r="I230" s="148" t="s">
        <v>6201</v>
      </c>
      <c r="J230" s="148" t="s">
        <v>4639</v>
      </c>
      <c r="K230" s="223"/>
      <c r="L230" s="135" t="str">
        <f t="shared" si="10"/>
        <v>Nycteris arge</v>
      </c>
      <c r="M230" s="133">
        <f t="shared" si="12"/>
        <v>1.0773679052841565</v>
      </c>
      <c r="N230" s="149">
        <v>11.95</v>
      </c>
      <c r="O230" s="191"/>
      <c r="P230" s="109">
        <v>153</v>
      </c>
      <c r="S230" s="85" t="s">
        <v>1746</v>
      </c>
    </row>
    <row r="231" spans="1:20" ht="51">
      <c r="A231" s="110" t="s">
        <v>2778</v>
      </c>
      <c r="B231" s="141" t="s">
        <v>613</v>
      </c>
      <c r="C231" s="148" t="s">
        <v>3817</v>
      </c>
      <c r="D231" s="223"/>
      <c r="E231" s="148"/>
      <c r="F231" s="148"/>
      <c r="G231" s="109" t="s">
        <v>2663</v>
      </c>
      <c r="H231" s="148" t="s">
        <v>6200</v>
      </c>
      <c r="I231" s="148" t="s">
        <v>6201</v>
      </c>
      <c r="J231" s="148" t="s">
        <v>4141</v>
      </c>
      <c r="K231" s="223"/>
      <c r="L231" s="135" t="str">
        <f t="shared" si="10"/>
        <v>Nycteris macrotis</v>
      </c>
      <c r="M231" s="133">
        <f t="shared" si="12"/>
        <v>1.1601253848438662</v>
      </c>
      <c r="N231" s="149">
        <v>14.458571428571</v>
      </c>
      <c r="O231" s="191"/>
      <c r="P231" s="109">
        <v>153</v>
      </c>
    </row>
    <row r="232" spans="1:20" ht="51">
      <c r="A232" s="110" t="s">
        <v>2778</v>
      </c>
      <c r="B232" s="141" t="s">
        <v>1931</v>
      </c>
      <c r="C232" s="150" t="s">
        <v>3817</v>
      </c>
      <c r="D232" s="221"/>
      <c r="E232" s="150"/>
      <c r="F232" s="150"/>
      <c r="G232" s="110" t="s">
        <v>2663</v>
      </c>
      <c r="H232" s="150" t="s">
        <v>6200</v>
      </c>
      <c r="I232" s="150" t="s">
        <v>6201</v>
      </c>
      <c r="J232" s="150" t="s">
        <v>6591</v>
      </c>
      <c r="K232" s="221"/>
      <c r="L232" s="135" t="str">
        <f t="shared" si="10"/>
        <v>Nycteris grandis</v>
      </c>
      <c r="M232" s="133">
        <f t="shared" si="12"/>
        <v>1.4793901932934017</v>
      </c>
      <c r="N232" s="152">
        <v>30.157142857143</v>
      </c>
      <c r="O232" s="191"/>
      <c r="P232" s="109">
        <v>153</v>
      </c>
      <c r="S232" s="85" t="s">
        <v>1747</v>
      </c>
    </row>
    <row r="233" spans="1:20">
      <c r="A233" s="110" t="s">
        <v>2778</v>
      </c>
      <c r="B233" s="141" t="s">
        <v>4924</v>
      </c>
      <c r="C233" s="150" t="s">
        <v>3817</v>
      </c>
      <c r="D233" s="221"/>
      <c r="E233" s="150"/>
      <c r="F233" s="150"/>
      <c r="G233" s="110" t="s">
        <v>2663</v>
      </c>
      <c r="H233" s="150" t="s">
        <v>6203</v>
      </c>
      <c r="I233" s="150" t="s">
        <v>4925</v>
      </c>
      <c r="J233" s="150" t="s">
        <v>4926</v>
      </c>
      <c r="K233" s="221"/>
      <c r="L233" s="135" t="str">
        <f t="shared" si="10"/>
        <v>Casinycteris argynnis</v>
      </c>
      <c r="M233" s="133">
        <f t="shared" si="12"/>
        <v>1.4749443354653879</v>
      </c>
      <c r="N233" s="152">
        <v>29.85</v>
      </c>
      <c r="O233" s="191"/>
      <c r="P233" s="109">
        <v>153</v>
      </c>
    </row>
    <row r="234" spans="1:20" ht="51">
      <c r="A234" s="110" t="s">
        <v>2778</v>
      </c>
      <c r="B234" s="141" t="s">
        <v>4736</v>
      </c>
      <c r="C234" s="150" t="s">
        <v>3817</v>
      </c>
      <c r="D234" s="221"/>
      <c r="E234" s="150"/>
      <c r="F234" s="150"/>
      <c r="G234" s="110" t="s">
        <v>2663</v>
      </c>
      <c r="H234" s="150" t="s">
        <v>6203</v>
      </c>
      <c r="I234" s="150" t="s">
        <v>4583</v>
      </c>
      <c r="J234" s="150" t="s">
        <v>4584</v>
      </c>
      <c r="K234" s="221"/>
      <c r="L234" s="135" t="str">
        <f t="shared" si="10"/>
        <v>Eidolon helvum</v>
      </c>
      <c r="M234" s="133">
        <f t="shared" si="12"/>
        <v>2.4036603357360535</v>
      </c>
      <c r="N234" s="152">
        <v>253.31466666666</v>
      </c>
      <c r="O234" s="192"/>
      <c r="P234" s="109">
        <v>153</v>
      </c>
      <c r="R234" s="85" t="s">
        <v>1902</v>
      </c>
      <c r="S234" s="85" t="s">
        <v>1903</v>
      </c>
    </row>
    <row r="235" spans="1:20">
      <c r="A235" s="110" t="s">
        <v>2778</v>
      </c>
      <c r="B235" s="141" t="s">
        <v>4428</v>
      </c>
      <c r="C235" s="150" t="s">
        <v>3817</v>
      </c>
      <c r="D235" s="221"/>
      <c r="E235" s="150"/>
      <c r="F235" s="150"/>
      <c r="G235" s="110" t="s">
        <v>2663</v>
      </c>
      <c r="H235" s="148" t="s">
        <v>6203</v>
      </c>
      <c r="I235" s="150" t="s">
        <v>4586</v>
      </c>
      <c r="J235" s="150" t="s">
        <v>4911</v>
      </c>
      <c r="K235" s="221"/>
      <c r="L235" s="135" t="str">
        <f t="shared" si="10"/>
        <v>Epomophorus angolensis</v>
      </c>
      <c r="M235" s="146">
        <v>-999</v>
      </c>
      <c r="N235" s="146">
        <v>-999</v>
      </c>
      <c r="O235" s="183"/>
      <c r="P235" s="109">
        <v>-999</v>
      </c>
    </row>
    <row r="236" spans="1:20" ht="25.5">
      <c r="A236" s="110" t="s">
        <v>2778</v>
      </c>
      <c r="B236" s="141" t="s">
        <v>4429</v>
      </c>
      <c r="C236" s="150" t="s">
        <v>3817</v>
      </c>
      <c r="D236" s="221"/>
      <c r="E236" s="150"/>
      <c r="F236" s="150"/>
      <c r="G236" s="110" t="s">
        <v>2663</v>
      </c>
      <c r="H236" s="148" t="s">
        <v>6203</v>
      </c>
      <c r="I236" s="150" t="s">
        <v>4586</v>
      </c>
      <c r="J236" s="150" t="s">
        <v>4171</v>
      </c>
      <c r="K236" s="221"/>
      <c r="L236" s="135" t="str">
        <f t="shared" si="10"/>
        <v>Epomophorus minimus</v>
      </c>
      <c r="M236" s="146">
        <v>-999</v>
      </c>
      <c r="N236" s="146">
        <v>-999</v>
      </c>
      <c r="O236" s="183"/>
      <c r="P236" s="109">
        <v>-999</v>
      </c>
    </row>
    <row r="237" spans="1:20" ht="25.5">
      <c r="A237" s="110" t="s">
        <v>2778</v>
      </c>
      <c r="B237" s="141" t="s">
        <v>4585</v>
      </c>
      <c r="C237" s="150" t="s">
        <v>3817</v>
      </c>
      <c r="D237" s="221"/>
      <c r="E237" s="150"/>
      <c r="F237" s="150"/>
      <c r="G237" s="110" t="s">
        <v>2663</v>
      </c>
      <c r="H237" s="150" t="s">
        <v>6203</v>
      </c>
      <c r="I237" s="150" t="s">
        <v>4586</v>
      </c>
      <c r="J237" s="150" t="s">
        <v>6591</v>
      </c>
      <c r="K237" s="221"/>
      <c r="L237" s="135" t="str">
        <f t="shared" si="10"/>
        <v>Epomophorus grandis</v>
      </c>
      <c r="M237" s="133">
        <f t="shared" ref="M237:M245" si="13">LOG(N237)</f>
        <v>1.6864762836000371</v>
      </c>
      <c r="N237" s="152">
        <v>48.582099999999997</v>
      </c>
      <c r="O237" s="192"/>
      <c r="P237" s="109">
        <v>153</v>
      </c>
    </row>
    <row r="238" spans="1:20" ht="38.25">
      <c r="A238" s="110" t="s">
        <v>2778</v>
      </c>
      <c r="B238" s="141" t="s">
        <v>4587</v>
      </c>
      <c r="C238" s="150" t="s">
        <v>3817</v>
      </c>
      <c r="D238" s="221"/>
      <c r="E238" s="150"/>
      <c r="F238" s="150"/>
      <c r="G238" s="110" t="s">
        <v>2663</v>
      </c>
      <c r="H238" s="150" t="s">
        <v>6203</v>
      </c>
      <c r="I238" s="150" t="s">
        <v>4586</v>
      </c>
      <c r="J238" s="150" t="s">
        <v>2322</v>
      </c>
      <c r="K238" s="221"/>
      <c r="L238" s="135" t="str">
        <f t="shared" si="10"/>
        <v>Epomophorus labiatus</v>
      </c>
      <c r="M238" s="133">
        <f t="shared" si="13"/>
        <v>1.7990275749934106</v>
      </c>
      <c r="N238" s="152">
        <v>62.954615384615003</v>
      </c>
      <c r="O238" s="192"/>
      <c r="P238" s="109">
        <v>153</v>
      </c>
      <c r="R238" s="85" t="s">
        <v>1907</v>
      </c>
      <c r="S238" s="85" t="s">
        <v>1908</v>
      </c>
      <c r="T238" s="85" t="s">
        <v>1909</v>
      </c>
    </row>
    <row r="239" spans="1:20" ht="51">
      <c r="A239" s="110" t="s">
        <v>2778</v>
      </c>
      <c r="B239" s="141" t="s">
        <v>4714</v>
      </c>
      <c r="C239" s="150" t="s">
        <v>3817</v>
      </c>
      <c r="D239" s="221"/>
      <c r="E239" s="150"/>
      <c r="F239" s="150"/>
      <c r="G239" s="110" t="s">
        <v>2663</v>
      </c>
      <c r="H239" s="150" t="s">
        <v>6203</v>
      </c>
      <c r="I239" s="150" t="s">
        <v>4586</v>
      </c>
      <c r="J239" s="150" t="s">
        <v>4571</v>
      </c>
      <c r="K239" s="221"/>
      <c r="L239" s="135" t="str">
        <f t="shared" si="10"/>
        <v>Epomophorus wahlbergi</v>
      </c>
      <c r="M239" s="133">
        <f t="shared" si="13"/>
        <v>1.9618196077436636</v>
      </c>
      <c r="N239" s="152">
        <v>91.584000000000003</v>
      </c>
      <c r="O239" s="192"/>
      <c r="P239" s="109">
        <v>153</v>
      </c>
    </row>
    <row r="240" spans="1:20" ht="38.25">
      <c r="A240" s="110" t="s">
        <v>2778</v>
      </c>
      <c r="B240" s="141" t="s">
        <v>4572</v>
      </c>
      <c r="C240" s="150" t="s">
        <v>3817</v>
      </c>
      <c r="D240" s="221"/>
      <c r="E240" s="150"/>
      <c r="F240" s="150"/>
      <c r="G240" s="110" t="s">
        <v>2663</v>
      </c>
      <c r="H240" s="150" t="s">
        <v>6203</v>
      </c>
      <c r="I240" s="150" t="s">
        <v>4586</v>
      </c>
      <c r="J240" s="150" t="s">
        <v>4900</v>
      </c>
      <c r="K240" s="221"/>
      <c r="L240" s="135" t="str">
        <f t="shared" si="10"/>
        <v>Epomophorus gambianus</v>
      </c>
      <c r="M240" s="133">
        <f t="shared" si="13"/>
        <v>2.1101405949728491</v>
      </c>
      <c r="N240" s="152">
        <v>128.86666666666</v>
      </c>
      <c r="O240" s="192"/>
      <c r="P240" s="109">
        <v>153</v>
      </c>
      <c r="R240" s="85" t="s">
        <v>1910</v>
      </c>
      <c r="S240" s="85" t="s">
        <v>1911</v>
      </c>
    </row>
    <row r="241" spans="1:19" ht="38.25">
      <c r="A241" s="110" t="s">
        <v>2778</v>
      </c>
      <c r="B241" s="141" t="s">
        <v>4872</v>
      </c>
      <c r="C241" s="150" t="s">
        <v>3817</v>
      </c>
      <c r="D241" s="221"/>
      <c r="E241" s="150"/>
      <c r="F241" s="150"/>
      <c r="G241" s="110" t="s">
        <v>2663</v>
      </c>
      <c r="H241" s="148" t="s">
        <v>6203</v>
      </c>
      <c r="I241" s="150" t="s">
        <v>4867</v>
      </c>
      <c r="J241" s="150" t="s">
        <v>4416</v>
      </c>
      <c r="K241" s="221"/>
      <c r="L241" s="135" t="str">
        <f t="shared" si="10"/>
        <v>Epomops franqueti</v>
      </c>
      <c r="M241" s="133">
        <f t="shared" si="13"/>
        <v>2.0752801827948364</v>
      </c>
      <c r="N241" s="152">
        <v>118.92692307692</v>
      </c>
      <c r="O241" s="192"/>
      <c r="P241" s="109">
        <v>153</v>
      </c>
      <c r="R241" s="85" t="s">
        <v>1912</v>
      </c>
      <c r="S241" s="85" t="s">
        <v>1913</v>
      </c>
    </row>
    <row r="242" spans="1:19" ht="38.25">
      <c r="A242" s="110" t="s">
        <v>2778</v>
      </c>
      <c r="B242" s="141" t="s">
        <v>530</v>
      </c>
      <c r="C242" s="150" t="s">
        <v>3817</v>
      </c>
      <c r="D242" s="221"/>
      <c r="E242" s="150"/>
      <c r="F242" s="150"/>
      <c r="G242" s="110" t="s">
        <v>2663</v>
      </c>
      <c r="H242" s="150" t="s">
        <v>6203</v>
      </c>
      <c r="I242" s="150" t="s">
        <v>4867</v>
      </c>
      <c r="J242" s="150" t="s">
        <v>5248</v>
      </c>
      <c r="K242" s="221"/>
      <c r="L242" s="135" t="str">
        <f t="shared" si="10"/>
        <v>Epomops dobsoni</v>
      </c>
      <c r="M242" s="133">
        <f t="shared" si="13"/>
        <v>2.0791812460476247</v>
      </c>
      <c r="N242" s="152">
        <v>120</v>
      </c>
      <c r="O242" s="192"/>
      <c r="P242" s="109">
        <v>153</v>
      </c>
    </row>
    <row r="243" spans="1:19">
      <c r="A243" s="110" t="s">
        <v>2778</v>
      </c>
      <c r="B243" s="141" t="s">
        <v>531</v>
      </c>
      <c r="C243" s="150" t="s">
        <v>3817</v>
      </c>
      <c r="D243" s="221"/>
      <c r="E243" s="150"/>
      <c r="F243" s="150"/>
      <c r="G243" s="110" t="s">
        <v>2663</v>
      </c>
      <c r="H243" s="150" t="s">
        <v>6203</v>
      </c>
      <c r="I243" s="150" t="s">
        <v>4867</v>
      </c>
      <c r="J243" s="150" t="s">
        <v>2121</v>
      </c>
      <c r="K243" s="221"/>
      <c r="L243" s="135" t="str">
        <f t="shared" si="10"/>
        <v>Epomops buettikoferi</v>
      </c>
      <c r="M243" s="133">
        <f t="shared" si="13"/>
        <v>2.1265859279543382</v>
      </c>
      <c r="N243" s="152">
        <v>133.84</v>
      </c>
      <c r="O243" s="192"/>
      <c r="P243" s="109">
        <v>153</v>
      </c>
    </row>
    <row r="244" spans="1:19" ht="38.25">
      <c r="A244" s="110" t="s">
        <v>2778</v>
      </c>
      <c r="B244" s="141" t="s">
        <v>723</v>
      </c>
      <c r="C244" s="150" t="s">
        <v>3817</v>
      </c>
      <c r="D244" s="221"/>
      <c r="E244" s="150"/>
      <c r="F244" s="150"/>
      <c r="G244" s="110" t="s">
        <v>2663</v>
      </c>
      <c r="H244" s="150" t="s">
        <v>6203</v>
      </c>
      <c r="I244" s="150" t="s">
        <v>724</v>
      </c>
      <c r="J244" s="150" t="s">
        <v>725</v>
      </c>
      <c r="K244" s="221"/>
      <c r="L244" s="135" t="str">
        <f t="shared" si="10"/>
        <v>Hypsignathus monstrosus</v>
      </c>
      <c r="M244" s="133">
        <f t="shared" si="13"/>
        <v>2.5251528270552819</v>
      </c>
      <c r="N244" s="152">
        <v>335.08333333333002</v>
      </c>
      <c r="O244" s="192"/>
      <c r="P244" s="109">
        <v>153</v>
      </c>
      <c r="R244" s="85" t="s">
        <v>1900</v>
      </c>
      <c r="S244" s="85" t="s">
        <v>1901</v>
      </c>
    </row>
    <row r="245" spans="1:19" ht="25.5">
      <c r="A245" s="110" t="s">
        <v>2778</v>
      </c>
      <c r="B245" s="141" t="s">
        <v>2759</v>
      </c>
      <c r="C245" s="150" t="s">
        <v>3817</v>
      </c>
      <c r="D245" s="221"/>
      <c r="E245" s="150"/>
      <c r="F245" s="150"/>
      <c r="G245" s="110" t="s">
        <v>2663</v>
      </c>
      <c r="H245" s="148" t="s">
        <v>6203</v>
      </c>
      <c r="I245" s="150" t="s">
        <v>2760</v>
      </c>
      <c r="J245" s="150" t="s">
        <v>2761</v>
      </c>
      <c r="K245" s="221"/>
      <c r="L245" s="135" t="str">
        <f t="shared" si="10"/>
        <v>Megaloglossus woermanni</v>
      </c>
      <c r="M245" s="133">
        <f t="shared" si="13"/>
        <v>1.1947125141340975</v>
      </c>
      <c r="N245" s="152">
        <v>15.657142857143</v>
      </c>
      <c r="O245" s="192"/>
      <c r="P245" s="109">
        <v>153</v>
      </c>
      <c r="R245" s="85" t="s">
        <v>1921</v>
      </c>
      <c r="S245" s="85" t="s">
        <v>1922</v>
      </c>
    </row>
    <row r="246" spans="1:19">
      <c r="A246" s="110" t="s">
        <v>2778</v>
      </c>
      <c r="B246" s="141" t="s">
        <v>2636</v>
      </c>
      <c r="C246" s="150" t="s">
        <v>3817</v>
      </c>
      <c r="D246" s="221"/>
      <c r="E246" s="150"/>
      <c r="F246" s="150"/>
      <c r="G246" s="110" t="s">
        <v>2663</v>
      </c>
      <c r="H246" s="148" t="s">
        <v>6203</v>
      </c>
      <c r="I246" s="150" t="s">
        <v>477</v>
      </c>
      <c r="J246" s="150" t="s">
        <v>3587</v>
      </c>
      <c r="K246" s="221"/>
      <c r="L246" s="135" t="str">
        <f t="shared" si="10"/>
        <v>Micropteropus intermedius</v>
      </c>
      <c r="M246" s="146">
        <v>-999</v>
      </c>
      <c r="N246" s="146">
        <v>-999</v>
      </c>
      <c r="O246" s="183"/>
      <c r="P246" s="109">
        <v>-999</v>
      </c>
    </row>
    <row r="247" spans="1:19" ht="38.25">
      <c r="A247" s="110" t="s">
        <v>2778</v>
      </c>
      <c r="B247" s="141" t="s">
        <v>4523</v>
      </c>
      <c r="C247" s="150" t="s">
        <v>3817</v>
      </c>
      <c r="D247" s="221"/>
      <c r="E247" s="150"/>
      <c r="F247" s="150"/>
      <c r="G247" s="110" t="s">
        <v>2663</v>
      </c>
      <c r="H247" s="150" t="s">
        <v>6203</v>
      </c>
      <c r="I247" s="150" t="s">
        <v>477</v>
      </c>
      <c r="J247" s="150" t="s">
        <v>4473</v>
      </c>
      <c r="K247" s="221"/>
      <c r="L247" s="135" t="str">
        <f t="shared" si="10"/>
        <v>Micropteropus pusillus</v>
      </c>
      <c r="M247" s="133">
        <f t="shared" ref="M247:M256" si="14">LOG(N247)</f>
        <v>1.4243370666764554</v>
      </c>
      <c r="N247" s="152">
        <v>26.566666666667</v>
      </c>
      <c r="O247" s="192"/>
      <c r="P247" s="109">
        <v>153</v>
      </c>
      <c r="R247" s="85" t="s">
        <v>1914</v>
      </c>
      <c r="S247" s="85" t="s">
        <v>1915</v>
      </c>
    </row>
    <row r="248" spans="1:19" ht="38.25">
      <c r="A248" s="110" t="s">
        <v>2778</v>
      </c>
      <c r="B248" s="141" t="s">
        <v>2637</v>
      </c>
      <c r="C248" s="150" t="s">
        <v>3817</v>
      </c>
      <c r="D248" s="221"/>
      <c r="E248" s="150"/>
      <c r="F248" s="150"/>
      <c r="G248" s="110" t="s">
        <v>2663</v>
      </c>
      <c r="H248" s="150" t="s">
        <v>6203</v>
      </c>
      <c r="I248" s="150" t="s">
        <v>2638</v>
      </c>
      <c r="J248" s="150" t="s">
        <v>2639</v>
      </c>
      <c r="K248" s="221"/>
      <c r="L248" s="135" t="str">
        <f t="shared" si="10"/>
        <v>Myonycteris torquata</v>
      </c>
      <c r="M248" s="133">
        <f t="shared" si="14"/>
        <v>1.6255696582430463</v>
      </c>
      <c r="N248" s="152">
        <v>42.225000000000001</v>
      </c>
      <c r="O248" s="192"/>
      <c r="P248" s="109">
        <v>153</v>
      </c>
      <c r="R248" s="85" t="s">
        <v>1920</v>
      </c>
      <c r="S248" s="85" t="s">
        <v>7594</v>
      </c>
    </row>
    <row r="249" spans="1:19" ht="38.25">
      <c r="A249" s="110" t="s">
        <v>2778</v>
      </c>
      <c r="B249" s="141" t="s">
        <v>720</v>
      </c>
      <c r="C249" s="150" t="s">
        <v>3817</v>
      </c>
      <c r="D249" s="221"/>
      <c r="E249" s="150"/>
      <c r="F249" s="150"/>
      <c r="G249" s="110" t="s">
        <v>2663</v>
      </c>
      <c r="H249" s="150" t="s">
        <v>6203</v>
      </c>
      <c r="I249" s="150" t="s">
        <v>2638</v>
      </c>
      <c r="J249" s="150" t="s">
        <v>4941</v>
      </c>
      <c r="K249" s="221"/>
      <c r="L249" s="135" t="str">
        <f t="shared" si="10"/>
        <v>Myonycteris relicta</v>
      </c>
      <c r="M249" s="133">
        <f t="shared" si="14"/>
        <v>1.7160033436347992</v>
      </c>
      <c r="N249" s="152">
        <v>52</v>
      </c>
      <c r="O249" s="192"/>
      <c r="P249" s="109">
        <v>153</v>
      </c>
    </row>
    <row r="250" spans="1:19" ht="25.5">
      <c r="A250" s="110" t="s">
        <v>2778</v>
      </c>
      <c r="B250" s="141" t="s">
        <v>5075</v>
      </c>
      <c r="C250" s="150" t="s">
        <v>3817</v>
      </c>
      <c r="D250" s="221"/>
      <c r="E250" s="150"/>
      <c r="F250" s="150"/>
      <c r="G250" s="110" t="s">
        <v>2663</v>
      </c>
      <c r="H250" s="148" t="s">
        <v>6203</v>
      </c>
      <c r="I250" s="150" t="s">
        <v>5076</v>
      </c>
      <c r="J250" s="150" t="s">
        <v>5077</v>
      </c>
      <c r="K250" s="221"/>
      <c r="L250" s="135" t="str">
        <f t="shared" si="10"/>
        <v>Nanonycteris veldkampi</v>
      </c>
      <c r="M250" s="133">
        <f t="shared" si="14"/>
        <v>1.3293978793610426</v>
      </c>
      <c r="N250" s="152">
        <v>21.35</v>
      </c>
      <c r="O250" s="192"/>
      <c r="P250" s="109">
        <v>153</v>
      </c>
      <c r="R250" s="85" t="s">
        <v>1916</v>
      </c>
      <c r="S250" s="85" t="s">
        <v>1917</v>
      </c>
    </row>
    <row r="251" spans="1:19">
      <c r="A251" s="110" t="s">
        <v>2778</v>
      </c>
      <c r="B251" s="141" t="s">
        <v>759</v>
      </c>
      <c r="C251" s="150" t="s">
        <v>3817</v>
      </c>
      <c r="D251" s="221"/>
      <c r="E251" s="150"/>
      <c r="F251" s="150"/>
      <c r="G251" s="110" t="s">
        <v>2663</v>
      </c>
      <c r="H251" s="148" t="s">
        <v>6203</v>
      </c>
      <c r="I251" s="150" t="s">
        <v>760</v>
      </c>
      <c r="J251" s="150" t="s">
        <v>664</v>
      </c>
      <c r="K251" s="221"/>
      <c r="L251" s="135" t="str">
        <f t="shared" si="10"/>
        <v>Plerotes anchietai</v>
      </c>
      <c r="M251" s="146">
        <f t="shared" si="14"/>
        <v>1.5797835966168101</v>
      </c>
      <c r="N251" s="146">
        <v>38</v>
      </c>
      <c r="O251" s="183"/>
      <c r="P251" s="109">
        <v>70</v>
      </c>
    </row>
    <row r="252" spans="1:19" ht="38.25">
      <c r="A252" s="110" t="s">
        <v>2778</v>
      </c>
      <c r="B252" s="141" t="s">
        <v>2884</v>
      </c>
      <c r="C252" s="150" t="s">
        <v>3817</v>
      </c>
      <c r="D252" s="221"/>
      <c r="E252" s="150"/>
      <c r="F252" s="150"/>
      <c r="G252" s="110" t="s">
        <v>2663</v>
      </c>
      <c r="H252" s="150" t="s">
        <v>6203</v>
      </c>
      <c r="I252" s="150" t="s">
        <v>2716</v>
      </c>
      <c r="J252" s="150" t="s">
        <v>4911</v>
      </c>
      <c r="K252" s="221"/>
      <c r="L252" s="135" t="str">
        <f t="shared" si="10"/>
        <v>Rousettus angolensis</v>
      </c>
      <c r="M252" s="133">
        <f t="shared" si="14"/>
        <v>1.8727388274726688</v>
      </c>
      <c r="N252" s="152">
        <v>74.599999999999994</v>
      </c>
      <c r="O252" s="192"/>
      <c r="P252" s="109">
        <v>153</v>
      </c>
      <c r="R252" s="85" t="s">
        <v>1806</v>
      </c>
      <c r="S252" s="85" t="s">
        <v>1906</v>
      </c>
    </row>
    <row r="253" spans="1:19" ht="38.25">
      <c r="A253" s="110" t="s">
        <v>2778</v>
      </c>
      <c r="B253" s="141" t="s">
        <v>681</v>
      </c>
      <c r="C253" s="150" t="s">
        <v>3817</v>
      </c>
      <c r="D253" s="221"/>
      <c r="E253" s="150"/>
      <c r="F253" s="150"/>
      <c r="G253" s="110" t="s">
        <v>2663</v>
      </c>
      <c r="H253" s="150" t="s">
        <v>6203</v>
      </c>
      <c r="I253" s="150" t="s">
        <v>2716</v>
      </c>
      <c r="J253" s="150" t="s">
        <v>3426</v>
      </c>
      <c r="K253" s="221"/>
      <c r="L253" s="135" t="str">
        <f t="shared" si="10"/>
        <v>Rousettus lanosus</v>
      </c>
      <c r="M253" s="133">
        <f t="shared" si="14"/>
        <v>2.012837224705172</v>
      </c>
      <c r="N253" s="152">
        <v>103</v>
      </c>
      <c r="O253" s="192"/>
      <c r="P253" s="109">
        <v>153</v>
      </c>
    </row>
    <row r="254" spans="1:19" ht="63.75">
      <c r="A254" s="110" t="s">
        <v>2778</v>
      </c>
      <c r="B254" s="141" t="s">
        <v>682</v>
      </c>
      <c r="C254" s="150" t="s">
        <v>3817</v>
      </c>
      <c r="D254" s="221"/>
      <c r="E254" s="150"/>
      <c r="F254" s="150"/>
      <c r="G254" s="110" t="s">
        <v>2663</v>
      </c>
      <c r="H254" s="150" t="s">
        <v>6203</v>
      </c>
      <c r="I254" s="150" t="s">
        <v>2716</v>
      </c>
      <c r="J254" s="150" t="s">
        <v>1220</v>
      </c>
      <c r="K254" s="221"/>
      <c r="L254" s="135" t="str">
        <f t="shared" si="10"/>
        <v>Rousettus aegyptiacus</v>
      </c>
      <c r="M254" s="133">
        <f t="shared" si="14"/>
        <v>2.1213570449860772</v>
      </c>
      <c r="N254" s="152">
        <v>132.23823529411001</v>
      </c>
      <c r="O254" s="192"/>
      <c r="P254" s="109">
        <v>153</v>
      </c>
      <c r="R254" s="85" t="s">
        <v>1904</v>
      </c>
      <c r="S254" s="85" t="s">
        <v>1905</v>
      </c>
    </row>
    <row r="255" spans="1:19" ht="25.5">
      <c r="A255" s="110" t="s">
        <v>2778</v>
      </c>
      <c r="B255" s="141" t="s">
        <v>830</v>
      </c>
      <c r="C255" s="150" t="s">
        <v>3817</v>
      </c>
      <c r="D255" s="221"/>
      <c r="E255" s="150"/>
      <c r="F255" s="150"/>
      <c r="G255" s="110" t="s">
        <v>2663</v>
      </c>
      <c r="H255" s="148" t="s">
        <v>6203</v>
      </c>
      <c r="I255" s="150" t="s">
        <v>831</v>
      </c>
      <c r="J255" s="150" t="s">
        <v>3397</v>
      </c>
      <c r="K255" s="221"/>
      <c r="L255" s="135" t="str">
        <f t="shared" si="10"/>
        <v>Scotonycteris zenkeri</v>
      </c>
      <c r="M255" s="133">
        <f t="shared" si="14"/>
        <v>1.3185850100788252</v>
      </c>
      <c r="N255" s="152">
        <v>20.824999999999999</v>
      </c>
      <c r="O255" s="192"/>
      <c r="P255" s="109">
        <v>153</v>
      </c>
      <c r="R255" s="85" t="s">
        <v>1918</v>
      </c>
      <c r="S255" s="85" t="s">
        <v>1919</v>
      </c>
    </row>
    <row r="256" spans="1:19">
      <c r="A256" s="110" t="s">
        <v>2778</v>
      </c>
      <c r="B256" s="141" t="s">
        <v>745</v>
      </c>
      <c r="C256" s="150" t="s">
        <v>3817</v>
      </c>
      <c r="D256" s="221"/>
      <c r="E256" s="150"/>
      <c r="F256" s="150"/>
      <c r="G256" s="110" t="s">
        <v>2663</v>
      </c>
      <c r="H256" s="150" t="s">
        <v>6203</v>
      </c>
      <c r="I256" s="150" t="s">
        <v>831</v>
      </c>
      <c r="J256" s="150" t="s">
        <v>746</v>
      </c>
      <c r="K256" s="221"/>
      <c r="L256" s="135" t="str">
        <f t="shared" si="10"/>
        <v>Scotonycteris ophiodon</v>
      </c>
      <c r="M256" s="133">
        <f t="shared" si="14"/>
        <v>1.8293037728310249</v>
      </c>
      <c r="N256" s="152">
        <v>67.5</v>
      </c>
      <c r="O256" s="192"/>
      <c r="P256" s="109">
        <v>153</v>
      </c>
    </row>
    <row r="257" spans="1:19" ht="25.5">
      <c r="A257" s="110" t="s">
        <v>2778</v>
      </c>
      <c r="B257" s="141" t="s">
        <v>858</v>
      </c>
      <c r="C257" s="150" t="s">
        <v>3817</v>
      </c>
      <c r="D257" s="221"/>
      <c r="E257" s="150"/>
      <c r="F257" s="150"/>
      <c r="G257" s="110" t="s">
        <v>2663</v>
      </c>
      <c r="H257" s="150" t="s">
        <v>1684</v>
      </c>
      <c r="I257" s="150" t="s">
        <v>2742</v>
      </c>
      <c r="J257" s="150" t="s">
        <v>2696</v>
      </c>
      <c r="K257" s="221"/>
      <c r="L257" s="135" t="str">
        <f t="shared" si="10"/>
        <v>Asellia patrizii</v>
      </c>
      <c r="M257" s="146">
        <v>-999</v>
      </c>
      <c r="N257" s="146">
        <v>-999</v>
      </c>
      <c r="O257" s="183"/>
      <c r="P257" s="109">
        <v>-999</v>
      </c>
    </row>
    <row r="258" spans="1:19" ht="89.25">
      <c r="A258" s="110" t="s">
        <v>2778</v>
      </c>
      <c r="B258" s="141" t="s">
        <v>2851</v>
      </c>
      <c r="C258" s="150" t="s">
        <v>3817</v>
      </c>
      <c r="D258" s="221"/>
      <c r="E258" s="150"/>
      <c r="F258" s="150"/>
      <c r="G258" s="110" t="s">
        <v>2663</v>
      </c>
      <c r="H258" s="150" t="s">
        <v>1684</v>
      </c>
      <c r="I258" s="150" t="s">
        <v>2742</v>
      </c>
      <c r="J258" s="150" t="s">
        <v>2830</v>
      </c>
      <c r="K258" s="221"/>
      <c r="L258" s="135" t="str">
        <f t="shared" si="10"/>
        <v>Asellia tridens</v>
      </c>
      <c r="M258" s="133">
        <f>LOG(N258)</f>
        <v>1.0765621689608755</v>
      </c>
      <c r="N258" s="152">
        <v>11.927849999999999</v>
      </c>
      <c r="O258" s="192"/>
      <c r="P258" s="109">
        <v>153</v>
      </c>
    </row>
    <row r="259" spans="1:19" ht="63.75">
      <c r="A259" s="110" t="s">
        <v>2778</v>
      </c>
      <c r="B259" s="141" t="s">
        <v>1848</v>
      </c>
      <c r="C259" s="150" t="s">
        <v>3817</v>
      </c>
      <c r="D259" s="221"/>
      <c r="E259" s="150"/>
      <c r="F259" s="150"/>
      <c r="G259" s="110" t="s">
        <v>2663</v>
      </c>
      <c r="H259" s="150" t="s">
        <v>1684</v>
      </c>
      <c r="I259" s="150" t="s">
        <v>4590</v>
      </c>
      <c r="J259" s="150" t="s">
        <v>6533</v>
      </c>
      <c r="K259" s="221"/>
      <c r="L259" s="135" t="str">
        <f t="shared" si="10"/>
        <v>Cloeotis percivali</v>
      </c>
      <c r="M259" s="133">
        <f>LOG(N259)</f>
        <v>0.60745502321466849</v>
      </c>
      <c r="N259" s="152">
        <v>4.05</v>
      </c>
      <c r="O259" s="192"/>
      <c r="P259" s="109">
        <v>153</v>
      </c>
    </row>
    <row r="260" spans="1:19" ht="25.5">
      <c r="A260" s="110" t="s">
        <v>2778</v>
      </c>
      <c r="B260" s="141" t="s">
        <v>765</v>
      </c>
      <c r="C260" s="150" t="s">
        <v>3817</v>
      </c>
      <c r="D260" s="221"/>
      <c r="E260" s="150"/>
      <c r="F260" s="150"/>
      <c r="G260" s="110" t="s">
        <v>2663</v>
      </c>
      <c r="H260" s="150" t="s">
        <v>1684</v>
      </c>
      <c r="I260" s="150" t="s">
        <v>1724</v>
      </c>
      <c r="J260" s="150" t="s">
        <v>766</v>
      </c>
      <c r="K260" s="221"/>
      <c r="L260" s="135" t="str">
        <f t="shared" si="10"/>
        <v>Hipposideros abae</v>
      </c>
      <c r="M260" s="146">
        <v>-999</v>
      </c>
      <c r="N260" s="146">
        <v>-999</v>
      </c>
      <c r="O260" s="183"/>
      <c r="P260" s="109">
        <v>-999</v>
      </c>
      <c r="S260" s="85" t="s">
        <v>1758</v>
      </c>
    </row>
    <row r="261" spans="1:19" ht="25.5">
      <c r="A261" s="110" t="s">
        <v>2778</v>
      </c>
      <c r="B261" s="141" t="s">
        <v>498</v>
      </c>
      <c r="C261" s="150" t="s">
        <v>3817</v>
      </c>
      <c r="D261" s="221"/>
      <c r="E261" s="150"/>
      <c r="F261" s="150"/>
      <c r="G261" s="110" t="s">
        <v>2663</v>
      </c>
      <c r="H261" s="150" t="s">
        <v>1684</v>
      </c>
      <c r="I261" s="150" t="s">
        <v>1724</v>
      </c>
      <c r="J261" s="150" t="s">
        <v>585</v>
      </c>
      <c r="K261" s="221"/>
      <c r="L261" s="135" t="str">
        <f t="shared" ref="L261:L324" si="15">I261&amp;" "&amp;J261</f>
        <v>Hipposideros camerunensis</v>
      </c>
      <c r="M261" s="151">
        <v>-999</v>
      </c>
      <c r="N261" s="151">
        <v>-999</v>
      </c>
      <c r="O261" s="183"/>
      <c r="P261" s="109">
        <v>-999</v>
      </c>
    </row>
    <row r="262" spans="1:19" ht="25.5">
      <c r="A262" s="110" t="s">
        <v>2778</v>
      </c>
      <c r="B262" s="141" t="s">
        <v>676</v>
      </c>
      <c r="C262" s="150" t="s">
        <v>3817</v>
      </c>
      <c r="D262" s="221"/>
      <c r="E262" s="150"/>
      <c r="F262" s="150"/>
      <c r="G262" s="110" t="s">
        <v>2663</v>
      </c>
      <c r="H262" s="150" t="s">
        <v>1684</v>
      </c>
      <c r="I262" s="150" t="s">
        <v>1724</v>
      </c>
      <c r="J262" s="150" t="s">
        <v>677</v>
      </c>
      <c r="K262" s="221"/>
      <c r="L262" s="135" t="str">
        <f t="shared" si="15"/>
        <v>Hipposideros curtus</v>
      </c>
      <c r="M262" s="146">
        <v>-999</v>
      </c>
      <c r="N262" s="146">
        <v>-999</v>
      </c>
      <c r="O262" s="183"/>
      <c r="P262" s="109">
        <v>-999</v>
      </c>
    </row>
    <row r="263" spans="1:19">
      <c r="A263" s="110" t="s">
        <v>2778</v>
      </c>
      <c r="B263" s="141" t="s">
        <v>2366</v>
      </c>
      <c r="C263" s="150" t="s">
        <v>3817</v>
      </c>
      <c r="D263" s="221"/>
      <c r="E263" s="150"/>
      <c r="F263" s="150"/>
      <c r="G263" s="110" t="s">
        <v>2663</v>
      </c>
      <c r="H263" s="150" t="s">
        <v>1684</v>
      </c>
      <c r="I263" s="150" t="s">
        <v>1724</v>
      </c>
      <c r="J263" s="150" t="s">
        <v>4424</v>
      </c>
      <c r="K263" s="221"/>
      <c r="L263" s="135" t="str">
        <f t="shared" si="15"/>
        <v>Hipposideros fuliginosus</v>
      </c>
      <c r="M263" s="146">
        <v>-999</v>
      </c>
      <c r="N263" s="146">
        <v>-999</v>
      </c>
      <c r="O263" s="183"/>
      <c r="P263" s="109">
        <v>-999</v>
      </c>
    </row>
    <row r="264" spans="1:19" ht="38.25">
      <c r="A264" s="110" t="s">
        <v>2778</v>
      </c>
      <c r="B264" s="141" t="s">
        <v>1952</v>
      </c>
      <c r="C264" s="150" t="s">
        <v>3817</v>
      </c>
      <c r="D264" s="221"/>
      <c r="E264" s="150"/>
      <c r="F264" s="150"/>
      <c r="G264" s="110" t="s">
        <v>2663</v>
      </c>
      <c r="H264" s="150" t="s">
        <v>1684</v>
      </c>
      <c r="I264" s="150" t="s">
        <v>1724</v>
      </c>
      <c r="J264" s="150" t="s">
        <v>4305</v>
      </c>
      <c r="K264" s="221"/>
      <c r="L264" s="135" t="str">
        <f t="shared" si="15"/>
        <v>Hipposideros lamottei</v>
      </c>
      <c r="M264" s="146">
        <v>-999</v>
      </c>
      <c r="N264" s="146">
        <v>-999</v>
      </c>
      <c r="O264" s="183"/>
      <c r="P264" s="109">
        <v>-999</v>
      </c>
    </row>
    <row r="265" spans="1:19" ht="25.5">
      <c r="A265" s="110" t="s">
        <v>2778</v>
      </c>
      <c r="B265" s="141" t="s">
        <v>816</v>
      </c>
      <c r="C265" s="150" t="s">
        <v>3817</v>
      </c>
      <c r="D265" s="221"/>
      <c r="E265" s="150"/>
      <c r="F265" s="150"/>
      <c r="G265" s="110" t="s">
        <v>2663</v>
      </c>
      <c r="H265" s="150" t="s">
        <v>1684</v>
      </c>
      <c r="I265" s="150" t="s">
        <v>1724</v>
      </c>
      <c r="J265" s="150" t="s">
        <v>667</v>
      </c>
      <c r="K265" s="221"/>
      <c r="L265" s="135" t="str">
        <f t="shared" si="15"/>
        <v>Hipposideros marisae</v>
      </c>
      <c r="M265" s="146">
        <v>-999</v>
      </c>
      <c r="N265" s="146">
        <v>-999</v>
      </c>
      <c r="O265" s="183"/>
      <c r="P265" s="109">
        <v>-999</v>
      </c>
    </row>
    <row r="266" spans="1:19" ht="38.25">
      <c r="A266" s="110" t="s">
        <v>2778</v>
      </c>
      <c r="B266" s="141" t="s">
        <v>594</v>
      </c>
      <c r="C266" s="150" t="s">
        <v>3817</v>
      </c>
      <c r="D266" s="221"/>
      <c r="E266" s="150"/>
      <c r="F266" s="150"/>
      <c r="G266" s="110" t="s">
        <v>2663</v>
      </c>
      <c r="H266" s="150" t="s">
        <v>1684</v>
      </c>
      <c r="I266" s="150" t="s">
        <v>1724</v>
      </c>
      <c r="J266" s="150" t="s">
        <v>2000</v>
      </c>
      <c r="K266" s="221"/>
      <c r="L266" s="135" t="str">
        <f t="shared" si="15"/>
        <v>Hipposideros megalotis</v>
      </c>
      <c r="M266" s="146">
        <v>-999</v>
      </c>
      <c r="N266" s="146">
        <v>-999</v>
      </c>
      <c r="O266" s="183"/>
      <c r="P266" s="109">
        <v>-999</v>
      </c>
    </row>
    <row r="267" spans="1:19" ht="38.25">
      <c r="A267" s="110" t="s">
        <v>2778</v>
      </c>
      <c r="B267" s="141" t="s">
        <v>641</v>
      </c>
      <c r="C267" s="150" t="s">
        <v>3817</v>
      </c>
      <c r="D267" s="221"/>
      <c r="E267" s="150"/>
      <c r="F267" s="150"/>
      <c r="G267" s="110" t="s">
        <v>2663</v>
      </c>
      <c r="H267" s="150" t="s">
        <v>1684</v>
      </c>
      <c r="I267" s="150" t="s">
        <v>1724</v>
      </c>
      <c r="J267" s="150" t="s">
        <v>722</v>
      </c>
      <c r="K267" s="221"/>
      <c r="L267" s="135" t="str">
        <f t="shared" si="15"/>
        <v>Hipposideros jonesi</v>
      </c>
      <c r="M267" s="133">
        <f t="shared" ref="M267:M272" si="16">LOG(N267)</f>
        <v>0.74036268949424389</v>
      </c>
      <c r="N267" s="152">
        <v>5.5</v>
      </c>
      <c r="O267" s="192"/>
      <c r="P267" s="109">
        <v>153</v>
      </c>
      <c r="R267" s="85" t="s">
        <v>1815</v>
      </c>
      <c r="S267" s="85" t="s">
        <v>1765</v>
      </c>
    </row>
    <row r="268" spans="1:19" ht="76.5">
      <c r="A268" s="110" t="s">
        <v>2778</v>
      </c>
      <c r="B268" s="141" t="s">
        <v>636</v>
      </c>
      <c r="C268" s="150" t="s">
        <v>3817</v>
      </c>
      <c r="D268" s="221"/>
      <c r="E268" s="150"/>
      <c r="F268" s="150"/>
      <c r="G268" s="110" t="s">
        <v>2663</v>
      </c>
      <c r="H268" s="150" t="s">
        <v>1684</v>
      </c>
      <c r="I268" s="150" t="s">
        <v>1724</v>
      </c>
      <c r="J268" s="150" t="s">
        <v>3381</v>
      </c>
      <c r="K268" s="221"/>
      <c r="L268" s="135" t="str">
        <f t="shared" si="15"/>
        <v>Hipposideros beatus</v>
      </c>
      <c r="M268" s="133">
        <f t="shared" si="16"/>
        <v>0.82282164530310464</v>
      </c>
      <c r="N268" s="152">
        <v>6.65</v>
      </c>
      <c r="O268" s="192"/>
      <c r="P268" s="109">
        <v>153</v>
      </c>
      <c r="R268" s="85" t="s">
        <v>1762</v>
      </c>
      <c r="S268" s="85" t="s">
        <v>1759</v>
      </c>
    </row>
    <row r="269" spans="1:19" ht="63.75">
      <c r="A269" s="110" t="s">
        <v>2778</v>
      </c>
      <c r="B269" s="141" t="s">
        <v>549</v>
      </c>
      <c r="C269" s="150" t="s">
        <v>3817</v>
      </c>
      <c r="D269" s="221"/>
      <c r="E269" s="150"/>
      <c r="F269" s="150"/>
      <c r="G269" s="110" t="s">
        <v>2663</v>
      </c>
      <c r="H269" s="150" t="s">
        <v>1684</v>
      </c>
      <c r="I269" s="150" t="s">
        <v>1724</v>
      </c>
      <c r="J269" s="150" t="s">
        <v>6514</v>
      </c>
      <c r="K269" s="221"/>
      <c r="L269" s="135" t="str">
        <f t="shared" si="15"/>
        <v>Hipposideros caffer</v>
      </c>
      <c r="M269" s="133">
        <f t="shared" si="16"/>
        <v>0.97530048268973135</v>
      </c>
      <c r="N269" s="152">
        <v>9.4471428571429996</v>
      </c>
      <c r="O269" s="192"/>
      <c r="P269" s="109">
        <v>153</v>
      </c>
      <c r="R269" s="85" t="s">
        <v>1760</v>
      </c>
      <c r="S269" s="85" t="s">
        <v>1761</v>
      </c>
    </row>
    <row r="270" spans="1:19" ht="51">
      <c r="A270" s="110" t="s">
        <v>2778</v>
      </c>
      <c r="B270" s="141" t="s">
        <v>2957</v>
      </c>
      <c r="C270" s="150" t="s">
        <v>3817</v>
      </c>
      <c r="D270" s="221"/>
      <c r="E270" s="150"/>
      <c r="F270" s="150"/>
      <c r="G270" s="110" t="s">
        <v>2663</v>
      </c>
      <c r="H270" s="150" t="s">
        <v>1684</v>
      </c>
      <c r="I270" s="150" t="s">
        <v>1724</v>
      </c>
      <c r="J270" s="150" t="s">
        <v>2958</v>
      </c>
      <c r="K270" s="221"/>
      <c r="L270" s="135" t="str">
        <f t="shared" si="15"/>
        <v>Hipposideros ruber</v>
      </c>
      <c r="M270" s="133">
        <f t="shared" si="16"/>
        <v>1.0045363178513229</v>
      </c>
      <c r="N270" s="152">
        <v>10.105</v>
      </c>
      <c r="O270" s="192"/>
      <c r="P270" s="109">
        <v>153</v>
      </c>
      <c r="R270" s="85" t="s">
        <v>1766</v>
      </c>
      <c r="S270" s="85" t="s">
        <v>1767</v>
      </c>
    </row>
    <row r="271" spans="1:19" ht="38.25">
      <c r="A271" s="110" t="s">
        <v>2778</v>
      </c>
      <c r="B271" s="141" t="s">
        <v>486</v>
      </c>
      <c r="C271" s="150" t="s">
        <v>3817</v>
      </c>
      <c r="D271" s="221"/>
      <c r="E271" s="150"/>
      <c r="F271" s="150"/>
      <c r="G271" s="110" t="s">
        <v>2663</v>
      </c>
      <c r="H271" s="150" t="s">
        <v>1684</v>
      </c>
      <c r="I271" s="150" t="s">
        <v>1724</v>
      </c>
      <c r="J271" s="150" t="s">
        <v>1950</v>
      </c>
      <c r="K271" s="221"/>
      <c r="L271" s="135" t="str">
        <f t="shared" si="15"/>
        <v>Hipposideros cyclops</v>
      </c>
      <c r="M271" s="133">
        <f t="shared" si="16"/>
        <v>1.5250448070368452</v>
      </c>
      <c r="N271" s="152">
        <v>33.5</v>
      </c>
      <c r="O271" s="192"/>
      <c r="P271" s="109">
        <v>153</v>
      </c>
    </row>
    <row r="272" spans="1:19" ht="89.25">
      <c r="A272" s="110" t="s">
        <v>2778</v>
      </c>
      <c r="B272" s="141" t="s">
        <v>683</v>
      </c>
      <c r="C272" s="150" t="s">
        <v>3817</v>
      </c>
      <c r="D272" s="221"/>
      <c r="E272" s="150"/>
      <c r="F272" s="150"/>
      <c r="G272" s="110" t="s">
        <v>2663</v>
      </c>
      <c r="H272" s="150" t="s">
        <v>1684</v>
      </c>
      <c r="I272" s="150" t="s">
        <v>1724</v>
      </c>
      <c r="J272" s="150" t="s">
        <v>2377</v>
      </c>
      <c r="K272" s="221"/>
      <c r="L272" s="135" t="str">
        <f t="shared" si="15"/>
        <v>Hipposideros commersoni</v>
      </c>
      <c r="M272" s="133">
        <f t="shared" si="16"/>
        <v>1.9960338127823982</v>
      </c>
      <c r="N272" s="152">
        <v>99.090909090908994</v>
      </c>
      <c r="O272" s="192"/>
      <c r="P272" s="109">
        <v>153</v>
      </c>
      <c r="R272" s="85" t="s">
        <v>1763</v>
      </c>
      <c r="S272" s="85" t="s">
        <v>1764</v>
      </c>
    </row>
    <row r="273" spans="1:22">
      <c r="A273" s="110" t="s">
        <v>2778</v>
      </c>
      <c r="B273" s="141" t="s">
        <v>2912</v>
      </c>
      <c r="C273" s="150" t="s">
        <v>3817</v>
      </c>
      <c r="D273" s="221"/>
      <c r="E273" s="150"/>
      <c r="F273" s="150"/>
      <c r="G273" s="110" t="s">
        <v>2663</v>
      </c>
      <c r="H273" s="150" t="s">
        <v>1684</v>
      </c>
      <c r="I273" s="150" t="s">
        <v>1332</v>
      </c>
      <c r="J273" s="150" t="s">
        <v>2913</v>
      </c>
      <c r="K273" s="221"/>
      <c r="L273" s="135" t="str">
        <f t="shared" si="15"/>
        <v>Rhinolophus adami</v>
      </c>
      <c r="M273" s="146">
        <v>-999</v>
      </c>
      <c r="N273" s="146">
        <v>-999</v>
      </c>
      <c r="O273" s="183"/>
      <c r="P273" s="109">
        <v>-999</v>
      </c>
      <c r="U273" s="61"/>
      <c r="V273" s="61"/>
    </row>
    <row r="274" spans="1:22" ht="25.5">
      <c r="A274" s="110" t="s">
        <v>2778</v>
      </c>
      <c r="B274" s="141" t="s">
        <v>2820</v>
      </c>
      <c r="C274" s="150" t="s">
        <v>3817</v>
      </c>
      <c r="D274" s="221"/>
      <c r="E274" s="150"/>
      <c r="F274" s="150"/>
      <c r="G274" s="110" t="s">
        <v>2663</v>
      </c>
      <c r="H274" s="150" t="s">
        <v>1684</v>
      </c>
      <c r="I274" s="150" t="s">
        <v>1332</v>
      </c>
      <c r="J274" s="150" t="s">
        <v>2821</v>
      </c>
      <c r="K274" s="221"/>
      <c r="L274" s="135" t="str">
        <f t="shared" si="15"/>
        <v>Rhinolophus deckenii</v>
      </c>
      <c r="M274" s="146">
        <v>-999</v>
      </c>
      <c r="N274" s="146">
        <v>-999</v>
      </c>
      <c r="O274" s="183"/>
      <c r="P274" s="109">
        <v>-999</v>
      </c>
    </row>
    <row r="275" spans="1:22" ht="25.5">
      <c r="A275" s="110" t="s">
        <v>2778</v>
      </c>
      <c r="B275" s="141" t="s">
        <v>2699</v>
      </c>
      <c r="C275" s="150" t="s">
        <v>3817</v>
      </c>
      <c r="D275" s="221"/>
      <c r="E275" s="150"/>
      <c r="F275" s="150"/>
      <c r="G275" s="110" t="s">
        <v>2663</v>
      </c>
      <c r="H275" s="150" t="s">
        <v>1684</v>
      </c>
      <c r="I275" s="150" t="s">
        <v>1332</v>
      </c>
      <c r="J275" s="150" t="s">
        <v>2822</v>
      </c>
      <c r="K275" s="221"/>
      <c r="L275" s="135" t="str">
        <f t="shared" si="15"/>
        <v>Rhinolophus guineensis</v>
      </c>
      <c r="M275" s="146">
        <v>-999</v>
      </c>
      <c r="N275" s="146">
        <v>-999</v>
      </c>
      <c r="O275" s="183"/>
      <c r="P275" s="109">
        <v>-999</v>
      </c>
    </row>
    <row r="276" spans="1:22">
      <c r="A276" s="110" t="s">
        <v>2778</v>
      </c>
      <c r="B276" s="141" t="s">
        <v>2831</v>
      </c>
      <c r="C276" s="150" t="s">
        <v>3817</v>
      </c>
      <c r="D276" s="221"/>
      <c r="E276" s="150"/>
      <c r="F276" s="150"/>
      <c r="G276" s="110" t="s">
        <v>2663</v>
      </c>
      <c r="H276" s="150" t="s">
        <v>1684</v>
      </c>
      <c r="I276" s="150" t="s">
        <v>1332</v>
      </c>
      <c r="J276" s="150" t="s">
        <v>4857</v>
      </c>
      <c r="K276" s="221"/>
      <c r="L276" s="135" t="str">
        <f t="shared" si="15"/>
        <v>Rhinolophus silvestris</v>
      </c>
      <c r="M276" s="146">
        <v>-999</v>
      </c>
      <c r="N276" s="146">
        <v>-999</v>
      </c>
      <c r="O276" s="183"/>
      <c r="P276" s="109">
        <v>-999</v>
      </c>
    </row>
    <row r="277" spans="1:22" ht="63.75">
      <c r="A277" s="110" t="s">
        <v>2778</v>
      </c>
      <c r="B277" s="141" t="s">
        <v>970</v>
      </c>
      <c r="C277" s="150" t="s">
        <v>3817</v>
      </c>
      <c r="D277" s="221"/>
      <c r="E277" s="150"/>
      <c r="F277" s="150"/>
      <c r="G277" s="110" t="s">
        <v>2663</v>
      </c>
      <c r="H277" s="150" t="s">
        <v>1684</v>
      </c>
      <c r="I277" s="150" t="s">
        <v>1332</v>
      </c>
      <c r="J277" s="150" t="s">
        <v>971</v>
      </c>
      <c r="K277" s="221"/>
      <c r="L277" s="135" t="str">
        <f t="shared" si="15"/>
        <v>Rhinolophus hipposideros</v>
      </c>
      <c r="M277" s="133">
        <f t="shared" ref="M277:M296" si="17">LOG(N277)</f>
        <v>0.67294997295450032</v>
      </c>
      <c r="N277" s="152">
        <v>4.7092307692309996</v>
      </c>
      <c r="O277" s="192"/>
      <c r="P277" s="109">
        <v>153</v>
      </c>
    </row>
    <row r="278" spans="1:22" ht="63.75">
      <c r="A278" s="110" t="s">
        <v>2778</v>
      </c>
      <c r="B278" s="141" t="s">
        <v>3020</v>
      </c>
      <c r="C278" s="150" t="s">
        <v>3817</v>
      </c>
      <c r="D278" s="221"/>
      <c r="E278" s="150"/>
      <c r="F278" s="150"/>
      <c r="G278" s="110" t="s">
        <v>2663</v>
      </c>
      <c r="H278" s="150" t="s">
        <v>1684</v>
      </c>
      <c r="I278" s="150" t="s">
        <v>1332</v>
      </c>
      <c r="J278" s="150" t="s">
        <v>2126</v>
      </c>
      <c r="K278" s="221"/>
      <c r="L278" s="135" t="str">
        <f t="shared" si="15"/>
        <v>Rhinolophus denti</v>
      </c>
      <c r="M278" s="133">
        <f t="shared" si="17"/>
        <v>0.7888751157754168</v>
      </c>
      <c r="N278" s="152">
        <v>6.15</v>
      </c>
      <c r="O278" s="192"/>
      <c r="P278" s="109">
        <v>153</v>
      </c>
    </row>
    <row r="279" spans="1:22" ht="25.5">
      <c r="A279" s="110" t="s">
        <v>2778</v>
      </c>
      <c r="B279" s="141" t="s">
        <v>2825</v>
      </c>
      <c r="C279" s="150" t="s">
        <v>3817</v>
      </c>
      <c r="D279" s="221"/>
      <c r="E279" s="150"/>
      <c r="F279" s="150"/>
      <c r="G279" s="110" t="s">
        <v>2663</v>
      </c>
      <c r="H279" s="150" t="s">
        <v>1684</v>
      </c>
      <c r="I279" s="150" t="s">
        <v>1332</v>
      </c>
      <c r="J279" s="150" t="s">
        <v>2826</v>
      </c>
      <c r="K279" s="221"/>
      <c r="L279" s="135" t="str">
        <f t="shared" si="15"/>
        <v>Rhinolophus swinnyi</v>
      </c>
      <c r="M279" s="133">
        <f t="shared" si="17"/>
        <v>0.85278486868054781</v>
      </c>
      <c r="N279" s="152">
        <v>7.125</v>
      </c>
      <c r="O279" s="192"/>
      <c r="P279" s="109">
        <v>153</v>
      </c>
      <c r="U279" s="61"/>
      <c r="V279" s="61"/>
    </row>
    <row r="280" spans="1:22" ht="38.25">
      <c r="A280" s="110" t="s">
        <v>2778</v>
      </c>
      <c r="B280" s="141" t="s">
        <v>702</v>
      </c>
      <c r="C280" s="150" t="s">
        <v>3817</v>
      </c>
      <c r="D280" s="221"/>
      <c r="E280" s="150"/>
      <c r="F280" s="150"/>
      <c r="G280" s="110" t="s">
        <v>2663</v>
      </c>
      <c r="H280" s="150" t="s">
        <v>1684</v>
      </c>
      <c r="I280" s="150" t="s">
        <v>1332</v>
      </c>
      <c r="J280" s="150" t="s">
        <v>3854</v>
      </c>
      <c r="K280" s="221"/>
      <c r="L280" s="135" t="str">
        <f t="shared" si="15"/>
        <v>Rhinolophus simulator</v>
      </c>
      <c r="M280" s="133">
        <f t="shared" si="17"/>
        <v>0.90848501887864974</v>
      </c>
      <c r="N280" s="152">
        <v>8.1</v>
      </c>
      <c r="O280" s="192"/>
      <c r="P280" s="109">
        <v>153</v>
      </c>
      <c r="S280" s="85" t="s">
        <v>1755</v>
      </c>
    </row>
    <row r="281" spans="1:22" ht="76.5">
      <c r="A281" s="110" t="s">
        <v>2778</v>
      </c>
      <c r="B281" s="141" t="s">
        <v>540</v>
      </c>
      <c r="C281" s="150" t="s">
        <v>3817</v>
      </c>
      <c r="D281" s="221"/>
      <c r="E281" s="150"/>
      <c r="F281" s="150"/>
      <c r="G281" s="110" t="s">
        <v>2663</v>
      </c>
      <c r="H281" s="150" t="s">
        <v>1684</v>
      </c>
      <c r="I281" s="150" t="s">
        <v>1332</v>
      </c>
      <c r="J281" s="150" t="s">
        <v>541</v>
      </c>
      <c r="K281" s="221"/>
      <c r="L281" s="135" t="str">
        <f t="shared" si="15"/>
        <v>Rhinolophus euryale</v>
      </c>
      <c r="M281" s="133">
        <f t="shared" si="17"/>
        <v>0.91115760873997664</v>
      </c>
      <c r="N281" s="152">
        <v>8.15</v>
      </c>
      <c r="O281" s="192"/>
      <c r="P281" s="109">
        <v>153</v>
      </c>
    </row>
    <row r="282" spans="1:22" ht="51">
      <c r="A282" s="110" t="s">
        <v>2778</v>
      </c>
      <c r="B282" s="141" t="s">
        <v>467</v>
      </c>
      <c r="C282" s="150" t="s">
        <v>3817</v>
      </c>
      <c r="D282" s="221"/>
      <c r="E282" s="150"/>
      <c r="F282" s="150"/>
      <c r="G282" s="110" t="s">
        <v>2663</v>
      </c>
      <c r="H282" s="150" t="s">
        <v>1684</v>
      </c>
      <c r="I282" s="150" t="s">
        <v>1332</v>
      </c>
      <c r="J282" s="150" t="s">
        <v>468</v>
      </c>
      <c r="K282" s="221"/>
      <c r="L282" s="135" t="str">
        <f t="shared" si="15"/>
        <v>Rhinolophus landeri</v>
      </c>
      <c r="M282" s="133">
        <f t="shared" si="17"/>
        <v>0.94743372188705077</v>
      </c>
      <c r="N282" s="152">
        <v>8.86</v>
      </c>
      <c r="O282" s="192"/>
      <c r="P282" s="109">
        <v>153</v>
      </c>
      <c r="R282" s="85" t="s">
        <v>1756</v>
      </c>
      <c r="S282" s="85" t="s">
        <v>1757</v>
      </c>
    </row>
    <row r="283" spans="1:22" ht="63.75">
      <c r="A283" s="110" t="s">
        <v>2778</v>
      </c>
      <c r="B283" s="141" t="s">
        <v>544</v>
      </c>
      <c r="C283" s="150" t="s">
        <v>3817</v>
      </c>
      <c r="D283" s="221"/>
      <c r="E283" s="150"/>
      <c r="F283" s="150"/>
      <c r="G283" s="110" t="s">
        <v>2663</v>
      </c>
      <c r="H283" s="150" t="s">
        <v>1684</v>
      </c>
      <c r="I283" s="150" t="s">
        <v>1332</v>
      </c>
      <c r="J283" s="150" t="s">
        <v>545</v>
      </c>
      <c r="K283" s="221"/>
      <c r="L283" s="135" t="str">
        <f t="shared" si="15"/>
        <v>Rhinolophus darlingi</v>
      </c>
      <c r="M283" s="133">
        <f t="shared" si="17"/>
        <v>0.97543180850926292</v>
      </c>
      <c r="N283" s="152">
        <v>9.4499999999999993</v>
      </c>
      <c r="O283" s="192"/>
      <c r="P283" s="109">
        <v>153</v>
      </c>
    </row>
    <row r="284" spans="1:22" ht="140.25">
      <c r="A284" s="110" t="s">
        <v>2778</v>
      </c>
      <c r="B284" s="141" t="s">
        <v>2857</v>
      </c>
      <c r="C284" s="150" t="s">
        <v>3817</v>
      </c>
      <c r="D284" s="221"/>
      <c r="E284" s="150"/>
      <c r="F284" s="150"/>
      <c r="G284" s="110" t="s">
        <v>2663</v>
      </c>
      <c r="H284" s="150" t="s">
        <v>1684</v>
      </c>
      <c r="I284" s="150" t="s">
        <v>1332</v>
      </c>
      <c r="J284" s="150" t="s">
        <v>2858</v>
      </c>
      <c r="K284" s="221"/>
      <c r="L284" s="135" t="str">
        <f t="shared" si="15"/>
        <v>Rhinolophus blasii</v>
      </c>
      <c r="M284" s="133">
        <f t="shared" si="17"/>
        <v>0.98677173426624487</v>
      </c>
      <c r="N284" s="152">
        <v>9.6999999999999993</v>
      </c>
      <c r="O284" s="192"/>
      <c r="P284" s="109">
        <v>153</v>
      </c>
    </row>
    <row r="285" spans="1:22" ht="38.25">
      <c r="A285" s="110" t="s">
        <v>2778</v>
      </c>
      <c r="B285" s="141" t="s">
        <v>2864</v>
      </c>
      <c r="C285" s="150" t="s">
        <v>3817</v>
      </c>
      <c r="D285" s="221"/>
      <c r="E285" s="150"/>
      <c r="F285" s="150"/>
      <c r="G285" s="110" t="s">
        <v>2663</v>
      </c>
      <c r="H285" s="150" t="s">
        <v>1684</v>
      </c>
      <c r="I285" s="150" t="s">
        <v>1332</v>
      </c>
      <c r="J285" s="150" t="s">
        <v>4259</v>
      </c>
      <c r="K285" s="221"/>
      <c r="L285" s="135" t="str">
        <f t="shared" si="15"/>
        <v>Rhinolophus capensis</v>
      </c>
      <c r="M285" s="133">
        <f t="shared" si="17"/>
        <v>1.1072099696478683</v>
      </c>
      <c r="N285" s="152">
        <v>12.8</v>
      </c>
      <c r="O285" s="192"/>
      <c r="P285" s="109">
        <v>153</v>
      </c>
    </row>
    <row r="286" spans="1:22" ht="153">
      <c r="A286" s="110" t="s">
        <v>2778</v>
      </c>
      <c r="B286" s="141" t="s">
        <v>827</v>
      </c>
      <c r="C286" s="150" t="s">
        <v>3817</v>
      </c>
      <c r="D286" s="221"/>
      <c r="E286" s="150"/>
      <c r="F286" s="150"/>
      <c r="G286" s="110" t="s">
        <v>2663</v>
      </c>
      <c r="H286" s="150" t="s">
        <v>1684</v>
      </c>
      <c r="I286" s="150" t="s">
        <v>1332</v>
      </c>
      <c r="J286" s="150" t="s">
        <v>736</v>
      </c>
      <c r="K286" s="221"/>
      <c r="L286" s="135" t="str">
        <f t="shared" si="15"/>
        <v>Rhinolophus fumigatus</v>
      </c>
      <c r="M286" s="133">
        <f t="shared" si="17"/>
        <v>1.1119342763326816</v>
      </c>
      <c r="N286" s="152">
        <v>12.94</v>
      </c>
      <c r="O286" s="192"/>
      <c r="P286" s="109">
        <v>153</v>
      </c>
      <c r="R286" s="85" t="s">
        <v>1754</v>
      </c>
      <c r="S286" s="85" t="s">
        <v>7865</v>
      </c>
    </row>
    <row r="287" spans="1:22" ht="25.5">
      <c r="A287" s="110" t="s">
        <v>2778</v>
      </c>
      <c r="B287" s="141" t="s">
        <v>828</v>
      </c>
      <c r="C287" s="150" t="s">
        <v>3817</v>
      </c>
      <c r="D287" s="221"/>
      <c r="E287" s="150"/>
      <c r="F287" s="150"/>
      <c r="G287" s="110" t="s">
        <v>2663</v>
      </c>
      <c r="H287" s="150" t="s">
        <v>1684</v>
      </c>
      <c r="I287" s="150" t="s">
        <v>1332</v>
      </c>
      <c r="J287" s="150" t="s">
        <v>635</v>
      </c>
      <c r="K287" s="221"/>
      <c r="L287" s="135" t="str">
        <f t="shared" si="15"/>
        <v>Rhinolophus maclaudi</v>
      </c>
      <c r="M287" s="133">
        <f t="shared" si="17"/>
        <v>1.116640945661129</v>
      </c>
      <c r="N287" s="152">
        <v>13.081</v>
      </c>
      <c r="O287" s="192"/>
      <c r="P287" s="109">
        <v>153</v>
      </c>
    </row>
    <row r="288" spans="1:22" ht="63.75">
      <c r="A288" s="110" t="s">
        <v>2778</v>
      </c>
      <c r="B288" s="141" t="s">
        <v>670</v>
      </c>
      <c r="C288" s="150" t="s">
        <v>3817</v>
      </c>
      <c r="D288" s="221"/>
      <c r="E288" s="150"/>
      <c r="F288" s="150"/>
      <c r="G288" s="110" t="s">
        <v>2663</v>
      </c>
      <c r="H288" s="150" t="s">
        <v>1684</v>
      </c>
      <c r="I288" s="150" t="s">
        <v>1332</v>
      </c>
      <c r="J288" s="150" t="s">
        <v>583</v>
      </c>
      <c r="K288" s="221"/>
      <c r="L288" s="135" t="str">
        <f t="shared" si="15"/>
        <v>Rhinolophus clivosus</v>
      </c>
      <c r="M288" s="133">
        <f t="shared" si="17"/>
        <v>1.1946877475473396</v>
      </c>
      <c r="N288" s="152">
        <v>15.65625</v>
      </c>
      <c r="O288" s="192"/>
      <c r="P288" s="109">
        <v>153</v>
      </c>
    </row>
    <row r="289" spans="1:19" ht="38.25">
      <c r="A289" s="110" t="s">
        <v>2778</v>
      </c>
      <c r="B289" s="141" t="s">
        <v>587</v>
      </c>
      <c r="C289" s="150" t="s">
        <v>3817</v>
      </c>
      <c r="D289" s="221"/>
      <c r="E289" s="150"/>
      <c r="F289" s="150"/>
      <c r="G289" s="110" t="s">
        <v>2663</v>
      </c>
      <c r="H289" s="150" t="s">
        <v>1684</v>
      </c>
      <c r="I289" s="150" t="s">
        <v>1332</v>
      </c>
      <c r="J289" s="150" t="s">
        <v>494</v>
      </c>
      <c r="K289" s="221"/>
      <c r="L289" s="135" t="str">
        <f t="shared" si="15"/>
        <v>Rhinolophus alcyone</v>
      </c>
      <c r="M289" s="133">
        <f t="shared" si="17"/>
        <v>1.2730012720637376</v>
      </c>
      <c r="N289" s="152">
        <v>18.75</v>
      </c>
      <c r="O289" s="192"/>
      <c r="P289" s="109">
        <v>153</v>
      </c>
      <c r="R289" s="85" t="s">
        <v>1753</v>
      </c>
      <c r="S289" s="85" t="s">
        <v>7865</v>
      </c>
    </row>
    <row r="290" spans="1:19" ht="51">
      <c r="A290" s="110" t="s">
        <v>2778</v>
      </c>
      <c r="B290" s="141" t="s">
        <v>3021</v>
      </c>
      <c r="C290" s="150" t="s">
        <v>3817</v>
      </c>
      <c r="D290" s="221"/>
      <c r="E290" s="150"/>
      <c r="F290" s="150"/>
      <c r="G290" s="110" t="s">
        <v>2663</v>
      </c>
      <c r="H290" s="150" t="s">
        <v>1684</v>
      </c>
      <c r="I290" s="150" t="s">
        <v>1332</v>
      </c>
      <c r="J290" s="150" t="s">
        <v>3022</v>
      </c>
      <c r="K290" s="221"/>
      <c r="L290" s="135" t="str">
        <f t="shared" si="15"/>
        <v>Rhinolophus eloquens</v>
      </c>
      <c r="M290" s="133">
        <f t="shared" si="17"/>
        <v>1.2798949800116382</v>
      </c>
      <c r="N290" s="152">
        <v>19.05</v>
      </c>
      <c r="O290" s="192"/>
      <c r="P290" s="109">
        <v>153</v>
      </c>
    </row>
    <row r="291" spans="1:19" ht="89.25">
      <c r="A291" s="110" t="s">
        <v>2778</v>
      </c>
      <c r="B291" s="141" t="s">
        <v>1317</v>
      </c>
      <c r="C291" s="150" t="s">
        <v>3817</v>
      </c>
      <c r="D291" s="221"/>
      <c r="E291" s="150"/>
      <c r="F291" s="150"/>
      <c r="G291" s="110" t="s">
        <v>2663</v>
      </c>
      <c r="H291" s="150" t="s">
        <v>1684</v>
      </c>
      <c r="I291" s="150" t="s">
        <v>1332</v>
      </c>
      <c r="J291" s="150" t="s">
        <v>1020</v>
      </c>
      <c r="K291" s="221"/>
      <c r="L291" s="135" t="str">
        <f t="shared" si="15"/>
        <v>Rhinolophus ferrumequinum</v>
      </c>
      <c r="M291" s="133">
        <f t="shared" si="17"/>
        <v>1.3234730964355814</v>
      </c>
      <c r="N291" s="152">
        <v>21.060714285713999</v>
      </c>
      <c r="O291" s="192"/>
      <c r="P291" s="109">
        <v>153</v>
      </c>
    </row>
    <row r="292" spans="1:19" ht="51">
      <c r="A292" s="110" t="s">
        <v>2778</v>
      </c>
      <c r="B292" s="141" t="s">
        <v>1021</v>
      </c>
      <c r="C292" s="150" t="s">
        <v>3817</v>
      </c>
      <c r="D292" s="221"/>
      <c r="E292" s="150"/>
      <c r="F292" s="150"/>
      <c r="G292" s="110" t="s">
        <v>2663</v>
      </c>
      <c r="H292" s="150" t="s">
        <v>1684</v>
      </c>
      <c r="I292" s="150" t="s">
        <v>1332</v>
      </c>
      <c r="J292" s="150" t="s">
        <v>1116</v>
      </c>
      <c r="K292" s="221"/>
      <c r="L292" s="135" t="str">
        <f t="shared" si="15"/>
        <v>Rhinolophus hildebrandti</v>
      </c>
      <c r="M292" s="133">
        <f t="shared" si="17"/>
        <v>1.4116197059632303</v>
      </c>
      <c r="N292" s="152">
        <v>25.8</v>
      </c>
      <c r="O292" s="192"/>
      <c r="P292" s="109">
        <v>153</v>
      </c>
    </row>
    <row r="293" spans="1:19" ht="76.5">
      <c r="A293" s="110" t="s">
        <v>2778</v>
      </c>
      <c r="B293" s="141" t="s">
        <v>630</v>
      </c>
      <c r="C293" s="150" t="s">
        <v>3817</v>
      </c>
      <c r="D293" s="221"/>
      <c r="E293" s="150"/>
      <c r="F293" s="150"/>
      <c r="G293" s="110" t="s">
        <v>2663</v>
      </c>
      <c r="H293" s="150" t="s">
        <v>1684</v>
      </c>
      <c r="I293" s="150" t="s">
        <v>5807</v>
      </c>
      <c r="J293" s="150" t="s">
        <v>5497</v>
      </c>
      <c r="K293" s="221"/>
      <c r="L293" s="135" t="str">
        <f t="shared" si="15"/>
        <v>Triaenops persicus</v>
      </c>
      <c r="M293" s="133">
        <f t="shared" si="17"/>
        <v>1.099611590392529</v>
      </c>
      <c r="N293" s="152">
        <v>12.577999999999999</v>
      </c>
      <c r="O293" s="192"/>
      <c r="P293" s="109">
        <v>153</v>
      </c>
    </row>
    <row r="294" spans="1:19" ht="38.25">
      <c r="A294" s="109" t="s">
        <v>2778</v>
      </c>
      <c r="B294" s="141" t="s">
        <v>929</v>
      </c>
      <c r="C294" s="150" t="s">
        <v>3817</v>
      </c>
      <c r="D294" s="221"/>
      <c r="E294" s="150"/>
      <c r="F294" s="150"/>
      <c r="G294" s="110" t="s">
        <v>2663</v>
      </c>
      <c r="H294" s="150" t="s">
        <v>2926</v>
      </c>
      <c r="I294" s="150" t="s">
        <v>2697</v>
      </c>
      <c r="J294" s="150" t="s">
        <v>2698</v>
      </c>
      <c r="K294" s="221"/>
      <c r="L294" s="135" t="str">
        <f t="shared" si="15"/>
        <v>Rhinopoma muscatellum</v>
      </c>
      <c r="M294" s="133">
        <f t="shared" si="17"/>
        <v>0.96094619573383144</v>
      </c>
      <c r="N294" s="149">
        <v>9.14</v>
      </c>
      <c r="O294" s="192"/>
      <c r="P294" s="109">
        <v>153</v>
      </c>
    </row>
    <row r="295" spans="1:19" ht="51">
      <c r="A295" s="110" t="s">
        <v>2778</v>
      </c>
      <c r="B295" s="141" t="s">
        <v>2700</v>
      </c>
      <c r="C295" s="150" t="s">
        <v>3817</v>
      </c>
      <c r="D295" s="221"/>
      <c r="E295" s="150"/>
      <c r="F295" s="150"/>
      <c r="G295" s="110" t="s">
        <v>2663</v>
      </c>
      <c r="H295" s="150" t="s">
        <v>2926</v>
      </c>
      <c r="I295" s="150" t="s">
        <v>2697</v>
      </c>
      <c r="J295" s="150" t="s">
        <v>2701</v>
      </c>
      <c r="K295" s="221"/>
      <c r="L295" s="135" t="str">
        <f t="shared" si="15"/>
        <v>Rhinopoma hardwickei</v>
      </c>
      <c r="M295" s="133">
        <f t="shared" si="17"/>
        <v>1.1528995963937476</v>
      </c>
      <c r="N295" s="149">
        <v>14.22</v>
      </c>
      <c r="O295" s="192"/>
      <c r="P295" s="109">
        <v>153</v>
      </c>
    </row>
    <row r="296" spans="1:19" ht="25.5">
      <c r="A296" s="110" t="s">
        <v>2778</v>
      </c>
      <c r="B296" s="141" t="s">
        <v>849</v>
      </c>
      <c r="C296" s="150" t="s">
        <v>3817</v>
      </c>
      <c r="D296" s="221"/>
      <c r="E296" s="150"/>
      <c r="F296" s="150"/>
      <c r="G296" s="110" t="s">
        <v>2663</v>
      </c>
      <c r="H296" s="150" t="s">
        <v>2926</v>
      </c>
      <c r="I296" s="150" t="s">
        <v>2697</v>
      </c>
      <c r="J296" s="150" t="s">
        <v>874</v>
      </c>
      <c r="K296" s="221"/>
      <c r="L296" s="135" t="str">
        <f t="shared" si="15"/>
        <v>Rhinopoma microphyllum</v>
      </c>
      <c r="M296" s="133">
        <f t="shared" si="17"/>
        <v>1.4451174896936825</v>
      </c>
      <c r="N296" s="152">
        <v>27.868749999999999</v>
      </c>
      <c r="O296" s="192"/>
      <c r="P296" s="109">
        <v>153</v>
      </c>
      <c r="R296" s="85" t="s">
        <v>1744</v>
      </c>
      <c r="S296" s="85" t="s">
        <v>1745</v>
      </c>
    </row>
    <row r="297" spans="1:19">
      <c r="A297" s="110" t="s">
        <v>2778</v>
      </c>
      <c r="B297" s="141" t="s">
        <v>589</v>
      </c>
      <c r="C297" s="150" t="s">
        <v>3817</v>
      </c>
      <c r="D297" s="221"/>
      <c r="E297" s="150"/>
      <c r="F297" s="150"/>
      <c r="G297" s="110" t="s">
        <v>2663</v>
      </c>
      <c r="H297" s="150" t="s">
        <v>6205</v>
      </c>
      <c r="I297" s="150" t="s">
        <v>1342</v>
      </c>
      <c r="J297" s="150" t="s">
        <v>590</v>
      </c>
      <c r="K297" s="221"/>
      <c r="L297" s="135" t="str">
        <f t="shared" si="15"/>
        <v>Chalinolobus alboguttatus</v>
      </c>
      <c r="M297" s="146">
        <v>-999</v>
      </c>
      <c r="N297" s="146">
        <v>-999</v>
      </c>
      <c r="O297" s="183"/>
      <c r="P297" s="109">
        <v>-999</v>
      </c>
    </row>
    <row r="298" spans="1:19">
      <c r="A298" s="110" t="s">
        <v>2778</v>
      </c>
      <c r="B298" s="141" t="s">
        <v>960</v>
      </c>
      <c r="C298" s="150" t="s">
        <v>3817</v>
      </c>
      <c r="D298" s="221"/>
      <c r="E298" s="150"/>
      <c r="F298" s="150"/>
      <c r="G298" s="110" t="s">
        <v>2663</v>
      </c>
      <c r="H298" s="150" t="s">
        <v>6205</v>
      </c>
      <c r="I298" s="150" t="s">
        <v>1342</v>
      </c>
      <c r="J298" s="150" t="s">
        <v>591</v>
      </c>
      <c r="K298" s="221"/>
      <c r="L298" s="135" t="str">
        <f t="shared" si="15"/>
        <v>Chalinolobus egeria</v>
      </c>
      <c r="M298" s="146">
        <v>-999</v>
      </c>
      <c r="N298" s="151">
        <v>-999</v>
      </c>
      <c r="O298" s="183"/>
      <c r="P298" s="109">
        <v>-999</v>
      </c>
    </row>
    <row r="299" spans="1:19" ht="25.5">
      <c r="A299" s="110" t="s">
        <v>2778</v>
      </c>
      <c r="B299" s="141" t="s">
        <v>812</v>
      </c>
      <c r="C299" s="150" t="s">
        <v>3817</v>
      </c>
      <c r="D299" s="221"/>
      <c r="E299" s="150"/>
      <c r="F299" s="150"/>
      <c r="G299" s="110" t="s">
        <v>2663</v>
      </c>
      <c r="H299" s="150" t="s">
        <v>6205</v>
      </c>
      <c r="I299" s="150" t="s">
        <v>1342</v>
      </c>
      <c r="J299" s="150" t="s">
        <v>5501</v>
      </c>
      <c r="K299" s="221"/>
      <c r="L299" s="135" t="str">
        <f t="shared" si="15"/>
        <v>Chalinolobus superbus</v>
      </c>
      <c r="M299" s="146">
        <v>-999</v>
      </c>
      <c r="N299" s="146">
        <v>-999</v>
      </c>
      <c r="O299" s="183"/>
      <c r="P299" s="109">
        <v>-999</v>
      </c>
    </row>
    <row r="300" spans="1:19" ht="38.25">
      <c r="A300" s="110" t="s">
        <v>2778</v>
      </c>
      <c r="B300" s="141" t="s">
        <v>981</v>
      </c>
      <c r="C300" s="150" t="s">
        <v>3817</v>
      </c>
      <c r="D300" s="221"/>
      <c r="E300" s="150"/>
      <c r="F300" s="150"/>
      <c r="G300" s="110" t="s">
        <v>2663</v>
      </c>
      <c r="H300" s="150" t="s">
        <v>6205</v>
      </c>
      <c r="I300" s="150" t="s">
        <v>1342</v>
      </c>
      <c r="J300" s="150" t="s">
        <v>904</v>
      </c>
      <c r="K300" s="221"/>
      <c r="L300" s="135" t="str">
        <f t="shared" si="15"/>
        <v>Chalinolobus beatrix</v>
      </c>
      <c r="M300" s="133">
        <f t="shared" ref="M300:M305" si="18">LOG(N300)</f>
        <v>0.81291335664285558</v>
      </c>
      <c r="N300" s="152">
        <v>6.5</v>
      </c>
      <c r="O300" s="192"/>
      <c r="P300" s="109">
        <v>153</v>
      </c>
      <c r="R300" s="85" t="s">
        <v>1768</v>
      </c>
      <c r="S300" s="85" t="s">
        <v>1769</v>
      </c>
    </row>
    <row r="301" spans="1:19">
      <c r="A301" s="110" t="s">
        <v>2778</v>
      </c>
      <c r="B301" s="141" t="s">
        <v>2376</v>
      </c>
      <c r="C301" s="150" t="s">
        <v>3817</v>
      </c>
      <c r="D301" s="221"/>
      <c r="E301" s="150"/>
      <c r="F301" s="150"/>
      <c r="G301" s="110" t="s">
        <v>2663</v>
      </c>
      <c r="H301" s="150" t="s">
        <v>6205</v>
      </c>
      <c r="I301" s="150" t="s">
        <v>1342</v>
      </c>
      <c r="J301" s="150" t="s">
        <v>734</v>
      </c>
      <c r="K301" s="221"/>
      <c r="L301" s="135" t="str">
        <f t="shared" si="15"/>
        <v>Chalinolobus kenyacola</v>
      </c>
      <c r="M301" s="133">
        <f t="shared" si="18"/>
        <v>0.84509804001425681</v>
      </c>
      <c r="N301" s="152">
        <v>7</v>
      </c>
      <c r="O301" s="192"/>
      <c r="P301" s="109">
        <v>153</v>
      </c>
    </row>
    <row r="302" spans="1:19">
      <c r="A302" s="110" t="s">
        <v>2778</v>
      </c>
      <c r="B302" s="141" t="s">
        <v>2889</v>
      </c>
      <c r="C302" s="150" t="s">
        <v>3817</v>
      </c>
      <c r="D302" s="221"/>
      <c r="E302" s="150"/>
      <c r="F302" s="150"/>
      <c r="G302" s="110" t="s">
        <v>2663</v>
      </c>
      <c r="H302" s="150" t="s">
        <v>6205</v>
      </c>
      <c r="I302" s="150" t="s">
        <v>1342</v>
      </c>
      <c r="J302" s="150" t="s">
        <v>4392</v>
      </c>
      <c r="K302" s="221"/>
      <c r="L302" s="135" t="str">
        <f t="shared" si="15"/>
        <v>Chalinolobus poensis</v>
      </c>
      <c r="M302" s="133">
        <f t="shared" si="18"/>
        <v>0.84818911699139865</v>
      </c>
      <c r="N302" s="152">
        <v>7.05</v>
      </c>
      <c r="O302" s="192"/>
      <c r="P302" s="109">
        <v>153</v>
      </c>
    </row>
    <row r="303" spans="1:19" ht="38.25">
      <c r="A303" s="110" t="s">
        <v>2778</v>
      </c>
      <c r="B303" s="141" t="s">
        <v>959</v>
      </c>
      <c r="C303" s="150" t="s">
        <v>3817</v>
      </c>
      <c r="D303" s="221"/>
      <c r="E303" s="150"/>
      <c r="F303" s="150"/>
      <c r="G303" s="110" t="s">
        <v>2663</v>
      </c>
      <c r="H303" s="150" t="s">
        <v>6205</v>
      </c>
      <c r="I303" s="150" t="s">
        <v>1342</v>
      </c>
      <c r="J303" s="150" t="s">
        <v>5845</v>
      </c>
      <c r="K303" s="221"/>
      <c r="L303" s="135" t="str">
        <f t="shared" si="15"/>
        <v>Chalinolobus argentatus</v>
      </c>
      <c r="M303" s="133">
        <f t="shared" si="18"/>
        <v>0.95728795286782176</v>
      </c>
      <c r="N303" s="152">
        <v>9.0633333333330004</v>
      </c>
      <c r="O303" s="192"/>
      <c r="P303" s="109">
        <v>153</v>
      </c>
    </row>
    <row r="304" spans="1:19">
      <c r="A304" s="110" t="s">
        <v>2778</v>
      </c>
      <c r="B304" s="141" t="s">
        <v>960</v>
      </c>
      <c r="C304" s="150" t="s">
        <v>3817</v>
      </c>
      <c r="D304" s="221"/>
      <c r="E304" s="150"/>
      <c r="F304" s="150"/>
      <c r="G304" s="110" t="s">
        <v>2663</v>
      </c>
      <c r="H304" s="150" t="s">
        <v>6205</v>
      </c>
      <c r="I304" s="150" t="s">
        <v>1342</v>
      </c>
      <c r="J304" s="150" t="s">
        <v>2630</v>
      </c>
      <c r="K304" s="221"/>
      <c r="L304" s="135" t="str">
        <f t="shared" si="15"/>
        <v>Chalinolobus gleni</v>
      </c>
      <c r="M304" s="133">
        <f t="shared" si="18"/>
        <v>1.0328872582205857</v>
      </c>
      <c r="N304" s="152">
        <v>10.786666666666999</v>
      </c>
      <c r="O304" s="192"/>
      <c r="P304" s="109">
        <v>153</v>
      </c>
    </row>
    <row r="305" spans="1:19" ht="25.5">
      <c r="A305" s="110" t="s">
        <v>2778</v>
      </c>
      <c r="B305" s="141" t="s">
        <v>1046</v>
      </c>
      <c r="C305" s="148" t="s">
        <v>3817</v>
      </c>
      <c r="D305" s="223"/>
      <c r="E305" s="148"/>
      <c r="F305" s="148"/>
      <c r="G305" s="109" t="s">
        <v>2663</v>
      </c>
      <c r="H305" s="150" t="s">
        <v>6205</v>
      </c>
      <c r="I305" s="148" t="s">
        <v>1342</v>
      </c>
      <c r="J305" s="148" t="s">
        <v>3089</v>
      </c>
      <c r="K305" s="223"/>
      <c r="L305" s="135" t="str">
        <f t="shared" si="15"/>
        <v>Chalinolobus variegatus</v>
      </c>
      <c r="M305" s="133">
        <f t="shared" si="18"/>
        <v>1.0446703949194478</v>
      </c>
      <c r="N305" s="152">
        <v>11.083333333333</v>
      </c>
      <c r="O305" s="192"/>
      <c r="P305" s="109">
        <v>153</v>
      </c>
      <c r="R305" s="85" t="s">
        <v>1774</v>
      </c>
      <c r="S305" s="85" t="s">
        <v>1775</v>
      </c>
    </row>
    <row r="306" spans="1:19">
      <c r="A306" s="110" t="s">
        <v>2778</v>
      </c>
      <c r="B306" s="141" t="s">
        <v>936</v>
      </c>
      <c r="C306" s="150" t="s">
        <v>3817</v>
      </c>
      <c r="D306" s="221"/>
      <c r="E306" s="150"/>
      <c r="F306" s="150"/>
      <c r="G306" s="110" t="s">
        <v>2663</v>
      </c>
      <c r="H306" s="150" t="s">
        <v>6205</v>
      </c>
      <c r="I306" s="150" t="s">
        <v>6273</v>
      </c>
      <c r="J306" s="150" t="s">
        <v>4781</v>
      </c>
      <c r="K306" s="221"/>
      <c r="L306" s="135" t="str">
        <f t="shared" si="15"/>
        <v>Eptesicus brunneus</v>
      </c>
      <c r="M306" s="146">
        <v>-999</v>
      </c>
      <c r="N306" s="146">
        <v>-999</v>
      </c>
      <c r="O306" s="183"/>
      <c r="P306" s="109">
        <v>-999</v>
      </c>
      <c r="S306" s="85" t="s">
        <v>1777</v>
      </c>
    </row>
    <row r="307" spans="1:19">
      <c r="A307" s="110" t="s">
        <v>2778</v>
      </c>
      <c r="B307" s="141" t="s">
        <v>1102</v>
      </c>
      <c r="C307" s="150" t="s">
        <v>3817</v>
      </c>
      <c r="D307" s="221"/>
      <c r="E307" s="150"/>
      <c r="F307" s="150"/>
      <c r="G307" s="110" t="s">
        <v>2663</v>
      </c>
      <c r="H307" s="150" t="s">
        <v>6205</v>
      </c>
      <c r="I307" s="150" t="s">
        <v>6273</v>
      </c>
      <c r="J307" s="150" t="s">
        <v>7448</v>
      </c>
      <c r="K307" s="221"/>
      <c r="L307" s="135" t="str">
        <f t="shared" si="15"/>
        <v>Eptesicus floweri</v>
      </c>
      <c r="M307" s="146">
        <v>-999</v>
      </c>
      <c r="N307" s="146">
        <v>-999</v>
      </c>
      <c r="O307" s="183"/>
      <c r="P307" s="109">
        <v>-999</v>
      </c>
    </row>
    <row r="308" spans="1:19" ht="38.25">
      <c r="A308" s="110" t="s">
        <v>2778</v>
      </c>
      <c r="B308" s="141" t="s">
        <v>709</v>
      </c>
      <c r="C308" s="150" t="s">
        <v>3817</v>
      </c>
      <c r="D308" s="221"/>
      <c r="E308" s="150"/>
      <c r="F308" s="150"/>
      <c r="G308" s="110" t="s">
        <v>2663</v>
      </c>
      <c r="H308" s="150" t="s">
        <v>6205</v>
      </c>
      <c r="I308" s="150" t="s">
        <v>6273</v>
      </c>
      <c r="J308" s="150" t="s">
        <v>2822</v>
      </c>
      <c r="K308" s="221"/>
      <c r="L308" s="135" t="str">
        <f t="shared" si="15"/>
        <v>Eptesicus guineensis</v>
      </c>
      <c r="M308" s="146">
        <v>-999</v>
      </c>
      <c r="N308" s="146">
        <v>-999</v>
      </c>
      <c r="O308" s="183"/>
      <c r="P308" s="109">
        <v>-999</v>
      </c>
    </row>
    <row r="309" spans="1:19" ht="38.25">
      <c r="A309" s="110" t="s">
        <v>2778</v>
      </c>
      <c r="B309" s="141" t="s">
        <v>875</v>
      </c>
      <c r="C309" s="150" t="s">
        <v>3817</v>
      </c>
      <c r="D309" s="221"/>
      <c r="E309" s="150"/>
      <c r="F309" s="150"/>
      <c r="G309" s="110" t="s">
        <v>2663</v>
      </c>
      <c r="H309" s="150" t="s">
        <v>6205</v>
      </c>
      <c r="I309" s="150" t="s">
        <v>6273</v>
      </c>
      <c r="J309" s="150" t="s">
        <v>876</v>
      </c>
      <c r="K309" s="221"/>
      <c r="L309" s="135" t="str">
        <f t="shared" si="15"/>
        <v>Eptesicus melckorum</v>
      </c>
      <c r="M309" s="146">
        <v>-999</v>
      </c>
      <c r="N309" s="146">
        <v>-999</v>
      </c>
      <c r="O309" s="183"/>
      <c r="P309" s="109">
        <v>-999</v>
      </c>
    </row>
    <row r="310" spans="1:19" ht="25.5">
      <c r="A310" s="110" t="s">
        <v>2778</v>
      </c>
      <c r="B310" s="141" t="s">
        <v>710</v>
      </c>
      <c r="C310" s="150" t="s">
        <v>3817</v>
      </c>
      <c r="D310" s="221"/>
      <c r="E310" s="150"/>
      <c r="F310" s="150"/>
      <c r="G310" s="110" t="s">
        <v>2663</v>
      </c>
      <c r="H310" s="150" t="s">
        <v>6205</v>
      </c>
      <c r="I310" s="150" t="s">
        <v>6273</v>
      </c>
      <c r="J310" s="150" t="s">
        <v>8045</v>
      </c>
      <c r="K310" s="221"/>
      <c r="L310" s="135" t="str">
        <f t="shared" si="15"/>
        <v>Eptesicus platyops</v>
      </c>
      <c r="M310" s="146">
        <v>-999</v>
      </c>
      <c r="N310" s="146">
        <v>-999</v>
      </c>
      <c r="O310" s="183"/>
      <c r="P310" s="109">
        <v>-999</v>
      </c>
      <c r="S310" s="85" t="s">
        <v>1778</v>
      </c>
    </row>
    <row r="311" spans="1:19" ht="51">
      <c r="A311" s="110" t="s">
        <v>2778</v>
      </c>
      <c r="B311" s="141" t="s">
        <v>2640</v>
      </c>
      <c r="C311" s="150" t="s">
        <v>3817</v>
      </c>
      <c r="D311" s="221"/>
      <c r="E311" s="150"/>
      <c r="F311" s="150"/>
      <c r="G311" s="110" t="s">
        <v>2663</v>
      </c>
      <c r="H311" s="150" t="s">
        <v>6205</v>
      </c>
      <c r="I311" s="150" t="s">
        <v>6273</v>
      </c>
      <c r="J311" s="150" t="s">
        <v>4104</v>
      </c>
      <c r="K311" s="221"/>
      <c r="L311" s="135" t="str">
        <f t="shared" si="15"/>
        <v>Eptesicus somalicus</v>
      </c>
      <c r="M311" s="133">
        <f t="shared" ref="M311:M317" si="19">LOG(N311)</f>
        <v>0.57978359661681012</v>
      </c>
      <c r="N311" s="152">
        <v>3.8</v>
      </c>
      <c r="O311" s="192"/>
      <c r="P311" s="109">
        <v>153</v>
      </c>
    </row>
    <row r="312" spans="1:19" ht="25.5">
      <c r="A312" s="110" t="s">
        <v>2778</v>
      </c>
      <c r="B312" s="141" t="s">
        <v>2872</v>
      </c>
      <c r="C312" s="150" t="s">
        <v>3817</v>
      </c>
      <c r="D312" s="221"/>
      <c r="E312" s="150"/>
      <c r="F312" s="150"/>
      <c r="G312" s="110" t="s">
        <v>2663</v>
      </c>
      <c r="H312" s="150" t="s">
        <v>6205</v>
      </c>
      <c r="I312" s="150" t="s">
        <v>6273</v>
      </c>
      <c r="J312" s="150" t="s">
        <v>2873</v>
      </c>
      <c r="K312" s="221"/>
      <c r="L312" s="135" t="str">
        <f t="shared" si="15"/>
        <v>Eptesicus tenuipinnis</v>
      </c>
      <c r="M312" s="133">
        <f t="shared" si="19"/>
        <v>0.72427586960078905</v>
      </c>
      <c r="N312" s="152">
        <v>5.3</v>
      </c>
      <c r="O312" s="192"/>
      <c r="P312" s="109">
        <v>153</v>
      </c>
      <c r="S312" s="85" t="s">
        <v>7863</v>
      </c>
    </row>
    <row r="313" spans="1:19" ht="38.25">
      <c r="A313" s="110" t="s">
        <v>2778</v>
      </c>
      <c r="B313" s="141" t="s">
        <v>2874</v>
      </c>
      <c r="C313" s="150" t="s">
        <v>3817</v>
      </c>
      <c r="D313" s="221"/>
      <c r="E313" s="150"/>
      <c r="F313" s="150"/>
      <c r="G313" s="110" t="s">
        <v>2663</v>
      </c>
      <c r="H313" s="150" t="s">
        <v>6205</v>
      </c>
      <c r="I313" s="150" t="s">
        <v>6273</v>
      </c>
      <c r="J313" s="150" t="s">
        <v>4259</v>
      </c>
      <c r="K313" s="221"/>
      <c r="L313" s="135" t="str">
        <f t="shared" si="15"/>
        <v>Eptesicus capensis</v>
      </c>
      <c r="M313" s="133">
        <f t="shared" si="19"/>
        <v>0.77573177626025502</v>
      </c>
      <c r="N313" s="152">
        <v>5.9666666666669999</v>
      </c>
      <c r="O313" s="192"/>
      <c r="P313" s="109">
        <v>153</v>
      </c>
      <c r="R313" s="85" t="s">
        <v>1772</v>
      </c>
      <c r="S313" s="85" t="s">
        <v>7858</v>
      </c>
    </row>
    <row r="314" spans="1:19" ht="38.25">
      <c r="A314" s="110" t="s">
        <v>2778</v>
      </c>
      <c r="B314" s="141" t="s">
        <v>496</v>
      </c>
      <c r="C314" s="150" t="s">
        <v>3817</v>
      </c>
      <c r="D314" s="221"/>
      <c r="E314" s="150"/>
      <c r="F314" s="150"/>
      <c r="G314" s="110" t="s">
        <v>2663</v>
      </c>
      <c r="H314" s="150" t="s">
        <v>6205</v>
      </c>
      <c r="I314" s="150" t="s">
        <v>6273</v>
      </c>
      <c r="J314" s="150" t="s">
        <v>497</v>
      </c>
      <c r="K314" s="221"/>
      <c r="L314" s="135" t="str">
        <f t="shared" si="15"/>
        <v>Eptesicus rendalli</v>
      </c>
      <c r="M314" s="133">
        <f t="shared" si="19"/>
        <v>0.79588001734407521</v>
      </c>
      <c r="N314" s="152">
        <v>6.25</v>
      </c>
      <c r="O314" s="192"/>
      <c r="P314" s="109">
        <v>153</v>
      </c>
      <c r="S314" s="85" t="s">
        <v>7620</v>
      </c>
    </row>
    <row r="315" spans="1:19">
      <c r="A315" s="110" t="s">
        <v>2778</v>
      </c>
      <c r="B315" s="141" t="s">
        <v>2771</v>
      </c>
      <c r="C315" s="150" t="s">
        <v>3817</v>
      </c>
      <c r="D315" s="221"/>
      <c r="E315" s="150"/>
      <c r="F315" s="150"/>
      <c r="G315" s="110" t="s">
        <v>2663</v>
      </c>
      <c r="H315" s="150" t="s">
        <v>6205</v>
      </c>
      <c r="I315" s="150" t="s">
        <v>6273</v>
      </c>
      <c r="J315" s="150" t="s">
        <v>7584</v>
      </c>
      <c r="K315" s="221"/>
      <c r="L315" s="135" t="str">
        <f t="shared" si="15"/>
        <v>Eptesicus flavescens</v>
      </c>
      <c r="M315" s="133">
        <f t="shared" si="19"/>
        <v>1.0211892990699381</v>
      </c>
      <c r="N315" s="152">
        <v>10.5</v>
      </c>
      <c r="O315" s="192"/>
      <c r="P315" s="109">
        <v>153</v>
      </c>
    </row>
    <row r="316" spans="1:19" ht="102">
      <c r="A316" s="110" t="s">
        <v>2778</v>
      </c>
      <c r="B316" s="141" t="s">
        <v>943</v>
      </c>
      <c r="C316" s="150" t="s">
        <v>3817</v>
      </c>
      <c r="D316" s="221"/>
      <c r="E316" s="150"/>
      <c r="F316" s="150"/>
      <c r="G316" s="110" t="s">
        <v>2663</v>
      </c>
      <c r="H316" s="150" t="s">
        <v>6205</v>
      </c>
      <c r="I316" s="150" t="s">
        <v>6273</v>
      </c>
      <c r="J316" s="150" t="s">
        <v>944</v>
      </c>
      <c r="K316" s="221"/>
      <c r="L316" s="135" t="str">
        <f t="shared" si="15"/>
        <v>Eptesicus serotinus</v>
      </c>
      <c r="M316" s="133">
        <f t="shared" si="19"/>
        <v>1.3590445615568982</v>
      </c>
      <c r="N316" s="152">
        <v>22.858333333333</v>
      </c>
      <c r="O316" s="192"/>
      <c r="P316" s="109">
        <v>153</v>
      </c>
    </row>
    <row r="317" spans="1:19" ht="25.5">
      <c r="A317" s="110" t="s">
        <v>2778</v>
      </c>
      <c r="B317" s="141" t="s">
        <v>1014</v>
      </c>
      <c r="C317" s="150" t="s">
        <v>3817</v>
      </c>
      <c r="D317" s="221"/>
      <c r="E317" s="150"/>
      <c r="F317" s="150"/>
      <c r="G317" s="110" t="s">
        <v>2663</v>
      </c>
      <c r="H317" s="150" t="s">
        <v>6205</v>
      </c>
      <c r="I317" s="150" t="s">
        <v>6273</v>
      </c>
      <c r="J317" s="150" t="s">
        <v>2597</v>
      </c>
      <c r="K317" s="221"/>
      <c r="L317" s="135" t="str">
        <f t="shared" si="15"/>
        <v>Eptesicus hottentotus</v>
      </c>
      <c r="M317" s="133">
        <f t="shared" si="19"/>
        <v>1.4771212547196624</v>
      </c>
      <c r="N317" s="152">
        <v>30</v>
      </c>
      <c r="O317" s="192"/>
      <c r="P317" s="109">
        <v>153</v>
      </c>
    </row>
    <row r="318" spans="1:19">
      <c r="A318" s="212" t="s">
        <v>2778</v>
      </c>
      <c r="B318" s="141" t="s">
        <v>907</v>
      </c>
      <c r="C318" s="150" t="s">
        <v>3817</v>
      </c>
      <c r="D318" s="221"/>
      <c r="E318" s="150"/>
      <c r="F318" s="150"/>
      <c r="G318" s="110" t="s">
        <v>2663</v>
      </c>
      <c r="H318" s="150" t="s">
        <v>6205</v>
      </c>
      <c r="I318" s="150" t="s">
        <v>1138</v>
      </c>
      <c r="J318" s="150" t="s">
        <v>911</v>
      </c>
      <c r="K318" s="221"/>
      <c r="L318" s="135" t="str">
        <f t="shared" si="15"/>
        <v>Kerivoula aerosa</v>
      </c>
      <c r="M318" s="146">
        <v>-999</v>
      </c>
      <c r="N318" s="146">
        <v>-999</v>
      </c>
      <c r="O318" s="183"/>
      <c r="P318" s="109">
        <v>-999</v>
      </c>
    </row>
    <row r="319" spans="1:19">
      <c r="A319" s="212" t="s">
        <v>2778</v>
      </c>
      <c r="B319" s="141" t="s">
        <v>2300</v>
      </c>
      <c r="C319" s="150" t="s">
        <v>3817</v>
      </c>
      <c r="D319" s="221"/>
      <c r="E319" s="150"/>
      <c r="F319" s="150"/>
      <c r="G319" s="110" t="s">
        <v>2663</v>
      </c>
      <c r="H319" s="148" t="s">
        <v>6205</v>
      </c>
      <c r="I319" s="150" t="s">
        <v>1138</v>
      </c>
      <c r="J319" s="150" t="s">
        <v>4052</v>
      </c>
      <c r="K319" s="221"/>
      <c r="L319" s="135" t="str">
        <f t="shared" si="15"/>
        <v>Kerivoula africana</v>
      </c>
      <c r="M319" s="146">
        <v>-999</v>
      </c>
      <c r="N319" s="146">
        <v>-999</v>
      </c>
      <c r="O319" s="183"/>
      <c r="P319" s="109">
        <v>-999</v>
      </c>
    </row>
    <row r="320" spans="1:19" ht="25.5">
      <c r="A320" s="212" t="s">
        <v>1216</v>
      </c>
      <c r="B320" s="141" t="s">
        <v>1217</v>
      </c>
      <c r="C320" s="150" t="s">
        <v>3817</v>
      </c>
      <c r="D320" s="221"/>
      <c r="E320" s="150"/>
      <c r="F320" s="150"/>
      <c r="G320" s="110" t="s">
        <v>2663</v>
      </c>
      <c r="H320" s="150" t="s">
        <v>6205</v>
      </c>
      <c r="I320" s="150" t="s">
        <v>1138</v>
      </c>
      <c r="J320" s="150" t="s">
        <v>1218</v>
      </c>
      <c r="K320" s="221"/>
      <c r="L320" s="135" t="str">
        <f t="shared" si="15"/>
        <v>Kerivoula cuprosa</v>
      </c>
      <c r="M320" s="146">
        <v>-999</v>
      </c>
      <c r="N320" s="146">
        <v>-999</v>
      </c>
      <c r="O320" s="183"/>
      <c r="P320" s="109">
        <v>-999</v>
      </c>
    </row>
    <row r="321" spans="1:19" ht="38.25">
      <c r="A321" s="212" t="s">
        <v>2778</v>
      </c>
      <c r="B321" s="141" t="s">
        <v>2924</v>
      </c>
      <c r="C321" s="150" t="s">
        <v>3817</v>
      </c>
      <c r="D321" s="221"/>
      <c r="E321" s="150"/>
      <c r="F321" s="150"/>
      <c r="G321" s="110" t="s">
        <v>2663</v>
      </c>
      <c r="H321" s="150" t="s">
        <v>6205</v>
      </c>
      <c r="I321" s="150" t="s">
        <v>1138</v>
      </c>
      <c r="J321" s="150" t="s">
        <v>2925</v>
      </c>
      <c r="K321" s="221"/>
      <c r="L321" s="135" t="str">
        <f t="shared" si="15"/>
        <v>Kerivoula smithi</v>
      </c>
      <c r="M321" s="146">
        <v>-999</v>
      </c>
      <c r="N321" s="146">
        <v>-999</v>
      </c>
      <c r="O321" s="183"/>
      <c r="P321" s="109">
        <v>-999</v>
      </c>
      <c r="S321" s="85" t="s">
        <v>1675</v>
      </c>
    </row>
    <row r="322" spans="1:19" ht="36" customHeight="1">
      <c r="A322" s="212" t="s">
        <v>2778</v>
      </c>
      <c r="B322" s="141" t="s">
        <v>1369</v>
      </c>
      <c r="C322" s="150" t="s">
        <v>3817</v>
      </c>
      <c r="D322" s="221"/>
      <c r="E322" s="150"/>
      <c r="F322" s="150"/>
      <c r="G322" s="110" t="s">
        <v>2663</v>
      </c>
      <c r="H322" s="148" t="s">
        <v>6205</v>
      </c>
      <c r="I322" s="150" t="s">
        <v>1138</v>
      </c>
      <c r="J322" s="150" t="s">
        <v>1370</v>
      </c>
      <c r="K322" s="221"/>
      <c r="L322" s="135" t="str">
        <f t="shared" si="15"/>
        <v>Kerivoula phalaena</v>
      </c>
      <c r="M322" s="133">
        <f>LOG(N322)</f>
        <v>0.47712125471966244</v>
      </c>
      <c r="N322" s="152">
        <v>3</v>
      </c>
      <c r="O322" s="192"/>
      <c r="P322" s="109">
        <v>153</v>
      </c>
    </row>
    <row r="323" spans="1:19" ht="25.5">
      <c r="A323" s="212" t="s">
        <v>2778</v>
      </c>
      <c r="B323" s="141" t="s">
        <v>2927</v>
      </c>
      <c r="C323" s="150" t="s">
        <v>3817</v>
      </c>
      <c r="D323" s="221"/>
      <c r="E323" s="150"/>
      <c r="F323" s="150"/>
      <c r="G323" s="110" t="s">
        <v>2663</v>
      </c>
      <c r="H323" s="150" t="s">
        <v>6205</v>
      </c>
      <c r="I323" s="150" t="s">
        <v>1138</v>
      </c>
      <c r="J323" s="150" t="s">
        <v>4053</v>
      </c>
      <c r="K323" s="221"/>
      <c r="L323" s="135" t="str">
        <f t="shared" si="15"/>
        <v>Kerivoula lanosa</v>
      </c>
      <c r="M323" s="133">
        <f>LOG(N323)</f>
        <v>0.81291335664285558</v>
      </c>
      <c r="N323" s="152">
        <v>6.5</v>
      </c>
      <c r="O323" s="192"/>
      <c r="P323" s="109">
        <v>153</v>
      </c>
    </row>
    <row r="324" spans="1:19" ht="38.25">
      <c r="A324" s="212" t="s">
        <v>2778</v>
      </c>
      <c r="B324" s="141" t="s">
        <v>1212</v>
      </c>
      <c r="C324" s="150" t="s">
        <v>3817</v>
      </c>
      <c r="D324" s="221"/>
      <c r="E324" s="150"/>
      <c r="F324" s="150"/>
      <c r="G324" s="110" t="s">
        <v>2663</v>
      </c>
      <c r="H324" s="150" t="s">
        <v>6205</v>
      </c>
      <c r="I324" s="150" t="s">
        <v>1138</v>
      </c>
      <c r="J324" s="150" t="s">
        <v>2117</v>
      </c>
      <c r="K324" s="221"/>
      <c r="L324" s="135" t="str">
        <f t="shared" si="15"/>
        <v>Kerivoula argentata</v>
      </c>
      <c r="M324" s="133">
        <f>LOG(N324)</f>
        <v>1</v>
      </c>
      <c r="N324" s="152">
        <v>10</v>
      </c>
      <c r="O324" s="192"/>
      <c r="P324" s="109">
        <v>153</v>
      </c>
    </row>
    <row r="325" spans="1:19">
      <c r="A325" s="212" t="s">
        <v>2778</v>
      </c>
      <c r="B325" s="141" t="s">
        <v>668</v>
      </c>
      <c r="C325" s="150" t="s">
        <v>3817</v>
      </c>
      <c r="D325" s="221"/>
      <c r="E325" s="150"/>
      <c r="F325" s="150"/>
      <c r="G325" s="110" t="s">
        <v>2663</v>
      </c>
      <c r="H325" s="150" t="s">
        <v>6205</v>
      </c>
      <c r="I325" s="150" t="s">
        <v>3018</v>
      </c>
      <c r="J325" s="150" t="s">
        <v>4911</v>
      </c>
      <c r="K325" s="221"/>
      <c r="L325" s="135" t="str">
        <f t="shared" ref="L325:L388" si="20">I325&amp;" "&amp;J325</f>
        <v>Laephotis angolensis</v>
      </c>
      <c r="M325" s="146">
        <v>-999</v>
      </c>
      <c r="N325" s="146">
        <v>-999</v>
      </c>
      <c r="O325" s="183"/>
      <c r="P325" s="109">
        <v>-999</v>
      </c>
    </row>
    <row r="326" spans="1:19">
      <c r="A326" s="212" t="s">
        <v>2778</v>
      </c>
      <c r="B326" s="141" t="s">
        <v>669</v>
      </c>
      <c r="C326" s="150" t="s">
        <v>3817</v>
      </c>
      <c r="D326" s="221"/>
      <c r="E326" s="150"/>
      <c r="F326" s="150"/>
      <c r="G326" s="110" t="s">
        <v>2663</v>
      </c>
      <c r="H326" s="150" t="s">
        <v>6205</v>
      </c>
      <c r="I326" s="150" t="s">
        <v>3018</v>
      </c>
      <c r="J326" s="150" t="s">
        <v>958</v>
      </c>
      <c r="K326" s="221"/>
      <c r="L326" s="135" t="str">
        <f t="shared" si="20"/>
        <v>Laephotis namibensis</v>
      </c>
      <c r="M326" s="146">
        <v>-999</v>
      </c>
      <c r="N326" s="146">
        <v>-999</v>
      </c>
      <c r="O326" s="183"/>
      <c r="P326" s="109">
        <v>-999</v>
      </c>
    </row>
    <row r="327" spans="1:19" ht="38.25">
      <c r="A327" s="212" t="s">
        <v>2778</v>
      </c>
      <c r="B327" s="141" t="s">
        <v>3017</v>
      </c>
      <c r="C327" s="150" t="s">
        <v>3817</v>
      </c>
      <c r="D327" s="221"/>
      <c r="E327" s="150"/>
      <c r="F327" s="150"/>
      <c r="G327" s="110" t="s">
        <v>2663</v>
      </c>
      <c r="H327" s="148" t="s">
        <v>6205</v>
      </c>
      <c r="I327" s="150" t="s">
        <v>3018</v>
      </c>
      <c r="J327" s="150" t="s">
        <v>4033</v>
      </c>
      <c r="K327" s="221"/>
      <c r="L327" s="135" t="str">
        <f t="shared" si="20"/>
        <v>Laephotis wintoni</v>
      </c>
      <c r="M327" s="133">
        <f t="shared" ref="M327:M333" si="21">LOG(N327)</f>
        <v>0.77815125038364363</v>
      </c>
      <c r="N327" s="152">
        <v>6</v>
      </c>
      <c r="O327" s="192"/>
      <c r="P327" s="109">
        <v>153</v>
      </c>
    </row>
    <row r="328" spans="1:19" ht="38.25">
      <c r="A328" s="212" t="s">
        <v>2778</v>
      </c>
      <c r="B328" s="141" t="s">
        <v>2765</v>
      </c>
      <c r="C328" s="150" t="s">
        <v>3817</v>
      </c>
      <c r="D328" s="221"/>
      <c r="E328" s="150"/>
      <c r="F328" s="150"/>
      <c r="G328" s="110" t="s">
        <v>2663</v>
      </c>
      <c r="H328" s="150" t="s">
        <v>6205</v>
      </c>
      <c r="I328" s="150" t="s">
        <v>3018</v>
      </c>
      <c r="J328" s="150" t="s">
        <v>2875</v>
      </c>
      <c r="K328" s="221"/>
      <c r="L328" s="135" t="str">
        <f t="shared" si="20"/>
        <v>Laephotis botswanae</v>
      </c>
      <c r="M328" s="133">
        <f t="shared" si="21"/>
        <v>0.85733249643126852</v>
      </c>
      <c r="N328" s="152">
        <v>7.2</v>
      </c>
      <c r="O328" s="192"/>
      <c r="P328" s="109">
        <v>153</v>
      </c>
    </row>
    <row r="329" spans="1:19" ht="38.25">
      <c r="A329" s="212" t="s">
        <v>2778</v>
      </c>
      <c r="B329" s="141" t="s">
        <v>1204</v>
      </c>
      <c r="C329" s="150" t="s">
        <v>3817</v>
      </c>
      <c r="D329" s="221"/>
      <c r="E329" s="150"/>
      <c r="F329" s="150"/>
      <c r="G329" s="110" t="s">
        <v>2663</v>
      </c>
      <c r="H329" s="150" t="s">
        <v>6205</v>
      </c>
      <c r="I329" s="150" t="s">
        <v>1205</v>
      </c>
      <c r="J329" s="150" t="s">
        <v>2979</v>
      </c>
      <c r="K329" s="221"/>
      <c r="L329" s="135" t="str">
        <f t="shared" si="20"/>
        <v>Mimetillus moloneyi</v>
      </c>
      <c r="M329" s="133">
        <f t="shared" si="21"/>
        <v>0.94448267215016868</v>
      </c>
      <c r="N329" s="152">
        <v>8.8000000000000007</v>
      </c>
      <c r="O329" s="192"/>
      <c r="P329" s="109">
        <v>153</v>
      </c>
      <c r="S329" s="85" t="s">
        <v>1776</v>
      </c>
    </row>
    <row r="330" spans="1:19" ht="51">
      <c r="A330" s="110" t="s">
        <v>2778</v>
      </c>
      <c r="B330" s="141" t="s">
        <v>2769</v>
      </c>
      <c r="C330" s="148" t="s">
        <v>3817</v>
      </c>
      <c r="D330" s="223"/>
      <c r="E330" s="148"/>
      <c r="F330" s="148"/>
      <c r="G330" s="109" t="s">
        <v>2663</v>
      </c>
      <c r="H330" s="150" t="s">
        <v>6205</v>
      </c>
      <c r="I330" s="148" t="s">
        <v>2729</v>
      </c>
      <c r="J330" s="148" t="s">
        <v>3078</v>
      </c>
      <c r="K330" s="223"/>
      <c r="L330" s="135" t="str">
        <f t="shared" si="20"/>
        <v>Miniopterus minor</v>
      </c>
      <c r="M330" s="133">
        <f t="shared" si="21"/>
        <v>0.84561474975026663</v>
      </c>
      <c r="N330" s="149">
        <v>7.0083333333329998</v>
      </c>
      <c r="O330" s="192"/>
      <c r="P330" s="109">
        <v>153</v>
      </c>
    </row>
    <row r="331" spans="1:19" ht="38.25">
      <c r="A331" s="212" t="s">
        <v>2778</v>
      </c>
      <c r="B331" s="141" t="s">
        <v>1270</v>
      </c>
      <c r="C331" s="150" t="s">
        <v>3817</v>
      </c>
      <c r="D331" s="221"/>
      <c r="E331" s="150"/>
      <c r="F331" s="150"/>
      <c r="G331" s="110" t="s">
        <v>2663</v>
      </c>
      <c r="H331" s="150" t="s">
        <v>6205</v>
      </c>
      <c r="I331" s="150" t="s">
        <v>2729</v>
      </c>
      <c r="J331" s="150" t="s">
        <v>5341</v>
      </c>
      <c r="K331" s="221"/>
      <c r="L331" s="135" t="str">
        <f t="shared" si="20"/>
        <v>Miniopterus fraterculus</v>
      </c>
      <c r="M331" s="133">
        <f t="shared" si="21"/>
        <v>0.86332286012045589</v>
      </c>
      <c r="N331" s="152">
        <v>7.3</v>
      </c>
      <c r="O331" s="192"/>
      <c r="P331" s="109">
        <v>153</v>
      </c>
    </row>
    <row r="332" spans="1:19" ht="127.5">
      <c r="A332" s="212" t="s">
        <v>2778</v>
      </c>
      <c r="B332" s="141" t="s">
        <v>1004</v>
      </c>
      <c r="C332" s="150" t="s">
        <v>3817</v>
      </c>
      <c r="D332" s="221"/>
      <c r="E332" s="150"/>
      <c r="F332" s="150"/>
      <c r="G332" s="110" t="s">
        <v>2663</v>
      </c>
      <c r="H332" s="150" t="s">
        <v>6205</v>
      </c>
      <c r="I332" s="150" t="s">
        <v>2729</v>
      </c>
      <c r="J332" s="150" t="s">
        <v>1005</v>
      </c>
      <c r="K332" s="221"/>
      <c r="L332" s="135" t="str">
        <f t="shared" si="20"/>
        <v>Miniopterus schreibersi</v>
      </c>
      <c r="M332" s="133">
        <f t="shared" si="21"/>
        <v>1.0594624367970615</v>
      </c>
      <c r="N332" s="152">
        <v>11.467333333333</v>
      </c>
      <c r="O332" s="192"/>
      <c r="P332" s="109">
        <v>153</v>
      </c>
    </row>
    <row r="333" spans="1:19" ht="63.75">
      <c r="A333" s="212" t="s">
        <v>2778</v>
      </c>
      <c r="B333" s="141" t="s">
        <v>2856</v>
      </c>
      <c r="C333" s="150" t="s">
        <v>3817</v>
      </c>
      <c r="D333" s="221"/>
      <c r="E333" s="150"/>
      <c r="F333" s="150"/>
      <c r="G333" s="110" t="s">
        <v>2663</v>
      </c>
      <c r="H333" s="150" t="s">
        <v>6205</v>
      </c>
      <c r="I333" s="150" t="s">
        <v>2729</v>
      </c>
      <c r="J333" s="150" t="s">
        <v>6052</v>
      </c>
      <c r="K333" s="221"/>
      <c r="L333" s="135" t="str">
        <f t="shared" si="20"/>
        <v>Miniopterus inflatus</v>
      </c>
      <c r="M333" s="133">
        <f t="shared" si="21"/>
        <v>1.1522883443830565</v>
      </c>
      <c r="N333" s="152">
        <v>14.2</v>
      </c>
      <c r="O333" s="192"/>
      <c r="P333" s="110">
        <v>153</v>
      </c>
      <c r="R333" s="85" t="s">
        <v>1770</v>
      </c>
      <c r="S333" s="85" t="s">
        <v>1751</v>
      </c>
    </row>
    <row r="334" spans="1:19" ht="25.5">
      <c r="A334" s="212" t="s">
        <v>2778</v>
      </c>
      <c r="B334" s="141" t="s">
        <v>1338</v>
      </c>
      <c r="C334" s="150" t="s">
        <v>3817</v>
      </c>
      <c r="D334" s="221"/>
      <c r="E334" s="150"/>
      <c r="F334" s="150"/>
      <c r="G334" s="110" t="s">
        <v>2663</v>
      </c>
      <c r="H334" s="150" t="s">
        <v>6205</v>
      </c>
      <c r="I334" s="150" t="s">
        <v>6206</v>
      </c>
      <c r="J334" s="150" t="s">
        <v>1223</v>
      </c>
      <c r="K334" s="221"/>
      <c r="L334" s="135" t="str">
        <f t="shared" si="20"/>
        <v>Myotis lesueuri</v>
      </c>
      <c r="M334" s="146">
        <v>-999</v>
      </c>
      <c r="N334" s="146">
        <v>-999</v>
      </c>
      <c r="O334" s="183"/>
      <c r="P334" s="110">
        <v>-999</v>
      </c>
    </row>
    <row r="335" spans="1:19">
      <c r="A335" s="212" t="s">
        <v>2778</v>
      </c>
      <c r="B335" s="141" t="s">
        <v>1874</v>
      </c>
      <c r="C335" s="150" t="s">
        <v>3817</v>
      </c>
      <c r="D335" s="221"/>
      <c r="E335" s="150"/>
      <c r="F335" s="150"/>
      <c r="G335" s="110" t="s">
        <v>2663</v>
      </c>
      <c r="H335" s="150" t="s">
        <v>6205</v>
      </c>
      <c r="I335" s="150" t="s">
        <v>6206</v>
      </c>
      <c r="J335" s="150" t="s">
        <v>1875</v>
      </c>
      <c r="K335" s="221"/>
      <c r="L335" s="135" t="str">
        <f t="shared" si="20"/>
        <v>Myotis morrisi</v>
      </c>
      <c r="M335" s="146">
        <v>-999</v>
      </c>
      <c r="N335" s="146">
        <v>-999</v>
      </c>
      <c r="O335" s="183"/>
      <c r="P335" s="110">
        <v>-999</v>
      </c>
    </row>
    <row r="336" spans="1:19">
      <c r="A336" s="212" t="s">
        <v>2778</v>
      </c>
      <c r="B336" s="141" t="s">
        <v>6141</v>
      </c>
      <c r="C336" s="150" t="s">
        <v>3817</v>
      </c>
      <c r="D336" s="221"/>
      <c r="E336" s="150"/>
      <c r="F336" s="150"/>
      <c r="G336" s="110" t="s">
        <v>2663</v>
      </c>
      <c r="H336" s="150" t="s">
        <v>6205</v>
      </c>
      <c r="I336" s="150" t="s">
        <v>6206</v>
      </c>
      <c r="J336" s="150" t="s">
        <v>5613</v>
      </c>
      <c r="K336" s="221"/>
      <c r="L336" s="135" t="str">
        <f t="shared" si="20"/>
        <v>Myotis scotti</v>
      </c>
      <c r="M336" s="146">
        <v>-999</v>
      </c>
      <c r="N336" s="146">
        <v>-999</v>
      </c>
      <c r="O336" s="183"/>
      <c r="P336" s="110">
        <v>-999</v>
      </c>
    </row>
    <row r="337" spans="1:22" ht="38.25">
      <c r="A337" s="212" t="s">
        <v>2778</v>
      </c>
      <c r="B337" s="141" t="s">
        <v>2991</v>
      </c>
      <c r="C337" s="150" t="s">
        <v>3817</v>
      </c>
      <c r="D337" s="221"/>
      <c r="E337" s="150"/>
      <c r="F337" s="150"/>
      <c r="G337" s="110" t="s">
        <v>2663</v>
      </c>
      <c r="H337" s="150" t="s">
        <v>6205</v>
      </c>
      <c r="I337" s="150" t="s">
        <v>6206</v>
      </c>
      <c r="J337" s="150" t="s">
        <v>800</v>
      </c>
      <c r="K337" s="221"/>
      <c r="L337" s="135" t="str">
        <f t="shared" si="20"/>
        <v>Myotis seabrai</v>
      </c>
      <c r="M337" s="146">
        <v>-999</v>
      </c>
      <c r="N337" s="146">
        <v>-999</v>
      </c>
      <c r="O337" s="183"/>
      <c r="P337" s="110">
        <v>-999</v>
      </c>
    </row>
    <row r="338" spans="1:22" ht="63.75">
      <c r="A338" s="212" t="s">
        <v>2778</v>
      </c>
      <c r="B338" s="141" t="s">
        <v>2903</v>
      </c>
      <c r="C338" s="150" t="s">
        <v>3817</v>
      </c>
      <c r="D338" s="221"/>
      <c r="E338" s="150"/>
      <c r="F338" s="150"/>
      <c r="G338" s="110" t="s">
        <v>2663</v>
      </c>
      <c r="H338" s="150" t="s">
        <v>6205</v>
      </c>
      <c r="I338" s="150" t="s">
        <v>6206</v>
      </c>
      <c r="J338" s="150" t="s">
        <v>3877</v>
      </c>
      <c r="K338" s="221"/>
      <c r="L338" s="135" t="str">
        <f t="shared" si="20"/>
        <v>Myotis nattereri</v>
      </c>
      <c r="M338" s="133">
        <f t="shared" ref="M338:M346" si="22">LOG(N338)</f>
        <v>0.85356302283131313</v>
      </c>
      <c r="N338" s="152">
        <v>7.137777777778</v>
      </c>
      <c r="O338" s="192"/>
      <c r="P338" s="110">
        <v>153</v>
      </c>
    </row>
    <row r="339" spans="1:22" ht="102">
      <c r="A339" s="212" t="s">
        <v>2778</v>
      </c>
      <c r="B339" s="141" t="s">
        <v>985</v>
      </c>
      <c r="C339" s="150" t="s">
        <v>3817</v>
      </c>
      <c r="D339" s="221"/>
      <c r="E339" s="150"/>
      <c r="F339" s="150"/>
      <c r="G339" s="110" t="s">
        <v>2663</v>
      </c>
      <c r="H339" s="150" t="s">
        <v>6205</v>
      </c>
      <c r="I339" s="150" t="s">
        <v>6206</v>
      </c>
      <c r="J339" s="150" t="s">
        <v>4825</v>
      </c>
      <c r="K339" s="221"/>
      <c r="L339" s="135" t="str">
        <f t="shared" si="20"/>
        <v>Myotis emarginatus</v>
      </c>
      <c r="M339" s="133">
        <f t="shared" si="22"/>
        <v>0.88394519503427982</v>
      </c>
      <c r="N339" s="152">
        <v>7.6550000000000002</v>
      </c>
      <c r="O339" s="192"/>
      <c r="P339" s="110">
        <v>153</v>
      </c>
    </row>
    <row r="340" spans="1:22" ht="51">
      <c r="A340" s="212" t="s">
        <v>2778</v>
      </c>
      <c r="B340" s="141" t="s">
        <v>986</v>
      </c>
      <c r="C340" s="150" t="s">
        <v>3817</v>
      </c>
      <c r="D340" s="221"/>
      <c r="E340" s="150"/>
      <c r="F340" s="150"/>
      <c r="G340" s="110" t="s">
        <v>2663</v>
      </c>
      <c r="H340" s="150" t="s">
        <v>6205</v>
      </c>
      <c r="I340" s="150" t="s">
        <v>6206</v>
      </c>
      <c r="J340" s="150" t="s">
        <v>5461</v>
      </c>
      <c r="K340" s="221"/>
      <c r="L340" s="135" t="str">
        <f t="shared" si="20"/>
        <v>Myotis bocagei</v>
      </c>
      <c r="M340" s="133">
        <f t="shared" si="22"/>
        <v>0.89129846226236964</v>
      </c>
      <c r="N340" s="152">
        <v>7.7857142857139996</v>
      </c>
      <c r="O340" s="192"/>
      <c r="P340" s="110">
        <v>153</v>
      </c>
      <c r="R340" s="85" t="s">
        <v>1768</v>
      </c>
      <c r="S340" s="85" t="s">
        <v>1769</v>
      </c>
    </row>
    <row r="341" spans="1:22" ht="25.5">
      <c r="A341" s="212" t="s">
        <v>2778</v>
      </c>
      <c r="B341" s="141" t="s">
        <v>1269</v>
      </c>
      <c r="C341" s="150" t="s">
        <v>3817</v>
      </c>
      <c r="D341" s="221"/>
      <c r="E341" s="150"/>
      <c r="F341" s="150"/>
      <c r="G341" s="110" t="s">
        <v>2663</v>
      </c>
      <c r="H341" s="150" t="s">
        <v>6205</v>
      </c>
      <c r="I341" s="150" t="s">
        <v>6206</v>
      </c>
      <c r="J341" s="150" t="s">
        <v>839</v>
      </c>
      <c r="K341" s="221"/>
      <c r="L341" s="135" t="str">
        <f t="shared" si="20"/>
        <v>Myotis tricolor</v>
      </c>
      <c r="M341" s="133">
        <f t="shared" si="22"/>
        <v>1.1443517776524306</v>
      </c>
      <c r="N341" s="152">
        <v>13.942857142856999</v>
      </c>
      <c r="O341" s="192"/>
      <c r="P341" s="110">
        <v>153</v>
      </c>
    </row>
    <row r="342" spans="1:22">
      <c r="A342" s="212" t="s">
        <v>2778</v>
      </c>
      <c r="B342" s="141" t="s">
        <v>2943</v>
      </c>
      <c r="C342" s="150" t="s">
        <v>3817</v>
      </c>
      <c r="D342" s="221"/>
      <c r="E342" s="150"/>
      <c r="F342" s="150"/>
      <c r="G342" s="110" t="s">
        <v>2663</v>
      </c>
      <c r="H342" s="150" t="s">
        <v>6205</v>
      </c>
      <c r="I342" s="150" t="s">
        <v>6206</v>
      </c>
      <c r="J342" s="150" t="s">
        <v>1178</v>
      </c>
      <c r="K342" s="221"/>
      <c r="L342" s="135" t="str">
        <f t="shared" si="20"/>
        <v>Myotis welwitschii</v>
      </c>
      <c r="M342" s="133">
        <f t="shared" si="22"/>
        <v>1.1903316981702914</v>
      </c>
      <c r="N342" s="152">
        <v>15.5</v>
      </c>
      <c r="O342" s="192"/>
      <c r="P342" s="110">
        <v>153</v>
      </c>
      <c r="U342" s="61"/>
      <c r="V342" s="61"/>
    </row>
    <row r="343" spans="1:22" ht="114.75">
      <c r="A343" s="212" t="s">
        <v>2778</v>
      </c>
      <c r="B343" s="141" t="s">
        <v>1048</v>
      </c>
      <c r="C343" s="150" t="s">
        <v>3817</v>
      </c>
      <c r="D343" s="221"/>
      <c r="E343" s="150"/>
      <c r="F343" s="150"/>
      <c r="G343" s="110" t="s">
        <v>2663</v>
      </c>
      <c r="H343" s="150" t="s">
        <v>6205</v>
      </c>
      <c r="I343" s="150" t="s">
        <v>983</v>
      </c>
      <c r="J343" s="150" t="s">
        <v>1049</v>
      </c>
      <c r="K343" s="221"/>
      <c r="L343" s="135" t="str">
        <f t="shared" si="20"/>
        <v>Nyctalus noctula</v>
      </c>
      <c r="M343" s="133">
        <f t="shared" si="22"/>
        <v>1.4471580313422192</v>
      </c>
      <c r="N343" s="152">
        <v>28</v>
      </c>
      <c r="O343" s="192"/>
      <c r="P343" s="110">
        <v>153</v>
      </c>
    </row>
    <row r="344" spans="1:22" ht="63.75">
      <c r="A344" s="212" t="s">
        <v>2778</v>
      </c>
      <c r="B344" s="141" t="s">
        <v>1038</v>
      </c>
      <c r="C344" s="150" t="s">
        <v>3817</v>
      </c>
      <c r="D344" s="221"/>
      <c r="E344" s="150"/>
      <c r="F344" s="150"/>
      <c r="G344" s="110" t="s">
        <v>2663</v>
      </c>
      <c r="H344" s="150" t="s">
        <v>6205</v>
      </c>
      <c r="I344" s="150" t="s">
        <v>983</v>
      </c>
      <c r="J344" s="150" t="s">
        <v>3015</v>
      </c>
      <c r="K344" s="221"/>
      <c r="L344" s="135" t="str">
        <f t="shared" si="20"/>
        <v>Nyctalus lasiopterus</v>
      </c>
      <c r="M344" s="133">
        <f t="shared" si="22"/>
        <v>1.6966475684169846</v>
      </c>
      <c r="N344" s="152">
        <v>49.733333333333</v>
      </c>
      <c r="O344" s="192"/>
      <c r="P344" s="110">
        <v>153</v>
      </c>
    </row>
    <row r="345" spans="1:22" ht="76.5">
      <c r="A345" s="212" t="s">
        <v>2778</v>
      </c>
      <c r="B345" s="141" t="s">
        <v>176</v>
      </c>
      <c r="C345" s="150" t="s">
        <v>3817</v>
      </c>
      <c r="D345" s="221"/>
      <c r="E345" s="150"/>
      <c r="F345" s="150"/>
      <c r="G345" s="110" t="s">
        <v>2663</v>
      </c>
      <c r="H345" s="150" t="s">
        <v>6205</v>
      </c>
      <c r="I345" s="150" t="s">
        <v>2902</v>
      </c>
      <c r="J345" s="150" t="s">
        <v>1320</v>
      </c>
      <c r="K345" s="221"/>
      <c r="L345" s="135" t="str">
        <f t="shared" si="20"/>
        <v>Nycticeius schlieffeni</v>
      </c>
      <c r="M345" s="133">
        <f t="shared" si="22"/>
        <v>0.70267666537355344</v>
      </c>
      <c r="N345" s="152">
        <v>5.0428571428569997</v>
      </c>
      <c r="O345" s="192"/>
      <c r="P345" s="110">
        <v>153</v>
      </c>
      <c r="R345" s="85" t="s">
        <v>1802</v>
      </c>
      <c r="S345" s="85" t="s">
        <v>7599</v>
      </c>
    </row>
    <row r="346" spans="1:22" ht="63.75">
      <c r="A346" s="212" t="s">
        <v>2778</v>
      </c>
      <c r="B346" s="141" t="s">
        <v>295</v>
      </c>
      <c r="C346" s="148" t="s">
        <v>3817</v>
      </c>
      <c r="D346" s="223"/>
      <c r="E346" s="148"/>
      <c r="F346" s="148"/>
      <c r="G346" s="109" t="s">
        <v>2663</v>
      </c>
      <c r="H346" s="148" t="s">
        <v>6205</v>
      </c>
      <c r="I346" s="148" t="s">
        <v>296</v>
      </c>
      <c r="J346" s="148" t="s">
        <v>297</v>
      </c>
      <c r="K346" s="223"/>
      <c r="L346" s="135" t="str">
        <f t="shared" si="20"/>
        <v>Otonycteris hemprichi</v>
      </c>
      <c r="M346" s="133">
        <f t="shared" si="22"/>
        <v>1.3762118502826728</v>
      </c>
      <c r="N346" s="149">
        <v>23.78</v>
      </c>
      <c r="O346" s="192"/>
      <c r="P346" s="110">
        <v>153</v>
      </c>
    </row>
    <row r="347" spans="1:22" ht="25.5">
      <c r="A347" s="212" t="s">
        <v>2778</v>
      </c>
      <c r="B347" s="141" t="s">
        <v>1036</v>
      </c>
      <c r="C347" s="150" t="s">
        <v>3817</v>
      </c>
      <c r="D347" s="221"/>
      <c r="E347" s="150"/>
      <c r="F347" s="150"/>
      <c r="G347" s="110" t="s">
        <v>2663</v>
      </c>
      <c r="H347" s="150" t="s">
        <v>6205</v>
      </c>
      <c r="I347" s="150" t="s">
        <v>2710</v>
      </c>
      <c r="J347" s="150" t="s">
        <v>1037</v>
      </c>
      <c r="K347" s="221"/>
      <c r="L347" s="135" t="str">
        <f t="shared" si="20"/>
        <v>Pipistrellus aegyptius</v>
      </c>
      <c r="M347" s="146">
        <v>-999</v>
      </c>
      <c r="N347" s="146">
        <v>-999</v>
      </c>
      <c r="O347" s="183"/>
      <c r="P347" s="110">
        <v>-999</v>
      </c>
    </row>
    <row r="348" spans="1:22" ht="25.5">
      <c r="A348" s="212" t="s">
        <v>2778</v>
      </c>
      <c r="B348" s="141" t="s">
        <v>1029</v>
      </c>
      <c r="C348" s="150" t="s">
        <v>3817</v>
      </c>
      <c r="D348" s="221"/>
      <c r="E348" s="150"/>
      <c r="F348" s="150"/>
      <c r="G348" s="110" t="s">
        <v>2663</v>
      </c>
      <c r="H348" s="150" t="s">
        <v>6205</v>
      </c>
      <c r="I348" s="150" t="s">
        <v>2710</v>
      </c>
      <c r="J348" s="150" t="s">
        <v>1030</v>
      </c>
      <c r="K348" s="221"/>
      <c r="L348" s="135" t="str">
        <f t="shared" si="20"/>
        <v>Pipistrellus aero</v>
      </c>
      <c r="M348" s="146">
        <v>-999</v>
      </c>
      <c r="N348" s="146">
        <v>-999</v>
      </c>
      <c r="O348" s="183"/>
      <c r="P348" s="110">
        <v>-999</v>
      </c>
    </row>
    <row r="349" spans="1:22">
      <c r="A349" s="212" t="s">
        <v>2778</v>
      </c>
      <c r="B349" s="141" t="s">
        <v>188</v>
      </c>
      <c r="C349" s="150" t="s">
        <v>3817</v>
      </c>
      <c r="D349" s="221"/>
      <c r="E349" s="150"/>
      <c r="F349" s="150"/>
      <c r="G349" s="110" t="s">
        <v>2663</v>
      </c>
      <c r="H349" s="150" t="s">
        <v>6205</v>
      </c>
      <c r="I349" s="150" t="s">
        <v>2710</v>
      </c>
      <c r="J349" s="150" t="s">
        <v>189</v>
      </c>
      <c r="K349" s="221"/>
      <c r="L349" s="135" t="str">
        <f t="shared" si="20"/>
        <v>Pipistrellus ariel</v>
      </c>
      <c r="M349" s="146">
        <v>-999</v>
      </c>
      <c r="N349" s="146">
        <v>-999</v>
      </c>
      <c r="O349" s="183"/>
      <c r="P349" s="110">
        <v>-999</v>
      </c>
    </row>
    <row r="350" spans="1:22" ht="38.25">
      <c r="A350" s="212" t="s">
        <v>2778</v>
      </c>
      <c r="B350" s="141" t="s">
        <v>1256</v>
      </c>
      <c r="C350" s="150" t="s">
        <v>3817</v>
      </c>
      <c r="D350" s="221"/>
      <c r="E350" s="150"/>
      <c r="F350" s="150"/>
      <c r="G350" s="110" t="s">
        <v>2663</v>
      </c>
      <c r="H350" s="150" t="s">
        <v>6205</v>
      </c>
      <c r="I350" s="150" t="s">
        <v>2710</v>
      </c>
      <c r="J350" s="150" t="s">
        <v>1257</v>
      </c>
      <c r="K350" s="221"/>
      <c r="L350" s="135" t="str">
        <f t="shared" si="20"/>
        <v>Pipistrellus inexspectatus</v>
      </c>
      <c r="M350" s="146">
        <v>-999</v>
      </c>
      <c r="N350" s="146">
        <v>-999</v>
      </c>
      <c r="O350" s="183"/>
      <c r="P350" s="110">
        <v>-999</v>
      </c>
    </row>
    <row r="351" spans="1:22">
      <c r="A351" s="215" t="s">
        <v>2778</v>
      </c>
      <c r="B351" s="141" t="s">
        <v>180</v>
      </c>
      <c r="C351" s="150" t="s">
        <v>3817</v>
      </c>
      <c r="D351" s="221"/>
      <c r="E351" s="150"/>
      <c r="F351" s="150"/>
      <c r="G351" s="110" t="s">
        <v>2663</v>
      </c>
      <c r="H351" s="150" t="s">
        <v>6205</v>
      </c>
      <c r="I351" s="150" t="s">
        <v>2710</v>
      </c>
      <c r="J351" s="150" t="s">
        <v>1153</v>
      </c>
      <c r="K351" s="221"/>
      <c r="L351" s="135" t="str">
        <f t="shared" si="20"/>
        <v>Pipistrellus musciculus</v>
      </c>
      <c r="M351" s="146">
        <v>-999</v>
      </c>
      <c r="N351" s="146">
        <v>-999</v>
      </c>
      <c r="O351" s="183"/>
      <c r="P351" s="110">
        <v>-999</v>
      </c>
    </row>
    <row r="352" spans="1:22">
      <c r="A352" s="212" t="s">
        <v>2778</v>
      </c>
      <c r="B352" s="141" t="s">
        <v>1252</v>
      </c>
      <c r="C352" s="150" t="s">
        <v>3817</v>
      </c>
      <c r="D352" s="221"/>
      <c r="E352" s="150"/>
      <c r="F352" s="150"/>
      <c r="G352" s="110" t="s">
        <v>2663</v>
      </c>
      <c r="H352" s="150" t="s">
        <v>6205</v>
      </c>
      <c r="I352" s="150" t="s">
        <v>2710</v>
      </c>
      <c r="J352" s="150" t="s">
        <v>1253</v>
      </c>
      <c r="K352" s="221"/>
      <c r="L352" s="135" t="str">
        <f t="shared" si="20"/>
        <v>Pipistrellus permixtus</v>
      </c>
      <c r="M352" s="146">
        <v>-999</v>
      </c>
      <c r="N352" s="146">
        <v>-999</v>
      </c>
      <c r="O352" s="183"/>
      <c r="P352" s="110">
        <v>-999</v>
      </c>
    </row>
    <row r="353" spans="1:19" ht="25.5">
      <c r="A353" s="215" t="s">
        <v>2778</v>
      </c>
      <c r="B353" s="141" t="s">
        <v>130</v>
      </c>
      <c r="C353" s="150" t="s">
        <v>3817</v>
      </c>
      <c r="D353" s="221"/>
      <c r="E353" s="150"/>
      <c r="F353" s="150"/>
      <c r="G353" s="110" t="s">
        <v>2663</v>
      </c>
      <c r="H353" s="150" t="s">
        <v>6205</v>
      </c>
      <c r="I353" s="150" t="s">
        <v>2710</v>
      </c>
      <c r="J353" s="150" t="s">
        <v>4601</v>
      </c>
      <c r="K353" s="221"/>
      <c r="L353" s="135" t="str">
        <f t="shared" si="20"/>
        <v>Pipistrellus nanulus</v>
      </c>
      <c r="M353" s="133">
        <f t="shared" ref="M353:M371" si="23">LOG(N353)</f>
        <v>0.3979400086720376</v>
      </c>
      <c r="N353" s="152">
        <v>2.5</v>
      </c>
      <c r="O353" s="192"/>
      <c r="P353" s="110">
        <v>153</v>
      </c>
    </row>
    <row r="354" spans="1:19" ht="51">
      <c r="A354" s="215" t="s">
        <v>2778</v>
      </c>
      <c r="B354" s="141" t="s">
        <v>2956</v>
      </c>
      <c r="C354" s="150" t="s">
        <v>3817</v>
      </c>
      <c r="D354" s="221"/>
      <c r="E354" s="150"/>
      <c r="F354" s="150"/>
      <c r="G354" s="110" t="s">
        <v>2663</v>
      </c>
      <c r="H354" s="150" t="s">
        <v>6205</v>
      </c>
      <c r="I354" s="150" t="s">
        <v>2710</v>
      </c>
      <c r="J354" s="150" t="s">
        <v>2177</v>
      </c>
      <c r="K354" s="221"/>
      <c r="L354" s="135" t="str">
        <f t="shared" si="20"/>
        <v>Pipistrellus nanus</v>
      </c>
      <c r="M354" s="133">
        <f t="shared" si="23"/>
        <v>0.58954343390600705</v>
      </c>
      <c r="N354" s="152">
        <v>3.886363636364</v>
      </c>
      <c r="O354" s="192"/>
      <c r="P354" s="110" t="s">
        <v>7693</v>
      </c>
      <c r="R354" s="85" t="s">
        <v>1772</v>
      </c>
      <c r="S354" s="85" t="s">
        <v>1773</v>
      </c>
    </row>
    <row r="355" spans="1:19" ht="25.5">
      <c r="A355" s="212" t="s">
        <v>2778</v>
      </c>
      <c r="B355" s="141" t="s">
        <v>997</v>
      </c>
      <c r="C355" s="150" t="s">
        <v>3817</v>
      </c>
      <c r="D355" s="221"/>
      <c r="E355" s="150"/>
      <c r="F355" s="150"/>
      <c r="G355" s="110" t="s">
        <v>2663</v>
      </c>
      <c r="H355" s="150" t="s">
        <v>6205</v>
      </c>
      <c r="I355" s="150" t="s">
        <v>2710</v>
      </c>
      <c r="J355" s="150" t="s">
        <v>1274</v>
      </c>
      <c r="K355" s="221"/>
      <c r="L355" s="135" t="str">
        <f t="shared" si="20"/>
        <v>Pipistrellus rusticus</v>
      </c>
      <c r="M355" s="133">
        <f t="shared" si="23"/>
        <v>0.65801139665711239</v>
      </c>
      <c r="N355" s="152">
        <v>4.55</v>
      </c>
      <c r="O355" s="192"/>
      <c r="P355" s="110">
        <v>153</v>
      </c>
    </row>
    <row r="356" spans="1:19">
      <c r="A356" s="212" t="s">
        <v>2778</v>
      </c>
      <c r="B356" s="141" t="s">
        <v>187</v>
      </c>
      <c r="C356" s="150" t="s">
        <v>3817</v>
      </c>
      <c r="D356" s="221"/>
      <c r="E356" s="150"/>
      <c r="F356" s="150"/>
      <c r="G356" s="110" t="s">
        <v>2663</v>
      </c>
      <c r="H356" s="150" t="s">
        <v>6205</v>
      </c>
      <c r="I356" s="150" t="s">
        <v>2710</v>
      </c>
      <c r="J356" s="150" t="s">
        <v>664</v>
      </c>
      <c r="K356" s="221"/>
      <c r="L356" s="135" t="str">
        <f t="shared" si="20"/>
        <v>Pipistrellus anchietai</v>
      </c>
      <c r="M356" s="146">
        <f t="shared" si="23"/>
        <v>0.66275783168157409</v>
      </c>
      <c r="N356" s="146">
        <f>AVERAGE(4.3, 4.9)</f>
        <v>4.5999999999999996</v>
      </c>
      <c r="O356" s="183"/>
      <c r="P356" s="110">
        <v>260</v>
      </c>
    </row>
    <row r="357" spans="1:19" ht="63.75">
      <c r="A357" s="215" t="s">
        <v>2778</v>
      </c>
      <c r="B357" s="141" t="s">
        <v>1161</v>
      </c>
      <c r="C357" s="150" t="s">
        <v>3817</v>
      </c>
      <c r="D357" s="221"/>
      <c r="E357" s="150"/>
      <c r="F357" s="150"/>
      <c r="G357" s="110" t="s">
        <v>2663</v>
      </c>
      <c r="H357" s="150" t="s">
        <v>6205</v>
      </c>
      <c r="I357" s="150" t="s">
        <v>2710</v>
      </c>
      <c r="J357" s="150" t="s">
        <v>4646</v>
      </c>
      <c r="K357" s="221"/>
      <c r="L357" s="135" t="str">
        <f t="shared" si="20"/>
        <v>Pipistrellus kuhlii</v>
      </c>
      <c r="M357" s="133">
        <f t="shared" si="23"/>
        <v>0.77341901586724249</v>
      </c>
      <c r="N357" s="152">
        <v>5.9349766666669996</v>
      </c>
      <c r="O357" s="192"/>
      <c r="P357" s="110">
        <v>153</v>
      </c>
    </row>
    <row r="358" spans="1:19" ht="25.5">
      <c r="A358" s="212" t="s">
        <v>2778</v>
      </c>
      <c r="B358" s="141" t="s">
        <v>1060</v>
      </c>
      <c r="C358" s="150" t="s">
        <v>3817</v>
      </c>
      <c r="D358" s="221"/>
      <c r="E358" s="150"/>
      <c r="F358" s="150"/>
      <c r="G358" s="110" t="s">
        <v>2663</v>
      </c>
      <c r="H358" s="150" t="s">
        <v>6205</v>
      </c>
      <c r="I358" s="150" t="s">
        <v>2710</v>
      </c>
      <c r="J358" s="150" t="s">
        <v>7450</v>
      </c>
      <c r="K358" s="221"/>
      <c r="L358" s="135" t="str">
        <f t="shared" si="20"/>
        <v>Pipistrellus eisentrauti</v>
      </c>
      <c r="M358" s="133">
        <f t="shared" si="23"/>
        <v>0.77451696572854956</v>
      </c>
      <c r="N358" s="152">
        <v>5.95</v>
      </c>
      <c r="O358" s="192"/>
      <c r="P358" s="110">
        <v>153</v>
      </c>
    </row>
    <row r="359" spans="1:19" ht="25.5">
      <c r="A359" s="212" t="s">
        <v>2778</v>
      </c>
      <c r="B359" s="141" t="s">
        <v>1168</v>
      </c>
      <c r="C359" s="150" t="s">
        <v>3817</v>
      </c>
      <c r="D359" s="221"/>
      <c r="E359" s="150"/>
      <c r="F359" s="150"/>
      <c r="G359" s="110" t="s">
        <v>2663</v>
      </c>
      <c r="H359" s="150" t="s">
        <v>6205</v>
      </c>
      <c r="I359" s="150" t="s">
        <v>2710</v>
      </c>
      <c r="J359" s="150" t="s">
        <v>1169</v>
      </c>
      <c r="K359" s="221"/>
      <c r="L359" s="135" t="str">
        <f t="shared" si="20"/>
        <v>Pipistrellus crassulus</v>
      </c>
      <c r="M359" s="133">
        <f t="shared" si="23"/>
        <v>0.78532983501076703</v>
      </c>
      <c r="N359" s="152">
        <v>6.1</v>
      </c>
      <c r="O359" s="192"/>
      <c r="P359" s="110">
        <v>153</v>
      </c>
    </row>
    <row r="360" spans="1:19" ht="114.75">
      <c r="A360" s="212" t="s">
        <v>2778</v>
      </c>
      <c r="B360" s="130" t="s">
        <v>190</v>
      </c>
      <c r="C360" s="155" t="s">
        <v>3817</v>
      </c>
      <c r="D360" s="225"/>
      <c r="E360" s="155"/>
      <c r="F360" s="155"/>
      <c r="G360" s="110" t="s">
        <v>2663</v>
      </c>
      <c r="H360" s="155" t="s">
        <v>6205</v>
      </c>
      <c r="I360" s="155" t="s">
        <v>2710</v>
      </c>
      <c r="J360" s="155" t="s">
        <v>5683</v>
      </c>
      <c r="K360" s="225"/>
      <c r="L360" s="135" t="str">
        <f t="shared" si="20"/>
        <v>Pipistrellus savii</v>
      </c>
      <c r="M360" s="133">
        <f t="shared" si="23"/>
        <v>0.80345711564841393</v>
      </c>
      <c r="N360" s="152">
        <v>6.36</v>
      </c>
      <c r="O360" s="192"/>
      <c r="P360" s="110">
        <v>153</v>
      </c>
    </row>
    <row r="361" spans="1:19" ht="51">
      <c r="A361" s="212" t="s">
        <v>2778</v>
      </c>
      <c r="B361" s="130" t="s">
        <v>1222</v>
      </c>
      <c r="C361" s="155" t="s">
        <v>3817</v>
      </c>
      <c r="D361" s="225"/>
      <c r="E361" s="155"/>
      <c r="F361" s="155"/>
      <c r="G361" s="110" t="s">
        <v>2663</v>
      </c>
      <c r="H361" s="155" t="s">
        <v>6205</v>
      </c>
      <c r="I361" s="155" t="s">
        <v>2710</v>
      </c>
      <c r="J361" s="155" t="s">
        <v>4675</v>
      </c>
      <c r="K361" s="225"/>
      <c r="L361" s="135" t="str">
        <f t="shared" si="20"/>
        <v>Pipistrellus rueppelli</v>
      </c>
      <c r="M361" s="133">
        <f t="shared" si="23"/>
        <v>0.84010609445675777</v>
      </c>
      <c r="N361" s="152">
        <v>6.92</v>
      </c>
      <c r="O361" s="192"/>
      <c r="P361" s="110">
        <v>153</v>
      </c>
      <c r="S361" s="85" t="s">
        <v>7620</v>
      </c>
    </row>
    <row r="362" spans="1:19" ht="25.5">
      <c r="A362" s="212" t="s">
        <v>2778</v>
      </c>
      <c r="B362" s="141" t="s">
        <v>1007</v>
      </c>
      <c r="C362" s="150" t="s">
        <v>3817</v>
      </c>
      <c r="D362" s="221"/>
      <c r="E362" s="150"/>
      <c r="F362" s="150"/>
      <c r="G362" s="110" t="s">
        <v>2663</v>
      </c>
      <c r="H362" s="150" t="s">
        <v>6205</v>
      </c>
      <c r="I362" s="150" t="s">
        <v>1008</v>
      </c>
      <c r="J362" s="150" t="s">
        <v>1104</v>
      </c>
      <c r="K362" s="221"/>
      <c r="L362" s="135" t="str">
        <f t="shared" si="20"/>
        <v>Scotoecus albofuscus</v>
      </c>
      <c r="M362" s="133">
        <f t="shared" si="23"/>
        <v>0.65321251377534373</v>
      </c>
      <c r="N362" s="152">
        <v>4.5</v>
      </c>
      <c r="O362" s="192"/>
      <c r="P362" s="110">
        <v>153</v>
      </c>
      <c r="S362" s="85" t="s">
        <v>7858</v>
      </c>
    </row>
    <row r="363" spans="1:19" ht="38.25">
      <c r="A363" s="212" t="s">
        <v>2778</v>
      </c>
      <c r="B363" s="141" t="s">
        <v>1011</v>
      </c>
      <c r="C363" s="150" t="s">
        <v>3817</v>
      </c>
      <c r="D363" s="221"/>
      <c r="E363" s="150"/>
      <c r="F363" s="150"/>
      <c r="G363" s="110" t="s">
        <v>2663</v>
      </c>
      <c r="H363" s="150" t="s">
        <v>6205</v>
      </c>
      <c r="I363" s="150" t="s">
        <v>1008</v>
      </c>
      <c r="J363" s="150" t="s">
        <v>1112</v>
      </c>
      <c r="K363" s="221"/>
      <c r="L363" s="135" t="str">
        <f t="shared" si="20"/>
        <v>Scotoecus hirundo</v>
      </c>
      <c r="M363" s="133">
        <f t="shared" si="23"/>
        <v>0.9703468762300933</v>
      </c>
      <c r="N363" s="152">
        <v>9.34</v>
      </c>
      <c r="O363" s="192"/>
      <c r="P363" s="110">
        <v>153</v>
      </c>
      <c r="R363" s="85" t="s">
        <v>1770</v>
      </c>
      <c r="S363" s="85" t="s">
        <v>1771</v>
      </c>
    </row>
    <row r="364" spans="1:19" ht="38.25">
      <c r="A364" s="212" t="s">
        <v>2778</v>
      </c>
      <c r="B364" s="141" t="s">
        <v>1111</v>
      </c>
      <c r="C364" s="150" t="s">
        <v>3817</v>
      </c>
      <c r="D364" s="221"/>
      <c r="E364" s="150"/>
      <c r="F364" s="150"/>
      <c r="G364" s="110" t="s">
        <v>2663</v>
      </c>
      <c r="H364" s="150" t="s">
        <v>6205</v>
      </c>
      <c r="I364" s="150" t="s">
        <v>6276</v>
      </c>
      <c r="J364" s="150" t="s">
        <v>2807</v>
      </c>
      <c r="K364" s="221"/>
      <c r="L364" s="135" t="str">
        <f t="shared" si="20"/>
        <v>Scotophilus viridis</v>
      </c>
      <c r="M364" s="133">
        <f t="shared" si="23"/>
        <v>1.2922560713564761</v>
      </c>
      <c r="N364" s="152">
        <v>19.600000000000001</v>
      </c>
      <c r="O364" s="192"/>
      <c r="P364" s="110">
        <v>153</v>
      </c>
      <c r="R364" s="85" t="s">
        <v>1674</v>
      </c>
    </row>
    <row r="365" spans="1:19" ht="25.5">
      <c r="A365" s="212" t="s">
        <v>2778</v>
      </c>
      <c r="B365" s="141" t="s">
        <v>1114</v>
      </c>
      <c r="C365" s="150" t="s">
        <v>3817</v>
      </c>
      <c r="D365" s="221"/>
      <c r="E365" s="150"/>
      <c r="F365" s="150"/>
      <c r="G365" s="110" t="s">
        <v>2663</v>
      </c>
      <c r="H365" s="150" t="s">
        <v>6205</v>
      </c>
      <c r="I365" s="150" t="s">
        <v>6276</v>
      </c>
      <c r="J365" s="150" t="s">
        <v>4045</v>
      </c>
      <c r="K365" s="221"/>
      <c r="L365" s="135" t="str">
        <f t="shared" si="20"/>
        <v>Scotophilus leucogaster</v>
      </c>
      <c r="M365" s="133">
        <f t="shared" si="23"/>
        <v>1.306067436355588</v>
      </c>
      <c r="N365" s="152">
        <v>20.233333333333</v>
      </c>
      <c r="O365" s="192"/>
      <c r="P365" s="110">
        <v>153</v>
      </c>
      <c r="R365" s="85" t="s">
        <v>1670</v>
      </c>
      <c r="S365" s="85" t="s">
        <v>7865</v>
      </c>
    </row>
    <row r="366" spans="1:19" ht="51">
      <c r="A366" s="212" t="s">
        <v>2778</v>
      </c>
      <c r="B366" s="141" t="s">
        <v>884</v>
      </c>
      <c r="C366" s="150" t="s">
        <v>3817</v>
      </c>
      <c r="D366" s="221"/>
      <c r="E366" s="150"/>
      <c r="F366" s="150"/>
      <c r="G366" s="110" t="s">
        <v>2663</v>
      </c>
      <c r="H366" s="150" t="s">
        <v>6205</v>
      </c>
      <c r="I366" s="150" t="s">
        <v>6276</v>
      </c>
      <c r="J366" s="150" t="s">
        <v>885</v>
      </c>
      <c r="K366" s="221"/>
      <c r="L366" s="135" t="str">
        <f t="shared" si="20"/>
        <v>Scotophilus dinganii</v>
      </c>
      <c r="M366" s="133">
        <f t="shared" si="23"/>
        <v>1.4001677994431969</v>
      </c>
      <c r="N366" s="152">
        <v>25.128571428571</v>
      </c>
      <c r="O366" s="192"/>
      <c r="P366" s="110">
        <v>153</v>
      </c>
      <c r="R366" s="85" t="s">
        <v>1669</v>
      </c>
      <c r="S366" s="85" t="s">
        <v>1915</v>
      </c>
    </row>
    <row r="367" spans="1:19">
      <c r="A367" s="212" t="s">
        <v>2778</v>
      </c>
      <c r="B367" s="141" t="s">
        <v>886</v>
      </c>
      <c r="C367" s="150" t="s">
        <v>3817</v>
      </c>
      <c r="D367" s="221"/>
      <c r="E367" s="150"/>
      <c r="F367" s="150"/>
      <c r="G367" s="110" t="s">
        <v>2663</v>
      </c>
      <c r="H367" s="150" t="s">
        <v>6205</v>
      </c>
      <c r="I367" s="150" t="s">
        <v>6276</v>
      </c>
      <c r="J367" s="150" t="s">
        <v>887</v>
      </c>
      <c r="K367" s="221"/>
      <c r="L367" s="135" t="str">
        <f t="shared" si="20"/>
        <v>Scotophilus nux</v>
      </c>
      <c r="M367" s="133">
        <f t="shared" si="23"/>
        <v>1.4771212547196624</v>
      </c>
      <c r="N367" s="152">
        <v>30</v>
      </c>
      <c r="O367" s="192"/>
      <c r="P367" s="110">
        <v>153</v>
      </c>
      <c r="R367" s="85" t="s">
        <v>1923</v>
      </c>
      <c r="S367" s="85" t="s">
        <v>1673</v>
      </c>
    </row>
    <row r="368" spans="1:19" ht="25.5">
      <c r="A368" s="212" t="s">
        <v>2778</v>
      </c>
      <c r="B368" s="141" t="s">
        <v>152</v>
      </c>
      <c r="C368" s="150" t="s">
        <v>3817</v>
      </c>
      <c r="D368" s="221"/>
      <c r="E368" s="150"/>
      <c r="F368" s="150"/>
      <c r="G368" s="110" t="s">
        <v>2663</v>
      </c>
      <c r="H368" s="150" t="s">
        <v>6205</v>
      </c>
      <c r="I368" s="150" t="s">
        <v>6276</v>
      </c>
      <c r="J368" s="150" t="s">
        <v>6677</v>
      </c>
      <c r="K368" s="221"/>
      <c r="L368" s="135" t="str">
        <f t="shared" si="20"/>
        <v>Scotophilus nigrita</v>
      </c>
      <c r="M368" s="133">
        <f t="shared" si="23"/>
        <v>2.0043213737826426</v>
      </c>
      <c r="N368" s="152">
        <v>101</v>
      </c>
      <c r="O368" s="192"/>
      <c r="P368" s="110">
        <v>153</v>
      </c>
      <c r="R368" s="85" t="s">
        <v>1671</v>
      </c>
      <c r="S368" s="85" t="s">
        <v>1672</v>
      </c>
    </row>
    <row r="369" spans="1:22">
      <c r="A369" s="213" t="s">
        <v>2778</v>
      </c>
      <c r="B369" s="130"/>
      <c r="C369" s="118" t="s">
        <v>3817</v>
      </c>
      <c r="D369" s="141"/>
      <c r="E369" s="118"/>
      <c r="F369" s="118"/>
      <c r="G369" s="118" t="s">
        <v>4471</v>
      </c>
      <c r="H369" s="118" t="s">
        <v>4472</v>
      </c>
      <c r="I369" s="118" t="s">
        <v>7230</v>
      </c>
      <c r="J369" s="118" t="s">
        <v>3673</v>
      </c>
      <c r="K369" s="141"/>
      <c r="L369" s="135" t="str">
        <f t="shared" si="20"/>
        <v>Dendrohyrax validus</v>
      </c>
      <c r="M369" s="133">
        <f t="shared" si="23"/>
        <v>3.3856062735983121</v>
      </c>
      <c r="N369" s="133">
        <v>2430</v>
      </c>
      <c r="O369" s="179" t="s">
        <v>6736</v>
      </c>
      <c r="P369" s="108">
        <v>-999</v>
      </c>
      <c r="Q369" s="90" t="s">
        <v>6988</v>
      </c>
    </row>
    <row r="370" spans="1:22">
      <c r="A370" s="213" t="s">
        <v>2778</v>
      </c>
      <c r="B370" s="130"/>
      <c r="C370" s="118" t="s">
        <v>3817</v>
      </c>
      <c r="D370" s="141"/>
      <c r="E370" s="118"/>
      <c r="F370" s="118"/>
      <c r="G370" s="118" t="s">
        <v>4471</v>
      </c>
      <c r="H370" s="118" t="s">
        <v>4472</v>
      </c>
      <c r="I370" s="118" t="s">
        <v>7230</v>
      </c>
      <c r="J370" s="118" t="s">
        <v>7274</v>
      </c>
      <c r="K370" s="141"/>
      <c r="L370" s="135" t="str">
        <f t="shared" si="20"/>
        <v>Dendrohyrax arboreus</v>
      </c>
      <c r="M370" s="133">
        <f t="shared" si="23"/>
        <v>3.4698200000000003</v>
      </c>
      <c r="N370" s="133">
        <v>2949.9863062460499</v>
      </c>
      <c r="O370" s="179" t="s">
        <v>3356</v>
      </c>
      <c r="P370" s="108">
        <v>65</v>
      </c>
    </row>
    <row r="371" spans="1:22">
      <c r="A371" s="213" t="s">
        <v>2778</v>
      </c>
      <c r="B371" s="130"/>
      <c r="C371" s="118" t="s">
        <v>3817</v>
      </c>
      <c r="D371" s="141"/>
      <c r="E371" s="118"/>
      <c r="F371" s="118"/>
      <c r="G371" s="118" t="s">
        <v>4471</v>
      </c>
      <c r="H371" s="118" t="s">
        <v>4472</v>
      </c>
      <c r="I371" s="118" t="s">
        <v>7230</v>
      </c>
      <c r="J371" s="118" t="s">
        <v>3630</v>
      </c>
      <c r="K371" s="141"/>
      <c r="L371" s="135" t="str">
        <f t="shared" si="20"/>
        <v>Dendrohyrax dorsalis</v>
      </c>
      <c r="M371" s="133">
        <f t="shared" si="23"/>
        <v>3.5017437296279943</v>
      </c>
      <c r="N371" s="133">
        <v>3175</v>
      </c>
      <c r="O371" s="179" t="s">
        <v>6736</v>
      </c>
      <c r="P371" s="108">
        <v>68</v>
      </c>
    </row>
    <row r="372" spans="1:22" ht="12" customHeight="1">
      <c r="A372" s="213" t="s">
        <v>2778</v>
      </c>
      <c r="B372" s="141" t="s">
        <v>6213</v>
      </c>
      <c r="C372" s="118" t="s">
        <v>3817</v>
      </c>
      <c r="D372" s="141"/>
      <c r="E372" s="118"/>
      <c r="F372" s="118"/>
      <c r="G372" s="118" t="s">
        <v>4471</v>
      </c>
      <c r="H372" s="118" t="s">
        <v>4472</v>
      </c>
      <c r="I372" s="118" t="s">
        <v>7275</v>
      </c>
      <c r="J372" s="118" t="s">
        <v>5696</v>
      </c>
      <c r="K372" s="141"/>
      <c r="L372" s="135" t="str">
        <f t="shared" si="20"/>
        <v>Heterohyrax antineae</v>
      </c>
      <c r="M372" s="133">
        <v>-999</v>
      </c>
      <c r="N372" s="133">
        <v>-999</v>
      </c>
      <c r="O372" s="179" t="s">
        <v>3356</v>
      </c>
      <c r="P372" s="108">
        <v>-999</v>
      </c>
      <c r="Q372" s="80" t="s">
        <v>6988</v>
      </c>
      <c r="R372" s="89"/>
    </row>
    <row r="373" spans="1:22">
      <c r="A373" s="213" t="s">
        <v>2778</v>
      </c>
      <c r="B373" s="130"/>
      <c r="C373" s="118" t="s">
        <v>3817</v>
      </c>
      <c r="D373" s="141"/>
      <c r="E373" s="118"/>
      <c r="F373" s="118"/>
      <c r="G373" s="118" t="s">
        <v>4471</v>
      </c>
      <c r="H373" s="118" t="s">
        <v>4472</v>
      </c>
      <c r="I373" s="118" t="s">
        <v>7275</v>
      </c>
      <c r="J373" s="118" t="s">
        <v>7276</v>
      </c>
      <c r="K373" s="141"/>
      <c r="L373" s="135" t="str">
        <f t="shared" si="20"/>
        <v>Heterohyrax brucei</v>
      </c>
      <c r="M373" s="133">
        <f t="shared" ref="M373:M379" si="24">LOG(N373)</f>
        <v>3.41913</v>
      </c>
      <c r="N373" s="133">
        <v>2625.0041842087303</v>
      </c>
      <c r="O373" s="179" t="s">
        <v>3356</v>
      </c>
      <c r="P373" s="108">
        <v>65</v>
      </c>
      <c r="Q373" s="90" t="s">
        <v>6988</v>
      </c>
    </row>
    <row r="374" spans="1:22">
      <c r="A374" s="213" t="s">
        <v>2778</v>
      </c>
      <c r="B374" s="130"/>
      <c r="C374" s="118" t="s">
        <v>3817</v>
      </c>
      <c r="D374" s="141"/>
      <c r="E374" s="118"/>
      <c r="F374" s="118"/>
      <c r="G374" s="118" t="s">
        <v>4471</v>
      </c>
      <c r="H374" s="118" t="s">
        <v>4472</v>
      </c>
      <c r="I374" s="118" t="s">
        <v>7277</v>
      </c>
      <c r="J374" s="118" t="s">
        <v>4259</v>
      </c>
      <c r="K374" s="141"/>
      <c r="L374" s="135" t="str">
        <f t="shared" si="20"/>
        <v>Procavia capensis</v>
      </c>
      <c r="M374" s="133">
        <f t="shared" si="24"/>
        <v>3.4814400000000005</v>
      </c>
      <c r="N374" s="133">
        <v>3029.9816614343204</v>
      </c>
      <c r="O374" s="179" t="s">
        <v>3356</v>
      </c>
      <c r="P374" s="108">
        <v>60</v>
      </c>
    </row>
    <row r="375" spans="1:22" ht="25.5">
      <c r="A375" s="213" t="s">
        <v>2778</v>
      </c>
      <c r="B375" s="130"/>
      <c r="C375" s="118" t="s">
        <v>3817</v>
      </c>
      <c r="D375" s="141"/>
      <c r="E375" s="118"/>
      <c r="F375" s="118"/>
      <c r="G375" s="118" t="s">
        <v>7278</v>
      </c>
      <c r="H375" s="118" t="s">
        <v>2351</v>
      </c>
      <c r="I375" s="118" t="s">
        <v>2352</v>
      </c>
      <c r="J375" s="118" t="s">
        <v>2358</v>
      </c>
      <c r="K375" s="141"/>
      <c r="L375" s="135" t="str">
        <f t="shared" si="20"/>
        <v>Amblysomus julianae</v>
      </c>
      <c r="M375" s="133">
        <f t="shared" si="24"/>
        <v>1.3424199999999999</v>
      </c>
      <c r="N375" s="133">
        <v>21.999864198351659</v>
      </c>
      <c r="O375" s="179" t="s">
        <v>8149</v>
      </c>
      <c r="P375" s="108">
        <v>60</v>
      </c>
      <c r="Q375" s="90" t="s">
        <v>7071</v>
      </c>
    </row>
    <row r="376" spans="1:22">
      <c r="A376" s="213" t="s">
        <v>2778</v>
      </c>
      <c r="B376" s="130" t="s">
        <v>6093</v>
      </c>
      <c r="C376" s="118" t="s">
        <v>3817</v>
      </c>
      <c r="D376" s="141"/>
      <c r="E376" s="118"/>
      <c r="F376" s="118"/>
      <c r="G376" s="118" t="s">
        <v>7278</v>
      </c>
      <c r="H376" s="118" t="s">
        <v>2351</v>
      </c>
      <c r="I376" s="118" t="s">
        <v>2352</v>
      </c>
      <c r="J376" s="118" t="s">
        <v>5855</v>
      </c>
      <c r="K376" s="141"/>
      <c r="L376" s="135" t="str">
        <f t="shared" si="20"/>
        <v>Amblysomus gunningi</v>
      </c>
      <c r="M376" s="133">
        <f t="shared" si="24"/>
        <v>1.4492406861111515</v>
      </c>
      <c r="N376" s="133">
        <v>28.134596184471679</v>
      </c>
      <c r="O376" s="179" t="s">
        <v>6882</v>
      </c>
      <c r="P376" s="108">
        <v>196</v>
      </c>
      <c r="Q376" s="80" t="s">
        <v>6988</v>
      </c>
      <c r="U376" s="61"/>
      <c r="V376" s="61"/>
    </row>
    <row r="377" spans="1:22">
      <c r="A377" s="213" t="s">
        <v>2778</v>
      </c>
      <c r="B377" s="130"/>
      <c r="C377" s="118" t="s">
        <v>3817</v>
      </c>
      <c r="D377" s="141"/>
      <c r="E377" s="118"/>
      <c r="F377" s="118"/>
      <c r="G377" s="118" t="s">
        <v>7278</v>
      </c>
      <c r="H377" s="118" t="s">
        <v>2351</v>
      </c>
      <c r="I377" s="118" t="s">
        <v>2352</v>
      </c>
      <c r="J377" s="118" t="s">
        <v>2598</v>
      </c>
      <c r="K377" s="141"/>
      <c r="L377" s="135" t="str">
        <f t="shared" si="20"/>
        <v>Amblysomus iris</v>
      </c>
      <c r="M377" s="133">
        <f t="shared" si="24"/>
        <v>1.6434500000000003</v>
      </c>
      <c r="N377" s="133">
        <v>43.999728835998937</v>
      </c>
      <c r="O377" s="179" t="s">
        <v>3356</v>
      </c>
      <c r="P377" s="108">
        <v>60</v>
      </c>
    </row>
    <row r="378" spans="1:22">
      <c r="A378" s="213" t="s">
        <v>2778</v>
      </c>
      <c r="B378" s="130"/>
      <c r="C378" s="118" t="s">
        <v>3817</v>
      </c>
      <c r="D378" s="141"/>
      <c r="E378" s="118"/>
      <c r="F378" s="118"/>
      <c r="G378" s="118" t="s">
        <v>7278</v>
      </c>
      <c r="H378" s="118" t="s">
        <v>2351</v>
      </c>
      <c r="I378" s="118" t="s">
        <v>2352</v>
      </c>
      <c r="J378" s="118" t="s">
        <v>2597</v>
      </c>
      <c r="K378" s="141"/>
      <c r="L378" s="135" t="str">
        <f t="shared" si="20"/>
        <v>Amblysomus hottentotus</v>
      </c>
      <c r="M378" s="133">
        <f t="shared" si="24"/>
        <v>1.7209857441537391</v>
      </c>
      <c r="N378" s="133">
        <f>AVERAGE(55.5, 49.7)</f>
        <v>52.6</v>
      </c>
      <c r="O378" s="179" t="s">
        <v>3356</v>
      </c>
      <c r="P378" s="108">
        <v>260</v>
      </c>
    </row>
    <row r="379" spans="1:22">
      <c r="A379" s="213" t="s">
        <v>2778</v>
      </c>
      <c r="B379" s="130"/>
      <c r="C379" s="118" t="s">
        <v>3817</v>
      </c>
      <c r="D379" s="141"/>
      <c r="E379" s="118"/>
      <c r="F379" s="118"/>
      <c r="G379" s="118" t="s">
        <v>7278</v>
      </c>
      <c r="H379" s="118" t="s">
        <v>2351</v>
      </c>
      <c r="I379" s="118" t="s">
        <v>2514</v>
      </c>
      <c r="J379" s="118" t="s">
        <v>2353</v>
      </c>
      <c r="K379" s="141"/>
      <c r="L379" s="135" t="str">
        <f t="shared" si="20"/>
        <v>Calcochloris obtusirostris</v>
      </c>
      <c r="M379" s="133">
        <f t="shared" si="24"/>
        <v>1.3811167204794246</v>
      </c>
      <c r="N379" s="133">
        <f>AVERAGE(24.050272417917, 27.3, 20.8)</f>
        <v>24.050090805972332</v>
      </c>
      <c r="O379" s="179" t="s">
        <v>3356</v>
      </c>
      <c r="P379" s="108" t="s">
        <v>7105</v>
      </c>
    </row>
    <row r="380" spans="1:22" ht="25.5">
      <c r="A380" s="213" t="s">
        <v>2778</v>
      </c>
      <c r="B380" s="141" t="s">
        <v>6370</v>
      </c>
      <c r="C380" s="118" t="s">
        <v>3817</v>
      </c>
      <c r="D380" s="141"/>
      <c r="E380" s="118"/>
      <c r="F380" s="118"/>
      <c r="G380" s="118" t="s">
        <v>7278</v>
      </c>
      <c r="H380" s="118" t="s">
        <v>2351</v>
      </c>
      <c r="I380" s="118" t="s">
        <v>2354</v>
      </c>
      <c r="J380" s="118" t="s">
        <v>5856</v>
      </c>
      <c r="K380" s="141"/>
      <c r="L380" s="135" t="str">
        <f t="shared" si="20"/>
        <v>Chlorotalpa duthieae</v>
      </c>
      <c r="M380" s="133">
        <v>-999</v>
      </c>
      <c r="N380" s="133">
        <v>-999</v>
      </c>
      <c r="O380" s="179" t="s">
        <v>6882</v>
      </c>
      <c r="P380" s="108">
        <v>-999</v>
      </c>
      <c r="Q380" s="80" t="s">
        <v>6988</v>
      </c>
    </row>
    <row r="381" spans="1:22" ht="38.25">
      <c r="A381" s="213" t="s">
        <v>2778</v>
      </c>
      <c r="B381" s="141" t="s">
        <v>2619</v>
      </c>
      <c r="C381" s="118" t="s">
        <v>3817</v>
      </c>
      <c r="D381" s="141"/>
      <c r="E381" s="118"/>
      <c r="F381" s="118"/>
      <c r="G381" s="118" t="s">
        <v>7278</v>
      </c>
      <c r="H381" s="118" t="s">
        <v>2351</v>
      </c>
      <c r="I381" s="118" t="s">
        <v>2354</v>
      </c>
      <c r="J381" s="118" t="s">
        <v>5168</v>
      </c>
      <c r="K381" s="141"/>
      <c r="L381" s="135" t="str">
        <f t="shared" si="20"/>
        <v>Chlorotalpa leucorhina</v>
      </c>
      <c r="M381" s="133">
        <v>-999</v>
      </c>
      <c r="N381" s="133">
        <v>-999</v>
      </c>
      <c r="O381" s="179" t="s">
        <v>3356</v>
      </c>
      <c r="P381" s="108">
        <v>-999</v>
      </c>
      <c r="Q381" s="80"/>
    </row>
    <row r="382" spans="1:22">
      <c r="A382" s="213" t="s">
        <v>2778</v>
      </c>
      <c r="B382" s="141" t="s">
        <v>2610</v>
      </c>
      <c r="C382" s="118" t="s">
        <v>3817</v>
      </c>
      <c r="D382" s="141"/>
      <c r="E382" s="118"/>
      <c r="F382" s="118"/>
      <c r="G382" s="118" t="s">
        <v>7278</v>
      </c>
      <c r="H382" s="118" t="s">
        <v>2351</v>
      </c>
      <c r="I382" s="118" t="s">
        <v>2354</v>
      </c>
      <c r="J382" s="118" t="s">
        <v>3886</v>
      </c>
      <c r="K382" s="141"/>
      <c r="L382" s="135" t="str">
        <f t="shared" si="20"/>
        <v>Chlorotalpa tytonis</v>
      </c>
      <c r="M382" s="133">
        <v>-999</v>
      </c>
      <c r="N382" s="133">
        <v>-999</v>
      </c>
      <c r="O382" s="179" t="s">
        <v>7080</v>
      </c>
      <c r="P382" s="108">
        <v>-999</v>
      </c>
      <c r="Q382" s="80" t="s">
        <v>7071</v>
      </c>
    </row>
    <row r="383" spans="1:22" ht="38.25">
      <c r="A383" s="213" t="s">
        <v>2778</v>
      </c>
      <c r="B383" s="141" t="s">
        <v>1471</v>
      </c>
      <c r="C383" s="118" t="s">
        <v>3817</v>
      </c>
      <c r="D383" s="141"/>
      <c r="E383" s="118"/>
      <c r="F383" s="118"/>
      <c r="G383" s="118" t="s">
        <v>7278</v>
      </c>
      <c r="H383" s="118" t="s">
        <v>2351</v>
      </c>
      <c r="I383" s="118" t="s">
        <v>2354</v>
      </c>
      <c r="J383" s="118" t="s">
        <v>2425</v>
      </c>
      <c r="K383" s="141"/>
      <c r="L383" s="135" t="str">
        <f t="shared" si="20"/>
        <v>Chlorotalpa sclateri</v>
      </c>
      <c r="M383" s="133">
        <f t="shared" ref="M383:M389" si="25">LOG(N383)</f>
        <v>1.6127838567197355</v>
      </c>
      <c r="N383" s="133">
        <f>AVERAGE(48, 36, 39)</f>
        <v>41</v>
      </c>
      <c r="O383" s="179" t="s">
        <v>6882</v>
      </c>
      <c r="P383" s="108" t="s">
        <v>1853</v>
      </c>
      <c r="Q383" s="80" t="s">
        <v>6988</v>
      </c>
    </row>
    <row r="384" spans="1:22">
      <c r="A384" s="213" t="s">
        <v>2778</v>
      </c>
      <c r="B384" s="130"/>
      <c r="C384" s="118" t="s">
        <v>3817</v>
      </c>
      <c r="D384" s="141"/>
      <c r="E384" s="118"/>
      <c r="F384" s="118"/>
      <c r="G384" s="118" t="s">
        <v>7278</v>
      </c>
      <c r="H384" s="118" t="s">
        <v>2351</v>
      </c>
      <c r="I384" s="118" t="s">
        <v>2354</v>
      </c>
      <c r="J384" s="118" t="s">
        <v>2355</v>
      </c>
      <c r="K384" s="141"/>
      <c r="L384" s="135" t="str">
        <f t="shared" si="20"/>
        <v>Chlorotalpa arendsi</v>
      </c>
      <c r="M384" s="133">
        <f t="shared" si="25"/>
        <v>1.718917790679384</v>
      </c>
      <c r="N384" s="133">
        <f>AVERAGE(52.3503994703851, 58.2, 46.5)</f>
        <v>52.350133156795039</v>
      </c>
      <c r="O384" s="179" t="s">
        <v>3356</v>
      </c>
      <c r="P384" s="108" t="s">
        <v>7105</v>
      </c>
    </row>
    <row r="385" spans="1:18">
      <c r="A385" s="213" t="s">
        <v>2778</v>
      </c>
      <c r="B385" s="141" t="s">
        <v>1472</v>
      </c>
      <c r="C385" s="118" t="s">
        <v>3817</v>
      </c>
      <c r="D385" s="141"/>
      <c r="E385" s="118"/>
      <c r="F385" s="118"/>
      <c r="G385" s="118" t="s">
        <v>7278</v>
      </c>
      <c r="H385" s="118" t="s">
        <v>2351</v>
      </c>
      <c r="I385" s="118" t="s">
        <v>2130</v>
      </c>
      <c r="J385" s="118" t="s">
        <v>3553</v>
      </c>
      <c r="K385" s="141"/>
      <c r="L385" s="135" t="str">
        <f t="shared" si="20"/>
        <v>Chrysochloris visagiei</v>
      </c>
      <c r="M385" s="133">
        <f t="shared" si="25"/>
        <v>1.4771212547196624</v>
      </c>
      <c r="N385" s="158">
        <v>30</v>
      </c>
      <c r="O385" s="179" t="s">
        <v>6882</v>
      </c>
      <c r="P385" s="108">
        <v>230</v>
      </c>
      <c r="Q385" s="80" t="s">
        <v>7071</v>
      </c>
    </row>
    <row r="386" spans="1:18">
      <c r="A386" s="213" t="s">
        <v>2778</v>
      </c>
      <c r="B386" s="130"/>
      <c r="C386" s="118" t="s">
        <v>3817</v>
      </c>
      <c r="D386" s="141"/>
      <c r="E386" s="118"/>
      <c r="F386" s="118"/>
      <c r="G386" s="118" t="s">
        <v>7278</v>
      </c>
      <c r="H386" s="118" t="s">
        <v>2351</v>
      </c>
      <c r="I386" s="118" t="s">
        <v>2130</v>
      </c>
      <c r="J386" s="118" t="s">
        <v>2519</v>
      </c>
      <c r="K386" s="141"/>
      <c r="L386" s="135" t="str">
        <f t="shared" si="20"/>
        <v>Chrysochloris stuhlmanni</v>
      </c>
      <c r="M386" s="133">
        <f t="shared" si="25"/>
        <v>1.5998800000000002</v>
      </c>
      <c r="N386" s="133">
        <v>39.799718467294838</v>
      </c>
      <c r="O386" s="179" t="s">
        <v>3356</v>
      </c>
      <c r="P386" s="108">
        <v>60</v>
      </c>
    </row>
    <row r="387" spans="1:18">
      <c r="A387" s="213" t="s">
        <v>2778</v>
      </c>
      <c r="B387" s="130"/>
      <c r="C387" s="118" t="s">
        <v>3817</v>
      </c>
      <c r="D387" s="141"/>
      <c r="E387" s="118"/>
      <c r="F387" s="118"/>
      <c r="G387" s="118" t="s">
        <v>7278</v>
      </c>
      <c r="H387" s="118" t="s">
        <v>2351</v>
      </c>
      <c r="I387" s="118" t="s">
        <v>2130</v>
      </c>
      <c r="J387" s="118" t="s">
        <v>2131</v>
      </c>
      <c r="K387" s="141"/>
      <c r="L387" s="135" t="str">
        <f t="shared" si="20"/>
        <v>Chrysochloris asiatica</v>
      </c>
      <c r="M387" s="133">
        <f t="shared" si="25"/>
        <v>1.6901999999999999</v>
      </c>
      <c r="N387" s="133">
        <v>49.000442279323579</v>
      </c>
      <c r="O387" s="179" t="s">
        <v>3356</v>
      </c>
      <c r="P387" s="108">
        <v>60</v>
      </c>
    </row>
    <row r="388" spans="1:18">
      <c r="A388" s="213" t="s">
        <v>2778</v>
      </c>
      <c r="B388" s="130"/>
      <c r="C388" s="118" t="s">
        <v>3817</v>
      </c>
      <c r="D388" s="141"/>
      <c r="E388" s="118"/>
      <c r="F388" s="118"/>
      <c r="G388" s="118" t="s">
        <v>7278</v>
      </c>
      <c r="H388" s="118" t="s">
        <v>2351</v>
      </c>
      <c r="I388" s="118" t="s">
        <v>4919</v>
      </c>
      <c r="J388" s="118" t="s">
        <v>4748</v>
      </c>
      <c r="K388" s="141"/>
      <c r="L388" s="135" t="str">
        <f t="shared" si="20"/>
        <v>Chrysospalax villosus</v>
      </c>
      <c r="M388" s="133">
        <f t="shared" si="25"/>
        <v>2.0787294286241331</v>
      </c>
      <c r="N388" s="133">
        <f>AVERAGE(104.500892596965, 125, 108, 142)</f>
        <v>119.87522314924125</v>
      </c>
      <c r="O388" s="179" t="s">
        <v>6641</v>
      </c>
      <c r="P388" s="108" t="s">
        <v>7105</v>
      </c>
      <c r="Q388" s="90" t="s">
        <v>6988</v>
      </c>
    </row>
    <row r="389" spans="1:18" ht="25.5">
      <c r="A389" s="213" t="s">
        <v>2778</v>
      </c>
      <c r="B389" s="130"/>
      <c r="C389" s="118" t="s">
        <v>3817</v>
      </c>
      <c r="D389" s="141"/>
      <c r="E389" s="118"/>
      <c r="F389" s="118"/>
      <c r="G389" s="118" t="s">
        <v>7278</v>
      </c>
      <c r="H389" s="118" t="s">
        <v>2351</v>
      </c>
      <c r="I389" s="118" t="s">
        <v>4919</v>
      </c>
      <c r="J389" s="118" t="s">
        <v>5046</v>
      </c>
      <c r="K389" s="141"/>
      <c r="L389" s="135" t="str">
        <f t="shared" ref="L389:L452" si="26">I389&amp;" "&amp;J389</f>
        <v>Chrysospalax trevelyani</v>
      </c>
      <c r="M389" s="133">
        <f t="shared" si="25"/>
        <v>2.6299200000000003</v>
      </c>
      <c r="N389" s="133">
        <v>426.50094718725063</v>
      </c>
      <c r="O389" s="179" t="s">
        <v>6897</v>
      </c>
      <c r="P389" s="108">
        <v>60</v>
      </c>
      <c r="Q389" s="90" t="s">
        <v>6640</v>
      </c>
    </row>
    <row r="390" spans="1:18">
      <c r="A390" s="213" t="s">
        <v>2778</v>
      </c>
      <c r="B390" s="141" t="s">
        <v>1723</v>
      </c>
      <c r="C390" s="118" t="s">
        <v>3817</v>
      </c>
      <c r="D390" s="141"/>
      <c r="E390" s="118"/>
      <c r="F390" s="118"/>
      <c r="G390" s="118" t="s">
        <v>7278</v>
      </c>
      <c r="H390" s="118" t="s">
        <v>2351</v>
      </c>
      <c r="I390" s="118" t="s">
        <v>3554</v>
      </c>
      <c r="J390" s="118" t="s">
        <v>4033</v>
      </c>
      <c r="K390" s="141"/>
      <c r="L390" s="135" t="str">
        <f t="shared" si="26"/>
        <v>Cryptochloris wintoni</v>
      </c>
      <c r="M390" s="133">
        <v>-999</v>
      </c>
      <c r="N390" s="133">
        <v>-999</v>
      </c>
      <c r="O390" s="179" t="s">
        <v>6641</v>
      </c>
      <c r="P390" s="108">
        <v>-999</v>
      </c>
      <c r="Q390" s="80" t="s">
        <v>6988</v>
      </c>
    </row>
    <row r="391" spans="1:18">
      <c r="A391" s="213" t="s">
        <v>2778</v>
      </c>
      <c r="B391" s="141" t="s">
        <v>1723</v>
      </c>
      <c r="C391" s="118" t="s">
        <v>3817</v>
      </c>
      <c r="D391" s="141"/>
      <c r="E391" s="118"/>
      <c r="F391" s="118"/>
      <c r="G391" s="118" t="s">
        <v>7278</v>
      </c>
      <c r="H391" s="118" t="s">
        <v>2351</v>
      </c>
      <c r="I391" s="118" t="s">
        <v>3554</v>
      </c>
      <c r="J391" s="118" t="s">
        <v>4034</v>
      </c>
      <c r="K391" s="141"/>
      <c r="L391" s="135" t="str">
        <f t="shared" si="26"/>
        <v>Cryptochloris zyli</v>
      </c>
      <c r="M391" s="133">
        <f>LOG(N391)</f>
        <v>1.3979400086720377</v>
      </c>
      <c r="N391" s="158">
        <v>25</v>
      </c>
      <c r="O391" s="179" t="s">
        <v>6641</v>
      </c>
      <c r="P391" s="108">
        <v>229</v>
      </c>
      <c r="Q391" s="80" t="s">
        <v>7071</v>
      </c>
    </row>
    <row r="392" spans="1:18" ht="25.5">
      <c r="A392" s="213" t="s">
        <v>2778</v>
      </c>
      <c r="B392" s="130"/>
      <c r="C392" s="118" t="s">
        <v>3817</v>
      </c>
      <c r="D392" s="141"/>
      <c r="E392" s="118"/>
      <c r="F392" s="118"/>
      <c r="G392" s="118" t="s">
        <v>7278</v>
      </c>
      <c r="H392" s="118" t="s">
        <v>2351</v>
      </c>
      <c r="I392" s="118" t="s">
        <v>4628</v>
      </c>
      <c r="J392" s="118" t="s">
        <v>7281</v>
      </c>
      <c r="K392" s="141"/>
      <c r="L392" s="135" t="str">
        <f t="shared" si="26"/>
        <v>Eremitalpa granti</v>
      </c>
      <c r="M392" s="133">
        <f>LOG(N392)</f>
        <v>1.4166400000000001</v>
      </c>
      <c r="N392" s="133">
        <v>26.09996951027022</v>
      </c>
      <c r="O392" s="179" t="s">
        <v>8149</v>
      </c>
      <c r="P392" s="108">
        <v>60</v>
      </c>
      <c r="Q392" s="90" t="s">
        <v>6988</v>
      </c>
    </row>
    <row r="393" spans="1:18">
      <c r="A393" s="213" t="s">
        <v>2778</v>
      </c>
      <c r="B393" s="130"/>
      <c r="C393" s="118" t="s">
        <v>3817</v>
      </c>
      <c r="D393" s="141"/>
      <c r="E393" s="118"/>
      <c r="F393" s="118"/>
      <c r="G393" s="118" t="s">
        <v>7278</v>
      </c>
      <c r="H393" s="118" t="s">
        <v>7252</v>
      </c>
      <c r="I393" s="118" t="s">
        <v>7686</v>
      </c>
      <c r="J393" s="118" t="s">
        <v>2425</v>
      </c>
      <c r="K393" s="141"/>
      <c r="L393" s="135" t="str">
        <f t="shared" si="26"/>
        <v>Atelerix sclateri</v>
      </c>
      <c r="M393" s="133">
        <v>-999</v>
      </c>
      <c r="N393" s="133">
        <v>-999</v>
      </c>
      <c r="O393" s="179" t="s">
        <v>3356</v>
      </c>
      <c r="P393" s="108">
        <v>-999</v>
      </c>
      <c r="Q393" s="80"/>
    </row>
    <row r="394" spans="1:18">
      <c r="A394" s="213" t="s">
        <v>2778</v>
      </c>
      <c r="B394" s="130"/>
      <c r="C394" s="118" t="s">
        <v>3817</v>
      </c>
      <c r="D394" s="141"/>
      <c r="E394" s="118"/>
      <c r="F394" s="118"/>
      <c r="G394" s="118" t="s">
        <v>7278</v>
      </c>
      <c r="H394" s="118" t="s">
        <v>7252</v>
      </c>
      <c r="I394" s="118" t="s">
        <v>7686</v>
      </c>
      <c r="J394" s="118" t="s">
        <v>7688</v>
      </c>
      <c r="K394" s="141"/>
      <c r="L394" s="135" t="str">
        <f t="shared" si="26"/>
        <v>Atelerix frontalis</v>
      </c>
      <c r="M394" s="133">
        <f>LOG(N394)</f>
        <v>2.4906600000000001</v>
      </c>
      <c r="N394" s="133">
        <v>309.49953438604319</v>
      </c>
      <c r="O394" s="179" t="s">
        <v>3356</v>
      </c>
      <c r="P394" s="108">
        <v>60</v>
      </c>
    </row>
    <row r="395" spans="1:18">
      <c r="A395" s="213" t="s">
        <v>2778</v>
      </c>
      <c r="B395" s="130"/>
      <c r="C395" s="118" t="s">
        <v>3817</v>
      </c>
      <c r="D395" s="141"/>
      <c r="E395" s="118"/>
      <c r="F395" s="118"/>
      <c r="G395" s="118" t="s">
        <v>7278</v>
      </c>
      <c r="H395" s="118" t="s">
        <v>7252</v>
      </c>
      <c r="I395" s="118" t="s">
        <v>7686</v>
      </c>
      <c r="J395" s="118" t="s">
        <v>4379</v>
      </c>
      <c r="K395" s="141"/>
      <c r="L395" s="135" t="str">
        <f t="shared" si="26"/>
        <v>Atelerix albiventris</v>
      </c>
      <c r="M395" s="133">
        <f>LOG(N395)</f>
        <v>2.7781500000000001</v>
      </c>
      <c r="N395" s="133">
        <v>599.99827253364413</v>
      </c>
      <c r="O395" s="179" t="s">
        <v>3356</v>
      </c>
      <c r="P395" s="108">
        <v>65</v>
      </c>
    </row>
    <row r="396" spans="1:18">
      <c r="A396" s="213" t="s">
        <v>2778</v>
      </c>
      <c r="B396" s="130"/>
      <c r="C396" s="118" t="s">
        <v>3817</v>
      </c>
      <c r="D396" s="141"/>
      <c r="E396" s="118"/>
      <c r="F396" s="118"/>
      <c r="G396" s="118" t="s">
        <v>7278</v>
      </c>
      <c r="H396" s="118" t="s">
        <v>7252</v>
      </c>
      <c r="I396" s="118" t="s">
        <v>7686</v>
      </c>
      <c r="J396" s="118" t="s">
        <v>7687</v>
      </c>
      <c r="K396" s="141"/>
      <c r="L396" s="135" t="str">
        <f t="shared" si="26"/>
        <v>Atelerix algirus</v>
      </c>
      <c r="M396" s="133">
        <f>LOG(N396)</f>
        <v>3.0969100000000003</v>
      </c>
      <c r="N396" s="133">
        <v>1249.9999625598048</v>
      </c>
      <c r="O396" s="179" t="s">
        <v>3356</v>
      </c>
      <c r="P396" s="108">
        <v>65</v>
      </c>
    </row>
    <row r="397" spans="1:18">
      <c r="A397" s="213" t="s">
        <v>2778</v>
      </c>
      <c r="B397" s="130"/>
      <c r="C397" s="118" t="s">
        <v>3817</v>
      </c>
      <c r="D397" s="141"/>
      <c r="E397" s="118"/>
      <c r="F397" s="118"/>
      <c r="G397" s="118" t="s">
        <v>7278</v>
      </c>
      <c r="H397" s="118" t="s">
        <v>7252</v>
      </c>
      <c r="I397" s="118" t="s">
        <v>2114</v>
      </c>
      <c r="J397" s="118" t="s">
        <v>3481</v>
      </c>
      <c r="K397" s="141"/>
      <c r="L397" s="135" t="str">
        <f t="shared" si="26"/>
        <v>Hemiechinus aethiopicus</v>
      </c>
      <c r="M397" s="133">
        <f>LOG(N397)</f>
        <v>2.2741600000000002</v>
      </c>
      <c r="N397" s="133">
        <v>188.00093102594275</v>
      </c>
      <c r="O397" s="179" t="s">
        <v>3356</v>
      </c>
      <c r="P397" s="108">
        <v>60</v>
      </c>
    </row>
    <row r="398" spans="1:18" ht="15" customHeight="1">
      <c r="A398" s="213" t="s">
        <v>2778</v>
      </c>
      <c r="B398" s="141" t="s">
        <v>2609</v>
      </c>
      <c r="C398" s="118" t="s">
        <v>3817</v>
      </c>
      <c r="D398" s="141"/>
      <c r="E398" s="118"/>
      <c r="F398" s="118"/>
      <c r="G398" s="118" t="s">
        <v>7278</v>
      </c>
      <c r="H398" s="118" t="s">
        <v>4905</v>
      </c>
      <c r="I398" s="118" t="s">
        <v>6655</v>
      </c>
      <c r="J398" s="118" t="s">
        <v>6656</v>
      </c>
      <c r="K398" s="141"/>
      <c r="L398" s="135" t="str">
        <f t="shared" si="26"/>
        <v>Congosorex polli</v>
      </c>
      <c r="M398" s="133">
        <v>-999</v>
      </c>
      <c r="N398" s="133">
        <v>-999</v>
      </c>
      <c r="O398" s="179" t="s">
        <v>8149</v>
      </c>
      <c r="P398" s="108">
        <v>-999</v>
      </c>
      <c r="Q398" s="80" t="s">
        <v>7071</v>
      </c>
    </row>
    <row r="399" spans="1:18" ht="12" customHeight="1">
      <c r="A399" s="213" t="s">
        <v>2778</v>
      </c>
      <c r="B399" s="130"/>
      <c r="C399" s="118" t="s">
        <v>3817</v>
      </c>
      <c r="D399" s="141"/>
      <c r="E399" s="118"/>
      <c r="F399" s="118"/>
      <c r="G399" s="118" t="s">
        <v>7278</v>
      </c>
      <c r="H399" s="118" t="s">
        <v>4905</v>
      </c>
      <c r="I399" s="118" t="s">
        <v>5050</v>
      </c>
      <c r="J399" s="118" t="s">
        <v>7581</v>
      </c>
      <c r="K399" s="141"/>
      <c r="L399" s="135" t="str">
        <f t="shared" si="26"/>
        <v>Crocidura aleksandrisi</v>
      </c>
      <c r="M399" s="133">
        <v>-999</v>
      </c>
      <c r="N399" s="133">
        <v>-999</v>
      </c>
      <c r="O399" s="179" t="s">
        <v>3356</v>
      </c>
      <c r="P399" s="108">
        <v>-999</v>
      </c>
      <c r="Q399" s="80"/>
      <c r="R399" s="89"/>
    </row>
    <row r="400" spans="1:18" ht="25.5">
      <c r="A400" s="213" t="s">
        <v>2778</v>
      </c>
      <c r="B400" s="130"/>
      <c r="C400" s="118" t="s">
        <v>3817</v>
      </c>
      <c r="D400" s="141"/>
      <c r="E400" s="118"/>
      <c r="F400" s="118"/>
      <c r="G400" s="118" t="s">
        <v>7278</v>
      </c>
      <c r="H400" s="118" t="s">
        <v>4905</v>
      </c>
      <c r="I400" s="118" t="s">
        <v>5050</v>
      </c>
      <c r="J400" s="118" t="s">
        <v>2259</v>
      </c>
      <c r="K400" s="141"/>
      <c r="L400" s="135" t="str">
        <f t="shared" si="26"/>
        <v>Crocidura allex</v>
      </c>
      <c r="M400" s="133">
        <v>-999</v>
      </c>
      <c r="N400" s="133">
        <v>-999</v>
      </c>
      <c r="O400" s="179" t="s">
        <v>8149</v>
      </c>
      <c r="P400" s="108">
        <v>-999</v>
      </c>
      <c r="Q400" s="80" t="s">
        <v>6988</v>
      </c>
    </row>
    <row r="401" spans="1:18" ht="25.5">
      <c r="A401" s="213" t="s">
        <v>2778</v>
      </c>
      <c r="B401" s="130"/>
      <c r="C401" s="118" t="s">
        <v>3817</v>
      </c>
      <c r="D401" s="141"/>
      <c r="E401" s="118"/>
      <c r="F401" s="118"/>
      <c r="G401" s="118" t="s">
        <v>7278</v>
      </c>
      <c r="H401" s="118" t="s">
        <v>4905</v>
      </c>
      <c r="I401" s="118" t="s">
        <v>5050</v>
      </c>
      <c r="J401" s="118" t="s">
        <v>2118</v>
      </c>
      <c r="K401" s="141"/>
      <c r="L401" s="135" t="str">
        <f t="shared" si="26"/>
        <v>Crocidura ansellorum</v>
      </c>
      <c r="M401" s="133">
        <v>-999</v>
      </c>
      <c r="N401" s="133">
        <v>-999</v>
      </c>
      <c r="O401" s="179" t="s">
        <v>8149</v>
      </c>
      <c r="P401" s="108">
        <v>-999</v>
      </c>
      <c r="Q401" s="80" t="s">
        <v>7071</v>
      </c>
    </row>
    <row r="402" spans="1:18" ht="12" customHeight="1">
      <c r="A402" s="213" t="s">
        <v>2778</v>
      </c>
      <c r="B402" s="130"/>
      <c r="C402" s="118" t="s">
        <v>3817</v>
      </c>
      <c r="D402" s="141"/>
      <c r="E402" s="118"/>
      <c r="F402" s="118"/>
      <c r="G402" s="118" t="s">
        <v>7278</v>
      </c>
      <c r="H402" s="118" t="s">
        <v>4905</v>
      </c>
      <c r="I402" s="118" t="s">
        <v>5050</v>
      </c>
      <c r="J402" s="118" t="s">
        <v>2119</v>
      </c>
      <c r="K402" s="141"/>
      <c r="L402" s="135" t="str">
        <f t="shared" si="26"/>
        <v>Crocidura attila</v>
      </c>
      <c r="M402" s="133">
        <v>-999</v>
      </c>
      <c r="N402" s="133">
        <v>-999</v>
      </c>
      <c r="O402" s="179" t="s">
        <v>8149</v>
      </c>
      <c r="P402" s="108">
        <v>-999</v>
      </c>
      <c r="Q402" s="80" t="s">
        <v>6988</v>
      </c>
      <c r="R402" s="89"/>
    </row>
    <row r="403" spans="1:18" ht="25.5">
      <c r="A403" s="118" t="s">
        <v>2778</v>
      </c>
      <c r="B403" s="130"/>
      <c r="C403" s="118" t="s">
        <v>3817</v>
      </c>
      <c r="D403" s="141"/>
      <c r="E403" s="118"/>
      <c r="F403" s="118"/>
      <c r="G403" s="118" t="s">
        <v>7278</v>
      </c>
      <c r="H403" s="118" t="s">
        <v>4905</v>
      </c>
      <c r="I403" s="118" t="s">
        <v>5050</v>
      </c>
      <c r="J403" s="118" t="s">
        <v>2260</v>
      </c>
      <c r="K403" s="141"/>
      <c r="L403" s="135" t="str">
        <f t="shared" si="26"/>
        <v>Crocidura baileyi</v>
      </c>
      <c r="M403" s="133">
        <v>-999</v>
      </c>
      <c r="N403" s="133">
        <v>-999</v>
      </c>
      <c r="O403" s="179" t="s">
        <v>8149</v>
      </c>
      <c r="P403" s="108">
        <v>-999</v>
      </c>
      <c r="Q403" s="80" t="s">
        <v>6988</v>
      </c>
    </row>
    <row r="404" spans="1:18" ht="25.5">
      <c r="A404" s="118" t="s">
        <v>2778</v>
      </c>
      <c r="B404" s="141" t="s">
        <v>2505</v>
      </c>
      <c r="C404" s="118" t="s">
        <v>3817</v>
      </c>
      <c r="D404" s="141"/>
      <c r="E404" s="118"/>
      <c r="F404" s="118"/>
      <c r="G404" s="118" t="s">
        <v>7278</v>
      </c>
      <c r="H404" s="118" t="s">
        <v>4905</v>
      </c>
      <c r="I404" s="118" t="s">
        <v>5050</v>
      </c>
      <c r="J404" s="118" t="s">
        <v>3382</v>
      </c>
      <c r="K404" s="141"/>
      <c r="L404" s="135" t="str">
        <f t="shared" si="26"/>
        <v>Crocidura bottegoides</v>
      </c>
      <c r="M404" s="133">
        <v>-999</v>
      </c>
      <c r="N404" s="133">
        <v>-999</v>
      </c>
      <c r="O404" s="189" t="s">
        <v>8149</v>
      </c>
      <c r="P404" s="108">
        <v>-999</v>
      </c>
      <c r="Q404" s="80" t="s">
        <v>6988</v>
      </c>
    </row>
    <row r="405" spans="1:18">
      <c r="A405" s="118" t="s">
        <v>2778</v>
      </c>
      <c r="B405" s="130"/>
      <c r="C405" s="118" t="s">
        <v>3817</v>
      </c>
      <c r="D405" s="141"/>
      <c r="E405" s="118"/>
      <c r="F405" s="118"/>
      <c r="G405" s="118" t="s">
        <v>7278</v>
      </c>
      <c r="H405" s="118" t="s">
        <v>4905</v>
      </c>
      <c r="I405" s="118" t="s">
        <v>5050</v>
      </c>
      <c r="J405" s="118" t="s">
        <v>2121</v>
      </c>
      <c r="K405" s="141"/>
      <c r="L405" s="135" t="str">
        <f t="shared" si="26"/>
        <v>Crocidura buettikoferi</v>
      </c>
      <c r="M405" s="133">
        <v>-999</v>
      </c>
      <c r="N405" s="133">
        <v>-999</v>
      </c>
      <c r="O405" s="179" t="s">
        <v>3356</v>
      </c>
      <c r="P405" s="108">
        <v>-999</v>
      </c>
      <c r="Q405" s="80"/>
    </row>
    <row r="406" spans="1:18" ht="25.5">
      <c r="A406" s="118" t="s">
        <v>2778</v>
      </c>
      <c r="B406" s="130"/>
      <c r="C406" s="118" t="s">
        <v>3817</v>
      </c>
      <c r="D406" s="141"/>
      <c r="E406" s="118"/>
      <c r="F406" s="118"/>
      <c r="G406" s="118" t="s">
        <v>7278</v>
      </c>
      <c r="H406" s="118" t="s">
        <v>4905</v>
      </c>
      <c r="I406" s="118" t="s">
        <v>5050</v>
      </c>
      <c r="J406" s="118" t="s">
        <v>2122</v>
      </c>
      <c r="K406" s="141"/>
      <c r="L406" s="135" t="str">
        <f t="shared" si="26"/>
        <v>Crocidura caliginea</v>
      </c>
      <c r="M406" s="133">
        <v>-999</v>
      </c>
      <c r="N406" s="133">
        <v>-999</v>
      </c>
      <c r="O406" s="189" t="s">
        <v>8149</v>
      </c>
      <c r="P406" s="108">
        <v>-999</v>
      </c>
      <c r="Q406" s="80" t="s">
        <v>6988</v>
      </c>
    </row>
    <row r="407" spans="1:18">
      <c r="A407" s="118" t="s">
        <v>2778</v>
      </c>
      <c r="B407" s="130"/>
      <c r="C407" s="118" t="s">
        <v>3817</v>
      </c>
      <c r="D407" s="141"/>
      <c r="E407" s="118"/>
      <c r="F407" s="118"/>
      <c r="G407" s="118" t="s">
        <v>7278</v>
      </c>
      <c r="H407" s="118" t="s">
        <v>4905</v>
      </c>
      <c r="I407" s="118" t="s">
        <v>5050</v>
      </c>
      <c r="J407" s="118" t="s">
        <v>2123</v>
      </c>
      <c r="K407" s="141"/>
      <c r="L407" s="135" t="str">
        <f t="shared" si="26"/>
        <v>Crocidura cinderella</v>
      </c>
      <c r="M407" s="133">
        <v>-999</v>
      </c>
      <c r="N407" s="133">
        <v>-999</v>
      </c>
      <c r="O407" s="179" t="s">
        <v>3356</v>
      </c>
      <c r="P407" s="108">
        <v>-999</v>
      </c>
      <c r="Q407" s="80"/>
    </row>
    <row r="408" spans="1:18" ht="25.5">
      <c r="A408" s="118" t="s">
        <v>2778</v>
      </c>
      <c r="B408" s="130"/>
      <c r="C408" s="118" t="s">
        <v>3817</v>
      </c>
      <c r="D408" s="141"/>
      <c r="E408" s="118"/>
      <c r="F408" s="118"/>
      <c r="G408" s="118" t="s">
        <v>7278</v>
      </c>
      <c r="H408" s="118" t="s">
        <v>4905</v>
      </c>
      <c r="I408" s="118" t="s">
        <v>5050</v>
      </c>
      <c r="J408" s="118" t="s">
        <v>4914</v>
      </c>
      <c r="K408" s="141"/>
      <c r="L408" s="135" t="str">
        <f t="shared" si="26"/>
        <v>Crocidura congobelgica</v>
      </c>
      <c r="M408" s="133">
        <v>-999</v>
      </c>
      <c r="N408" s="133">
        <v>-999</v>
      </c>
      <c r="O408" s="189" t="s">
        <v>8149</v>
      </c>
      <c r="P408" s="108">
        <v>-999</v>
      </c>
      <c r="Q408" s="80" t="s">
        <v>6988</v>
      </c>
    </row>
    <row r="409" spans="1:18" ht="12" customHeight="1">
      <c r="A409" s="118" t="s">
        <v>2778</v>
      </c>
      <c r="B409" s="141" t="s">
        <v>2300</v>
      </c>
      <c r="C409" s="118" t="s">
        <v>3817</v>
      </c>
      <c r="D409" s="141"/>
      <c r="E409" s="118"/>
      <c r="F409" s="118"/>
      <c r="G409" s="118" t="s">
        <v>7278</v>
      </c>
      <c r="H409" s="118" t="s">
        <v>4905</v>
      </c>
      <c r="I409" s="118" t="s">
        <v>5050</v>
      </c>
      <c r="J409" s="118" t="s">
        <v>5879</v>
      </c>
      <c r="K409" s="141"/>
      <c r="L409" s="135" t="str">
        <f t="shared" si="26"/>
        <v>Crocidura desperata</v>
      </c>
      <c r="M409" s="133">
        <v>-999</v>
      </c>
      <c r="N409" s="133">
        <v>-999</v>
      </c>
      <c r="O409" s="189" t="s">
        <v>8149</v>
      </c>
      <c r="P409" s="108">
        <v>-999</v>
      </c>
      <c r="Q409" s="80" t="s">
        <v>7071</v>
      </c>
      <c r="R409" s="89"/>
    </row>
    <row r="410" spans="1:18" ht="12" customHeight="1">
      <c r="A410" s="118" t="s">
        <v>2778</v>
      </c>
      <c r="B410" s="130"/>
      <c r="C410" s="118" t="s">
        <v>3817</v>
      </c>
      <c r="D410" s="141"/>
      <c r="E410" s="118"/>
      <c r="F410" s="118"/>
      <c r="G410" s="118" t="s">
        <v>7278</v>
      </c>
      <c r="H410" s="118" t="s">
        <v>4905</v>
      </c>
      <c r="I410" s="118" t="s">
        <v>5050</v>
      </c>
      <c r="J410" s="118" t="s">
        <v>7450</v>
      </c>
      <c r="K410" s="141"/>
      <c r="L410" s="135" t="str">
        <f t="shared" si="26"/>
        <v>Crocidura eisentrauti</v>
      </c>
      <c r="M410" s="133">
        <v>-999</v>
      </c>
      <c r="N410" s="133">
        <v>-999</v>
      </c>
      <c r="O410" s="189" t="s">
        <v>8149</v>
      </c>
      <c r="P410" s="108">
        <v>-999</v>
      </c>
      <c r="Q410" s="80" t="s">
        <v>7071</v>
      </c>
      <c r="R410" s="89"/>
    </row>
    <row r="411" spans="1:18" ht="12" customHeight="1">
      <c r="A411" s="118" t="s">
        <v>2778</v>
      </c>
      <c r="B411" s="130"/>
      <c r="C411" s="118" t="s">
        <v>3817</v>
      </c>
      <c r="D411" s="141"/>
      <c r="E411" s="118"/>
      <c r="F411" s="118"/>
      <c r="G411" s="118" t="s">
        <v>7278</v>
      </c>
      <c r="H411" s="118" t="s">
        <v>4905</v>
      </c>
      <c r="I411" s="118" t="s">
        <v>5050</v>
      </c>
      <c r="J411" s="118" t="s">
        <v>2267</v>
      </c>
      <c r="K411" s="141"/>
      <c r="L411" s="135" t="str">
        <f t="shared" si="26"/>
        <v>Crocidura erica</v>
      </c>
      <c r="M411" s="133">
        <v>-999</v>
      </c>
      <c r="N411" s="133">
        <v>-999</v>
      </c>
      <c r="O411" s="189" t="s">
        <v>8149</v>
      </c>
      <c r="P411" s="108">
        <v>-999</v>
      </c>
      <c r="Q411" s="80" t="s">
        <v>6988</v>
      </c>
      <c r="R411" s="89"/>
    </row>
    <row r="412" spans="1:18" ht="12" customHeight="1">
      <c r="A412" s="121" t="s">
        <v>2778</v>
      </c>
      <c r="B412" s="130"/>
      <c r="C412" s="118" t="s">
        <v>3817</v>
      </c>
      <c r="D412" s="141"/>
      <c r="E412" s="118"/>
      <c r="F412" s="118"/>
      <c r="G412" s="118" t="s">
        <v>7278</v>
      </c>
      <c r="H412" s="118" t="s">
        <v>4905</v>
      </c>
      <c r="I412" s="118" t="s">
        <v>5050</v>
      </c>
      <c r="J412" s="118" t="s">
        <v>2268</v>
      </c>
      <c r="K412" s="141"/>
      <c r="L412" s="135" t="str">
        <f t="shared" si="26"/>
        <v>Crocidura fischeri</v>
      </c>
      <c r="M412" s="133">
        <v>-999</v>
      </c>
      <c r="N412" s="133">
        <v>-999</v>
      </c>
      <c r="O412" s="189" t="s">
        <v>8149</v>
      </c>
      <c r="P412" s="108">
        <v>-999</v>
      </c>
      <c r="Q412" s="80" t="s">
        <v>6988</v>
      </c>
      <c r="R412" s="89"/>
    </row>
    <row r="413" spans="1:18" ht="12" customHeight="1">
      <c r="A413" s="118" t="s">
        <v>2778</v>
      </c>
      <c r="B413" s="130"/>
      <c r="C413" s="118" t="s">
        <v>3817</v>
      </c>
      <c r="D413" s="141"/>
      <c r="E413" s="118"/>
      <c r="F413" s="118"/>
      <c r="G413" s="118" t="s">
        <v>7278</v>
      </c>
      <c r="H413" s="118" t="s">
        <v>4905</v>
      </c>
      <c r="I413" s="118" t="s">
        <v>5050</v>
      </c>
      <c r="J413" s="118" t="s">
        <v>7448</v>
      </c>
      <c r="K413" s="141"/>
      <c r="L413" s="135" t="str">
        <f t="shared" si="26"/>
        <v>Crocidura floweri</v>
      </c>
      <c r="M413" s="133">
        <v>-999</v>
      </c>
      <c r="N413" s="133">
        <v>-999</v>
      </c>
      <c r="O413" s="189" t="s">
        <v>8149</v>
      </c>
      <c r="P413" s="108">
        <v>-999</v>
      </c>
      <c r="Q413" s="80" t="s">
        <v>6640</v>
      </c>
      <c r="R413" s="89"/>
    </row>
    <row r="414" spans="1:18" ht="25.5">
      <c r="A414" s="118" t="s">
        <v>2778</v>
      </c>
      <c r="B414" s="130"/>
      <c r="C414" s="118" t="s">
        <v>3817</v>
      </c>
      <c r="D414" s="141"/>
      <c r="E414" s="118"/>
      <c r="F414" s="118"/>
      <c r="G414" s="118" t="s">
        <v>7278</v>
      </c>
      <c r="H414" s="118" t="s">
        <v>4905</v>
      </c>
      <c r="I414" s="118" t="s">
        <v>5050</v>
      </c>
      <c r="J414" s="118" t="s">
        <v>3847</v>
      </c>
      <c r="K414" s="141"/>
      <c r="L414" s="135" t="str">
        <f t="shared" si="26"/>
        <v>Crocidura glassi</v>
      </c>
      <c r="M414" s="133">
        <v>-999</v>
      </c>
      <c r="N414" s="133">
        <v>-999</v>
      </c>
      <c r="O414" s="189" t="s">
        <v>8149</v>
      </c>
      <c r="P414" s="108">
        <v>-999</v>
      </c>
      <c r="Q414" s="80" t="s">
        <v>6988</v>
      </c>
    </row>
    <row r="415" spans="1:18" ht="25.5">
      <c r="A415" s="213" t="s">
        <v>2778</v>
      </c>
      <c r="B415" s="130"/>
      <c r="C415" s="118" t="s">
        <v>3817</v>
      </c>
      <c r="D415" s="141"/>
      <c r="E415" s="118"/>
      <c r="F415" s="118"/>
      <c r="G415" s="118" t="s">
        <v>7278</v>
      </c>
      <c r="H415" s="118" t="s">
        <v>4905</v>
      </c>
      <c r="I415" s="118" t="s">
        <v>5050</v>
      </c>
      <c r="J415" s="118" t="s">
        <v>6682</v>
      </c>
      <c r="K415" s="141"/>
      <c r="L415" s="135" t="str">
        <f t="shared" si="26"/>
        <v>Crocidura greenwoodi</v>
      </c>
      <c r="M415" s="133">
        <v>-999</v>
      </c>
      <c r="N415" s="133">
        <v>-999</v>
      </c>
      <c r="O415" s="189" t="s">
        <v>8149</v>
      </c>
      <c r="P415" s="108">
        <v>-999</v>
      </c>
      <c r="Q415" s="80" t="s">
        <v>6988</v>
      </c>
    </row>
    <row r="416" spans="1:18" ht="24" customHeight="1">
      <c r="A416" s="118" t="s">
        <v>2778</v>
      </c>
      <c r="B416" s="141" t="s">
        <v>2505</v>
      </c>
      <c r="C416" s="118" t="s">
        <v>3817</v>
      </c>
      <c r="D416" s="141"/>
      <c r="E416" s="118"/>
      <c r="F416" s="118"/>
      <c r="G416" s="118" t="s">
        <v>7278</v>
      </c>
      <c r="H416" s="118" t="s">
        <v>4905</v>
      </c>
      <c r="I416" s="118" t="s">
        <v>5050</v>
      </c>
      <c r="J416" s="118" t="s">
        <v>5918</v>
      </c>
      <c r="K416" s="141"/>
      <c r="L416" s="135" t="str">
        <f t="shared" si="26"/>
        <v>Crocidura harenna</v>
      </c>
      <c r="M416" s="133">
        <v>-999</v>
      </c>
      <c r="N416" s="133">
        <v>-999</v>
      </c>
      <c r="O416" s="189" t="s">
        <v>8149</v>
      </c>
      <c r="P416" s="108">
        <v>-999</v>
      </c>
      <c r="Q416" s="80" t="s">
        <v>7071</v>
      </c>
      <c r="R416" s="89"/>
    </row>
    <row r="417" spans="1:18" ht="12" customHeight="1">
      <c r="A417" s="118" t="s">
        <v>2778</v>
      </c>
      <c r="B417" s="130"/>
      <c r="C417" s="118" t="s">
        <v>3817</v>
      </c>
      <c r="D417" s="141"/>
      <c r="E417" s="118"/>
      <c r="F417" s="118"/>
      <c r="G417" s="118" t="s">
        <v>7278</v>
      </c>
      <c r="H417" s="118" t="s">
        <v>4905</v>
      </c>
      <c r="I417" s="118" t="s">
        <v>5050</v>
      </c>
      <c r="J417" s="118" t="s">
        <v>3850</v>
      </c>
      <c r="K417" s="141"/>
      <c r="L417" s="135" t="str">
        <f t="shared" si="26"/>
        <v>Crocidura kivuana</v>
      </c>
      <c r="M417" s="133">
        <v>-999</v>
      </c>
      <c r="N417" s="133">
        <v>-999</v>
      </c>
      <c r="O417" s="189" t="s">
        <v>8149</v>
      </c>
      <c r="P417" s="108">
        <v>-999</v>
      </c>
      <c r="Q417" s="80" t="s">
        <v>6988</v>
      </c>
      <c r="R417" s="89"/>
    </row>
    <row r="418" spans="1:18">
      <c r="A418" s="118" t="s">
        <v>2778</v>
      </c>
      <c r="B418" s="130"/>
      <c r="C418" s="118" t="s">
        <v>3817</v>
      </c>
      <c r="D418" s="141"/>
      <c r="E418" s="118"/>
      <c r="F418" s="118"/>
      <c r="G418" s="118" t="s">
        <v>7278</v>
      </c>
      <c r="H418" s="118" t="s">
        <v>4905</v>
      </c>
      <c r="I418" s="118" t="s">
        <v>5050</v>
      </c>
      <c r="J418" s="118" t="s">
        <v>4053</v>
      </c>
      <c r="K418" s="141"/>
      <c r="L418" s="135" t="str">
        <f t="shared" si="26"/>
        <v>Crocidura lanosa</v>
      </c>
      <c r="M418" s="133">
        <v>-999</v>
      </c>
      <c r="N418" s="133">
        <v>-999</v>
      </c>
      <c r="O418" s="179" t="s">
        <v>3356</v>
      </c>
      <c r="P418" s="108">
        <v>-999</v>
      </c>
      <c r="Q418" s="80"/>
    </row>
    <row r="419" spans="1:18" ht="25.5">
      <c r="A419" s="118" t="s">
        <v>2778</v>
      </c>
      <c r="B419" s="130"/>
      <c r="C419" s="118" t="s">
        <v>3817</v>
      </c>
      <c r="D419" s="141"/>
      <c r="E419" s="118"/>
      <c r="F419" s="118"/>
      <c r="G419" s="118" t="s">
        <v>7278</v>
      </c>
      <c r="H419" s="118" t="s">
        <v>4905</v>
      </c>
      <c r="I419" s="118" t="s">
        <v>5050</v>
      </c>
      <c r="J419" s="118" t="s">
        <v>4054</v>
      </c>
      <c r="K419" s="141"/>
      <c r="L419" s="135" t="str">
        <f t="shared" si="26"/>
        <v>Crocidura latona</v>
      </c>
      <c r="M419" s="133">
        <v>-999</v>
      </c>
      <c r="N419" s="133">
        <v>-999</v>
      </c>
      <c r="O419" s="189" t="s">
        <v>8149</v>
      </c>
      <c r="P419" s="108">
        <v>-999</v>
      </c>
      <c r="Q419" s="80" t="s">
        <v>6988</v>
      </c>
    </row>
    <row r="420" spans="1:18" ht="25.5">
      <c r="A420" s="118" t="s">
        <v>2778</v>
      </c>
      <c r="B420" s="130"/>
      <c r="C420" s="118" t="s">
        <v>3817</v>
      </c>
      <c r="D420" s="141"/>
      <c r="E420" s="118"/>
      <c r="F420" s="118"/>
      <c r="G420" s="118" t="s">
        <v>7278</v>
      </c>
      <c r="H420" s="118" t="s">
        <v>4905</v>
      </c>
      <c r="I420" s="118" t="s">
        <v>5050</v>
      </c>
      <c r="J420" s="118" t="s">
        <v>4502</v>
      </c>
      <c r="K420" s="141"/>
      <c r="L420" s="135" t="str">
        <f t="shared" si="26"/>
        <v>Crocidura lucina</v>
      </c>
      <c r="M420" s="133">
        <v>-999</v>
      </c>
      <c r="N420" s="133">
        <v>-999</v>
      </c>
      <c r="O420" s="189" t="s">
        <v>8149</v>
      </c>
      <c r="P420" s="108">
        <v>-999</v>
      </c>
      <c r="Q420" s="80" t="s">
        <v>6988</v>
      </c>
    </row>
    <row r="421" spans="1:18" ht="12" customHeight="1">
      <c r="A421" s="213" t="s">
        <v>2778</v>
      </c>
      <c r="B421" s="130"/>
      <c r="C421" s="118" t="s">
        <v>3817</v>
      </c>
      <c r="D421" s="141"/>
      <c r="E421" s="118"/>
      <c r="F421" s="118"/>
      <c r="G421" s="118" t="s">
        <v>7278</v>
      </c>
      <c r="H421" s="118" t="s">
        <v>4905</v>
      </c>
      <c r="I421" s="118" t="s">
        <v>5050</v>
      </c>
      <c r="J421" s="118" t="s">
        <v>5122</v>
      </c>
      <c r="K421" s="141"/>
      <c r="L421" s="135" t="str">
        <f t="shared" si="26"/>
        <v>Crocidura ludia</v>
      </c>
      <c r="M421" s="133">
        <v>-999</v>
      </c>
      <c r="N421" s="133">
        <v>-999</v>
      </c>
      <c r="O421" s="189" t="s">
        <v>8149</v>
      </c>
      <c r="P421" s="108">
        <v>-999</v>
      </c>
      <c r="Q421" s="80" t="s">
        <v>6988</v>
      </c>
      <c r="R421" s="89"/>
    </row>
    <row r="422" spans="1:18">
      <c r="A422" s="118" t="s">
        <v>2778</v>
      </c>
      <c r="B422" s="130"/>
      <c r="C422" s="118" t="s">
        <v>3817</v>
      </c>
      <c r="D422" s="141"/>
      <c r="E422" s="118"/>
      <c r="F422" s="118"/>
      <c r="G422" s="118" t="s">
        <v>7278</v>
      </c>
      <c r="H422" s="118" t="s">
        <v>4905</v>
      </c>
      <c r="I422" s="118" t="s">
        <v>5050</v>
      </c>
      <c r="J422" s="118" t="s">
        <v>7051</v>
      </c>
      <c r="K422" s="141"/>
      <c r="L422" s="135" t="str">
        <f t="shared" si="26"/>
        <v>Crocidura macarthuri</v>
      </c>
      <c r="M422" s="133">
        <v>-999</v>
      </c>
      <c r="N422" s="133">
        <v>-999</v>
      </c>
      <c r="O422" s="179" t="s">
        <v>3356</v>
      </c>
      <c r="P422" s="108">
        <v>-999</v>
      </c>
      <c r="Q422" s="80"/>
    </row>
    <row r="423" spans="1:18" ht="25.5">
      <c r="A423" s="118" t="s">
        <v>2778</v>
      </c>
      <c r="B423" s="130"/>
      <c r="C423" s="118" t="s">
        <v>3817</v>
      </c>
      <c r="D423" s="141"/>
      <c r="E423" s="118"/>
      <c r="F423" s="118"/>
      <c r="G423" s="118" t="s">
        <v>7278</v>
      </c>
      <c r="H423" s="118" t="s">
        <v>4905</v>
      </c>
      <c r="I423" s="118" t="s">
        <v>5050</v>
      </c>
      <c r="J423" s="118" t="s">
        <v>7052</v>
      </c>
      <c r="K423" s="141"/>
      <c r="L423" s="135" t="str">
        <f t="shared" si="26"/>
        <v>Crocidura macmillani</v>
      </c>
      <c r="M423" s="133">
        <v>-999</v>
      </c>
      <c r="N423" s="133">
        <v>-999</v>
      </c>
      <c r="O423" s="189" t="s">
        <v>8149</v>
      </c>
      <c r="P423" s="108">
        <v>-999</v>
      </c>
      <c r="Q423" s="80" t="s">
        <v>7071</v>
      </c>
    </row>
    <row r="424" spans="1:18" ht="25.5">
      <c r="A424" s="118" t="s">
        <v>2778</v>
      </c>
      <c r="B424" s="130"/>
      <c r="C424" s="118" t="s">
        <v>3817</v>
      </c>
      <c r="D424" s="141"/>
      <c r="E424" s="118"/>
      <c r="F424" s="118"/>
      <c r="G424" s="118" t="s">
        <v>7278</v>
      </c>
      <c r="H424" s="118" t="s">
        <v>4905</v>
      </c>
      <c r="I424" s="118" t="s">
        <v>5050</v>
      </c>
      <c r="J424" s="118" t="s">
        <v>7053</v>
      </c>
      <c r="K424" s="141"/>
      <c r="L424" s="135" t="str">
        <f t="shared" si="26"/>
        <v>Crocidura macowi</v>
      </c>
      <c r="M424" s="133">
        <v>-999</v>
      </c>
      <c r="N424" s="133">
        <v>-999</v>
      </c>
      <c r="O424" s="189" t="s">
        <v>8149</v>
      </c>
      <c r="P424" s="108">
        <v>-999</v>
      </c>
      <c r="Q424" s="80" t="s">
        <v>7071</v>
      </c>
    </row>
    <row r="425" spans="1:18">
      <c r="A425" s="118" t="s">
        <v>2778</v>
      </c>
      <c r="B425" s="130"/>
      <c r="C425" s="118" t="s">
        <v>3817</v>
      </c>
      <c r="D425" s="141"/>
      <c r="E425" s="118"/>
      <c r="F425" s="118"/>
      <c r="G425" s="118" t="s">
        <v>7278</v>
      </c>
      <c r="H425" s="118" t="s">
        <v>4905</v>
      </c>
      <c r="I425" s="118" t="s">
        <v>5050</v>
      </c>
      <c r="J425" s="118" t="s">
        <v>5053</v>
      </c>
      <c r="K425" s="141"/>
      <c r="L425" s="135" t="str">
        <f t="shared" si="26"/>
        <v>Crocidura manengubae</v>
      </c>
      <c r="M425" s="133">
        <v>-999</v>
      </c>
      <c r="N425" s="133">
        <v>-999</v>
      </c>
      <c r="O425" s="179" t="s">
        <v>3356</v>
      </c>
      <c r="P425" s="108">
        <v>-999</v>
      </c>
      <c r="Q425" s="80"/>
    </row>
    <row r="426" spans="1:18">
      <c r="A426" s="118" t="s">
        <v>2778</v>
      </c>
      <c r="B426" s="130"/>
      <c r="C426" s="118" t="s">
        <v>3817</v>
      </c>
      <c r="D426" s="141"/>
      <c r="E426" s="118"/>
      <c r="F426" s="118"/>
      <c r="G426" s="118" t="s">
        <v>7278</v>
      </c>
      <c r="H426" s="118" t="s">
        <v>4905</v>
      </c>
      <c r="I426" s="118" t="s">
        <v>5050</v>
      </c>
      <c r="J426" s="118" t="s">
        <v>5126</v>
      </c>
      <c r="K426" s="141"/>
      <c r="L426" s="135" t="str">
        <f t="shared" si="26"/>
        <v>Crocidura muricauda</v>
      </c>
      <c r="M426" s="133">
        <v>-999</v>
      </c>
      <c r="N426" s="133">
        <v>-999</v>
      </c>
      <c r="O426" s="179" t="s">
        <v>3356</v>
      </c>
      <c r="P426" s="108">
        <v>-999</v>
      </c>
      <c r="Q426" s="80"/>
    </row>
    <row r="427" spans="1:18">
      <c r="A427" s="118" t="s">
        <v>2778</v>
      </c>
      <c r="B427" s="130"/>
      <c r="C427" s="118" t="s">
        <v>3817</v>
      </c>
      <c r="D427" s="141"/>
      <c r="E427" s="118"/>
      <c r="F427" s="118"/>
      <c r="G427" s="118" t="s">
        <v>7278</v>
      </c>
      <c r="H427" s="118" t="s">
        <v>4905</v>
      </c>
      <c r="I427" s="118" t="s">
        <v>5050</v>
      </c>
      <c r="J427" s="118" t="s">
        <v>4313</v>
      </c>
      <c r="K427" s="141"/>
      <c r="L427" s="135" t="str">
        <f t="shared" si="26"/>
        <v>Crocidura mutesae</v>
      </c>
      <c r="M427" s="133">
        <v>-999</v>
      </c>
      <c r="N427" s="133">
        <v>-999</v>
      </c>
      <c r="O427" s="179" t="s">
        <v>3356</v>
      </c>
      <c r="P427" s="108">
        <v>-999</v>
      </c>
      <c r="Q427" s="80"/>
    </row>
    <row r="428" spans="1:18">
      <c r="A428" s="213" t="s">
        <v>2778</v>
      </c>
      <c r="B428" s="130"/>
      <c r="C428" s="118" t="s">
        <v>3817</v>
      </c>
      <c r="D428" s="141"/>
      <c r="E428" s="118"/>
      <c r="F428" s="118"/>
      <c r="G428" s="118" t="s">
        <v>7278</v>
      </c>
      <c r="H428" s="118" t="s">
        <v>4905</v>
      </c>
      <c r="I428" s="118" t="s">
        <v>5050</v>
      </c>
      <c r="J428" s="118" t="s">
        <v>3504</v>
      </c>
      <c r="K428" s="141"/>
      <c r="L428" s="135" t="str">
        <f t="shared" si="26"/>
        <v>Crocidura nana</v>
      </c>
      <c r="M428" s="133">
        <v>-999</v>
      </c>
      <c r="N428" s="133">
        <v>-999</v>
      </c>
      <c r="O428" s="179" t="s">
        <v>3356</v>
      </c>
      <c r="P428" s="108">
        <v>-999</v>
      </c>
      <c r="Q428" s="80"/>
    </row>
    <row r="429" spans="1:18">
      <c r="A429" s="118" t="s">
        <v>2778</v>
      </c>
      <c r="B429" s="130"/>
      <c r="C429" s="118" t="s">
        <v>3817</v>
      </c>
      <c r="D429" s="141"/>
      <c r="E429" s="118"/>
      <c r="F429" s="118"/>
      <c r="G429" s="118" t="s">
        <v>7278</v>
      </c>
      <c r="H429" s="118" t="s">
        <v>4905</v>
      </c>
      <c r="I429" s="118" t="s">
        <v>5050</v>
      </c>
      <c r="J429" s="118" t="s">
        <v>4129</v>
      </c>
      <c r="K429" s="141"/>
      <c r="L429" s="135" t="str">
        <f t="shared" si="26"/>
        <v>Crocidura nigrofusca</v>
      </c>
      <c r="M429" s="133">
        <v>-999</v>
      </c>
      <c r="N429" s="133">
        <v>-999</v>
      </c>
      <c r="O429" s="179" t="s">
        <v>3356</v>
      </c>
      <c r="P429" s="108">
        <v>-999</v>
      </c>
      <c r="Q429" s="80"/>
    </row>
    <row r="430" spans="1:18">
      <c r="A430" s="118" t="s">
        <v>2778</v>
      </c>
      <c r="B430" s="130"/>
      <c r="C430" s="118" t="s">
        <v>3817</v>
      </c>
      <c r="D430" s="141"/>
      <c r="E430" s="118"/>
      <c r="F430" s="118"/>
      <c r="G430" s="118" t="s">
        <v>7278</v>
      </c>
      <c r="H430" s="118" t="s">
        <v>4905</v>
      </c>
      <c r="I430" s="118" t="s">
        <v>5050</v>
      </c>
      <c r="J430" s="118" t="s">
        <v>5429</v>
      </c>
      <c r="K430" s="141"/>
      <c r="L430" s="135" t="str">
        <f t="shared" si="26"/>
        <v>Crocidura obscurior</v>
      </c>
      <c r="M430" s="133">
        <v>-999</v>
      </c>
      <c r="N430" s="133">
        <v>-999</v>
      </c>
      <c r="O430" s="179" t="s">
        <v>3356</v>
      </c>
      <c r="P430" s="108">
        <v>-999</v>
      </c>
      <c r="Q430" s="80"/>
    </row>
    <row r="431" spans="1:18">
      <c r="A431" s="118" t="s">
        <v>2778</v>
      </c>
      <c r="B431" s="130"/>
      <c r="C431" s="118" t="s">
        <v>3817</v>
      </c>
      <c r="D431" s="141"/>
      <c r="E431" s="118"/>
      <c r="F431" s="118"/>
      <c r="G431" s="118" t="s">
        <v>7278</v>
      </c>
      <c r="H431" s="118" t="s">
        <v>4905</v>
      </c>
      <c r="I431" s="118" t="s">
        <v>5050</v>
      </c>
      <c r="J431" s="118" t="s">
        <v>7291</v>
      </c>
      <c r="K431" s="141"/>
      <c r="L431" s="135" t="str">
        <f t="shared" si="26"/>
        <v>Crocidura parvipes</v>
      </c>
      <c r="M431" s="133">
        <v>-999</v>
      </c>
      <c r="N431" s="133">
        <v>-999</v>
      </c>
      <c r="O431" s="179" t="s">
        <v>3356</v>
      </c>
      <c r="P431" s="108">
        <v>-999</v>
      </c>
      <c r="Q431" s="80"/>
    </row>
    <row r="432" spans="1:18" ht="25.5">
      <c r="A432" s="118" t="s">
        <v>2778</v>
      </c>
      <c r="B432" s="130"/>
      <c r="C432" s="118" t="s">
        <v>3817</v>
      </c>
      <c r="D432" s="141"/>
      <c r="E432" s="118"/>
      <c r="F432" s="118"/>
      <c r="G432" s="118" t="s">
        <v>7278</v>
      </c>
      <c r="H432" s="118" t="s">
        <v>4905</v>
      </c>
      <c r="I432" s="118" t="s">
        <v>5050</v>
      </c>
      <c r="J432" s="118" t="s">
        <v>7293</v>
      </c>
      <c r="K432" s="141"/>
      <c r="L432" s="135" t="str">
        <f t="shared" si="26"/>
        <v>Crocidura phaeura</v>
      </c>
      <c r="M432" s="133">
        <v>-999</v>
      </c>
      <c r="N432" s="133">
        <v>-999</v>
      </c>
      <c r="O432" s="189" t="s">
        <v>8149</v>
      </c>
      <c r="P432" s="108">
        <v>-999</v>
      </c>
      <c r="Q432" s="80" t="s">
        <v>7071</v>
      </c>
    </row>
    <row r="433" spans="1:18" ht="25.5">
      <c r="A433" s="118" t="s">
        <v>2778</v>
      </c>
      <c r="B433" s="130"/>
      <c r="C433" s="118" t="s">
        <v>3817</v>
      </c>
      <c r="D433" s="141"/>
      <c r="E433" s="118"/>
      <c r="F433" s="118"/>
      <c r="G433" s="118" t="s">
        <v>7278</v>
      </c>
      <c r="H433" s="118" t="s">
        <v>4905</v>
      </c>
      <c r="I433" s="118" t="s">
        <v>5050</v>
      </c>
      <c r="J433" s="118" t="s">
        <v>7294</v>
      </c>
      <c r="K433" s="141"/>
      <c r="L433" s="135" t="str">
        <f t="shared" si="26"/>
        <v>Crocidura picea</v>
      </c>
      <c r="M433" s="133">
        <v>-999</v>
      </c>
      <c r="N433" s="133">
        <v>-999</v>
      </c>
      <c r="O433" s="189" t="s">
        <v>8149</v>
      </c>
      <c r="P433" s="108">
        <v>-999</v>
      </c>
      <c r="Q433" s="80" t="s">
        <v>7071</v>
      </c>
    </row>
    <row r="434" spans="1:18" ht="25.5">
      <c r="A434" s="118" t="s">
        <v>2778</v>
      </c>
      <c r="B434" s="130"/>
      <c r="C434" s="118" t="s">
        <v>3817</v>
      </c>
      <c r="D434" s="141"/>
      <c r="E434" s="118"/>
      <c r="F434" s="118"/>
      <c r="G434" s="118" t="s">
        <v>7278</v>
      </c>
      <c r="H434" s="118" t="s">
        <v>4905</v>
      </c>
      <c r="I434" s="118" t="s">
        <v>5050</v>
      </c>
      <c r="J434" s="118" t="s">
        <v>7295</v>
      </c>
      <c r="K434" s="141"/>
      <c r="L434" s="135" t="str">
        <f t="shared" si="26"/>
        <v>Crocidura pitmani</v>
      </c>
      <c r="M434" s="133">
        <v>-999</v>
      </c>
      <c r="N434" s="133">
        <v>-999</v>
      </c>
      <c r="O434" s="189" t="s">
        <v>8149</v>
      </c>
      <c r="P434" s="108">
        <v>-999</v>
      </c>
      <c r="Q434" s="80" t="s">
        <v>6988</v>
      </c>
    </row>
    <row r="435" spans="1:18" ht="25.5">
      <c r="A435" s="118" t="s">
        <v>2778</v>
      </c>
      <c r="B435" s="141" t="s">
        <v>6064</v>
      </c>
      <c r="C435" s="118" t="s">
        <v>3817</v>
      </c>
      <c r="D435" s="141"/>
      <c r="E435" s="118"/>
      <c r="F435" s="118"/>
      <c r="G435" s="118" t="s">
        <v>7278</v>
      </c>
      <c r="H435" s="118" t="s">
        <v>4905</v>
      </c>
      <c r="I435" s="118" t="s">
        <v>5050</v>
      </c>
      <c r="J435" s="118" t="s">
        <v>6585</v>
      </c>
      <c r="K435" s="141"/>
      <c r="L435" s="135" t="str">
        <f t="shared" si="26"/>
        <v>Crocidura polia</v>
      </c>
      <c r="M435" s="133">
        <v>-999</v>
      </c>
      <c r="N435" s="133">
        <v>-999</v>
      </c>
      <c r="O435" s="189" t="s">
        <v>8149</v>
      </c>
      <c r="P435" s="108">
        <v>-999</v>
      </c>
      <c r="Q435" s="80" t="s">
        <v>7071</v>
      </c>
    </row>
    <row r="436" spans="1:18">
      <c r="A436" s="118" t="s">
        <v>2778</v>
      </c>
      <c r="B436" s="130"/>
      <c r="C436" s="118" t="s">
        <v>3817</v>
      </c>
      <c r="D436" s="141"/>
      <c r="E436" s="118"/>
      <c r="F436" s="118"/>
      <c r="G436" s="118" t="s">
        <v>7278</v>
      </c>
      <c r="H436" s="118" t="s">
        <v>4905</v>
      </c>
      <c r="I436" s="118" t="s">
        <v>5050</v>
      </c>
      <c r="J436" s="118" t="s">
        <v>3684</v>
      </c>
      <c r="K436" s="141"/>
      <c r="L436" s="135" t="str">
        <f t="shared" si="26"/>
        <v>Crocidura roosevelti</v>
      </c>
      <c r="M436" s="133">
        <v>-999</v>
      </c>
      <c r="N436" s="133">
        <v>-999</v>
      </c>
      <c r="O436" s="179" t="s">
        <v>3356</v>
      </c>
      <c r="P436" s="108">
        <v>-999</v>
      </c>
      <c r="Q436" s="80"/>
    </row>
    <row r="437" spans="1:18" ht="25.5">
      <c r="A437" s="118" t="s">
        <v>2778</v>
      </c>
      <c r="B437" s="130"/>
      <c r="C437" s="118" t="s">
        <v>3817</v>
      </c>
      <c r="D437" s="141"/>
      <c r="E437" s="118"/>
      <c r="F437" s="118"/>
      <c r="G437" s="118" t="s">
        <v>7278</v>
      </c>
      <c r="H437" s="118" t="s">
        <v>4905</v>
      </c>
      <c r="I437" s="118" t="s">
        <v>5050</v>
      </c>
      <c r="J437" s="118" t="s">
        <v>4166</v>
      </c>
      <c r="K437" s="141"/>
      <c r="L437" s="135" t="str">
        <f t="shared" si="26"/>
        <v>Crocidura selina</v>
      </c>
      <c r="M437" s="133">
        <v>-999</v>
      </c>
      <c r="N437" s="133">
        <v>-999</v>
      </c>
      <c r="O437" s="189" t="s">
        <v>8149</v>
      </c>
      <c r="P437" s="108">
        <v>-999</v>
      </c>
      <c r="Q437" s="80" t="s">
        <v>6640</v>
      </c>
    </row>
    <row r="438" spans="1:18">
      <c r="A438" s="118" t="s">
        <v>2778</v>
      </c>
      <c r="B438" s="130"/>
      <c r="C438" s="118" t="s">
        <v>3817</v>
      </c>
      <c r="D438" s="141"/>
      <c r="E438" s="118"/>
      <c r="F438" s="118"/>
      <c r="G438" s="118" t="s">
        <v>7278</v>
      </c>
      <c r="H438" s="118" t="s">
        <v>4905</v>
      </c>
      <c r="I438" s="118" t="s">
        <v>5050</v>
      </c>
      <c r="J438" s="118" t="s">
        <v>4168</v>
      </c>
      <c r="K438" s="141"/>
      <c r="L438" s="135" t="str">
        <f t="shared" si="26"/>
        <v>Crocidura smithii</v>
      </c>
      <c r="M438" s="133">
        <v>-999</v>
      </c>
      <c r="N438" s="133">
        <v>-999</v>
      </c>
      <c r="O438" s="179" t="s">
        <v>3356</v>
      </c>
      <c r="P438" s="108">
        <v>-999</v>
      </c>
      <c r="Q438" s="80"/>
    </row>
    <row r="439" spans="1:18" ht="12" customHeight="1">
      <c r="A439" s="118" t="s">
        <v>2778</v>
      </c>
      <c r="B439" s="130"/>
      <c r="C439" s="118" t="s">
        <v>3817</v>
      </c>
      <c r="D439" s="141"/>
      <c r="E439" s="118"/>
      <c r="F439" s="118"/>
      <c r="G439" s="118" t="s">
        <v>7278</v>
      </c>
      <c r="H439" s="118" t="s">
        <v>4905</v>
      </c>
      <c r="I439" s="118" t="s">
        <v>5050</v>
      </c>
      <c r="J439" s="118" t="s">
        <v>4387</v>
      </c>
      <c r="K439" s="141"/>
      <c r="L439" s="135" t="str">
        <f t="shared" si="26"/>
        <v>Crocidura stenocephala</v>
      </c>
      <c r="M439" s="133">
        <v>-999</v>
      </c>
      <c r="N439" s="133">
        <v>-999</v>
      </c>
      <c r="O439" s="189" t="s">
        <v>8149</v>
      </c>
      <c r="P439" s="108">
        <v>-999</v>
      </c>
      <c r="Q439" s="80" t="s">
        <v>6988</v>
      </c>
      <c r="R439" s="89"/>
    </row>
    <row r="440" spans="1:18" ht="25.5">
      <c r="A440" s="118" t="s">
        <v>2778</v>
      </c>
      <c r="B440" s="130"/>
      <c r="C440" s="118" t="s">
        <v>3817</v>
      </c>
      <c r="D440" s="141"/>
      <c r="E440" s="118"/>
      <c r="F440" s="118"/>
      <c r="G440" s="118" t="s">
        <v>7278</v>
      </c>
      <c r="H440" s="118" t="s">
        <v>4905</v>
      </c>
      <c r="I440" s="118" t="s">
        <v>5050</v>
      </c>
      <c r="J440" s="118" t="s">
        <v>4358</v>
      </c>
      <c r="K440" s="141"/>
      <c r="L440" s="135" t="str">
        <f t="shared" si="26"/>
        <v>Crocidura tansaniana</v>
      </c>
      <c r="M440" s="133">
        <v>-999</v>
      </c>
      <c r="N440" s="133">
        <v>-999</v>
      </c>
      <c r="O440" s="189" t="s">
        <v>8149</v>
      </c>
      <c r="P440" s="108">
        <v>-999</v>
      </c>
      <c r="Q440" s="80" t="s">
        <v>6988</v>
      </c>
    </row>
    <row r="441" spans="1:18">
      <c r="A441" s="118" t="s">
        <v>2778</v>
      </c>
      <c r="B441" s="130" t="s">
        <v>2580</v>
      </c>
      <c r="C441" s="118" t="s">
        <v>3817</v>
      </c>
      <c r="D441" s="141"/>
      <c r="E441" s="118"/>
      <c r="F441" s="118"/>
      <c r="G441" s="118" t="s">
        <v>7278</v>
      </c>
      <c r="H441" s="118" t="s">
        <v>4905</v>
      </c>
      <c r="I441" s="118" t="s">
        <v>5050</v>
      </c>
      <c r="J441" s="118" t="s">
        <v>4729</v>
      </c>
      <c r="K441" s="141"/>
      <c r="L441" s="135" t="str">
        <f t="shared" si="26"/>
        <v>Crocidura tarella</v>
      </c>
      <c r="M441" s="133">
        <v>-999</v>
      </c>
      <c r="N441" s="133">
        <v>-999</v>
      </c>
      <c r="O441" s="179" t="s">
        <v>3356</v>
      </c>
      <c r="P441" s="108">
        <v>-999</v>
      </c>
      <c r="Q441" s="80"/>
    </row>
    <row r="442" spans="1:18" ht="25.5">
      <c r="A442" s="118" t="s">
        <v>2778</v>
      </c>
      <c r="B442" s="130"/>
      <c r="C442" s="118" t="s">
        <v>3817</v>
      </c>
      <c r="D442" s="141"/>
      <c r="E442" s="118"/>
      <c r="F442" s="118"/>
      <c r="G442" s="118" t="s">
        <v>7278</v>
      </c>
      <c r="H442" s="118" t="s">
        <v>4905</v>
      </c>
      <c r="I442" s="118" t="s">
        <v>5050</v>
      </c>
      <c r="J442" s="118" t="s">
        <v>4360</v>
      </c>
      <c r="K442" s="141"/>
      <c r="L442" s="135" t="str">
        <f t="shared" si="26"/>
        <v>Crocidura telfordi</v>
      </c>
      <c r="M442" s="133">
        <v>-999</v>
      </c>
      <c r="N442" s="133">
        <v>-999</v>
      </c>
      <c r="O442" s="189" t="s">
        <v>8149</v>
      </c>
      <c r="P442" s="108">
        <v>-999</v>
      </c>
      <c r="Q442" s="80" t="s">
        <v>7071</v>
      </c>
    </row>
    <row r="443" spans="1:18">
      <c r="A443" s="118" t="s">
        <v>2778</v>
      </c>
      <c r="B443" s="130"/>
      <c r="C443" s="118" t="s">
        <v>3817</v>
      </c>
      <c r="D443" s="141"/>
      <c r="E443" s="118"/>
      <c r="F443" s="118"/>
      <c r="G443" s="118" t="s">
        <v>7278</v>
      </c>
      <c r="H443" s="118" t="s">
        <v>4905</v>
      </c>
      <c r="I443" s="118" t="s">
        <v>5050</v>
      </c>
      <c r="J443" s="118" t="s">
        <v>4133</v>
      </c>
      <c r="K443" s="141"/>
      <c r="L443" s="135" t="str">
        <f t="shared" si="26"/>
        <v>Crocidura thalia</v>
      </c>
      <c r="M443" s="133">
        <v>-999</v>
      </c>
      <c r="N443" s="133">
        <v>-999</v>
      </c>
      <c r="O443" s="179" t="s">
        <v>3356</v>
      </c>
      <c r="P443" s="108">
        <v>-999</v>
      </c>
      <c r="Q443" s="80" t="s">
        <v>6642</v>
      </c>
    </row>
    <row r="444" spans="1:18" ht="25.5">
      <c r="A444" s="118" t="s">
        <v>2778</v>
      </c>
      <c r="B444" s="130"/>
      <c r="C444" s="118" t="s">
        <v>3817</v>
      </c>
      <c r="D444" s="141"/>
      <c r="E444" s="118"/>
      <c r="F444" s="118"/>
      <c r="G444" s="118" t="s">
        <v>7278</v>
      </c>
      <c r="H444" s="118" t="s">
        <v>4905</v>
      </c>
      <c r="I444" s="118" t="s">
        <v>5050</v>
      </c>
      <c r="J444" s="118" t="s">
        <v>4135</v>
      </c>
      <c r="K444" s="141"/>
      <c r="L444" s="135" t="str">
        <f t="shared" si="26"/>
        <v>Crocidura thomensis</v>
      </c>
      <c r="M444" s="133">
        <v>-999</v>
      </c>
      <c r="N444" s="133">
        <v>-999</v>
      </c>
      <c r="O444" s="189" t="s">
        <v>8149</v>
      </c>
      <c r="P444" s="108">
        <v>-999</v>
      </c>
      <c r="Q444" s="80" t="s">
        <v>6988</v>
      </c>
    </row>
    <row r="445" spans="1:18" ht="25.5">
      <c r="A445" s="118" t="s">
        <v>2778</v>
      </c>
      <c r="B445" s="130"/>
      <c r="C445" s="118" t="s">
        <v>3817</v>
      </c>
      <c r="D445" s="141"/>
      <c r="E445" s="118"/>
      <c r="F445" s="118"/>
      <c r="G445" s="118" t="s">
        <v>7278</v>
      </c>
      <c r="H445" s="118" t="s">
        <v>4905</v>
      </c>
      <c r="I445" s="118" t="s">
        <v>5050</v>
      </c>
      <c r="J445" s="118" t="s">
        <v>7499</v>
      </c>
      <c r="K445" s="141"/>
      <c r="L445" s="135" t="str">
        <f t="shared" si="26"/>
        <v>Crocidura voi</v>
      </c>
      <c r="M445" s="133">
        <v>-999</v>
      </c>
      <c r="N445" s="133">
        <v>-999</v>
      </c>
      <c r="O445" s="179" t="s">
        <v>3356</v>
      </c>
      <c r="P445" s="108">
        <v>-999</v>
      </c>
      <c r="Q445" s="80"/>
      <c r="R445" s="85" t="s">
        <v>1817</v>
      </c>
    </row>
    <row r="446" spans="1:18" ht="25.5">
      <c r="A446" s="118" t="s">
        <v>2778</v>
      </c>
      <c r="B446" s="130"/>
      <c r="C446" s="118" t="s">
        <v>3817</v>
      </c>
      <c r="D446" s="141"/>
      <c r="E446" s="118"/>
      <c r="F446" s="118"/>
      <c r="G446" s="118" t="s">
        <v>7278</v>
      </c>
      <c r="H446" s="118" t="s">
        <v>4905</v>
      </c>
      <c r="I446" s="118" t="s">
        <v>5050</v>
      </c>
      <c r="J446" s="118" t="s">
        <v>7162</v>
      </c>
      <c r="K446" s="141"/>
      <c r="L446" s="135" t="str">
        <f t="shared" si="26"/>
        <v>Crocidura xantippe</v>
      </c>
      <c r="M446" s="133">
        <v>-999</v>
      </c>
      <c r="N446" s="133">
        <v>-999</v>
      </c>
      <c r="O446" s="189" t="s">
        <v>8149</v>
      </c>
      <c r="P446" s="108">
        <v>-999</v>
      </c>
      <c r="Q446" s="80" t="s">
        <v>6988</v>
      </c>
    </row>
    <row r="447" spans="1:18">
      <c r="A447" s="118" t="s">
        <v>2778</v>
      </c>
      <c r="B447" s="130"/>
      <c r="C447" s="118" t="s">
        <v>3817</v>
      </c>
      <c r="D447" s="141"/>
      <c r="E447" s="118"/>
      <c r="F447" s="118"/>
      <c r="G447" s="118" t="s">
        <v>7278</v>
      </c>
      <c r="H447" s="118" t="s">
        <v>4905</v>
      </c>
      <c r="I447" s="118" t="s">
        <v>5050</v>
      </c>
      <c r="J447" s="118" t="s">
        <v>3926</v>
      </c>
      <c r="K447" s="141"/>
      <c r="L447" s="135" t="str">
        <f t="shared" si="26"/>
        <v>Crocidura zaphiri</v>
      </c>
      <c r="M447" s="133">
        <v>-999</v>
      </c>
      <c r="N447" s="133">
        <v>-999</v>
      </c>
      <c r="O447" s="179" t="s">
        <v>3356</v>
      </c>
      <c r="P447" s="108">
        <v>-999</v>
      </c>
      <c r="Q447" s="80"/>
    </row>
    <row r="448" spans="1:18">
      <c r="A448" s="118" t="s">
        <v>2778</v>
      </c>
      <c r="B448" s="130"/>
      <c r="C448" s="118" t="s">
        <v>3817</v>
      </c>
      <c r="D448" s="141"/>
      <c r="E448" s="118"/>
      <c r="F448" s="118"/>
      <c r="G448" s="118" t="s">
        <v>7278</v>
      </c>
      <c r="H448" s="118" t="s">
        <v>4905</v>
      </c>
      <c r="I448" s="118" t="s">
        <v>5050</v>
      </c>
      <c r="J448" s="118" t="s">
        <v>7050</v>
      </c>
      <c r="K448" s="141"/>
      <c r="L448" s="135" t="str">
        <f t="shared" si="26"/>
        <v>Crocidura lusitania</v>
      </c>
      <c r="M448" s="133">
        <f t="shared" ref="M448:M479" si="27">LOG(N448)</f>
        <v>0.30103000000000008</v>
      </c>
      <c r="N448" s="133">
        <v>2.0000000199681049</v>
      </c>
      <c r="O448" s="179" t="s">
        <v>3356</v>
      </c>
      <c r="P448" s="108" t="s">
        <v>6894</v>
      </c>
    </row>
    <row r="449" spans="1:18">
      <c r="A449" s="118" t="s">
        <v>2778</v>
      </c>
      <c r="B449" s="130"/>
      <c r="C449" s="118" t="s">
        <v>3817</v>
      </c>
      <c r="D449" s="141"/>
      <c r="E449" s="118"/>
      <c r="F449" s="118"/>
      <c r="G449" s="118" t="s">
        <v>7278</v>
      </c>
      <c r="H449" s="118" t="s">
        <v>4905</v>
      </c>
      <c r="I449" s="118" t="s">
        <v>5050</v>
      </c>
      <c r="J449" s="118" t="s">
        <v>7296</v>
      </c>
      <c r="K449" s="141"/>
      <c r="L449" s="135" t="str">
        <f t="shared" si="26"/>
        <v>Crocidura planiceps</v>
      </c>
      <c r="M449" s="133">
        <f t="shared" si="27"/>
        <v>0.39794000000000007</v>
      </c>
      <c r="N449" s="133">
        <v>2.4999999500797396</v>
      </c>
      <c r="O449" s="179" t="s">
        <v>3356</v>
      </c>
      <c r="P449" s="108" t="s">
        <v>1500</v>
      </c>
      <c r="R449" s="85" t="s">
        <v>1610</v>
      </c>
    </row>
    <row r="450" spans="1:18">
      <c r="A450" s="118" t="s">
        <v>2778</v>
      </c>
      <c r="B450" s="130"/>
      <c r="C450" s="118" t="s">
        <v>3817</v>
      </c>
      <c r="D450" s="141"/>
      <c r="E450" s="118"/>
      <c r="F450" s="118"/>
      <c r="G450" s="118" t="s">
        <v>7278</v>
      </c>
      <c r="H450" s="118" t="s">
        <v>4905</v>
      </c>
      <c r="I450" s="118" t="s">
        <v>5050</v>
      </c>
      <c r="J450" s="118" t="s">
        <v>2261</v>
      </c>
      <c r="K450" s="141"/>
      <c r="L450" s="135" t="str">
        <f t="shared" si="26"/>
        <v>Crocidura bottegi</v>
      </c>
      <c r="M450" s="133">
        <f t="shared" si="27"/>
        <v>0.54407000000000005</v>
      </c>
      <c r="N450" s="133">
        <v>3.5000157607101445</v>
      </c>
      <c r="O450" s="179" t="s">
        <v>3356</v>
      </c>
      <c r="P450" s="108" t="s">
        <v>6894</v>
      </c>
    </row>
    <row r="451" spans="1:18">
      <c r="A451" s="213" t="s">
        <v>2778</v>
      </c>
      <c r="B451" s="130"/>
      <c r="C451" s="118" t="s">
        <v>3817</v>
      </c>
      <c r="D451" s="141"/>
      <c r="E451" s="118"/>
      <c r="F451" s="118"/>
      <c r="G451" s="118" t="s">
        <v>7278</v>
      </c>
      <c r="H451" s="118" t="s">
        <v>4905</v>
      </c>
      <c r="I451" s="118" t="s">
        <v>5050</v>
      </c>
      <c r="J451" s="118" t="s">
        <v>3846</v>
      </c>
      <c r="K451" s="141"/>
      <c r="L451" s="135" t="str">
        <f t="shared" si="26"/>
        <v>Crocidura fuscomurina</v>
      </c>
      <c r="M451" s="133">
        <f t="shared" si="27"/>
        <v>0.59291766661578005</v>
      </c>
      <c r="N451" s="133">
        <f>AVERAGE(5.75002853608759, 3, 3)</f>
        <v>3.9166761786958637</v>
      </c>
      <c r="O451" s="179" t="s">
        <v>3356</v>
      </c>
      <c r="P451" s="108" t="s">
        <v>1500</v>
      </c>
      <c r="R451" s="85" t="s">
        <v>1821</v>
      </c>
    </row>
    <row r="452" spans="1:18" ht="12" customHeight="1">
      <c r="A452" s="118" t="s">
        <v>2778</v>
      </c>
      <c r="B452" s="130"/>
      <c r="C452" s="118" t="s">
        <v>3817</v>
      </c>
      <c r="D452" s="141"/>
      <c r="E452" s="118"/>
      <c r="F452" s="118"/>
      <c r="G452" s="118" t="s">
        <v>7278</v>
      </c>
      <c r="H452" s="118" t="s">
        <v>4905</v>
      </c>
      <c r="I452" s="118" t="s">
        <v>5050</v>
      </c>
      <c r="J452" s="118" t="s">
        <v>7449</v>
      </c>
      <c r="K452" s="141"/>
      <c r="L452" s="135" t="str">
        <f t="shared" si="26"/>
        <v>Crocidura douceti</v>
      </c>
      <c r="M452" s="133">
        <f t="shared" si="27"/>
        <v>0.63347000000000009</v>
      </c>
      <c r="N452" s="133">
        <v>4.3000152915127021</v>
      </c>
      <c r="O452" s="179" t="s">
        <v>3356</v>
      </c>
      <c r="P452" s="108" t="s">
        <v>1500</v>
      </c>
      <c r="R452" s="89" t="s">
        <v>1816</v>
      </c>
    </row>
    <row r="453" spans="1:18">
      <c r="A453" s="118" t="s">
        <v>2778</v>
      </c>
      <c r="B453" s="130"/>
      <c r="C453" s="118" t="s">
        <v>3817</v>
      </c>
      <c r="D453" s="141"/>
      <c r="E453" s="118"/>
      <c r="F453" s="118"/>
      <c r="G453" s="118" t="s">
        <v>7278</v>
      </c>
      <c r="H453" s="118" t="s">
        <v>4905</v>
      </c>
      <c r="I453" s="118" t="s">
        <v>5050</v>
      </c>
      <c r="J453" s="118" t="s">
        <v>3678</v>
      </c>
      <c r="K453" s="141"/>
      <c r="L453" s="135" t="str">
        <f t="shared" ref="L453:L516" si="28">I453&amp;" "&amp;J453</f>
        <v>Crocidura suaveolens</v>
      </c>
      <c r="M453" s="133">
        <f t="shared" si="27"/>
        <v>0.69896999999999998</v>
      </c>
      <c r="N453" s="133">
        <v>4.9999999500797392</v>
      </c>
      <c r="O453" s="179"/>
      <c r="P453" s="115" t="s">
        <v>186</v>
      </c>
    </row>
    <row r="454" spans="1:18">
      <c r="A454" s="118" t="s">
        <v>2778</v>
      </c>
      <c r="B454" s="130"/>
      <c r="C454" s="118" t="s">
        <v>3817</v>
      </c>
      <c r="D454" s="141"/>
      <c r="E454" s="118"/>
      <c r="F454" s="118"/>
      <c r="G454" s="118" t="s">
        <v>7278</v>
      </c>
      <c r="H454" s="118" t="s">
        <v>4905</v>
      </c>
      <c r="I454" s="118" t="s">
        <v>5050</v>
      </c>
      <c r="J454" s="118" t="s">
        <v>3929</v>
      </c>
      <c r="K454" s="141"/>
      <c r="L454" s="135" t="str">
        <f t="shared" si="28"/>
        <v>Crocidura yankariensis</v>
      </c>
      <c r="M454" s="133">
        <f t="shared" si="27"/>
        <v>0.69896999999999998</v>
      </c>
      <c r="N454" s="133">
        <v>4.9999999500797392</v>
      </c>
      <c r="O454" s="179" t="s">
        <v>3356</v>
      </c>
      <c r="P454" s="108" t="s">
        <v>6894</v>
      </c>
      <c r="R454" s="85" t="s">
        <v>1802</v>
      </c>
    </row>
    <row r="455" spans="1:18">
      <c r="A455" s="118" t="s">
        <v>2778</v>
      </c>
      <c r="B455" s="130"/>
      <c r="C455" s="118" t="s">
        <v>3817</v>
      </c>
      <c r="D455" s="141"/>
      <c r="E455" s="118"/>
      <c r="F455" s="118"/>
      <c r="G455" s="118" t="s">
        <v>7278</v>
      </c>
      <c r="H455" s="118" t="s">
        <v>4905</v>
      </c>
      <c r="I455" s="118" t="s">
        <v>5050</v>
      </c>
      <c r="J455" s="118" t="s">
        <v>7160</v>
      </c>
      <c r="K455" s="141"/>
      <c r="L455" s="135" t="str">
        <f t="shared" si="28"/>
        <v>Crocidura whitakeri</v>
      </c>
      <c r="M455" s="133">
        <f t="shared" si="27"/>
        <v>0.74036000000000013</v>
      </c>
      <c r="N455" s="133">
        <v>5.4999659397640208</v>
      </c>
      <c r="O455" s="179" t="s">
        <v>3356</v>
      </c>
      <c r="P455" s="108">
        <v>60</v>
      </c>
    </row>
    <row r="456" spans="1:18">
      <c r="A456" s="118" t="s">
        <v>2778</v>
      </c>
      <c r="B456" s="130"/>
      <c r="C456" s="118" t="s">
        <v>3817</v>
      </c>
      <c r="D456" s="141"/>
      <c r="E456" s="118"/>
      <c r="F456" s="118"/>
      <c r="G456" s="118" t="s">
        <v>7278</v>
      </c>
      <c r="H456" s="118" t="s">
        <v>4905</v>
      </c>
      <c r="I456" s="118" t="s">
        <v>5050</v>
      </c>
      <c r="J456" s="118" t="s">
        <v>4055</v>
      </c>
      <c r="K456" s="141"/>
      <c r="L456" s="135" t="str">
        <f t="shared" si="28"/>
        <v>Crocidura dolichura</v>
      </c>
      <c r="M456" s="133">
        <f t="shared" si="27"/>
        <v>0.75587485567249146</v>
      </c>
      <c r="N456" s="133">
        <f>AVERAGE(5.5, 6.1, 5.5)</f>
        <v>5.7</v>
      </c>
      <c r="O456" s="179" t="s">
        <v>3356</v>
      </c>
      <c r="P456" s="108" t="s">
        <v>1814</v>
      </c>
      <c r="R456" s="85" t="s">
        <v>1815</v>
      </c>
    </row>
    <row r="457" spans="1:18">
      <c r="A457" s="118" t="s">
        <v>2778</v>
      </c>
      <c r="B457" s="130"/>
      <c r="C457" s="118" t="s">
        <v>3817</v>
      </c>
      <c r="D457" s="141"/>
      <c r="E457" s="118"/>
      <c r="F457" s="118"/>
      <c r="G457" s="118" t="s">
        <v>7278</v>
      </c>
      <c r="H457" s="118" t="s">
        <v>4905</v>
      </c>
      <c r="I457" s="118" t="s">
        <v>5050</v>
      </c>
      <c r="J457" s="118" t="s">
        <v>7463</v>
      </c>
      <c r="K457" s="141"/>
      <c r="L457" s="135" t="str">
        <f t="shared" si="28"/>
        <v>Crocidura maquassiensis</v>
      </c>
      <c r="M457" s="133">
        <f t="shared" si="27"/>
        <v>0.77815125038364363</v>
      </c>
      <c r="N457" s="133">
        <v>6</v>
      </c>
      <c r="O457" s="179" t="s">
        <v>3356</v>
      </c>
      <c r="P457" s="108" t="s">
        <v>1852</v>
      </c>
    </row>
    <row r="458" spans="1:18" ht="24" customHeight="1">
      <c r="A458" s="118" t="s">
        <v>2778</v>
      </c>
      <c r="B458" s="130"/>
      <c r="C458" s="118" t="s">
        <v>3817</v>
      </c>
      <c r="D458" s="141"/>
      <c r="E458" s="118"/>
      <c r="F458" s="118"/>
      <c r="G458" s="118" t="s">
        <v>7278</v>
      </c>
      <c r="H458" s="118" t="s">
        <v>4905</v>
      </c>
      <c r="I458" s="118" t="s">
        <v>5050</v>
      </c>
      <c r="J458" s="118" t="s">
        <v>3945</v>
      </c>
      <c r="K458" s="141"/>
      <c r="L458" s="135" t="str">
        <f t="shared" si="28"/>
        <v>Crocidura russula</v>
      </c>
      <c r="M458" s="133">
        <f t="shared" si="27"/>
        <v>0.80618000000000012</v>
      </c>
      <c r="N458" s="133">
        <v>6.4000003833876198</v>
      </c>
      <c r="O458" s="179" t="s">
        <v>3356</v>
      </c>
      <c r="P458" s="108">
        <v>60</v>
      </c>
      <c r="R458" s="89"/>
    </row>
    <row r="459" spans="1:18">
      <c r="A459" s="118" t="s">
        <v>2778</v>
      </c>
      <c r="B459" s="130"/>
      <c r="C459" s="118" t="s">
        <v>3817</v>
      </c>
      <c r="D459" s="141"/>
      <c r="E459" s="118"/>
      <c r="F459" s="118"/>
      <c r="G459" s="118" t="s">
        <v>7278</v>
      </c>
      <c r="H459" s="118" t="s">
        <v>4905</v>
      </c>
      <c r="I459" s="118" t="s">
        <v>5050</v>
      </c>
      <c r="J459" s="118" t="s">
        <v>4359</v>
      </c>
      <c r="K459" s="141"/>
      <c r="L459" s="135" t="str">
        <f t="shared" si="28"/>
        <v>Crocidura tarfayensis</v>
      </c>
      <c r="M459" s="133">
        <f t="shared" si="27"/>
        <v>0.81291000000000013</v>
      </c>
      <c r="N459" s="133">
        <v>6.4999497619814344</v>
      </c>
      <c r="O459" s="179" t="s">
        <v>3356</v>
      </c>
      <c r="P459" s="108">
        <v>60</v>
      </c>
    </row>
    <row r="460" spans="1:18" ht="24" customHeight="1">
      <c r="A460" s="118" t="s">
        <v>2778</v>
      </c>
      <c r="B460" s="130"/>
      <c r="C460" s="118" t="s">
        <v>3817</v>
      </c>
      <c r="D460" s="141"/>
      <c r="E460" s="118"/>
      <c r="F460" s="118"/>
      <c r="G460" s="118" t="s">
        <v>7278</v>
      </c>
      <c r="H460" s="118" t="s">
        <v>4905</v>
      </c>
      <c r="I460" s="118" t="s">
        <v>5050</v>
      </c>
      <c r="J460" s="118" t="s">
        <v>2266</v>
      </c>
      <c r="K460" s="141"/>
      <c r="L460" s="135" t="str">
        <f t="shared" si="28"/>
        <v>Crocidura elgonius</v>
      </c>
      <c r="M460" s="133">
        <f t="shared" si="27"/>
        <v>0.81291335664285558</v>
      </c>
      <c r="N460" s="133">
        <f>AVERAGE(3, 10)</f>
        <v>6.5</v>
      </c>
      <c r="O460" s="189" t="s">
        <v>8149</v>
      </c>
      <c r="P460" s="108">
        <v>108</v>
      </c>
      <c r="Q460" s="90" t="s">
        <v>7071</v>
      </c>
      <c r="R460" s="89"/>
    </row>
    <row r="461" spans="1:18">
      <c r="A461" s="118" t="s">
        <v>2778</v>
      </c>
      <c r="B461" s="130"/>
      <c r="C461" s="118" t="s">
        <v>3817</v>
      </c>
      <c r="D461" s="141"/>
      <c r="E461" s="118"/>
      <c r="F461" s="118"/>
      <c r="G461" s="118" t="s">
        <v>7278</v>
      </c>
      <c r="H461" s="118" t="s">
        <v>4905</v>
      </c>
      <c r="I461" s="118" t="s">
        <v>5050</v>
      </c>
      <c r="J461" s="118" t="s">
        <v>4314</v>
      </c>
      <c r="K461" s="141"/>
      <c r="L461" s="135" t="str">
        <f t="shared" si="28"/>
        <v>Crocidura nanilla</v>
      </c>
      <c r="M461" s="133">
        <f t="shared" si="27"/>
        <v>0.81291335664285558</v>
      </c>
      <c r="N461" s="133">
        <v>6.5</v>
      </c>
      <c r="O461" s="179" t="s">
        <v>3356</v>
      </c>
      <c r="P461" s="108">
        <v>108</v>
      </c>
    </row>
    <row r="462" spans="1:18" ht="36" customHeight="1">
      <c r="A462" s="118" t="s">
        <v>2778</v>
      </c>
      <c r="B462" s="130"/>
      <c r="C462" s="118" t="s">
        <v>3817</v>
      </c>
      <c r="D462" s="141"/>
      <c r="E462" s="118"/>
      <c r="F462" s="118"/>
      <c r="G462" s="118" t="s">
        <v>7278</v>
      </c>
      <c r="H462" s="118" t="s">
        <v>4905</v>
      </c>
      <c r="I462" s="118" t="s">
        <v>5050</v>
      </c>
      <c r="J462" s="118" t="s">
        <v>7292</v>
      </c>
      <c r="K462" s="141"/>
      <c r="L462" s="135" t="str">
        <f t="shared" si="28"/>
        <v>Crocidura pasha</v>
      </c>
      <c r="M462" s="133">
        <f t="shared" si="27"/>
        <v>0.81291335664285558</v>
      </c>
      <c r="N462" s="133">
        <v>6.5</v>
      </c>
      <c r="O462" s="179" t="s">
        <v>3356</v>
      </c>
      <c r="P462" s="108">
        <v>108</v>
      </c>
      <c r="R462" s="89"/>
    </row>
    <row r="463" spans="1:18">
      <c r="A463" s="118" t="s">
        <v>2778</v>
      </c>
      <c r="B463" s="144"/>
      <c r="C463" s="118" t="s">
        <v>3817</v>
      </c>
      <c r="D463" s="141"/>
      <c r="E463" s="118"/>
      <c r="F463" s="118"/>
      <c r="G463" s="118" t="s">
        <v>7278</v>
      </c>
      <c r="H463" s="118" t="s">
        <v>4905</v>
      </c>
      <c r="I463" s="118" t="s">
        <v>5050</v>
      </c>
      <c r="J463" s="118" t="s">
        <v>2607</v>
      </c>
      <c r="K463" s="141"/>
      <c r="L463" s="135" t="str">
        <f t="shared" si="28"/>
        <v>Crocidura crenata</v>
      </c>
      <c r="M463" s="133">
        <f t="shared" si="27"/>
        <v>0.81424759573192018</v>
      </c>
      <c r="N463" s="158">
        <v>6.52</v>
      </c>
      <c r="O463" s="182" t="s">
        <v>3356</v>
      </c>
      <c r="P463" s="111">
        <v>226</v>
      </c>
      <c r="Q463" s="80"/>
    </row>
    <row r="464" spans="1:18" ht="25.5">
      <c r="A464" s="118" t="s">
        <v>2778</v>
      </c>
      <c r="B464" s="130"/>
      <c r="C464" s="118" t="s">
        <v>3817</v>
      </c>
      <c r="D464" s="141"/>
      <c r="E464" s="118"/>
      <c r="F464" s="118"/>
      <c r="G464" s="118" t="s">
        <v>7278</v>
      </c>
      <c r="H464" s="118" t="s">
        <v>4905</v>
      </c>
      <c r="I464" s="118" t="s">
        <v>5050</v>
      </c>
      <c r="J464" s="118" t="s">
        <v>3848</v>
      </c>
      <c r="K464" s="141"/>
      <c r="L464" s="135" t="str">
        <f t="shared" si="28"/>
        <v>Crocidura gracilipes</v>
      </c>
      <c r="M464" s="133">
        <f t="shared" si="27"/>
        <v>0.82607480270082645</v>
      </c>
      <c r="N464" s="133">
        <f>AVERAGE(6.7, 6.7)</f>
        <v>6.7</v>
      </c>
      <c r="O464" s="189" t="s">
        <v>8149</v>
      </c>
      <c r="P464" s="108" t="s">
        <v>6637</v>
      </c>
      <c r="Q464" s="90" t="s">
        <v>7071</v>
      </c>
      <c r="R464" s="85" t="s">
        <v>1822</v>
      </c>
    </row>
    <row r="465" spans="1:18">
      <c r="A465" s="118" t="s">
        <v>2778</v>
      </c>
      <c r="B465" s="130"/>
      <c r="C465" s="118" t="s">
        <v>3817</v>
      </c>
      <c r="D465" s="141"/>
      <c r="E465" s="118"/>
      <c r="F465" s="118"/>
      <c r="G465" s="118" t="s">
        <v>7278</v>
      </c>
      <c r="H465" s="118" t="s">
        <v>4905</v>
      </c>
      <c r="I465" s="118" t="s">
        <v>5050</v>
      </c>
      <c r="J465" s="118" t="s">
        <v>2124</v>
      </c>
      <c r="K465" s="141"/>
      <c r="L465" s="135" t="str">
        <f t="shared" si="28"/>
        <v>Crocidura crossei</v>
      </c>
      <c r="M465" s="133">
        <f t="shared" si="27"/>
        <v>0.83884909073725544</v>
      </c>
      <c r="N465" s="133">
        <f>AVERAGE(6.3, 8, 6.4)</f>
        <v>6.9000000000000012</v>
      </c>
      <c r="O465" s="179" t="s">
        <v>3356</v>
      </c>
      <c r="P465" s="108" t="s">
        <v>1500</v>
      </c>
      <c r="R465" s="85" t="s">
        <v>1499</v>
      </c>
    </row>
    <row r="466" spans="1:18">
      <c r="A466" s="118" t="s">
        <v>2778</v>
      </c>
      <c r="B466" s="130"/>
      <c r="C466" s="118" t="s">
        <v>3817</v>
      </c>
      <c r="D466" s="141"/>
      <c r="E466" s="118"/>
      <c r="F466" s="118"/>
      <c r="G466" s="118" t="s">
        <v>7278</v>
      </c>
      <c r="H466" s="118" t="s">
        <v>4905</v>
      </c>
      <c r="I466" s="118" t="s">
        <v>5050</v>
      </c>
      <c r="J466" s="118" t="s">
        <v>2126</v>
      </c>
      <c r="K466" s="141"/>
      <c r="L466" s="135" t="str">
        <f t="shared" si="28"/>
        <v>Crocidura denti</v>
      </c>
      <c r="M466" s="133">
        <f t="shared" si="27"/>
        <v>0.84509804001425681</v>
      </c>
      <c r="N466" s="133">
        <v>7</v>
      </c>
      <c r="O466" s="179" t="s">
        <v>3356</v>
      </c>
      <c r="P466" s="108">
        <v>108</v>
      </c>
    </row>
    <row r="467" spans="1:18">
      <c r="A467" s="118" t="s">
        <v>2778</v>
      </c>
      <c r="B467" s="130"/>
      <c r="C467" s="118" t="s">
        <v>3817</v>
      </c>
      <c r="D467" s="141"/>
      <c r="E467" s="118"/>
      <c r="F467" s="118"/>
      <c r="G467" s="118" t="s">
        <v>7278</v>
      </c>
      <c r="H467" s="118" t="s">
        <v>4905</v>
      </c>
      <c r="I467" s="118" t="s">
        <v>5050</v>
      </c>
      <c r="J467" s="118" t="s">
        <v>4056</v>
      </c>
      <c r="K467" s="141"/>
      <c r="L467" s="135" t="str">
        <f t="shared" si="28"/>
        <v>Crocidura jacksoni</v>
      </c>
      <c r="M467" s="133">
        <f t="shared" si="27"/>
        <v>0.84509804001425681</v>
      </c>
      <c r="N467" s="133">
        <v>7</v>
      </c>
      <c r="O467" s="179" t="s">
        <v>3356</v>
      </c>
      <c r="P467" s="108">
        <v>108</v>
      </c>
    </row>
    <row r="468" spans="1:18">
      <c r="A468" s="118" t="s">
        <v>2778</v>
      </c>
      <c r="B468" s="130"/>
      <c r="C468" s="118" t="s">
        <v>3817</v>
      </c>
      <c r="D468" s="141"/>
      <c r="E468" s="118"/>
      <c r="F468" s="118"/>
      <c r="G468" s="118" t="s">
        <v>7278</v>
      </c>
      <c r="H468" s="118" t="s">
        <v>4905</v>
      </c>
      <c r="I468" s="118" t="s">
        <v>5050</v>
      </c>
      <c r="J468" s="118" t="s">
        <v>3683</v>
      </c>
      <c r="K468" s="141"/>
      <c r="L468" s="135" t="str">
        <f t="shared" si="28"/>
        <v>Crocidura religiosa</v>
      </c>
      <c r="M468" s="133">
        <f t="shared" si="27"/>
        <v>0.84509804001425681</v>
      </c>
      <c r="N468" s="133">
        <v>7</v>
      </c>
      <c r="O468" s="179" t="s">
        <v>3356</v>
      </c>
      <c r="P468" s="108" t="s">
        <v>2835</v>
      </c>
      <c r="Q468" s="90" t="s">
        <v>6987</v>
      </c>
    </row>
    <row r="469" spans="1:18">
      <c r="A469" s="118" t="s">
        <v>2778</v>
      </c>
      <c r="B469" s="130"/>
      <c r="C469" s="118" t="s">
        <v>3817</v>
      </c>
      <c r="D469" s="141"/>
      <c r="E469" s="118"/>
      <c r="F469" s="118"/>
      <c r="G469" s="118" t="s">
        <v>7278</v>
      </c>
      <c r="H469" s="118" t="s">
        <v>4905</v>
      </c>
      <c r="I469" s="118" t="s">
        <v>5050</v>
      </c>
      <c r="J469" s="118" t="s">
        <v>4167</v>
      </c>
      <c r="K469" s="141"/>
      <c r="L469" s="135" t="str">
        <f t="shared" si="28"/>
        <v>Crocidura silacea</v>
      </c>
      <c r="M469" s="133">
        <f t="shared" si="27"/>
        <v>0.90308998699194354</v>
      </c>
      <c r="N469" s="133">
        <f>AVERAGE(7,9)</f>
        <v>8</v>
      </c>
      <c r="O469" s="179" t="s">
        <v>3356</v>
      </c>
      <c r="P469" s="108" t="s">
        <v>1851</v>
      </c>
    </row>
    <row r="470" spans="1:18" ht="12" customHeight="1">
      <c r="A470" s="118" t="s">
        <v>2778</v>
      </c>
      <c r="B470" s="130"/>
      <c r="C470" s="118" t="s">
        <v>3817</v>
      </c>
      <c r="D470" s="141"/>
      <c r="E470" s="118"/>
      <c r="F470" s="118"/>
      <c r="G470" s="118" t="s">
        <v>7278</v>
      </c>
      <c r="H470" s="118" t="s">
        <v>4905</v>
      </c>
      <c r="I470" s="118" t="s">
        <v>5050</v>
      </c>
      <c r="J470" s="118" t="s">
        <v>2125</v>
      </c>
      <c r="K470" s="141"/>
      <c r="L470" s="135" t="str">
        <f t="shared" si="28"/>
        <v>Crocidura cyanea</v>
      </c>
      <c r="M470" s="133">
        <f t="shared" si="27"/>
        <v>0.97081161087251777</v>
      </c>
      <c r="N470" s="133">
        <f>AVERAGE(11, 7.7)</f>
        <v>9.35</v>
      </c>
      <c r="O470" s="179" t="s">
        <v>3356</v>
      </c>
      <c r="P470" s="108">
        <v>260</v>
      </c>
      <c r="R470" s="89"/>
    </row>
    <row r="471" spans="1:18">
      <c r="A471" s="118" t="s">
        <v>2778</v>
      </c>
      <c r="B471" s="130"/>
      <c r="C471" s="118" t="s">
        <v>3817</v>
      </c>
      <c r="D471" s="141"/>
      <c r="E471" s="118"/>
      <c r="F471" s="118"/>
      <c r="G471" s="118" t="s">
        <v>7278</v>
      </c>
      <c r="H471" s="118" t="s">
        <v>4905</v>
      </c>
      <c r="I471" s="118" t="s">
        <v>5050</v>
      </c>
      <c r="J471" s="118" t="s">
        <v>6683</v>
      </c>
      <c r="K471" s="141"/>
      <c r="L471" s="135" t="str">
        <f t="shared" si="28"/>
        <v>Crocidura hildegardeae</v>
      </c>
      <c r="M471" s="133">
        <f t="shared" si="27"/>
        <v>0.97772000000000003</v>
      </c>
      <c r="N471" s="133">
        <v>9.4999211362259555</v>
      </c>
      <c r="O471" s="179" t="s">
        <v>3356</v>
      </c>
      <c r="P471" s="108" t="s">
        <v>2835</v>
      </c>
    </row>
    <row r="472" spans="1:18" ht="25.5">
      <c r="A472" s="118" t="s">
        <v>2778</v>
      </c>
      <c r="B472" s="130"/>
      <c r="C472" s="118" t="s">
        <v>3817</v>
      </c>
      <c r="D472" s="141"/>
      <c r="E472" s="118"/>
      <c r="F472" s="118"/>
      <c r="G472" s="118" t="s">
        <v>7278</v>
      </c>
      <c r="H472" s="118" t="s">
        <v>4905</v>
      </c>
      <c r="I472" s="118" t="s">
        <v>5050</v>
      </c>
      <c r="J472" s="118" t="s">
        <v>4942</v>
      </c>
      <c r="K472" s="141"/>
      <c r="L472" s="135" t="str">
        <f t="shared" si="28"/>
        <v>Crocidura usambarae</v>
      </c>
      <c r="M472" s="133">
        <f t="shared" si="27"/>
        <v>0.98677173426624487</v>
      </c>
      <c r="N472" s="133">
        <v>9.6999999999999993</v>
      </c>
      <c r="O472" s="189" t="s">
        <v>8149</v>
      </c>
      <c r="P472" s="108">
        <v>124</v>
      </c>
      <c r="Q472" s="80" t="s">
        <v>6988</v>
      </c>
    </row>
    <row r="473" spans="1:18">
      <c r="A473" s="118" t="s">
        <v>2778</v>
      </c>
      <c r="B473" s="130"/>
      <c r="C473" s="118" t="s">
        <v>3817</v>
      </c>
      <c r="D473" s="141"/>
      <c r="E473" s="118"/>
      <c r="F473" s="118"/>
      <c r="G473" s="118" t="s">
        <v>7278</v>
      </c>
      <c r="H473" s="118" t="s">
        <v>4905</v>
      </c>
      <c r="I473" s="118" t="s">
        <v>5050</v>
      </c>
      <c r="J473" s="118" t="s">
        <v>7485</v>
      </c>
      <c r="K473" s="141"/>
      <c r="L473" s="135" t="str">
        <f t="shared" si="28"/>
        <v>Crocidura mariquensis</v>
      </c>
      <c r="M473" s="133">
        <f t="shared" si="27"/>
        <v>1.0511525224473812</v>
      </c>
      <c r="N473" s="133">
        <f>AVERAGE(13, 9.5)</f>
        <v>11.25</v>
      </c>
      <c r="O473" s="179" t="s">
        <v>3356</v>
      </c>
      <c r="P473" s="108">
        <v>260</v>
      </c>
    </row>
    <row r="474" spans="1:18" ht="25.5">
      <c r="A474" s="118" t="s">
        <v>2778</v>
      </c>
      <c r="B474" s="130"/>
      <c r="C474" s="118" t="s">
        <v>3817</v>
      </c>
      <c r="D474" s="141"/>
      <c r="E474" s="118"/>
      <c r="F474" s="118"/>
      <c r="G474" s="118" t="s">
        <v>7278</v>
      </c>
      <c r="H474" s="118" t="s">
        <v>4905</v>
      </c>
      <c r="I474" s="118" t="s">
        <v>5050</v>
      </c>
      <c r="J474" s="118" t="s">
        <v>4169</v>
      </c>
      <c r="K474" s="141"/>
      <c r="L474" s="135" t="str">
        <f t="shared" si="28"/>
        <v>Crocidura somalica</v>
      </c>
      <c r="M474" s="133">
        <f t="shared" si="27"/>
        <v>1.0607</v>
      </c>
      <c r="N474" s="133">
        <v>11.500057186992358</v>
      </c>
      <c r="O474" s="179" t="s">
        <v>3356</v>
      </c>
      <c r="P474" s="108">
        <v>60</v>
      </c>
      <c r="R474" s="85" t="s">
        <v>7781</v>
      </c>
    </row>
    <row r="475" spans="1:18">
      <c r="A475" s="118" t="s">
        <v>2778</v>
      </c>
      <c r="B475" s="130"/>
      <c r="C475" s="118" t="s">
        <v>3817</v>
      </c>
      <c r="D475" s="141"/>
      <c r="E475" s="118"/>
      <c r="F475" s="118"/>
      <c r="G475" s="118" t="s">
        <v>7278</v>
      </c>
      <c r="H475" s="118" t="s">
        <v>4905</v>
      </c>
      <c r="I475" s="118" t="s">
        <v>5050</v>
      </c>
      <c r="J475" s="118" t="s">
        <v>4492</v>
      </c>
      <c r="K475" s="141"/>
      <c r="L475" s="135" t="str">
        <f t="shared" si="28"/>
        <v>Crocidura fulvastra</v>
      </c>
      <c r="M475" s="133">
        <f t="shared" si="27"/>
        <v>1.1026623418971477</v>
      </c>
      <c r="N475" s="133">
        <f>AVERAGE(10, 10, 18)</f>
        <v>12.666666666666666</v>
      </c>
      <c r="O475" s="179" t="s">
        <v>3356</v>
      </c>
      <c r="P475" s="108" t="s">
        <v>6637</v>
      </c>
      <c r="R475" s="85" t="s">
        <v>1820</v>
      </c>
    </row>
    <row r="476" spans="1:18">
      <c r="A476" s="118" t="s">
        <v>2778</v>
      </c>
      <c r="B476" s="130"/>
      <c r="C476" s="118" t="s">
        <v>3817</v>
      </c>
      <c r="D476" s="141"/>
      <c r="E476" s="118"/>
      <c r="F476" s="118"/>
      <c r="G476" s="118" t="s">
        <v>7278</v>
      </c>
      <c r="H476" s="118" t="s">
        <v>4905</v>
      </c>
      <c r="I476" s="118" t="s">
        <v>5050</v>
      </c>
      <c r="J476" s="118" t="s">
        <v>4856</v>
      </c>
      <c r="K476" s="141"/>
      <c r="L476" s="135" t="str">
        <f t="shared" si="28"/>
        <v>Crocidura nigripes</v>
      </c>
      <c r="M476" s="133">
        <f t="shared" si="27"/>
        <v>1.1205739312058498</v>
      </c>
      <c r="N476" s="133">
        <f>1000*0.0132</f>
        <v>13.2</v>
      </c>
      <c r="O476" s="179" t="s">
        <v>3356</v>
      </c>
      <c r="P476" s="108">
        <v>60</v>
      </c>
      <c r="Q476" s="80"/>
    </row>
    <row r="477" spans="1:18">
      <c r="A477" s="118" t="s">
        <v>2778</v>
      </c>
      <c r="B477" s="130"/>
      <c r="C477" s="118" t="s">
        <v>3817</v>
      </c>
      <c r="D477" s="141"/>
      <c r="E477" s="118"/>
      <c r="F477" s="118"/>
      <c r="G477" s="118" t="s">
        <v>7278</v>
      </c>
      <c r="H477" s="118" t="s">
        <v>4905</v>
      </c>
      <c r="I477" s="118" t="s">
        <v>5050</v>
      </c>
      <c r="J477" s="118" t="s">
        <v>3887</v>
      </c>
      <c r="K477" s="141"/>
      <c r="L477" s="135" t="str">
        <f t="shared" si="28"/>
        <v>Crocidura grassei</v>
      </c>
      <c r="M477" s="133">
        <f t="shared" si="27"/>
        <v>1.1303337684950061</v>
      </c>
      <c r="N477" s="133">
        <v>13.5</v>
      </c>
      <c r="O477" s="179" t="s">
        <v>3356</v>
      </c>
      <c r="P477" s="108">
        <v>174</v>
      </c>
      <c r="Q477" s="80"/>
    </row>
    <row r="478" spans="1:18">
      <c r="A478" s="118" t="s">
        <v>2778</v>
      </c>
      <c r="B478" s="130"/>
      <c r="C478" s="118" t="s">
        <v>3817</v>
      </c>
      <c r="D478" s="141"/>
      <c r="E478" s="118"/>
      <c r="F478" s="118"/>
      <c r="G478" s="118" t="s">
        <v>7278</v>
      </c>
      <c r="H478" s="118" t="s">
        <v>4905</v>
      </c>
      <c r="I478" s="118" t="s">
        <v>5050</v>
      </c>
      <c r="J478" s="118" t="s">
        <v>7478</v>
      </c>
      <c r="K478" s="141"/>
      <c r="L478" s="135" t="str">
        <f t="shared" si="28"/>
        <v>Crocidura maurisca</v>
      </c>
      <c r="M478" s="133">
        <f t="shared" si="27"/>
        <v>1.1461300000000003</v>
      </c>
      <c r="N478" s="133">
        <v>14.000063322395309</v>
      </c>
      <c r="O478" s="179" t="s">
        <v>3356</v>
      </c>
      <c r="P478" s="108" t="s">
        <v>2835</v>
      </c>
    </row>
    <row r="479" spans="1:18" ht="12" customHeight="1">
      <c r="A479" s="118" t="s">
        <v>2778</v>
      </c>
      <c r="B479" s="130"/>
      <c r="C479" s="118" t="s">
        <v>3817</v>
      </c>
      <c r="D479" s="141"/>
      <c r="E479" s="118"/>
      <c r="F479" s="118"/>
      <c r="G479" s="118" t="s">
        <v>7278</v>
      </c>
      <c r="H479" s="118" t="s">
        <v>4905</v>
      </c>
      <c r="I479" s="118" t="s">
        <v>5050</v>
      </c>
      <c r="J479" s="118" t="s">
        <v>3845</v>
      </c>
      <c r="K479" s="141"/>
      <c r="L479" s="135" t="str">
        <f t="shared" si="28"/>
        <v>Crocidura fumosa</v>
      </c>
      <c r="M479" s="133">
        <f t="shared" si="27"/>
        <v>1.1613680022349748</v>
      </c>
      <c r="N479" s="133">
        <v>14.5</v>
      </c>
      <c r="O479" s="183" t="s">
        <v>8149</v>
      </c>
      <c r="P479" s="108" t="s">
        <v>2835</v>
      </c>
      <c r="Q479" s="90" t="s">
        <v>6988</v>
      </c>
      <c r="R479" s="89"/>
    </row>
    <row r="480" spans="1:18">
      <c r="A480" s="118" t="s">
        <v>2778</v>
      </c>
      <c r="B480" s="130"/>
      <c r="C480" s="118" t="s">
        <v>3817</v>
      </c>
      <c r="D480" s="141"/>
      <c r="E480" s="118"/>
      <c r="F480" s="118"/>
      <c r="G480" s="118" t="s">
        <v>7278</v>
      </c>
      <c r="H480" s="118" t="s">
        <v>4905</v>
      </c>
      <c r="I480" s="118" t="s">
        <v>5050</v>
      </c>
      <c r="J480" s="118" t="s">
        <v>7049</v>
      </c>
      <c r="K480" s="141"/>
      <c r="L480" s="135" t="str">
        <f t="shared" si="28"/>
        <v>Crocidura luna</v>
      </c>
      <c r="M480" s="133">
        <f t="shared" ref="M480:M504" si="29">LOG(N480)</f>
        <v>1.1613680022349748</v>
      </c>
      <c r="N480" s="133">
        <v>14.5</v>
      </c>
      <c r="O480" s="179" t="s">
        <v>3356</v>
      </c>
      <c r="P480" s="108">
        <v>108</v>
      </c>
    </row>
    <row r="481" spans="1:18">
      <c r="A481" s="213" t="s">
        <v>2778</v>
      </c>
      <c r="B481" s="130"/>
      <c r="C481" s="118" t="s">
        <v>3817</v>
      </c>
      <c r="D481" s="141"/>
      <c r="E481" s="118"/>
      <c r="F481" s="118"/>
      <c r="G481" s="118" t="s">
        <v>7278</v>
      </c>
      <c r="H481" s="118" t="s">
        <v>4905</v>
      </c>
      <c r="I481" s="118" t="s">
        <v>5050</v>
      </c>
      <c r="J481" s="118" t="s">
        <v>7480</v>
      </c>
      <c r="K481" s="141"/>
      <c r="L481" s="135" t="str">
        <f t="shared" si="28"/>
        <v>Crocidura montis</v>
      </c>
      <c r="M481" s="133">
        <f t="shared" si="29"/>
        <v>1.1613680022349748</v>
      </c>
      <c r="N481" s="133">
        <v>14.5</v>
      </c>
      <c r="O481" s="179" t="s">
        <v>3356</v>
      </c>
      <c r="P481" s="108">
        <v>108</v>
      </c>
    </row>
    <row r="482" spans="1:18" ht="25.5">
      <c r="A482" s="118" t="s">
        <v>2778</v>
      </c>
      <c r="B482" s="130"/>
      <c r="C482" s="118" t="s">
        <v>3817</v>
      </c>
      <c r="D482" s="141"/>
      <c r="E482" s="118"/>
      <c r="F482" s="118"/>
      <c r="G482" s="118" t="s">
        <v>7278</v>
      </c>
      <c r="H482" s="118" t="s">
        <v>4905</v>
      </c>
      <c r="I482" s="118" t="s">
        <v>5050</v>
      </c>
      <c r="J482" s="118" t="s">
        <v>4393</v>
      </c>
      <c r="K482" s="141"/>
      <c r="L482" s="135" t="str">
        <f t="shared" si="28"/>
        <v>Crocidura raineyi</v>
      </c>
      <c r="M482" s="133">
        <f t="shared" si="29"/>
        <v>1.1613680022349748</v>
      </c>
      <c r="N482" s="133">
        <v>14.5</v>
      </c>
      <c r="O482" s="189" t="s">
        <v>8149</v>
      </c>
      <c r="P482" s="108">
        <v>108</v>
      </c>
      <c r="Q482" s="90" t="s">
        <v>7071</v>
      </c>
    </row>
    <row r="483" spans="1:18">
      <c r="A483" s="118" t="s">
        <v>2778</v>
      </c>
      <c r="B483" s="130"/>
      <c r="C483" s="118" t="s">
        <v>3817</v>
      </c>
      <c r="D483" s="141"/>
      <c r="E483" s="118"/>
      <c r="F483" s="118"/>
      <c r="G483" s="118" t="s">
        <v>7278</v>
      </c>
      <c r="H483" s="118" t="s">
        <v>4905</v>
      </c>
      <c r="I483" s="118" t="s">
        <v>5050</v>
      </c>
      <c r="J483" s="118" t="s">
        <v>4361</v>
      </c>
      <c r="K483" s="141"/>
      <c r="L483" s="135" t="str">
        <f t="shared" si="28"/>
        <v>Crocidura turba</v>
      </c>
      <c r="M483" s="133">
        <f t="shared" si="29"/>
        <v>1.1613680022349748</v>
      </c>
      <c r="N483" s="133">
        <v>14.5</v>
      </c>
      <c r="O483" s="179" t="s">
        <v>3356</v>
      </c>
      <c r="P483" s="108">
        <v>108</v>
      </c>
    </row>
    <row r="484" spans="1:18" ht="25.5">
      <c r="A484" s="118" t="s">
        <v>2778</v>
      </c>
      <c r="B484" s="130"/>
      <c r="C484" s="118" t="s">
        <v>3817</v>
      </c>
      <c r="D484" s="141"/>
      <c r="E484" s="118"/>
      <c r="F484" s="118"/>
      <c r="G484" s="118" t="s">
        <v>7278</v>
      </c>
      <c r="H484" s="118" t="s">
        <v>4905</v>
      </c>
      <c r="I484" s="118" t="s">
        <v>5050</v>
      </c>
      <c r="J484" s="118" t="s">
        <v>4363</v>
      </c>
      <c r="K484" s="141"/>
      <c r="L484" s="135" t="str">
        <f t="shared" si="28"/>
        <v>Crocidura zimmeri</v>
      </c>
      <c r="M484" s="133">
        <f t="shared" si="29"/>
        <v>1.1613680022349748</v>
      </c>
      <c r="N484" s="133">
        <v>14.5</v>
      </c>
      <c r="O484" s="189" t="s">
        <v>8149</v>
      </c>
      <c r="P484" s="108">
        <v>108</v>
      </c>
      <c r="Q484" s="90" t="s">
        <v>6988</v>
      </c>
    </row>
    <row r="485" spans="1:18" ht="15.75">
      <c r="A485" s="118" t="s">
        <v>2778</v>
      </c>
      <c r="B485" s="144" t="s">
        <v>2615</v>
      </c>
      <c r="C485" s="118" t="s">
        <v>3817</v>
      </c>
      <c r="D485" s="141"/>
      <c r="E485" s="118"/>
      <c r="F485" s="118"/>
      <c r="G485" s="118" t="s">
        <v>7278</v>
      </c>
      <c r="H485" s="118" t="s">
        <v>4905</v>
      </c>
      <c r="I485" s="118" t="s">
        <v>5050</v>
      </c>
      <c r="J485" s="118" t="s">
        <v>7222</v>
      </c>
      <c r="K485" s="141"/>
      <c r="L485" s="135" t="str">
        <f t="shared" si="28"/>
        <v>Crocidura batesi</v>
      </c>
      <c r="M485" s="133">
        <f t="shared" si="29"/>
        <v>1.1903316981702914</v>
      </c>
      <c r="N485" s="158">
        <v>15.5</v>
      </c>
      <c r="O485" s="179" t="s">
        <v>3356</v>
      </c>
      <c r="P485" s="108">
        <v>226</v>
      </c>
      <c r="Q485" s="80"/>
      <c r="R485" s="89"/>
    </row>
    <row r="486" spans="1:18">
      <c r="A486" s="118" t="s">
        <v>2778</v>
      </c>
      <c r="B486" s="130"/>
      <c r="C486" s="118" t="s">
        <v>3817</v>
      </c>
      <c r="D486" s="141"/>
      <c r="E486" s="118"/>
      <c r="F486" s="118"/>
      <c r="G486" s="118" t="s">
        <v>7278</v>
      </c>
      <c r="H486" s="118" t="s">
        <v>4905</v>
      </c>
      <c r="I486" s="118" t="s">
        <v>5050</v>
      </c>
      <c r="J486" s="118" t="s">
        <v>4330</v>
      </c>
      <c r="K486" s="141"/>
      <c r="L486" s="135" t="str">
        <f t="shared" si="28"/>
        <v>Crocidura nimbae</v>
      </c>
      <c r="M486" s="133">
        <f t="shared" si="29"/>
        <v>1.1903877325529126</v>
      </c>
      <c r="N486" s="133">
        <v>15.502000000000001</v>
      </c>
      <c r="O486" s="179" t="s">
        <v>3356</v>
      </c>
      <c r="P486" s="108">
        <v>174</v>
      </c>
      <c r="Q486" s="80"/>
    </row>
    <row r="487" spans="1:18">
      <c r="A487" s="118" t="s">
        <v>2778</v>
      </c>
      <c r="B487" s="130"/>
      <c r="C487" s="118" t="s">
        <v>3817</v>
      </c>
      <c r="D487" s="141"/>
      <c r="E487" s="118"/>
      <c r="F487" s="118"/>
      <c r="G487" s="118" t="s">
        <v>7278</v>
      </c>
      <c r="H487" s="118" t="s">
        <v>4905</v>
      </c>
      <c r="I487" s="118" t="s">
        <v>5050</v>
      </c>
      <c r="J487" s="118" t="s">
        <v>6684</v>
      </c>
      <c r="K487" s="141"/>
      <c r="L487" s="135" t="str">
        <f t="shared" si="28"/>
        <v>Crocidura hirta</v>
      </c>
      <c r="M487" s="133">
        <f t="shared" si="29"/>
        <v>1.198657090467147</v>
      </c>
      <c r="N487" s="133">
        <f>AVERAGE(16.0000006389794, 16.1, 14.9, 16.9, 15.1)</f>
        <v>15.800000127795879</v>
      </c>
      <c r="O487" s="182" t="s">
        <v>3356</v>
      </c>
      <c r="P487" s="108" t="s">
        <v>7105</v>
      </c>
    </row>
    <row r="488" spans="1:18">
      <c r="A488" s="118" t="s">
        <v>2778</v>
      </c>
      <c r="B488" s="130"/>
      <c r="C488" s="118" t="s">
        <v>3817</v>
      </c>
      <c r="D488" s="141"/>
      <c r="E488" s="118"/>
      <c r="F488" s="118"/>
      <c r="G488" s="118" t="s">
        <v>7278</v>
      </c>
      <c r="H488" s="118" t="s">
        <v>4905</v>
      </c>
      <c r="I488" s="118" t="s">
        <v>5050</v>
      </c>
      <c r="J488" s="118" t="s">
        <v>5770</v>
      </c>
      <c r="K488" s="141"/>
      <c r="L488" s="135" t="str">
        <f t="shared" si="28"/>
        <v>Crocidura littoralis</v>
      </c>
      <c r="M488" s="133">
        <f t="shared" si="29"/>
        <v>1.2041199826559248</v>
      </c>
      <c r="N488" s="133">
        <f>AVERAGE(11, 21)</f>
        <v>16</v>
      </c>
      <c r="O488" s="179" t="s">
        <v>3356</v>
      </c>
      <c r="P488" s="108">
        <v>108</v>
      </c>
    </row>
    <row r="489" spans="1:18" ht="25.5">
      <c r="A489" s="118" t="s">
        <v>2778</v>
      </c>
      <c r="B489" s="130"/>
      <c r="C489" s="118" t="s">
        <v>3817</v>
      </c>
      <c r="D489" s="141"/>
      <c r="E489" s="118"/>
      <c r="F489" s="118"/>
      <c r="G489" s="118" t="s">
        <v>7278</v>
      </c>
      <c r="H489" s="118" t="s">
        <v>4905</v>
      </c>
      <c r="I489" s="118" t="s">
        <v>5050</v>
      </c>
      <c r="J489" s="118" t="s">
        <v>7479</v>
      </c>
      <c r="K489" s="141"/>
      <c r="L489" s="135" t="str">
        <f t="shared" si="28"/>
        <v>Crocidura monax</v>
      </c>
      <c r="M489" s="133">
        <f t="shared" si="29"/>
        <v>1.2041199826559248</v>
      </c>
      <c r="N489" s="133">
        <v>16</v>
      </c>
      <c r="O489" s="189" t="s">
        <v>8149</v>
      </c>
      <c r="P489" s="108">
        <v>108</v>
      </c>
      <c r="Q489" s="90" t="s">
        <v>6988</v>
      </c>
    </row>
    <row r="490" spans="1:18" ht="12" customHeight="1">
      <c r="A490" s="118" t="s">
        <v>2778</v>
      </c>
      <c r="B490" s="130"/>
      <c r="C490" s="118" t="s">
        <v>3817</v>
      </c>
      <c r="D490" s="141"/>
      <c r="E490" s="118"/>
      <c r="F490" s="118"/>
      <c r="G490" s="118" t="s">
        <v>7278</v>
      </c>
      <c r="H490" s="118" t="s">
        <v>4905</v>
      </c>
      <c r="I490" s="118" t="s">
        <v>5050</v>
      </c>
      <c r="J490" s="118" t="s">
        <v>4331</v>
      </c>
      <c r="K490" s="141"/>
      <c r="L490" s="135" t="str">
        <f t="shared" si="28"/>
        <v>Crocidura niobe</v>
      </c>
      <c r="M490" s="133">
        <f t="shared" si="29"/>
        <v>1.2041199826559248</v>
      </c>
      <c r="N490" s="133">
        <v>16</v>
      </c>
      <c r="O490" s="179" t="s">
        <v>3356</v>
      </c>
      <c r="P490" s="108">
        <v>108</v>
      </c>
      <c r="R490" s="89"/>
    </row>
    <row r="491" spans="1:18" ht="12" customHeight="1">
      <c r="A491" s="118" t="s">
        <v>2778</v>
      </c>
      <c r="B491" s="130"/>
      <c r="C491" s="118" t="s">
        <v>3817</v>
      </c>
      <c r="D491" s="141"/>
      <c r="E491" s="118"/>
      <c r="F491" s="118"/>
      <c r="G491" s="118" t="s">
        <v>7278</v>
      </c>
      <c r="H491" s="118" t="s">
        <v>4905</v>
      </c>
      <c r="I491" s="118" t="s">
        <v>5050</v>
      </c>
      <c r="J491" s="118" t="s">
        <v>5068</v>
      </c>
      <c r="K491" s="141"/>
      <c r="L491" s="135" t="str">
        <f t="shared" si="28"/>
        <v>Crocidura ultima</v>
      </c>
      <c r="M491" s="133">
        <f t="shared" si="29"/>
        <v>1.2041199826559248</v>
      </c>
      <c r="N491" s="133">
        <v>16</v>
      </c>
      <c r="O491" s="189" t="s">
        <v>8149</v>
      </c>
      <c r="P491" s="108">
        <v>108</v>
      </c>
      <c r="Q491" s="90" t="s">
        <v>7071</v>
      </c>
      <c r="R491" s="89"/>
    </row>
    <row r="492" spans="1:18">
      <c r="A492" s="118" t="s">
        <v>2778</v>
      </c>
      <c r="B492" s="130"/>
      <c r="C492" s="118" t="s">
        <v>3817</v>
      </c>
      <c r="D492" s="141"/>
      <c r="E492" s="118"/>
      <c r="F492" s="118"/>
      <c r="G492" s="118" t="s">
        <v>7278</v>
      </c>
      <c r="H492" s="118" t="s">
        <v>4905</v>
      </c>
      <c r="I492" s="118" t="s">
        <v>5050</v>
      </c>
      <c r="J492" s="118" t="s">
        <v>4392</v>
      </c>
      <c r="K492" s="141"/>
      <c r="L492" s="135" t="str">
        <f t="shared" si="28"/>
        <v>Crocidura poensis</v>
      </c>
      <c r="M492" s="133">
        <f t="shared" si="29"/>
        <v>1.2192363197680829</v>
      </c>
      <c r="N492" s="133">
        <f>AVERAGE(16.7001356961169, 16, 17)</f>
        <v>16.566711898705634</v>
      </c>
      <c r="O492" s="179" t="s">
        <v>3356</v>
      </c>
      <c r="P492" s="108" t="s">
        <v>6637</v>
      </c>
      <c r="R492" s="85" t="s">
        <v>1800</v>
      </c>
    </row>
    <row r="493" spans="1:18">
      <c r="A493" s="118" t="s">
        <v>2778</v>
      </c>
      <c r="B493" s="130"/>
      <c r="C493" s="118" t="s">
        <v>3817</v>
      </c>
      <c r="D493" s="141"/>
      <c r="E493" s="118"/>
      <c r="F493" s="118"/>
      <c r="G493" s="118" t="s">
        <v>7278</v>
      </c>
      <c r="H493" s="118" t="s">
        <v>4905</v>
      </c>
      <c r="I493" s="118" t="s">
        <v>5050</v>
      </c>
      <c r="J493" s="118" t="s">
        <v>7498</v>
      </c>
      <c r="K493" s="141"/>
      <c r="L493" s="135" t="str">
        <f t="shared" si="28"/>
        <v>Crocidura viaria</v>
      </c>
      <c r="M493" s="133">
        <f t="shared" si="29"/>
        <v>1.2304500000000003</v>
      </c>
      <c r="N493" s="133">
        <v>17.000042221563668</v>
      </c>
      <c r="O493" s="179" t="s">
        <v>3356</v>
      </c>
      <c r="P493" s="108" t="s">
        <v>6637</v>
      </c>
      <c r="R493" s="85" t="s">
        <v>1801</v>
      </c>
    </row>
    <row r="494" spans="1:18" ht="24" customHeight="1">
      <c r="A494" s="118" t="s">
        <v>2778</v>
      </c>
      <c r="B494" s="130"/>
      <c r="C494" s="118" t="s">
        <v>3817</v>
      </c>
      <c r="D494" s="141"/>
      <c r="E494" s="118"/>
      <c r="F494" s="118"/>
      <c r="G494" s="118" t="s">
        <v>7278</v>
      </c>
      <c r="H494" s="118" t="s">
        <v>4905</v>
      </c>
      <c r="I494" s="118" t="s">
        <v>5050</v>
      </c>
      <c r="J494" s="118" t="s">
        <v>4134</v>
      </c>
      <c r="K494" s="141"/>
      <c r="L494" s="135" t="str">
        <f t="shared" si="28"/>
        <v>Crocidura theresae</v>
      </c>
      <c r="M494" s="133">
        <f t="shared" si="29"/>
        <v>1.2455100000000001</v>
      </c>
      <c r="N494" s="133">
        <v>17.599891885836044</v>
      </c>
      <c r="O494" s="179" t="s">
        <v>3356</v>
      </c>
      <c r="P494" s="108">
        <v>60</v>
      </c>
      <c r="R494" s="89"/>
    </row>
    <row r="495" spans="1:18" ht="24" customHeight="1">
      <c r="A495" s="118" t="s">
        <v>2778</v>
      </c>
      <c r="B495" s="130"/>
      <c r="C495" s="118" t="s">
        <v>3817</v>
      </c>
      <c r="D495" s="141"/>
      <c r="E495" s="118"/>
      <c r="F495" s="118"/>
      <c r="G495" s="118" t="s">
        <v>7278</v>
      </c>
      <c r="H495" s="118" t="s">
        <v>4905</v>
      </c>
      <c r="I495" s="118" t="s">
        <v>5050</v>
      </c>
      <c r="J495" s="118" t="s">
        <v>7244</v>
      </c>
      <c r="K495" s="141"/>
      <c r="L495" s="135" t="str">
        <f t="shared" si="28"/>
        <v>Crocidura foxi</v>
      </c>
      <c r="M495" s="133">
        <f t="shared" si="29"/>
        <v>1.2787536009528289</v>
      </c>
      <c r="N495" s="133">
        <f>AVERAGE(14,20, 21, 21)</f>
        <v>19</v>
      </c>
      <c r="O495" s="189" t="s">
        <v>8149</v>
      </c>
      <c r="P495" s="108" t="s">
        <v>1500</v>
      </c>
      <c r="Q495" s="90" t="s">
        <v>6988</v>
      </c>
      <c r="R495" s="89" t="s">
        <v>1819</v>
      </c>
    </row>
    <row r="496" spans="1:18" ht="25.5">
      <c r="A496" s="118" t="s">
        <v>2778</v>
      </c>
      <c r="B496" s="130"/>
      <c r="C496" s="118" t="s">
        <v>3817</v>
      </c>
      <c r="D496" s="141"/>
      <c r="E496" s="118"/>
      <c r="F496" s="118"/>
      <c r="G496" s="118" t="s">
        <v>7278</v>
      </c>
      <c r="H496" s="118" t="s">
        <v>4905</v>
      </c>
      <c r="I496" s="118" t="s">
        <v>5050</v>
      </c>
      <c r="J496" s="118" t="s">
        <v>3808</v>
      </c>
      <c r="K496" s="141"/>
      <c r="L496" s="135" t="str">
        <f t="shared" si="28"/>
        <v>Crocidura longipes</v>
      </c>
      <c r="M496" s="133">
        <f t="shared" si="29"/>
        <v>1.2855600000000003</v>
      </c>
      <c r="N496" s="133">
        <v>19.300119587775207</v>
      </c>
      <c r="O496" s="189" t="s">
        <v>8149</v>
      </c>
      <c r="P496" s="108" t="s">
        <v>6637</v>
      </c>
      <c r="Q496" s="90" t="s">
        <v>6640</v>
      </c>
      <c r="R496" s="85" t="s">
        <v>1607</v>
      </c>
    </row>
    <row r="497" spans="1:18">
      <c r="A497" s="118" t="s">
        <v>2778</v>
      </c>
      <c r="B497" s="130"/>
      <c r="C497" s="118" t="s">
        <v>3817</v>
      </c>
      <c r="D497" s="141"/>
      <c r="E497" s="118"/>
      <c r="F497" s="118"/>
      <c r="G497" s="118" t="s">
        <v>7278</v>
      </c>
      <c r="H497" s="118" t="s">
        <v>4905</v>
      </c>
      <c r="I497" s="118" t="s">
        <v>5050</v>
      </c>
      <c r="J497" s="118" t="s">
        <v>4128</v>
      </c>
      <c r="K497" s="141"/>
      <c r="L497" s="135" t="str">
        <f t="shared" si="28"/>
        <v>Crocidura nigricans</v>
      </c>
      <c r="M497" s="133">
        <f t="shared" si="29"/>
        <v>1.3010300000000001</v>
      </c>
      <c r="N497" s="133">
        <v>20.000000199681054</v>
      </c>
      <c r="O497" s="179" t="s">
        <v>3356</v>
      </c>
      <c r="P497" s="108">
        <v>56</v>
      </c>
    </row>
    <row r="498" spans="1:18">
      <c r="A498" s="118" t="s">
        <v>2778</v>
      </c>
      <c r="B498" s="130"/>
      <c r="C498" s="118" t="s">
        <v>3817</v>
      </c>
      <c r="D498" s="141"/>
      <c r="E498" s="118"/>
      <c r="F498" s="118"/>
      <c r="G498" s="118" t="s">
        <v>7278</v>
      </c>
      <c r="H498" s="118" t="s">
        <v>4905</v>
      </c>
      <c r="I498" s="118" t="s">
        <v>5050</v>
      </c>
      <c r="J498" s="118" t="s">
        <v>4305</v>
      </c>
      <c r="K498" s="141"/>
      <c r="L498" s="135" t="str">
        <f t="shared" si="28"/>
        <v>Crocidura lamottei</v>
      </c>
      <c r="M498" s="133">
        <f t="shared" si="29"/>
        <v>1.3117538610557542</v>
      </c>
      <c r="N498" s="133">
        <f>AVERAGE(18,23)</f>
        <v>20.5</v>
      </c>
      <c r="O498" s="179" t="s">
        <v>3356</v>
      </c>
      <c r="P498" s="108" t="s">
        <v>1605</v>
      </c>
      <c r="Q498" s="80"/>
      <c r="R498" s="85" t="s">
        <v>1606</v>
      </c>
    </row>
    <row r="499" spans="1:18">
      <c r="A499" s="118" t="s">
        <v>2778</v>
      </c>
      <c r="B499" s="130"/>
      <c r="C499" s="118" t="s">
        <v>3817</v>
      </c>
      <c r="D499" s="141"/>
      <c r="E499" s="118"/>
      <c r="F499" s="118"/>
      <c r="G499" s="118" t="s">
        <v>7278</v>
      </c>
      <c r="H499" s="118" t="s">
        <v>4905</v>
      </c>
      <c r="I499" s="118" t="s">
        <v>5050</v>
      </c>
      <c r="J499" s="118" t="s">
        <v>4165</v>
      </c>
      <c r="K499" s="141"/>
      <c r="L499" s="135" t="str">
        <f t="shared" si="28"/>
        <v>Crocidura nigeriae</v>
      </c>
      <c r="M499" s="133">
        <f t="shared" si="29"/>
        <v>1.3617278360175928</v>
      </c>
      <c r="N499" s="133">
        <v>23</v>
      </c>
      <c r="O499" s="179" t="s">
        <v>3356</v>
      </c>
      <c r="P499" s="108">
        <v>130</v>
      </c>
      <c r="Q499" s="80"/>
      <c r="R499" s="85" t="s">
        <v>1604</v>
      </c>
    </row>
    <row r="500" spans="1:18">
      <c r="A500" s="118" t="s">
        <v>2778</v>
      </c>
      <c r="B500" s="130"/>
      <c r="C500" s="118" t="s">
        <v>3817</v>
      </c>
      <c r="D500" s="141"/>
      <c r="E500" s="118"/>
      <c r="F500" s="118"/>
      <c r="G500" s="118" t="s">
        <v>7278</v>
      </c>
      <c r="H500" s="118" t="s">
        <v>4905</v>
      </c>
      <c r="I500" s="118" t="s">
        <v>5050</v>
      </c>
      <c r="J500" s="118" t="s">
        <v>3849</v>
      </c>
      <c r="K500" s="141"/>
      <c r="L500" s="135" t="str">
        <f t="shared" si="28"/>
        <v>Crocidura grandiceps</v>
      </c>
      <c r="M500" s="133">
        <f t="shared" si="29"/>
        <v>1.3617300000000003</v>
      </c>
      <c r="N500" s="133">
        <v>23.000114603619075</v>
      </c>
      <c r="O500" s="179" t="s">
        <v>3356</v>
      </c>
      <c r="P500" s="108" t="s">
        <v>6637</v>
      </c>
      <c r="R500" s="85" t="s">
        <v>1604</v>
      </c>
    </row>
    <row r="501" spans="1:18" ht="25.5">
      <c r="A501" s="118" t="s">
        <v>2778</v>
      </c>
      <c r="B501" s="130"/>
      <c r="C501" s="118" t="s">
        <v>3817</v>
      </c>
      <c r="D501" s="141"/>
      <c r="E501" s="118"/>
      <c r="F501" s="118"/>
      <c r="G501" s="118" t="s">
        <v>7278</v>
      </c>
      <c r="H501" s="118" t="s">
        <v>4905</v>
      </c>
      <c r="I501" s="118" t="s">
        <v>5050</v>
      </c>
      <c r="J501" s="118" t="s">
        <v>7161</v>
      </c>
      <c r="K501" s="141"/>
      <c r="L501" s="135" t="str">
        <f t="shared" si="28"/>
        <v>Crocidura wimmeri</v>
      </c>
      <c r="M501" s="133">
        <f t="shared" si="29"/>
        <v>1.3710700000000002</v>
      </c>
      <c r="N501" s="133">
        <v>23.500115674363677</v>
      </c>
      <c r="O501" s="189" t="s">
        <v>8149</v>
      </c>
      <c r="P501" s="108">
        <v>60</v>
      </c>
      <c r="Q501" s="90" t="s">
        <v>6640</v>
      </c>
    </row>
    <row r="502" spans="1:18" ht="25.5">
      <c r="A502" s="118" t="s">
        <v>2778</v>
      </c>
      <c r="B502" s="130"/>
      <c r="C502" s="118" t="s">
        <v>3817</v>
      </c>
      <c r="D502" s="141"/>
      <c r="E502" s="118"/>
      <c r="F502" s="118"/>
      <c r="G502" s="118" t="s">
        <v>7278</v>
      </c>
      <c r="H502" s="118" t="s">
        <v>4905</v>
      </c>
      <c r="I502" s="118" t="s">
        <v>5050</v>
      </c>
      <c r="J502" s="118" t="s">
        <v>7584</v>
      </c>
      <c r="K502" s="141"/>
      <c r="L502" s="135" t="str">
        <f t="shared" si="28"/>
        <v>Crocidura flavescens</v>
      </c>
      <c r="M502" s="133">
        <f t="shared" si="29"/>
        <v>1.4546926260654962</v>
      </c>
      <c r="N502" s="133">
        <f>AVERAGE(24.3500579995202, 35.4, 33.8, 26.7, 22.2)</f>
        <v>28.49001159990404</v>
      </c>
      <c r="O502" s="183" t="s">
        <v>8149</v>
      </c>
      <c r="P502" s="108" t="s">
        <v>7105</v>
      </c>
      <c r="Q502" s="90" t="s">
        <v>6988</v>
      </c>
      <c r="R502" s="85" t="s">
        <v>1818</v>
      </c>
    </row>
    <row r="503" spans="1:18" ht="36" customHeight="1">
      <c r="A503" s="118" t="s">
        <v>2778</v>
      </c>
      <c r="B503" s="130"/>
      <c r="C503" s="118" t="s">
        <v>3817</v>
      </c>
      <c r="D503" s="141"/>
      <c r="E503" s="118"/>
      <c r="F503" s="118"/>
      <c r="G503" s="118" t="s">
        <v>7278</v>
      </c>
      <c r="H503" s="118" t="s">
        <v>4905</v>
      </c>
      <c r="I503" s="118" t="s">
        <v>5050</v>
      </c>
      <c r="J503" s="118" t="s">
        <v>6621</v>
      </c>
      <c r="K503" s="141"/>
      <c r="L503" s="135" t="str">
        <f t="shared" si="28"/>
        <v>Crocidura goliath</v>
      </c>
      <c r="M503" s="133">
        <f t="shared" si="29"/>
        <v>1.7390974461174751</v>
      </c>
      <c r="N503" s="158">
        <f>AVERAGE(61.58, 48.1)</f>
        <v>54.84</v>
      </c>
      <c r="O503" s="182" t="s">
        <v>3356</v>
      </c>
      <c r="P503" s="111" t="s">
        <v>7840</v>
      </c>
      <c r="Q503" s="80"/>
      <c r="R503" s="96"/>
    </row>
    <row r="504" spans="1:18">
      <c r="A504" s="118" t="s">
        <v>2778</v>
      </c>
      <c r="B504" s="130"/>
      <c r="C504" s="118" t="s">
        <v>3817</v>
      </c>
      <c r="D504" s="141"/>
      <c r="E504" s="118"/>
      <c r="F504" s="118"/>
      <c r="G504" s="118" t="s">
        <v>7278</v>
      </c>
      <c r="H504" s="118" t="s">
        <v>4905</v>
      </c>
      <c r="I504" s="118" t="s">
        <v>5050</v>
      </c>
      <c r="J504" s="118" t="s">
        <v>4139</v>
      </c>
      <c r="K504" s="141"/>
      <c r="L504" s="135" t="str">
        <f t="shared" si="28"/>
        <v>Crocidura olivieri</v>
      </c>
      <c r="M504" s="133">
        <f t="shared" si="29"/>
        <v>1.7630531603078394</v>
      </c>
      <c r="N504" s="133">
        <f>AVERAGE(50.8498879180913, 45, 78)</f>
        <v>57.949962639363768</v>
      </c>
      <c r="O504" s="179" t="s">
        <v>3356</v>
      </c>
      <c r="P504" s="108" t="s">
        <v>1608</v>
      </c>
      <c r="R504" s="85" t="s">
        <v>1609</v>
      </c>
    </row>
    <row r="505" spans="1:18">
      <c r="A505" s="118" t="s">
        <v>2778</v>
      </c>
      <c r="B505" s="141" t="s">
        <v>2195</v>
      </c>
      <c r="C505" s="118" t="s">
        <v>3817</v>
      </c>
      <c r="D505" s="141"/>
      <c r="E505" s="118"/>
      <c r="F505" s="118"/>
      <c r="G505" s="118" t="s">
        <v>7278</v>
      </c>
      <c r="H505" s="118" t="s">
        <v>4905</v>
      </c>
      <c r="I505" s="118" t="s">
        <v>4364</v>
      </c>
      <c r="J505" s="118" t="s">
        <v>5939</v>
      </c>
      <c r="K505" s="141"/>
      <c r="L505" s="135" t="str">
        <f t="shared" si="28"/>
        <v>Myosorex babaulti</v>
      </c>
      <c r="M505" s="133">
        <v>-999</v>
      </c>
      <c r="N505" s="133">
        <v>-999</v>
      </c>
      <c r="O505" s="179" t="s">
        <v>3356</v>
      </c>
      <c r="P505" s="108">
        <v>-999</v>
      </c>
      <c r="Q505" s="80"/>
    </row>
    <row r="506" spans="1:18" ht="25.5">
      <c r="A506" s="118" t="s">
        <v>2778</v>
      </c>
      <c r="B506" s="141" t="s">
        <v>2196</v>
      </c>
      <c r="C506" s="118" t="s">
        <v>3817</v>
      </c>
      <c r="D506" s="141"/>
      <c r="E506" s="118"/>
      <c r="F506" s="118"/>
      <c r="G506" s="118" t="s">
        <v>7278</v>
      </c>
      <c r="H506" s="118" t="s">
        <v>4905</v>
      </c>
      <c r="I506" s="118" t="s">
        <v>4364</v>
      </c>
      <c r="J506" s="118" t="s">
        <v>5165</v>
      </c>
      <c r="K506" s="141"/>
      <c r="L506" s="135" t="str">
        <f t="shared" si="28"/>
        <v>Myosorex blarina</v>
      </c>
      <c r="M506" s="133">
        <v>-999</v>
      </c>
      <c r="N506" s="133">
        <v>-999</v>
      </c>
      <c r="O506" s="179" t="s">
        <v>8149</v>
      </c>
      <c r="P506" s="108">
        <v>-999</v>
      </c>
      <c r="Q506" s="80" t="s">
        <v>6988</v>
      </c>
    </row>
    <row r="507" spans="1:18" ht="12" customHeight="1">
      <c r="A507" s="118" t="s">
        <v>2778</v>
      </c>
      <c r="B507" s="141" t="s">
        <v>2197</v>
      </c>
      <c r="C507" s="118" t="s">
        <v>3817</v>
      </c>
      <c r="D507" s="141"/>
      <c r="E507" s="118"/>
      <c r="F507" s="118"/>
      <c r="G507" s="118" t="s">
        <v>7278</v>
      </c>
      <c r="H507" s="118" t="s">
        <v>4905</v>
      </c>
      <c r="I507" s="118" t="s">
        <v>4364</v>
      </c>
      <c r="J507" s="118" t="s">
        <v>7450</v>
      </c>
      <c r="K507" s="141"/>
      <c r="L507" s="135" t="str">
        <f t="shared" si="28"/>
        <v>Myosorex eisentrauti</v>
      </c>
      <c r="M507" s="133">
        <v>-999</v>
      </c>
      <c r="N507" s="133">
        <v>-999</v>
      </c>
      <c r="O507" s="179" t="s">
        <v>8149</v>
      </c>
      <c r="P507" s="108">
        <v>-999</v>
      </c>
      <c r="Q507" s="88" t="s">
        <v>6640</v>
      </c>
    </row>
    <row r="508" spans="1:18" ht="48" customHeight="1">
      <c r="A508" s="118" t="s">
        <v>2778</v>
      </c>
      <c r="B508" s="141" t="s">
        <v>2615</v>
      </c>
      <c r="C508" s="118" t="s">
        <v>3817</v>
      </c>
      <c r="D508" s="141"/>
      <c r="E508" s="118"/>
      <c r="F508" s="118"/>
      <c r="G508" s="118" t="s">
        <v>7278</v>
      </c>
      <c r="H508" s="118" t="s">
        <v>4905</v>
      </c>
      <c r="I508" s="118" t="s">
        <v>4364</v>
      </c>
      <c r="J508" s="118" t="s">
        <v>3989</v>
      </c>
      <c r="K508" s="141"/>
      <c r="L508" s="135" t="str">
        <f t="shared" si="28"/>
        <v>Myosorex okuensis</v>
      </c>
      <c r="M508" s="133">
        <v>-999</v>
      </c>
      <c r="N508" s="133">
        <v>-999</v>
      </c>
      <c r="O508" s="183" t="s">
        <v>8149</v>
      </c>
      <c r="P508" s="108">
        <v>-999</v>
      </c>
      <c r="Q508" s="80" t="s">
        <v>6988</v>
      </c>
      <c r="R508" s="89"/>
    </row>
    <row r="509" spans="1:18" ht="25.5">
      <c r="A509" s="118" t="s">
        <v>2778</v>
      </c>
      <c r="B509" s="141" t="s">
        <v>2615</v>
      </c>
      <c r="C509" s="118" t="s">
        <v>3817</v>
      </c>
      <c r="D509" s="141"/>
      <c r="E509" s="118"/>
      <c r="F509" s="118"/>
      <c r="G509" s="118" t="s">
        <v>7278</v>
      </c>
      <c r="H509" s="118" t="s">
        <v>4905</v>
      </c>
      <c r="I509" s="118" t="s">
        <v>4364</v>
      </c>
      <c r="J509" s="118" t="s">
        <v>5942</v>
      </c>
      <c r="K509" s="141"/>
      <c r="L509" s="135" t="str">
        <f t="shared" si="28"/>
        <v>Myosorex rumpii</v>
      </c>
      <c r="M509" s="133">
        <v>-999</v>
      </c>
      <c r="N509" s="133">
        <v>-999</v>
      </c>
      <c r="O509" s="189" t="s">
        <v>8149</v>
      </c>
      <c r="P509" s="108">
        <v>-999</v>
      </c>
      <c r="Q509" s="80" t="s">
        <v>7071</v>
      </c>
    </row>
    <row r="510" spans="1:18" ht="25.5">
      <c r="A510" s="118" t="s">
        <v>2778</v>
      </c>
      <c r="B510" s="141" t="s">
        <v>6064</v>
      </c>
      <c r="C510" s="118" t="s">
        <v>3817</v>
      </c>
      <c r="D510" s="141"/>
      <c r="E510" s="118"/>
      <c r="F510" s="118"/>
      <c r="G510" s="118" t="s">
        <v>7278</v>
      </c>
      <c r="H510" s="118" t="s">
        <v>4905</v>
      </c>
      <c r="I510" s="118" t="s">
        <v>4364</v>
      </c>
      <c r="J510" s="118" t="s">
        <v>5943</v>
      </c>
      <c r="K510" s="141"/>
      <c r="L510" s="135" t="str">
        <f t="shared" si="28"/>
        <v>Myosorex schalleri</v>
      </c>
      <c r="M510" s="133">
        <v>-999</v>
      </c>
      <c r="N510" s="133">
        <v>-999</v>
      </c>
      <c r="O510" s="189" t="s">
        <v>8149</v>
      </c>
      <c r="P510" s="108">
        <v>-999</v>
      </c>
      <c r="Q510" s="80" t="s">
        <v>7071</v>
      </c>
    </row>
    <row r="511" spans="1:18" ht="25.5">
      <c r="A511" s="118" t="s">
        <v>2778</v>
      </c>
      <c r="B511" s="141" t="s">
        <v>2576</v>
      </c>
      <c r="C511" s="118" t="s">
        <v>3817</v>
      </c>
      <c r="D511" s="141"/>
      <c r="E511" s="118"/>
      <c r="F511" s="118"/>
      <c r="G511" s="118" t="s">
        <v>7278</v>
      </c>
      <c r="H511" s="118" t="s">
        <v>4905</v>
      </c>
      <c r="I511" s="118" t="s">
        <v>4364</v>
      </c>
      <c r="J511" s="118" t="s">
        <v>2425</v>
      </c>
      <c r="K511" s="141"/>
      <c r="L511" s="135" t="str">
        <f t="shared" si="28"/>
        <v>Myosorex sclateri</v>
      </c>
      <c r="M511" s="133">
        <v>-999</v>
      </c>
      <c r="N511" s="133">
        <v>-999</v>
      </c>
      <c r="O511" s="189" t="s">
        <v>8149</v>
      </c>
      <c r="P511" s="108">
        <v>-999</v>
      </c>
      <c r="Q511" s="80" t="s">
        <v>6988</v>
      </c>
    </row>
    <row r="512" spans="1:18" ht="25.5">
      <c r="A512" s="118" t="s">
        <v>2778</v>
      </c>
      <c r="B512" s="141" t="s">
        <v>2574</v>
      </c>
      <c r="C512" s="118" t="s">
        <v>3817</v>
      </c>
      <c r="D512" s="141"/>
      <c r="E512" s="118"/>
      <c r="F512" s="118"/>
      <c r="G512" s="118" t="s">
        <v>7278</v>
      </c>
      <c r="H512" s="118" t="s">
        <v>4905</v>
      </c>
      <c r="I512" s="118" t="s">
        <v>4364</v>
      </c>
      <c r="J512" s="118" t="s">
        <v>5266</v>
      </c>
      <c r="K512" s="141"/>
      <c r="L512" s="135" t="str">
        <f t="shared" si="28"/>
        <v>Myosorex tenuis</v>
      </c>
      <c r="M512" s="133">
        <v>-999</v>
      </c>
      <c r="N512" s="133">
        <v>-999</v>
      </c>
      <c r="O512" s="183" t="s">
        <v>8149</v>
      </c>
      <c r="P512" s="108">
        <v>-999</v>
      </c>
      <c r="Q512" s="80" t="s">
        <v>6988</v>
      </c>
    </row>
    <row r="513" spans="1:18" ht="25.5">
      <c r="A513" s="118" t="s">
        <v>2778</v>
      </c>
      <c r="B513" s="141" t="s">
        <v>2300</v>
      </c>
      <c r="C513" s="118" t="s">
        <v>3817</v>
      </c>
      <c r="D513" s="141"/>
      <c r="E513" s="118"/>
      <c r="F513" s="118"/>
      <c r="G513" s="118" t="s">
        <v>7278</v>
      </c>
      <c r="H513" s="118" t="s">
        <v>4905</v>
      </c>
      <c r="I513" s="118" t="s">
        <v>4364</v>
      </c>
      <c r="J513" s="118" t="s">
        <v>5166</v>
      </c>
      <c r="K513" s="141"/>
      <c r="L513" s="135" t="str">
        <f t="shared" si="28"/>
        <v>Myosorex geata</v>
      </c>
      <c r="M513" s="133">
        <f>LOG(N513)</f>
        <v>0.97081161087251777</v>
      </c>
      <c r="N513" s="133">
        <f>AVERAGE(10.1, 8.6)</f>
        <v>9.35</v>
      </c>
      <c r="O513" s="179" t="s">
        <v>8149</v>
      </c>
      <c r="P513" s="108">
        <v>126</v>
      </c>
      <c r="Q513" s="80" t="s">
        <v>6640</v>
      </c>
    </row>
    <row r="514" spans="1:18" ht="25.5">
      <c r="A514" s="118" t="s">
        <v>2778</v>
      </c>
      <c r="B514" s="141" t="s">
        <v>2576</v>
      </c>
      <c r="C514" s="118" t="s">
        <v>3817</v>
      </c>
      <c r="D514" s="141"/>
      <c r="E514" s="118"/>
      <c r="F514" s="118"/>
      <c r="G514" s="118" t="s">
        <v>7278</v>
      </c>
      <c r="H514" s="118" t="s">
        <v>4905</v>
      </c>
      <c r="I514" s="118" t="s">
        <v>4364</v>
      </c>
      <c r="J514" s="118" t="s">
        <v>3295</v>
      </c>
      <c r="K514" s="141"/>
      <c r="L514" s="135" t="str">
        <f t="shared" si="28"/>
        <v>Myosorex longicaudatus</v>
      </c>
      <c r="M514" s="133">
        <f>LOG(N514)</f>
        <v>1.1132746924643504</v>
      </c>
      <c r="N514" s="133">
        <f>AVERAGE(11.5, 14.4, 12.5, 17, 9.5)</f>
        <v>12.98</v>
      </c>
      <c r="O514" s="189" t="s">
        <v>8149</v>
      </c>
      <c r="P514" s="108">
        <v>198</v>
      </c>
      <c r="Q514" s="80" t="s">
        <v>6988</v>
      </c>
    </row>
    <row r="515" spans="1:18">
      <c r="A515" s="118" t="s">
        <v>2778</v>
      </c>
      <c r="B515" s="130"/>
      <c r="C515" s="118" t="s">
        <v>3817</v>
      </c>
      <c r="D515" s="141"/>
      <c r="E515" s="118"/>
      <c r="F515" s="118"/>
      <c r="G515" s="118" t="s">
        <v>7278</v>
      </c>
      <c r="H515" s="118" t="s">
        <v>4905</v>
      </c>
      <c r="I515" s="118" t="s">
        <v>4364</v>
      </c>
      <c r="J515" s="118" t="s">
        <v>3711</v>
      </c>
      <c r="K515" s="141"/>
      <c r="L515" s="135" t="str">
        <f t="shared" si="28"/>
        <v>Myosorex varius</v>
      </c>
      <c r="M515" s="133">
        <f>LOG(N515)</f>
        <v>1.1205739312058498</v>
      </c>
      <c r="N515" s="133">
        <f>AVERAGE(13.7, 12.7)</f>
        <v>13.2</v>
      </c>
      <c r="O515" s="179" t="s">
        <v>3356</v>
      </c>
      <c r="P515" s="108">
        <v>260</v>
      </c>
    </row>
    <row r="516" spans="1:18">
      <c r="A516" s="118" t="s">
        <v>2778</v>
      </c>
      <c r="B516" s="130"/>
      <c r="C516" s="118" t="s">
        <v>3817</v>
      </c>
      <c r="D516" s="141"/>
      <c r="E516" s="118"/>
      <c r="F516" s="118"/>
      <c r="G516" s="118" t="s">
        <v>7278</v>
      </c>
      <c r="H516" s="118" t="s">
        <v>4905</v>
      </c>
      <c r="I516" s="118" t="s">
        <v>4364</v>
      </c>
      <c r="J516" s="118" t="s">
        <v>3932</v>
      </c>
      <c r="K516" s="141"/>
      <c r="L516" s="135" t="str">
        <f t="shared" si="28"/>
        <v>Myosorex cafer</v>
      </c>
      <c r="M516" s="133">
        <f>LOG(N516)</f>
        <v>1.1271047983648077</v>
      </c>
      <c r="N516" s="133">
        <v>13.4</v>
      </c>
      <c r="O516" s="179" t="s">
        <v>3356</v>
      </c>
      <c r="P516" s="108">
        <v>260</v>
      </c>
    </row>
    <row r="517" spans="1:18" ht="12" customHeight="1">
      <c r="A517" s="118" t="s">
        <v>2778</v>
      </c>
      <c r="B517" s="141" t="s">
        <v>6064</v>
      </c>
      <c r="C517" s="118" t="s">
        <v>3817</v>
      </c>
      <c r="D517" s="141"/>
      <c r="E517" s="118"/>
      <c r="F517" s="118"/>
      <c r="G517" s="118" t="s">
        <v>7278</v>
      </c>
      <c r="H517" s="118" t="s">
        <v>4905</v>
      </c>
      <c r="I517" s="118" t="s">
        <v>5394</v>
      </c>
      <c r="J517" s="118" t="s">
        <v>5398</v>
      </c>
      <c r="K517" s="141"/>
      <c r="L517" s="135" t="str">
        <f t="shared" ref="L517:L580" si="30">I517&amp;" "&amp;J517</f>
        <v>Paracrocidura graueri</v>
      </c>
      <c r="M517" s="133">
        <v>-999</v>
      </c>
      <c r="N517" s="133">
        <v>-999</v>
      </c>
      <c r="O517" s="179" t="s">
        <v>8149</v>
      </c>
      <c r="P517" s="108">
        <v>-999</v>
      </c>
      <c r="Q517" s="80" t="s">
        <v>7071</v>
      </c>
      <c r="R517" s="89"/>
    </row>
    <row r="518" spans="1:18">
      <c r="A518" s="118" t="s">
        <v>2778</v>
      </c>
      <c r="B518" s="141" t="s">
        <v>5367</v>
      </c>
      <c r="C518" s="118" t="s">
        <v>3817</v>
      </c>
      <c r="D518" s="141"/>
      <c r="E518" s="118"/>
      <c r="F518" s="118"/>
      <c r="G518" s="118" t="s">
        <v>7278</v>
      </c>
      <c r="H518" s="118" t="s">
        <v>4905</v>
      </c>
      <c r="I518" s="118" t="s">
        <v>5394</v>
      </c>
      <c r="J518" s="118" t="s">
        <v>5399</v>
      </c>
      <c r="K518" s="141"/>
      <c r="L518" s="135" t="str">
        <f t="shared" si="30"/>
        <v>Paracrocidura maxima</v>
      </c>
      <c r="M518" s="133">
        <v>-999</v>
      </c>
      <c r="N518" s="133">
        <v>-999</v>
      </c>
      <c r="O518" s="179" t="s">
        <v>3356</v>
      </c>
      <c r="P518" s="108">
        <v>-999</v>
      </c>
      <c r="Q518" s="80"/>
    </row>
    <row r="519" spans="1:18" ht="38.25">
      <c r="A519" s="118" t="s">
        <v>2778</v>
      </c>
      <c r="B519" s="141" t="s">
        <v>7555</v>
      </c>
      <c r="C519" s="118" t="s">
        <v>3817</v>
      </c>
      <c r="D519" s="141"/>
      <c r="E519" s="118"/>
      <c r="F519" s="118"/>
      <c r="G519" s="118" t="s">
        <v>7278</v>
      </c>
      <c r="H519" s="118" t="s">
        <v>4905</v>
      </c>
      <c r="I519" s="118" t="s">
        <v>5394</v>
      </c>
      <c r="J519" s="118" t="s">
        <v>5520</v>
      </c>
      <c r="K519" s="141"/>
      <c r="L519" s="135" t="str">
        <f t="shared" si="30"/>
        <v>Paracrocidura schoutedeni</v>
      </c>
      <c r="M519" s="133">
        <f t="shared" ref="M519:M529" si="31">LOG(N519)</f>
        <v>1.1139433523068367</v>
      </c>
      <c r="N519" s="133">
        <f>AVERAGE(15, 11)</f>
        <v>13</v>
      </c>
      <c r="O519" s="179" t="s">
        <v>3356</v>
      </c>
      <c r="P519" s="108" t="s">
        <v>7971</v>
      </c>
      <c r="Q519" s="80"/>
    </row>
    <row r="520" spans="1:18" ht="12" customHeight="1">
      <c r="A520" s="118" t="s">
        <v>2778</v>
      </c>
      <c r="B520" s="130"/>
      <c r="C520" s="118" t="s">
        <v>3817</v>
      </c>
      <c r="D520" s="141"/>
      <c r="E520" s="118"/>
      <c r="F520" s="118"/>
      <c r="G520" s="118" t="s">
        <v>7278</v>
      </c>
      <c r="H520" s="118" t="s">
        <v>4905</v>
      </c>
      <c r="I520" s="118" t="s">
        <v>4354</v>
      </c>
      <c r="J520" s="118" t="s">
        <v>4355</v>
      </c>
      <c r="K520" s="141"/>
      <c r="L520" s="135" t="str">
        <f t="shared" si="30"/>
        <v>Ruwenzorisorex suncoides</v>
      </c>
      <c r="M520" s="133">
        <f t="shared" si="31"/>
        <v>1.2600700000000002</v>
      </c>
      <c r="N520" s="133">
        <v>18.199941833734844</v>
      </c>
      <c r="O520" s="179" t="s">
        <v>7080</v>
      </c>
      <c r="P520" s="108">
        <v>56</v>
      </c>
      <c r="Q520" s="90" t="s">
        <v>6988</v>
      </c>
      <c r="R520" s="89"/>
    </row>
    <row r="521" spans="1:18">
      <c r="A521" s="118" t="s">
        <v>2778</v>
      </c>
      <c r="B521" s="130"/>
      <c r="C521" s="121" t="s">
        <v>3817</v>
      </c>
      <c r="D521" s="156"/>
      <c r="E521" s="121"/>
      <c r="F521" s="121"/>
      <c r="G521" s="121" t="s">
        <v>7278</v>
      </c>
      <c r="H521" s="118" t="s">
        <v>4905</v>
      </c>
      <c r="I521" s="121" t="s">
        <v>4356</v>
      </c>
      <c r="J521" s="121" t="s">
        <v>7168</v>
      </c>
      <c r="K521" s="156"/>
      <c r="L521" s="135" t="str">
        <f t="shared" si="30"/>
        <v>Scutisorex somereni</v>
      </c>
      <c r="M521" s="133">
        <f t="shared" si="31"/>
        <v>1.9614199999999999</v>
      </c>
      <c r="N521" s="143">
        <v>91.499769495220193</v>
      </c>
      <c r="O521" s="179" t="s">
        <v>3356</v>
      </c>
      <c r="P521" s="108" t="s">
        <v>2835</v>
      </c>
    </row>
    <row r="522" spans="1:18" ht="25.5">
      <c r="A522" s="118" t="s">
        <v>2778</v>
      </c>
      <c r="B522" s="130"/>
      <c r="C522" s="118" t="s">
        <v>3817</v>
      </c>
      <c r="D522" s="141"/>
      <c r="E522" s="118"/>
      <c r="F522" s="118"/>
      <c r="G522" s="118" t="s">
        <v>7278</v>
      </c>
      <c r="H522" s="118" t="s">
        <v>4905</v>
      </c>
      <c r="I522" s="118" t="s">
        <v>7169</v>
      </c>
      <c r="J522" s="118" t="s">
        <v>4560</v>
      </c>
      <c r="K522" s="141"/>
      <c r="L522" s="135" t="str">
        <f t="shared" si="30"/>
        <v>Suncus remyi</v>
      </c>
      <c r="M522" s="133">
        <f t="shared" si="31"/>
        <v>0.24303804868629444</v>
      </c>
      <c r="N522" s="133">
        <f>AVERAGE(1.7, 1.8)</f>
        <v>1.75</v>
      </c>
      <c r="O522" s="179" t="s">
        <v>8149</v>
      </c>
      <c r="P522" s="108" t="s">
        <v>7840</v>
      </c>
      <c r="Q522" s="90" t="s">
        <v>7071</v>
      </c>
    </row>
    <row r="523" spans="1:18">
      <c r="A523" s="118" t="s">
        <v>2778</v>
      </c>
      <c r="B523" s="130"/>
      <c r="C523" s="118" t="s">
        <v>3817</v>
      </c>
      <c r="D523" s="141"/>
      <c r="E523" s="118"/>
      <c r="F523" s="118"/>
      <c r="G523" s="118" t="s">
        <v>7278</v>
      </c>
      <c r="H523" s="118" t="s">
        <v>4905</v>
      </c>
      <c r="I523" s="118" t="s">
        <v>7169</v>
      </c>
      <c r="J523" s="118" t="s">
        <v>7170</v>
      </c>
      <c r="K523" s="141"/>
      <c r="L523" s="135" t="str">
        <f t="shared" si="30"/>
        <v>Suncus etruscus</v>
      </c>
      <c r="M523" s="133">
        <f t="shared" si="31"/>
        <v>0.27875360095282892</v>
      </c>
      <c r="N523" s="133">
        <f>AVERAGE(1.8, 2)</f>
        <v>1.9</v>
      </c>
      <c r="O523" s="179" t="s">
        <v>3356</v>
      </c>
      <c r="P523" s="108" t="s">
        <v>1803</v>
      </c>
      <c r="R523" s="85" t="s">
        <v>1804</v>
      </c>
    </row>
    <row r="524" spans="1:18">
      <c r="A524" s="118" t="s">
        <v>2778</v>
      </c>
      <c r="B524" s="130"/>
      <c r="C524" s="118" t="s">
        <v>3817</v>
      </c>
      <c r="D524" s="141"/>
      <c r="E524" s="118"/>
      <c r="F524" s="118"/>
      <c r="G524" s="118" t="s">
        <v>7278</v>
      </c>
      <c r="H524" s="118" t="s">
        <v>4905</v>
      </c>
      <c r="I524" s="118" t="s">
        <v>7169</v>
      </c>
      <c r="J524" s="118" t="s">
        <v>7171</v>
      </c>
      <c r="K524" s="141"/>
      <c r="L524" s="135" t="str">
        <f t="shared" si="30"/>
        <v>Suncus infinitesimus</v>
      </c>
      <c r="M524" s="133">
        <f t="shared" si="31"/>
        <v>0.47712125471966244</v>
      </c>
      <c r="N524" s="133">
        <v>3</v>
      </c>
      <c r="O524" s="179" t="s">
        <v>3356</v>
      </c>
      <c r="P524" s="108">
        <v>260</v>
      </c>
    </row>
    <row r="525" spans="1:18">
      <c r="A525" s="118" t="s">
        <v>2778</v>
      </c>
      <c r="B525" s="144"/>
      <c r="C525" s="118" t="s">
        <v>3817</v>
      </c>
      <c r="D525" s="141"/>
      <c r="E525" s="118"/>
      <c r="F525" s="118"/>
      <c r="G525" s="118" t="s">
        <v>7278</v>
      </c>
      <c r="H525" s="118" t="s">
        <v>4905</v>
      </c>
      <c r="I525" s="118" t="s">
        <v>7169</v>
      </c>
      <c r="J525" s="118" t="s">
        <v>4556</v>
      </c>
      <c r="K525" s="141"/>
      <c r="L525" s="135" t="str">
        <f t="shared" si="30"/>
        <v>Suncus lixus</v>
      </c>
      <c r="M525" s="133">
        <f t="shared" si="31"/>
        <v>0.69019608002851374</v>
      </c>
      <c r="N525" s="133">
        <v>4.9000000000000004</v>
      </c>
      <c r="O525" s="179" t="s">
        <v>3356</v>
      </c>
      <c r="P525" s="108">
        <v>260</v>
      </c>
    </row>
    <row r="526" spans="1:18">
      <c r="A526" s="118" t="s">
        <v>2778</v>
      </c>
      <c r="B526" s="130"/>
      <c r="C526" s="118" t="s">
        <v>3817</v>
      </c>
      <c r="D526" s="141"/>
      <c r="E526" s="118"/>
      <c r="F526" s="118"/>
      <c r="G526" s="118" t="s">
        <v>7278</v>
      </c>
      <c r="H526" s="118" t="s">
        <v>4905</v>
      </c>
      <c r="I526" s="118" t="s">
        <v>7169</v>
      </c>
      <c r="J526" s="118" t="s">
        <v>7197</v>
      </c>
      <c r="K526" s="141"/>
      <c r="L526" s="135" t="str">
        <f t="shared" si="30"/>
        <v>Suncus varilla</v>
      </c>
      <c r="M526" s="133">
        <f t="shared" si="31"/>
        <v>0.69896999999999998</v>
      </c>
      <c r="N526" s="133">
        <v>4.9999999500797392</v>
      </c>
      <c r="O526" s="179" t="s">
        <v>3356</v>
      </c>
      <c r="P526" s="108">
        <v>60</v>
      </c>
    </row>
    <row r="527" spans="1:18">
      <c r="A527" s="118" t="s">
        <v>2778</v>
      </c>
      <c r="B527" s="130"/>
      <c r="C527" s="118" t="s">
        <v>3817</v>
      </c>
      <c r="D527" s="141"/>
      <c r="E527" s="118"/>
      <c r="F527" s="118"/>
      <c r="G527" s="118" t="s">
        <v>7278</v>
      </c>
      <c r="H527" s="118" t="s">
        <v>4905</v>
      </c>
      <c r="I527" s="118" t="s">
        <v>7169</v>
      </c>
      <c r="J527" s="118" t="s">
        <v>4557</v>
      </c>
      <c r="K527" s="141"/>
      <c r="L527" s="135" t="str">
        <f t="shared" si="30"/>
        <v>Suncus murinus</v>
      </c>
      <c r="M527" s="133">
        <f t="shared" si="31"/>
        <v>1.9377700000000002</v>
      </c>
      <c r="N527" s="133">
        <v>86.650285901233133</v>
      </c>
      <c r="O527" s="179" t="s">
        <v>3356</v>
      </c>
      <c r="P527" s="108">
        <v>56</v>
      </c>
    </row>
    <row r="528" spans="1:18" ht="25.5">
      <c r="A528" s="118" t="s">
        <v>2778</v>
      </c>
      <c r="B528" s="141" t="s">
        <v>2376</v>
      </c>
      <c r="C528" s="118" t="s">
        <v>3817</v>
      </c>
      <c r="D528" s="141"/>
      <c r="E528" s="118"/>
      <c r="F528" s="118"/>
      <c r="G528" s="118" t="s">
        <v>7278</v>
      </c>
      <c r="H528" s="121" t="s">
        <v>4905</v>
      </c>
      <c r="I528" s="118" t="s">
        <v>5152</v>
      </c>
      <c r="J528" s="118" t="s">
        <v>5932</v>
      </c>
      <c r="K528" s="141"/>
      <c r="L528" s="135" t="str">
        <f t="shared" si="30"/>
        <v>Surdisorex norae</v>
      </c>
      <c r="M528" s="133">
        <f t="shared" si="31"/>
        <v>0.95424250943932487</v>
      </c>
      <c r="N528" s="133">
        <v>9</v>
      </c>
      <c r="O528" s="179" t="s">
        <v>8149</v>
      </c>
      <c r="P528" s="108">
        <v>70</v>
      </c>
      <c r="Q528" s="90" t="s">
        <v>6988</v>
      </c>
    </row>
    <row r="529" spans="1:18" ht="25.5">
      <c r="A529" s="118" t="s">
        <v>2778</v>
      </c>
      <c r="B529" s="141" t="s">
        <v>2376</v>
      </c>
      <c r="C529" s="118" t="s">
        <v>3817</v>
      </c>
      <c r="D529" s="141"/>
      <c r="E529" s="118"/>
      <c r="F529" s="118"/>
      <c r="G529" s="118" t="s">
        <v>7278</v>
      </c>
      <c r="H529" s="118" t="s">
        <v>4905</v>
      </c>
      <c r="I529" s="118" t="s">
        <v>5152</v>
      </c>
      <c r="J529" s="118" t="s">
        <v>5933</v>
      </c>
      <c r="K529" s="141"/>
      <c r="L529" s="135" t="str">
        <f t="shared" si="30"/>
        <v>Surdisorex polulus</v>
      </c>
      <c r="M529" s="133">
        <f t="shared" si="31"/>
        <v>0.95424250943932487</v>
      </c>
      <c r="N529" s="133">
        <v>9</v>
      </c>
      <c r="O529" s="179" t="s">
        <v>8149</v>
      </c>
      <c r="P529" s="108">
        <v>70</v>
      </c>
      <c r="Q529" s="90" t="s">
        <v>6988</v>
      </c>
    </row>
    <row r="530" spans="1:18" ht="38.25">
      <c r="A530" s="118" t="s">
        <v>2778</v>
      </c>
      <c r="B530" s="141" t="s">
        <v>5326</v>
      </c>
      <c r="C530" s="118" t="s">
        <v>3817</v>
      </c>
      <c r="D530" s="141"/>
      <c r="E530" s="118"/>
      <c r="F530" s="118"/>
      <c r="G530" s="118" t="s">
        <v>7278</v>
      </c>
      <c r="H530" s="118" t="s">
        <v>4905</v>
      </c>
      <c r="I530" s="118" t="s">
        <v>7136</v>
      </c>
      <c r="J530" s="118" t="s">
        <v>7281</v>
      </c>
      <c r="K530" s="141"/>
      <c r="L530" s="135" t="str">
        <f t="shared" si="30"/>
        <v>Sylvisorex granti</v>
      </c>
      <c r="M530" s="133">
        <v>-999</v>
      </c>
      <c r="N530" s="133">
        <v>-999</v>
      </c>
      <c r="O530" s="179" t="s">
        <v>3356</v>
      </c>
      <c r="P530" s="108">
        <v>-999</v>
      </c>
      <c r="Q530" s="80"/>
    </row>
    <row r="531" spans="1:18">
      <c r="A531" s="118" t="s">
        <v>2778</v>
      </c>
      <c r="B531" s="141" t="s">
        <v>2615</v>
      </c>
      <c r="C531" s="118" t="s">
        <v>3817</v>
      </c>
      <c r="D531" s="141"/>
      <c r="E531" s="118"/>
      <c r="F531" s="118"/>
      <c r="G531" s="118" t="s">
        <v>7278</v>
      </c>
      <c r="H531" s="118" t="s">
        <v>4905</v>
      </c>
      <c r="I531" s="118" t="s">
        <v>7136</v>
      </c>
      <c r="J531" s="118" t="s">
        <v>5694</v>
      </c>
      <c r="K531" s="141"/>
      <c r="L531" s="135" t="str">
        <f t="shared" si="30"/>
        <v>Sylvisorex isabellae</v>
      </c>
      <c r="M531" s="133">
        <v>-999</v>
      </c>
      <c r="N531" s="133">
        <v>-999</v>
      </c>
      <c r="O531" s="179" t="s">
        <v>6882</v>
      </c>
      <c r="P531" s="108">
        <v>-999</v>
      </c>
      <c r="Q531" s="80" t="s">
        <v>6988</v>
      </c>
    </row>
    <row r="532" spans="1:18">
      <c r="A532" s="118" t="s">
        <v>2778</v>
      </c>
      <c r="B532" s="141" t="s">
        <v>2615</v>
      </c>
      <c r="C532" s="118" t="s">
        <v>3817</v>
      </c>
      <c r="D532" s="141"/>
      <c r="E532" s="118"/>
      <c r="F532" s="118"/>
      <c r="G532" s="118" t="s">
        <v>7278</v>
      </c>
      <c r="H532" s="118" t="s">
        <v>4905</v>
      </c>
      <c r="I532" s="118" t="s">
        <v>7136</v>
      </c>
      <c r="J532" s="118" t="s">
        <v>3716</v>
      </c>
      <c r="K532" s="141"/>
      <c r="L532" s="135" t="str">
        <f t="shared" si="30"/>
        <v>Sylvisorex morio</v>
      </c>
      <c r="M532" s="133">
        <v>-999</v>
      </c>
      <c r="N532" s="133">
        <v>-999</v>
      </c>
      <c r="O532" s="179" t="s">
        <v>6882</v>
      </c>
      <c r="P532" s="108">
        <v>-999</v>
      </c>
      <c r="Q532" s="80" t="s">
        <v>6640</v>
      </c>
    </row>
    <row r="533" spans="1:18">
      <c r="A533" s="118" t="s">
        <v>2778</v>
      </c>
      <c r="B533" s="141" t="s">
        <v>6064</v>
      </c>
      <c r="C533" s="118" t="s">
        <v>3817</v>
      </c>
      <c r="D533" s="141"/>
      <c r="E533" s="118"/>
      <c r="F533" s="118"/>
      <c r="G533" s="118" t="s">
        <v>7278</v>
      </c>
      <c r="H533" s="118" t="s">
        <v>4905</v>
      </c>
      <c r="I533" s="118" t="s">
        <v>7136</v>
      </c>
      <c r="J533" s="118" t="s">
        <v>4973</v>
      </c>
      <c r="K533" s="141"/>
      <c r="L533" s="135" t="str">
        <f t="shared" si="30"/>
        <v>Sylvisorex oriundus</v>
      </c>
      <c r="M533" s="133">
        <v>-999</v>
      </c>
      <c r="N533" s="133">
        <v>-999</v>
      </c>
      <c r="O533" s="179" t="s">
        <v>6882</v>
      </c>
      <c r="P533" s="108">
        <v>-999</v>
      </c>
      <c r="Q533" s="80" t="s">
        <v>6988</v>
      </c>
    </row>
    <row r="534" spans="1:18" ht="51">
      <c r="A534" s="118" t="s">
        <v>2778</v>
      </c>
      <c r="B534" s="141" t="s">
        <v>4957</v>
      </c>
      <c r="C534" s="121" t="s">
        <v>3817</v>
      </c>
      <c r="D534" s="156"/>
      <c r="E534" s="121"/>
      <c r="F534" s="121"/>
      <c r="G534" s="121" t="s">
        <v>7278</v>
      </c>
      <c r="H534" s="121" t="s">
        <v>4905</v>
      </c>
      <c r="I534" s="121" t="s">
        <v>7136</v>
      </c>
      <c r="J534" s="121" t="s">
        <v>3718</v>
      </c>
      <c r="K534" s="156"/>
      <c r="L534" s="135" t="str">
        <f t="shared" si="30"/>
        <v>Sylvisorex johnstoni</v>
      </c>
      <c r="M534" s="143">
        <f t="shared" ref="M534:M543" si="32">LOG(N534)</f>
        <v>0.50060235056918534</v>
      </c>
      <c r="N534" s="160">
        <f>AVERAGE(2.9, 3, 3.6)</f>
        <v>3.1666666666666665</v>
      </c>
      <c r="O534" s="182" t="s">
        <v>3356</v>
      </c>
      <c r="P534" s="111" t="s">
        <v>7840</v>
      </c>
      <c r="Q534" s="80"/>
    </row>
    <row r="535" spans="1:18">
      <c r="A535" s="118" t="s">
        <v>2778</v>
      </c>
      <c r="B535" s="130"/>
      <c r="C535" s="118" t="s">
        <v>3817</v>
      </c>
      <c r="D535" s="141"/>
      <c r="E535" s="118"/>
      <c r="F535" s="118"/>
      <c r="G535" s="118" t="s">
        <v>7278</v>
      </c>
      <c r="H535" s="118" t="s">
        <v>4905</v>
      </c>
      <c r="I535" s="118" t="s">
        <v>7136</v>
      </c>
      <c r="J535" s="118" t="s">
        <v>7352</v>
      </c>
      <c r="K535" s="141"/>
      <c r="L535" s="135" t="str">
        <f t="shared" si="30"/>
        <v>Sylvisorex vulcanorum</v>
      </c>
      <c r="M535" s="133">
        <f t="shared" si="32"/>
        <v>0.54407000000000005</v>
      </c>
      <c r="N535" s="133">
        <v>3.5000157607101445</v>
      </c>
      <c r="O535" s="179" t="s">
        <v>3356</v>
      </c>
      <c r="P535" s="108">
        <v>60</v>
      </c>
    </row>
    <row r="536" spans="1:18" ht="48" customHeight="1">
      <c r="A536" s="118" t="s">
        <v>2778</v>
      </c>
      <c r="B536" s="141" t="s">
        <v>2300</v>
      </c>
      <c r="C536" s="118" t="s">
        <v>3817</v>
      </c>
      <c r="D536" s="141"/>
      <c r="E536" s="118"/>
      <c r="F536" s="118"/>
      <c r="G536" s="118" t="s">
        <v>7278</v>
      </c>
      <c r="H536" s="118" t="s">
        <v>4905</v>
      </c>
      <c r="I536" s="118" t="s">
        <v>7136</v>
      </c>
      <c r="J536" s="118" t="s">
        <v>5693</v>
      </c>
      <c r="K536" s="141"/>
      <c r="L536" s="135" t="str">
        <f t="shared" si="30"/>
        <v>Sylvisorex howelli</v>
      </c>
      <c r="M536" s="133">
        <f t="shared" si="32"/>
        <v>0.63514851369760816</v>
      </c>
      <c r="N536" s="133">
        <f>AVERAGE(3.8, 3.9, 4.2, 4.5, 4.4, 5.1)</f>
        <v>4.3166666666666664</v>
      </c>
      <c r="O536" s="179" t="s">
        <v>6950</v>
      </c>
      <c r="P536" s="108">
        <v>243</v>
      </c>
      <c r="Q536" s="80" t="s">
        <v>6988</v>
      </c>
      <c r="R536" s="89"/>
    </row>
    <row r="537" spans="1:18">
      <c r="A537" s="118" t="s">
        <v>2778</v>
      </c>
      <c r="B537" s="130"/>
      <c r="C537" s="118" t="s">
        <v>3817</v>
      </c>
      <c r="D537" s="141"/>
      <c r="E537" s="118"/>
      <c r="F537" s="118"/>
      <c r="G537" s="118" t="s">
        <v>7278</v>
      </c>
      <c r="H537" s="118" t="s">
        <v>4905</v>
      </c>
      <c r="I537" s="118" t="s">
        <v>7136</v>
      </c>
      <c r="J537" s="118" t="s">
        <v>4398</v>
      </c>
      <c r="K537" s="141"/>
      <c r="L537" s="135" t="str">
        <f t="shared" si="30"/>
        <v>Sylvisorex megalura</v>
      </c>
      <c r="M537" s="133">
        <f t="shared" si="32"/>
        <v>0.66745530677818965</v>
      </c>
      <c r="N537" s="133">
        <f>AVERAGE(5.30005040639665, 4)</f>
        <v>4.6500252031983251</v>
      </c>
      <c r="O537" s="179" t="s">
        <v>3356</v>
      </c>
      <c r="P537" s="108" t="s">
        <v>1608</v>
      </c>
      <c r="R537" s="85" t="s">
        <v>1805</v>
      </c>
    </row>
    <row r="538" spans="1:18" ht="51">
      <c r="A538" s="213" t="s">
        <v>2778</v>
      </c>
      <c r="B538" s="141" t="s">
        <v>7531</v>
      </c>
      <c r="C538" s="118" t="s">
        <v>3817</v>
      </c>
      <c r="D538" s="141"/>
      <c r="E538" s="118"/>
      <c r="F538" s="118"/>
      <c r="G538" s="118" t="s">
        <v>7278</v>
      </c>
      <c r="H538" s="118" t="s">
        <v>4905</v>
      </c>
      <c r="I538" s="118" t="s">
        <v>7136</v>
      </c>
      <c r="J538" s="118" t="s">
        <v>7700</v>
      </c>
      <c r="K538" s="141"/>
      <c r="L538" s="135" t="str">
        <f t="shared" si="30"/>
        <v>Sylvisorex ollula</v>
      </c>
      <c r="M538" s="133">
        <f t="shared" si="32"/>
        <v>1.12047976331039</v>
      </c>
      <c r="N538" s="161">
        <v>13.197138159658364</v>
      </c>
      <c r="O538" s="179" t="s">
        <v>7559</v>
      </c>
      <c r="P538" s="108" t="s">
        <v>1827</v>
      </c>
      <c r="Q538" s="80"/>
    </row>
    <row r="539" spans="1:18">
      <c r="A539" s="213" t="s">
        <v>2778</v>
      </c>
      <c r="B539" s="130"/>
      <c r="C539" s="118" t="s">
        <v>3817</v>
      </c>
      <c r="D539" s="141"/>
      <c r="E539" s="118"/>
      <c r="F539" s="118"/>
      <c r="G539" s="118" t="s">
        <v>7278</v>
      </c>
      <c r="H539" s="118" t="s">
        <v>4905</v>
      </c>
      <c r="I539" s="118" t="s">
        <v>7136</v>
      </c>
      <c r="J539" s="118" t="s">
        <v>7137</v>
      </c>
      <c r="K539" s="141"/>
      <c r="L539" s="135" t="str">
        <f t="shared" si="30"/>
        <v>Sylvisorex lunaris</v>
      </c>
      <c r="M539" s="133">
        <f t="shared" si="32"/>
        <v>1.2671699999999999</v>
      </c>
      <c r="N539" s="133">
        <v>18.499926373938745</v>
      </c>
      <c r="O539" s="179" t="s">
        <v>3356</v>
      </c>
      <c r="P539" s="108">
        <v>60</v>
      </c>
    </row>
    <row r="540" spans="1:18" ht="25.5">
      <c r="A540" s="213" t="s">
        <v>2778</v>
      </c>
      <c r="B540" s="130"/>
      <c r="C540" s="118" t="s">
        <v>3817</v>
      </c>
      <c r="D540" s="141"/>
      <c r="E540" s="118"/>
      <c r="F540" s="118"/>
      <c r="G540" s="118" t="s">
        <v>7278</v>
      </c>
      <c r="H540" s="118" t="s">
        <v>7424</v>
      </c>
      <c r="I540" s="118" t="s">
        <v>7425</v>
      </c>
      <c r="J540" s="118" t="s">
        <v>4305</v>
      </c>
      <c r="K540" s="141"/>
      <c r="L540" s="135" t="str">
        <f t="shared" si="30"/>
        <v>Micropotamogale lamottei</v>
      </c>
      <c r="M540" s="133">
        <f t="shared" si="32"/>
        <v>1.842609239610562</v>
      </c>
      <c r="N540" s="133">
        <v>69.599999999999994</v>
      </c>
      <c r="O540" s="189" t="s">
        <v>8149</v>
      </c>
      <c r="P540" s="108">
        <v>68</v>
      </c>
      <c r="Q540" s="90" t="s">
        <v>6640</v>
      </c>
    </row>
    <row r="541" spans="1:18" ht="38.25">
      <c r="A541" s="213" t="s">
        <v>2778</v>
      </c>
      <c r="B541" s="130"/>
      <c r="C541" s="118" t="s">
        <v>3817</v>
      </c>
      <c r="D541" s="141"/>
      <c r="E541" s="118"/>
      <c r="F541" s="118"/>
      <c r="G541" s="118" t="s">
        <v>7278</v>
      </c>
      <c r="H541" s="118" t="s">
        <v>7424</v>
      </c>
      <c r="I541" s="118" t="s">
        <v>7425</v>
      </c>
      <c r="J541" s="118" t="s">
        <v>7426</v>
      </c>
      <c r="K541" s="141"/>
      <c r="L541" s="135" t="str">
        <f t="shared" si="30"/>
        <v>Micropotamogale ruwenzorii</v>
      </c>
      <c r="M541" s="133">
        <f t="shared" si="32"/>
        <v>1.9934400000000001</v>
      </c>
      <c r="N541" s="133">
        <v>98.500854944311016</v>
      </c>
      <c r="O541" s="189" t="s">
        <v>7517</v>
      </c>
      <c r="P541" s="108">
        <v>60</v>
      </c>
      <c r="Q541" s="90" t="s">
        <v>6640</v>
      </c>
    </row>
    <row r="542" spans="1:18" ht="25.5">
      <c r="A542" s="213" t="s">
        <v>2778</v>
      </c>
      <c r="B542" s="130"/>
      <c r="C542" s="118" t="s">
        <v>3817</v>
      </c>
      <c r="D542" s="141"/>
      <c r="E542" s="118"/>
      <c r="F542" s="118"/>
      <c r="G542" s="118" t="s">
        <v>7278</v>
      </c>
      <c r="H542" s="118" t="s">
        <v>7424</v>
      </c>
      <c r="I542" s="118" t="s">
        <v>7427</v>
      </c>
      <c r="J542" s="118" t="s">
        <v>2332</v>
      </c>
      <c r="K542" s="141"/>
      <c r="L542" s="135" t="str">
        <f t="shared" si="30"/>
        <v>Potamogale velox</v>
      </c>
      <c r="M542" s="133">
        <f t="shared" si="32"/>
        <v>2.8195399999999999</v>
      </c>
      <c r="N542" s="133">
        <v>659.99401915987301</v>
      </c>
      <c r="O542" s="179" t="s">
        <v>6889</v>
      </c>
      <c r="P542" s="108">
        <v>60</v>
      </c>
      <c r="Q542" s="90" t="s">
        <v>6640</v>
      </c>
    </row>
    <row r="543" spans="1:18" ht="25.5">
      <c r="A543" s="213" t="s">
        <v>2778</v>
      </c>
      <c r="B543" s="130"/>
      <c r="C543" s="118" t="s">
        <v>3817</v>
      </c>
      <c r="D543" s="141"/>
      <c r="E543" s="118"/>
      <c r="F543" s="118"/>
      <c r="G543" s="118" t="s">
        <v>7345</v>
      </c>
      <c r="H543" s="118" t="s">
        <v>7346</v>
      </c>
      <c r="I543" s="118" t="s">
        <v>4711</v>
      </c>
      <c r="J543" s="118" t="s">
        <v>4712</v>
      </c>
      <c r="K543" s="141"/>
      <c r="L543" s="135" t="str">
        <f t="shared" si="30"/>
        <v>Bunolagus monticularis</v>
      </c>
      <c r="M543" s="133">
        <f t="shared" si="32"/>
        <v>3.2430400000000006</v>
      </c>
      <c r="N543" s="133">
        <v>1750.0078628829044</v>
      </c>
      <c r="O543" s="179" t="s">
        <v>8149</v>
      </c>
      <c r="P543" s="108">
        <v>65</v>
      </c>
      <c r="Q543" s="90" t="s">
        <v>6640</v>
      </c>
    </row>
    <row r="544" spans="1:18">
      <c r="A544" s="213" t="s">
        <v>2778</v>
      </c>
      <c r="B544" s="141" t="s">
        <v>2107</v>
      </c>
      <c r="C544" s="118" t="s">
        <v>3817</v>
      </c>
      <c r="D544" s="141"/>
      <c r="E544" s="118"/>
      <c r="F544" s="118"/>
      <c r="G544" s="118" t="s">
        <v>7345</v>
      </c>
      <c r="H544" s="118" t="s">
        <v>7346</v>
      </c>
      <c r="I544" s="118" t="s">
        <v>7340</v>
      </c>
      <c r="J544" s="118" t="s">
        <v>5750</v>
      </c>
      <c r="K544" s="141"/>
      <c r="L544" s="135" t="str">
        <f t="shared" si="30"/>
        <v>Lepus fagani</v>
      </c>
      <c r="M544" s="133">
        <v>-999</v>
      </c>
      <c r="N544" s="133">
        <v>-999</v>
      </c>
      <c r="O544" s="179" t="s">
        <v>3356</v>
      </c>
      <c r="P544" s="108">
        <v>-999</v>
      </c>
      <c r="Q544" s="80" t="s">
        <v>6987</v>
      </c>
    </row>
    <row r="545" spans="1:18">
      <c r="A545" s="213" t="s">
        <v>2778</v>
      </c>
      <c r="B545" s="130"/>
      <c r="C545" s="118" t="s">
        <v>3817</v>
      </c>
      <c r="D545" s="141"/>
      <c r="E545" s="118"/>
      <c r="F545" s="118"/>
      <c r="G545" s="118" t="s">
        <v>7345</v>
      </c>
      <c r="H545" s="118" t="s">
        <v>7346</v>
      </c>
      <c r="I545" s="118" t="s">
        <v>7340</v>
      </c>
      <c r="J545" s="118" t="s">
        <v>4918</v>
      </c>
      <c r="K545" s="141"/>
      <c r="L545" s="135" t="str">
        <f t="shared" si="30"/>
        <v>Lepus victoriae</v>
      </c>
      <c r="M545" s="133">
        <f t="shared" ref="M545:M553" si="33">LOG(N545)</f>
        <v>3.2430380486862944</v>
      </c>
      <c r="N545" s="133">
        <f>AVERAGE(1000, 2500)</f>
        <v>1750</v>
      </c>
      <c r="O545" s="179" t="s">
        <v>3356</v>
      </c>
      <c r="P545" s="108">
        <v>116</v>
      </c>
      <c r="Q545" s="80"/>
      <c r="R545" s="85" t="s">
        <v>1662</v>
      </c>
    </row>
    <row r="546" spans="1:18">
      <c r="A546" s="213" t="s">
        <v>2778</v>
      </c>
      <c r="B546" s="130"/>
      <c r="C546" s="118" t="s">
        <v>3817</v>
      </c>
      <c r="D546" s="141"/>
      <c r="E546" s="118"/>
      <c r="F546" s="118"/>
      <c r="G546" s="118" t="s">
        <v>7345</v>
      </c>
      <c r="H546" s="118" t="s">
        <v>7346</v>
      </c>
      <c r="I546" s="118" t="s">
        <v>7340</v>
      </c>
      <c r="J546" s="118" t="s">
        <v>4259</v>
      </c>
      <c r="K546" s="141"/>
      <c r="L546" s="135" t="str">
        <f t="shared" si="30"/>
        <v>Lepus capensis</v>
      </c>
      <c r="M546" s="133">
        <f t="shared" si="33"/>
        <v>3.2492000000000005</v>
      </c>
      <c r="N546" s="133">
        <v>1775.0067135006566</v>
      </c>
      <c r="O546" s="179" t="s">
        <v>3356</v>
      </c>
      <c r="P546" s="108">
        <v>60</v>
      </c>
    </row>
    <row r="547" spans="1:18">
      <c r="A547" s="213" t="s">
        <v>2778</v>
      </c>
      <c r="B547" s="130"/>
      <c r="C547" s="118" t="s">
        <v>3817</v>
      </c>
      <c r="D547" s="141"/>
      <c r="E547" s="118"/>
      <c r="F547" s="118"/>
      <c r="G547" s="118" t="s">
        <v>7345</v>
      </c>
      <c r="H547" s="118" t="s">
        <v>7346</v>
      </c>
      <c r="I547" s="118" t="s">
        <v>7340</v>
      </c>
      <c r="J547" s="118" t="s">
        <v>7338</v>
      </c>
      <c r="K547" s="141"/>
      <c r="L547" s="135" t="str">
        <f t="shared" si="30"/>
        <v>Lepus saxatilis</v>
      </c>
      <c r="M547" s="133">
        <f t="shared" si="33"/>
        <v>3.3735249756566041</v>
      </c>
      <c r="N547" s="133">
        <f>AVERAGE(2224.99992152741, 2345, 2520)</f>
        <v>2363.3333071758034</v>
      </c>
      <c r="O547" s="179" t="s">
        <v>3356</v>
      </c>
      <c r="P547" s="108">
        <v>260</v>
      </c>
    </row>
    <row r="548" spans="1:18">
      <c r="A548" s="213" t="s">
        <v>2778</v>
      </c>
      <c r="B548" s="141" t="s">
        <v>6141</v>
      </c>
      <c r="C548" s="118" t="s">
        <v>3817</v>
      </c>
      <c r="D548" s="141"/>
      <c r="E548" s="118"/>
      <c r="F548" s="118"/>
      <c r="G548" s="118" t="s">
        <v>7345</v>
      </c>
      <c r="H548" s="118" t="s">
        <v>7346</v>
      </c>
      <c r="I548" s="118" t="s">
        <v>7340</v>
      </c>
      <c r="J548" s="118" t="s">
        <v>5755</v>
      </c>
      <c r="K548" s="141"/>
      <c r="L548" s="135" t="str">
        <f t="shared" si="30"/>
        <v>Lepus starcki</v>
      </c>
      <c r="M548" s="133">
        <f t="shared" si="33"/>
        <v>3.4393326938302629</v>
      </c>
      <c r="N548" s="133">
        <f>AVERAGE(2000, 3500)</f>
        <v>2750</v>
      </c>
      <c r="O548" s="179" t="s">
        <v>3356</v>
      </c>
      <c r="P548" s="108">
        <v>70</v>
      </c>
    </row>
    <row r="549" spans="1:18">
      <c r="A549" s="213" t="s">
        <v>2778</v>
      </c>
      <c r="B549" s="130"/>
      <c r="C549" s="118" t="s">
        <v>3817</v>
      </c>
      <c r="D549" s="141"/>
      <c r="E549" s="118"/>
      <c r="F549" s="118"/>
      <c r="G549" s="118" t="s">
        <v>7345</v>
      </c>
      <c r="H549" s="118" t="s">
        <v>7346</v>
      </c>
      <c r="I549" s="118" t="s">
        <v>7336</v>
      </c>
      <c r="J549" s="118" t="s">
        <v>4210</v>
      </c>
      <c r="K549" s="141"/>
      <c r="L549" s="135" t="str">
        <f t="shared" si="30"/>
        <v>Oryctolagus cuniculus</v>
      </c>
      <c r="M549" s="133">
        <f t="shared" si="33"/>
        <v>3.3324400000000005</v>
      </c>
      <c r="N549" s="133">
        <v>2150.0076242905643</v>
      </c>
      <c r="O549" s="179" t="s">
        <v>3356</v>
      </c>
      <c r="P549" s="108">
        <v>65</v>
      </c>
    </row>
    <row r="550" spans="1:18">
      <c r="A550" s="213" t="s">
        <v>2778</v>
      </c>
      <c r="B550" s="130"/>
      <c r="C550" s="118" t="s">
        <v>3817</v>
      </c>
      <c r="D550" s="141"/>
      <c r="E550" s="118"/>
      <c r="F550" s="118"/>
      <c r="G550" s="118" t="s">
        <v>7345</v>
      </c>
      <c r="H550" s="118" t="s">
        <v>7346</v>
      </c>
      <c r="I550" s="118" t="s">
        <v>4211</v>
      </c>
      <c r="J550" s="118" t="s">
        <v>4212</v>
      </c>
      <c r="K550" s="141"/>
      <c r="L550" s="135" t="str">
        <f t="shared" si="30"/>
        <v>Poelagus marjorita</v>
      </c>
      <c r="M550" s="133">
        <f t="shared" si="33"/>
        <v>3.3979400000000002</v>
      </c>
      <c r="N550" s="133">
        <v>2499.9999500797412</v>
      </c>
      <c r="O550" s="179" t="s">
        <v>3356</v>
      </c>
      <c r="P550" s="108" t="s">
        <v>2835</v>
      </c>
    </row>
    <row r="551" spans="1:18">
      <c r="A551" s="213" t="s">
        <v>2778</v>
      </c>
      <c r="B551" s="130"/>
      <c r="C551" s="118" t="s">
        <v>3817</v>
      </c>
      <c r="D551" s="141"/>
      <c r="E551" s="118"/>
      <c r="F551" s="118"/>
      <c r="G551" s="118" t="s">
        <v>7345</v>
      </c>
      <c r="H551" s="118" t="s">
        <v>7346</v>
      </c>
      <c r="I551" s="118" t="s">
        <v>4213</v>
      </c>
      <c r="J551" s="118" t="s">
        <v>4713</v>
      </c>
      <c r="K551" s="141"/>
      <c r="L551" s="135" t="str">
        <f t="shared" si="30"/>
        <v>Pronolagus rupestris</v>
      </c>
      <c r="M551" s="133">
        <f t="shared" si="33"/>
        <v>3.2440285123023207</v>
      </c>
      <c r="N551" s="133">
        <f>AVERAGE(2249.98695416503, 1512, 1500)</f>
        <v>1753.9956513883433</v>
      </c>
      <c r="O551" s="179" t="s">
        <v>3356</v>
      </c>
      <c r="P551" s="108" t="s">
        <v>2835</v>
      </c>
    </row>
    <row r="552" spans="1:18">
      <c r="A552" s="213" t="s">
        <v>2778</v>
      </c>
      <c r="B552" s="130"/>
      <c r="C552" s="118" t="s">
        <v>3817</v>
      </c>
      <c r="D552" s="141"/>
      <c r="E552" s="118"/>
      <c r="F552" s="118"/>
      <c r="G552" s="118" t="s">
        <v>7345</v>
      </c>
      <c r="H552" s="118" t="s">
        <v>7346</v>
      </c>
      <c r="I552" s="118" t="s">
        <v>4213</v>
      </c>
      <c r="J552" s="118" t="s">
        <v>4214</v>
      </c>
      <c r="K552" s="141"/>
      <c r="L552" s="135" t="str">
        <f t="shared" si="30"/>
        <v>Pronolagus crassicaudatus</v>
      </c>
      <c r="M552" s="133">
        <f t="shared" si="33"/>
        <v>3.3199384399803087</v>
      </c>
      <c r="N552" s="133">
        <f>AVERAGE(1959, 2219)</f>
        <v>2089</v>
      </c>
      <c r="O552" s="179" t="s">
        <v>3356</v>
      </c>
      <c r="P552" s="108">
        <v>260</v>
      </c>
    </row>
    <row r="553" spans="1:18">
      <c r="A553" s="118" t="s">
        <v>2778</v>
      </c>
      <c r="B553" s="130"/>
      <c r="C553" s="118" t="s">
        <v>3817</v>
      </c>
      <c r="D553" s="141"/>
      <c r="E553" s="118"/>
      <c r="F553" s="118"/>
      <c r="G553" s="118" t="s">
        <v>7345</v>
      </c>
      <c r="H553" s="118" t="s">
        <v>7346</v>
      </c>
      <c r="I553" s="118" t="s">
        <v>4213</v>
      </c>
      <c r="J553" s="118" t="s">
        <v>4215</v>
      </c>
      <c r="K553" s="141"/>
      <c r="L553" s="135" t="str">
        <f t="shared" si="30"/>
        <v>Pronolagus randensis</v>
      </c>
      <c r="M553" s="133">
        <f t="shared" si="33"/>
        <v>3.36829</v>
      </c>
      <c r="N553" s="133">
        <v>2335.0167484965023</v>
      </c>
      <c r="O553" s="179" t="s">
        <v>3356</v>
      </c>
      <c r="P553" s="108">
        <v>60</v>
      </c>
    </row>
    <row r="554" spans="1:18" ht="25.5">
      <c r="A554" s="118" t="s">
        <v>2778</v>
      </c>
      <c r="B554" s="141" t="s">
        <v>2201</v>
      </c>
      <c r="C554" s="118" t="s">
        <v>3817</v>
      </c>
      <c r="D554" s="141"/>
      <c r="E554" s="118"/>
      <c r="F554" s="118"/>
      <c r="G554" s="118" t="s">
        <v>3791</v>
      </c>
      <c r="H554" s="118" t="s">
        <v>4235</v>
      </c>
      <c r="I554" s="118" t="s">
        <v>4256</v>
      </c>
      <c r="J554" s="118" t="s">
        <v>4847</v>
      </c>
      <c r="K554" s="141"/>
      <c r="L554" s="135" t="str">
        <f t="shared" si="30"/>
        <v>Elephantulus fuscus</v>
      </c>
      <c r="M554" s="133">
        <v>-999</v>
      </c>
      <c r="N554" s="133">
        <v>-999</v>
      </c>
      <c r="O554" s="179" t="s">
        <v>3356</v>
      </c>
      <c r="P554" s="108">
        <v>-999</v>
      </c>
      <c r="Q554" s="80"/>
    </row>
    <row r="555" spans="1:18">
      <c r="A555" s="118" t="s">
        <v>2778</v>
      </c>
      <c r="B555" s="130"/>
      <c r="C555" s="118" t="s">
        <v>3817</v>
      </c>
      <c r="D555" s="141"/>
      <c r="E555" s="118"/>
      <c r="F555" s="118"/>
      <c r="G555" s="118" t="s">
        <v>3791</v>
      </c>
      <c r="H555" s="118" t="s">
        <v>4235</v>
      </c>
      <c r="I555" s="118" t="s">
        <v>4256</v>
      </c>
      <c r="J555" s="118" t="s">
        <v>4266</v>
      </c>
      <c r="K555" s="141"/>
      <c r="L555" s="135" t="str">
        <f t="shared" si="30"/>
        <v>Elephantulus revoili</v>
      </c>
      <c r="M555" s="133">
        <f t="shared" ref="M555:M586" si="34">LOG(N555)</f>
        <v>1.5118800000000001</v>
      </c>
      <c r="N555" s="133">
        <v>32.499748485427979</v>
      </c>
      <c r="O555" s="179" t="s">
        <v>3356</v>
      </c>
      <c r="P555" s="108">
        <v>65</v>
      </c>
      <c r="Q555" s="90" t="s">
        <v>6640</v>
      </c>
    </row>
    <row r="556" spans="1:18">
      <c r="A556" s="118" t="s">
        <v>2778</v>
      </c>
      <c r="B556" s="130"/>
      <c r="C556" s="118" t="s">
        <v>3817</v>
      </c>
      <c r="D556" s="141"/>
      <c r="E556" s="118"/>
      <c r="F556" s="118"/>
      <c r="G556" s="118" t="s">
        <v>3791</v>
      </c>
      <c r="H556" s="118" t="s">
        <v>4235</v>
      </c>
      <c r="I556" s="118" t="s">
        <v>4256</v>
      </c>
      <c r="J556" s="118" t="s">
        <v>4446</v>
      </c>
      <c r="K556" s="141"/>
      <c r="L556" s="135" t="str">
        <f t="shared" si="30"/>
        <v>Elephantulus rufescens</v>
      </c>
      <c r="M556" s="133">
        <f t="shared" si="34"/>
        <v>1.57403</v>
      </c>
      <c r="N556" s="133">
        <v>37.499890535749245</v>
      </c>
      <c r="O556" s="179" t="s">
        <v>3356</v>
      </c>
      <c r="P556" s="108" t="s">
        <v>2835</v>
      </c>
    </row>
    <row r="557" spans="1:18">
      <c r="A557" s="118" t="s">
        <v>2778</v>
      </c>
      <c r="B557" s="130"/>
      <c r="C557" s="118" t="s">
        <v>3817</v>
      </c>
      <c r="D557" s="141"/>
      <c r="E557" s="118"/>
      <c r="F557" s="118"/>
      <c r="G557" s="118" t="s">
        <v>3791</v>
      </c>
      <c r="H557" s="118" t="s">
        <v>4235</v>
      </c>
      <c r="I557" s="118" t="s">
        <v>4256</v>
      </c>
      <c r="J557" s="118" t="s">
        <v>4234</v>
      </c>
      <c r="K557" s="141"/>
      <c r="L557" s="135" t="str">
        <f t="shared" si="30"/>
        <v>Elephantulus brachyrhynchus</v>
      </c>
      <c r="M557" s="133">
        <f t="shared" si="34"/>
        <v>1.67669</v>
      </c>
      <c r="N557" s="133">
        <v>47.499605206891239</v>
      </c>
      <c r="O557" s="179" t="s">
        <v>3356</v>
      </c>
      <c r="P557" s="108">
        <v>60</v>
      </c>
    </row>
    <row r="558" spans="1:18">
      <c r="A558" s="118" t="s">
        <v>2778</v>
      </c>
      <c r="B558" s="130"/>
      <c r="C558" s="118" t="s">
        <v>3817</v>
      </c>
      <c r="D558" s="141"/>
      <c r="E558" s="118"/>
      <c r="F558" s="118"/>
      <c r="G558" s="118" t="s">
        <v>3791</v>
      </c>
      <c r="H558" s="118" t="s">
        <v>4235</v>
      </c>
      <c r="I558" s="118" t="s">
        <v>4256</v>
      </c>
      <c r="J558" s="118" t="s">
        <v>4262</v>
      </c>
      <c r="K558" s="141"/>
      <c r="L558" s="135" t="str">
        <f t="shared" si="30"/>
        <v>Elephantulus edwardii</v>
      </c>
      <c r="M558" s="133">
        <f t="shared" si="34"/>
        <v>1.6812400000000001</v>
      </c>
      <c r="N558" s="133">
        <v>47.999863240390923</v>
      </c>
      <c r="O558" s="179" t="s">
        <v>3356</v>
      </c>
      <c r="P558" s="108">
        <v>60</v>
      </c>
      <c r="Q558" s="90" t="s">
        <v>6988</v>
      </c>
    </row>
    <row r="559" spans="1:18">
      <c r="A559" s="118" t="s">
        <v>2778</v>
      </c>
      <c r="B559" s="130"/>
      <c r="C559" s="118" t="s">
        <v>3817</v>
      </c>
      <c r="D559" s="141"/>
      <c r="E559" s="118"/>
      <c r="F559" s="118"/>
      <c r="G559" s="118" t="s">
        <v>3791</v>
      </c>
      <c r="H559" s="118" t="s">
        <v>4235</v>
      </c>
      <c r="I559" s="118" t="s">
        <v>4256</v>
      </c>
      <c r="J559" s="118" t="s">
        <v>4243</v>
      </c>
      <c r="K559" s="141"/>
      <c r="L559" s="135" t="str">
        <f t="shared" si="30"/>
        <v>Elephantulus rozeti</v>
      </c>
      <c r="M559" s="133">
        <f t="shared" si="34"/>
        <v>1.6812400000000001</v>
      </c>
      <c r="N559" s="133">
        <v>47.999863240390923</v>
      </c>
      <c r="O559" s="179" t="s">
        <v>3356</v>
      </c>
      <c r="P559" s="108">
        <v>60</v>
      </c>
    </row>
    <row r="560" spans="1:18">
      <c r="A560" s="118" t="s">
        <v>2778</v>
      </c>
      <c r="B560" s="130"/>
      <c r="C560" s="118" t="s">
        <v>3817</v>
      </c>
      <c r="D560" s="141"/>
      <c r="E560" s="118"/>
      <c r="F560" s="118"/>
      <c r="G560" s="118" t="s">
        <v>3791</v>
      </c>
      <c r="H560" s="118" t="s">
        <v>4235</v>
      </c>
      <c r="I560" s="118" t="s">
        <v>4256</v>
      </c>
      <c r="J560" s="118" t="s">
        <v>4264</v>
      </c>
      <c r="K560" s="141"/>
      <c r="L560" s="135" t="str">
        <f t="shared" si="30"/>
        <v>Elephantulus intufi</v>
      </c>
      <c r="M560" s="133">
        <f t="shared" si="34"/>
        <v>1.6946100000000002</v>
      </c>
      <c r="N560" s="133">
        <v>49.500547218792484</v>
      </c>
      <c r="O560" s="179" t="s">
        <v>3356</v>
      </c>
      <c r="P560" s="108">
        <v>60</v>
      </c>
    </row>
    <row r="561" spans="1:22">
      <c r="A561" s="118" t="s">
        <v>2778</v>
      </c>
      <c r="B561" s="130"/>
      <c r="C561" s="118" t="s">
        <v>3817</v>
      </c>
      <c r="D561" s="141"/>
      <c r="E561" s="118"/>
      <c r="F561" s="118"/>
      <c r="G561" s="118" t="s">
        <v>3791</v>
      </c>
      <c r="H561" s="118" t="s">
        <v>4235</v>
      </c>
      <c r="I561" s="118" t="s">
        <v>4256</v>
      </c>
      <c r="J561" s="118" t="s">
        <v>4265</v>
      </c>
      <c r="K561" s="141"/>
      <c r="L561" s="135" t="str">
        <f t="shared" si="30"/>
        <v>Elephantulus myurus</v>
      </c>
      <c r="M561" s="133">
        <f t="shared" si="34"/>
        <v>1.7193300000000002</v>
      </c>
      <c r="N561" s="133">
        <v>52.399844718617999</v>
      </c>
      <c r="O561" s="179" t="s">
        <v>3356</v>
      </c>
      <c r="P561" s="108">
        <v>60</v>
      </c>
    </row>
    <row r="562" spans="1:22" ht="48" customHeight="1">
      <c r="A562" s="118" t="s">
        <v>2778</v>
      </c>
      <c r="B562" s="130"/>
      <c r="C562" s="118" t="s">
        <v>3817</v>
      </c>
      <c r="D562" s="141"/>
      <c r="E562" s="118"/>
      <c r="F562" s="118"/>
      <c r="G562" s="118" t="s">
        <v>3791</v>
      </c>
      <c r="H562" s="118" t="s">
        <v>4235</v>
      </c>
      <c r="I562" s="118" t="s">
        <v>4256</v>
      </c>
      <c r="J562" s="118" t="s">
        <v>4263</v>
      </c>
      <c r="K562" s="141"/>
      <c r="L562" s="135" t="str">
        <f t="shared" si="30"/>
        <v>Elephantulus fuscipes</v>
      </c>
      <c r="M562" s="133">
        <f t="shared" si="34"/>
        <v>1.7558700000000003</v>
      </c>
      <c r="N562" s="133">
        <v>56.999362709414271</v>
      </c>
      <c r="O562" s="179" t="s">
        <v>3356</v>
      </c>
      <c r="P562" s="108">
        <v>60</v>
      </c>
      <c r="R562" s="89"/>
    </row>
    <row r="563" spans="1:22">
      <c r="A563" s="118" t="s">
        <v>2778</v>
      </c>
      <c r="B563" s="130"/>
      <c r="C563" s="118" t="s">
        <v>3817</v>
      </c>
      <c r="D563" s="141"/>
      <c r="E563" s="118"/>
      <c r="F563" s="118"/>
      <c r="G563" s="118" t="s">
        <v>3791</v>
      </c>
      <c r="H563" s="118" t="s">
        <v>4235</v>
      </c>
      <c r="I563" s="118" t="s">
        <v>4256</v>
      </c>
      <c r="J563" s="118" t="s">
        <v>4713</v>
      </c>
      <c r="K563" s="141"/>
      <c r="L563" s="135" t="str">
        <f t="shared" si="30"/>
        <v>Elephantulus rupestris</v>
      </c>
      <c r="M563" s="133">
        <f t="shared" si="34"/>
        <v>1.8221700000000001</v>
      </c>
      <c r="N563" s="133">
        <v>66.400293649242514</v>
      </c>
      <c r="O563" s="179" t="s">
        <v>3356</v>
      </c>
      <c r="P563" s="108">
        <v>60</v>
      </c>
      <c r="Q563" s="90" t="s">
        <v>6988</v>
      </c>
    </row>
    <row r="564" spans="1:22">
      <c r="A564" s="118" t="s">
        <v>2778</v>
      </c>
      <c r="B564" s="130"/>
      <c r="C564" s="118" t="s">
        <v>3817</v>
      </c>
      <c r="D564" s="141"/>
      <c r="E564" s="118"/>
      <c r="F564" s="118"/>
      <c r="G564" s="118" t="s">
        <v>3791</v>
      </c>
      <c r="H564" s="118" t="s">
        <v>4235</v>
      </c>
      <c r="I564" s="118" t="s">
        <v>3592</v>
      </c>
      <c r="J564" s="118" t="s">
        <v>3800</v>
      </c>
      <c r="K564" s="141"/>
      <c r="L564" s="135" t="str">
        <f t="shared" si="30"/>
        <v>Macroscelides proboscideus</v>
      </c>
      <c r="M564" s="133">
        <f t="shared" si="34"/>
        <v>1.5820600000000002</v>
      </c>
      <c r="N564" s="133">
        <v>38.199704203633139</v>
      </c>
      <c r="O564" s="179" t="s">
        <v>3356</v>
      </c>
      <c r="P564" s="108">
        <v>60</v>
      </c>
      <c r="Q564" s="90" t="s">
        <v>6988</v>
      </c>
    </row>
    <row r="565" spans="1:22">
      <c r="A565" s="118" t="s">
        <v>2778</v>
      </c>
      <c r="B565" s="130"/>
      <c r="C565" s="118" t="s">
        <v>3817</v>
      </c>
      <c r="D565" s="141"/>
      <c r="E565" s="118"/>
      <c r="F565" s="118"/>
      <c r="G565" s="118" t="s">
        <v>3791</v>
      </c>
      <c r="H565" s="118" t="s">
        <v>4235</v>
      </c>
      <c r="I565" s="118" t="s">
        <v>3801</v>
      </c>
      <c r="J565" s="118" t="s">
        <v>3804</v>
      </c>
      <c r="K565" s="141"/>
      <c r="L565" s="135" t="str">
        <f t="shared" si="30"/>
        <v>Petrodromus tetradactylus</v>
      </c>
      <c r="M565" s="133">
        <f t="shared" si="34"/>
        <v>2.2730000000000006</v>
      </c>
      <c r="N565" s="133">
        <v>187.49945080674203</v>
      </c>
      <c r="O565" s="179" t="s">
        <v>3356</v>
      </c>
      <c r="P565" s="108">
        <v>60</v>
      </c>
    </row>
    <row r="566" spans="1:22">
      <c r="A566" s="118" t="s">
        <v>2778</v>
      </c>
      <c r="B566" s="141" t="s">
        <v>6874</v>
      </c>
      <c r="C566" s="118" t="s">
        <v>3817</v>
      </c>
      <c r="D566" s="141"/>
      <c r="E566" s="118"/>
      <c r="F566" s="118"/>
      <c r="G566" s="118" t="s">
        <v>3791</v>
      </c>
      <c r="H566" s="118" t="s">
        <v>4235</v>
      </c>
      <c r="I566" s="118" t="s">
        <v>4246</v>
      </c>
      <c r="J566" s="118" t="s">
        <v>5697</v>
      </c>
      <c r="K566" s="141"/>
      <c r="L566" s="135" t="str">
        <f t="shared" si="30"/>
        <v>Rhynchocyon petersi</v>
      </c>
      <c r="M566" s="133">
        <f t="shared" si="34"/>
        <v>2.6273658565927325</v>
      </c>
      <c r="N566" s="133">
        <f>AVERAGE(408, 440)</f>
        <v>424</v>
      </c>
      <c r="O566" s="179" t="s">
        <v>3356</v>
      </c>
      <c r="P566" s="108">
        <v>70</v>
      </c>
      <c r="Q566" s="90" t="s">
        <v>6640</v>
      </c>
    </row>
    <row r="567" spans="1:22">
      <c r="A567" s="118" t="s">
        <v>2778</v>
      </c>
      <c r="B567" s="130"/>
      <c r="C567" s="118" t="s">
        <v>3817</v>
      </c>
      <c r="D567" s="141"/>
      <c r="E567" s="118"/>
      <c r="F567" s="118"/>
      <c r="G567" s="118" t="s">
        <v>3791</v>
      </c>
      <c r="H567" s="118" t="s">
        <v>4235</v>
      </c>
      <c r="I567" s="118" t="s">
        <v>4246</v>
      </c>
      <c r="J567" s="118" t="s">
        <v>4273</v>
      </c>
      <c r="K567" s="141"/>
      <c r="L567" s="135" t="str">
        <f t="shared" si="30"/>
        <v>Rhynchocyon cirnei</v>
      </c>
      <c r="M567" s="133">
        <f t="shared" si="34"/>
        <v>2.6901999999999999</v>
      </c>
      <c r="N567" s="133">
        <v>490.0044227932359</v>
      </c>
      <c r="O567" s="179" t="s">
        <v>3356</v>
      </c>
      <c r="P567" s="108">
        <v>60</v>
      </c>
      <c r="Q567" s="90" t="s">
        <v>6988</v>
      </c>
    </row>
    <row r="568" spans="1:22">
      <c r="A568" s="118" t="s">
        <v>2778</v>
      </c>
      <c r="B568" s="130"/>
      <c r="C568" s="118" t="s">
        <v>3817</v>
      </c>
      <c r="D568" s="141"/>
      <c r="E568" s="118"/>
      <c r="F568" s="118"/>
      <c r="G568" s="118" t="s">
        <v>3791</v>
      </c>
      <c r="H568" s="118" t="s">
        <v>4235</v>
      </c>
      <c r="I568" s="118" t="s">
        <v>4246</v>
      </c>
      <c r="J568" s="118" t="s">
        <v>4272</v>
      </c>
      <c r="K568" s="141"/>
      <c r="L568" s="135" t="str">
        <f t="shared" si="30"/>
        <v>Rhynchocyon chrysopygus</v>
      </c>
      <c r="M568" s="133">
        <f t="shared" si="34"/>
        <v>2.7323900000000001</v>
      </c>
      <c r="N568" s="133">
        <v>539.99532507158392</v>
      </c>
      <c r="O568" s="179" t="s">
        <v>3356</v>
      </c>
      <c r="P568" s="108">
        <v>56</v>
      </c>
      <c r="Q568" s="90" t="s">
        <v>6640</v>
      </c>
    </row>
    <row r="569" spans="1:22" ht="51">
      <c r="A569" s="237" t="s">
        <v>2778</v>
      </c>
      <c r="B569" s="238"/>
      <c r="C569" s="239" t="s">
        <v>3931</v>
      </c>
      <c r="D569" s="240">
        <v>1883</v>
      </c>
      <c r="E569" s="239"/>
      <c r="F569" s="239"/>
      <c r="G569" s="237" t="s">
        <v>7273</v>
      </c>
      <c r="H569" s="237" t="s">
        <v>2558</v>
      </c>
      <c r="I569" s="237" t="s">
        <v>2559</v>
      </c>
      <c r="J569" s="237" t="s">
        <v>5102</v>
      </c>
      <c r="K569" s="237" t="s">
        <v>5102</v>
      </c>
      <c r="L569" s="135" t="str">
        <f t="shared" si="30"/>
        <v>Equus quagga</v>
      </c>
      <c r="M569" s="230">
        <f t="shared" si="34"/>
        <v>5.6020599913279625</v>
      </c>
      <c r="N569" s="241">
        <v>400000</v>
      </c>
      <c r="O569" s="242" t="s">
        <v>52</v>
      </c>
      <c r="P569" s="243">
        <v>8</v>
      </c>
      <c r="Q569" s="233" t="s">
        <v>6907</v>
      </c>
      <c r="R569" s="233"/>
      <c r="S569" s="233"/>
      <c r="T569" s="233"/>
      <c r="U569" s="234"/>
      <c r="V569" s="234"/>
    </row>
    <row r="570" spans="1:22">
      <c r="A570" s="134" t="s">
        <v>2778</v>
      </c>
      <c r="B570" s="135"/>
      <c r="C570" s="136" t="s">
        <v>5092</v>
      </c>
      <c r="D570" s="220"/>
      <c r="E570" s="136"/>
      <c r="F570" s="136"/>
      <c r="G570" s="134" t="s">
        <v>7273</v>
      </c>
      <c r="H570" s="134" t="s">
        <v>2558</v>
      </c>
      <c r="I570" s="134" t="s">
        <v>2559</v>
      </c>
      <c r="J570" s="134" t="s">
        <v>4259</v>
      </c>
      <c r="K570" s="135"/>
      <c r="L570" s="135" t="str">
        <f t="shared" si="30"/>
        <v>Equus capensis</v>
      </c>
      <c r="M570" s="133">
        <f t="shared" si="34"/>
        <v>5.5440680443502757</v>
      </c>
      <c r="N570" s="137">
        <v>350000</v>
      </c>
      <c r="O570" s="180"/>
      <c r="P570" s="109" t="s">
        <v>2471</v>
      </c>
    </row>
    <row r="571" spans="1:22">
      <c r="A571" s="134" t="s">
        <v>2778</v>
      </c>
      <c r="B571" s="135"/>
      <c r="C571" s="136" t="s">
        <v>5092</v>
      </c>
      <c r="D571" s="220"/>
      <c r="E571" s="136"/>
      <c r="F571" s="136"/>
      <c r="G571" s="134" t="s">
        <v>7273</v>
      </c>
      <c r="H571" s="134" t="s">
        <v>2558</v>
      </c>
      <c r="I571" s="134" t="s">
        <v>2472</v>
      </c>
      <c r="J571" s="134" t="s">
        <v>2473</v>
      </c>
      <c r="K571" s="135"/>
      <c r="L571" s="135" t="str">
        <f t="shared" si="30"/>
        <v>Hipparion libycum</v>
      </c>
      <c r="M571" s="133">
        <f t="shared" si="34"/>
        <v>5.1760912590556813</v>
      </c>
      <c r="N571" s="137">
        <v>150000</v>
      </c>
      <c r="O571" s="180"/>
      <c r="P571" s="109" t="s">
        <v>2467</v>
      </c>
    </row>
    <row r="572" spans="1:22">
      <c r="A572" s="214" t="s">
        <v>2778</v>
      </c>
      <c r="B572" s="135"/>
      <c r="C572" s="136" t="s">
        <v>5092</v>
      </c>
      <c r="D572" s="220"/>
      <c r="E572" s="136"/>
      <c r="F572" s="136"/>
      <c r="G572" s="134" t="s">
        <v>7273</v>
      </c>
      <c r="H572" s="134" t="s">
        <v>2515</v>
      </c>
      <c r="I572" s="134" t="s">
        <v>2423</v>
      </c>
      <c r="J572" s="134" t="s">
        <v>8152</v>
      </c>
      <c r="K572" s="135"/>
      <c r="L572" s="135" t="str">
        <f t="shared" si="30"/>
        <v>Stephanorhinus kirchbergensis</v>
      </c>
      <c r="M572" s="133">
        <f t="shared" si="34"/>
        <v>6.3010299956639813</v>
      </c>
      <c r="N572" s="137">
        <v>2000000</v>
      </c>
      <c r="O572" s="180"/>
      <c r="P572" s="109" t="s">
        <v>2802</v>
      </c>
    </row>
    <row r="573" spans="1:22" ht="25.5">
      <c r="A573" s="213" t="s">
        <v>2778</v>
      </c>
      <c r="B573" s="130"/>
      <c r="C573" s="118" t="s">
        <v>3817</v>
      </c>
      <c r="D573" s="141"/>
      <c r="E573" s="118"/>
      <c r="F573" s="118"/>
      <c r="G573" s="118" t="s">
        <v>7273</v>
      </c>
      <c r="H573" s="118" t="s">
        <v>2558</v>
      </c>
      <c r="I573" s="118" t="s">
        <v>2559</v>
      </c>
      <c r="J573" s="118" t="s">
        <v>2560</v>
      </c>
      <c r="K573" s="141"/>
      <c r="L573" s="135" t="str">
        <f t="shared" si="30"/>
        <v>Equus asinus</v>
      </c>
      <c r="M573" s="133">
        <f t="shared" si="34"/>
        <v>5.217480000000001</v>
      </c>
      <c r="N573" s="133">
        <v>164998.50149526112</v>
      </c>
      <c r="O573" s="179" t="s">
        <v>7100</v>
      </c>
      <c r="P573" s="108">
        <v>60</v>
      </c>
      <c r="Q573" s="90" t="s">
        <v>7071</v>
      </c>
    </row>
    <row r="574" spans="1:22">
      <c r="A574" s="213" t="s">
        <v>2778</v>
      </c>
      <c r="B574" s="130"/>
      <c r="C574" s="118" t="s">
        <v>3817</v>
      </c>
      <c r="D574" s="141"/>
      <c r="E574" s="118"/>
      <c r="F574" s="118"/>
      <c r="G574" s="118" t="s">
        <v>7273</v>
      </c>
      <c r="H574" s="118" t="s">
        <v>2558</v>
      </c>
      <c r="I574" s="118" t="s">
        <v>2559</v>
      </c>
      <c r="J574" s="118" t="s">
        <v>2561</v>
      </c>
      <c r="K574" s="141"/>
      <c r="L574" s="135" t="str">
        <f t="shared" si="30"/>
        <v>Equus caballus</v>
      </c>
      <c r="M574" s="133">
        <f t="shared" si="34"/>
        <v>5.3979400000000011</v>
      </c>
      <c r="N574" s="133">
        <v>249999.99500797442</v>
      </c>
      <c r="O574" s="179" t="s">
        <v>3356</v>
      </c>
      <c r="P574" s="108">
        <v>148</v>
      </c>
    </row>
    <row r="575" spans="1:22">
      <c r="A575" s="213" t="s">
        <v>2778</v>
      </c>
      <c r="B575" s="130"/>
      <c r="C575" s="118" t="s">
        <v>3817</v>
      </c>
      <c r="D575" s="141"/>
      <c r="E575" s="118"/>
      <c r="F575" s="118"/>
      <c r="G575" s="118" t="s">
        <v>7273</v>
      </c>
      <c r="H575" s="118" t="s">
        <v>2558</v>
      </c>
      <c r="I575" s="118" t="s">
        <v>2559</v>
      </c>
      <c r="J575" s="118" t="s">
        <v>5820</v>
      </c>
      <c r="K575" s="141"/>
      <c r="L575" s="135" t="str">
        <f t="shared" si="30"/>
        <v>Equus burchellii</v>
      </c>
      <c r="M575" s="133">
        <f t="shared" si="34"/>
        <v>5.4409090820652173</v>
      </c>
      <c r="N575" s="133">
        <v>276000</v>
      </c>
      <c r="O575" s="179" t="s">
        <v>6736</v>
      </c>
      <c r="P575" s="108">
        <v>68</v>
      </c>
    </row>
    <row r="576" spans="1:22" ht="51">
      <c r="A576" s="213" t="s">
        <v>2778</v>
      </c>
      <c r="B576" s="130"/>
      <c r="C576" s="118" t="s">
        <v>3817</v>
      </c>
      <c r="D576" s="141"/>
      <c r="E576" s="118"/>
      <c r="F576" s="118"/>
      <c r="G576" s="118" t="s">
        <v>7273</v>
      </c>
      <c r="H576" s="118" t="s">
        <v>2558</v>
      </c>
      <c r="I576" s="118" t="s">
        <v>2559</v>
      </c>
      <c r="J576" s="118" t="s">
        <v>4079</v>
      </c>
      <c r="K576" s="141"/>
      <c r="L576" s="135" t="str">
        <f t="shared" si="30"/>
        <v>Equus zebra</v>
      </c>
      <c r="M576" s="133">
        <f t="shared" si="34"/>
        <v>5.4578800000000003</v>
      </c>
      <c r="N576" s="133">
        <v>286998.746561401</v>
      </c>
      <c r="O576" s="179" t="s">
        <v>6853</v>
      </c>
      <c r="P576" s="108">
        <v>60</v>
      </c>
      <c r="Q576" s="90" t="s">
        <v>6640</v>
      </c>
    </row>
    <row r="577" spans="1:18" ht="38.25">
      <c r="A577" s="213" t="s">
        <v>2778</v>
      </c>
      <c r="B577" s="130"/>
      <c r="C577" s="118" t="s">
        <v>3817</v>
      </c>
      <c r="D577" s="141"/>
      <c r="E577" s="118"/>
      <c r="F577" s="118"/>
      <c r="G577" s="118" t="s">
        <v>7273</v>
      </c>
      <c r="H577" s="118" t="s">
        <v>2558</v>
      </c>
      <c r="I577" s="118" t="s">
        <v>2559</v>
      </c>
      <c r="J577" s="118" t="s">
        <v>2562</v>
      </c>
      <c r="K577" s="141"/>
      <c r="L577" s="135" t="str">
        <f t="shared" si="30"/>
        <v>Equus grevyi</v>
      </c>
      <c r="M577" s="133">
        <f t="shared" si="34"/>
        <v>5.6106600000000011</v>
      </c>
      <c r="N577" s="133">
        <v>407999.84678447241</v>
      </c>
      <c r="O577" s="179" t="s">
        <v>6504</v>
      </c>
      <c r="P577" s="108" t="s">
        <v>2835</v>
      </c>
      <c r="Q577" s="90" t="s">
        <v>6640</v>
      </c>
    </row>
    <row r="578" spans="1:18">
      <c r="A578" s="213" t="s">
        <v>2778</v>
      </c>
      <c r="B578" s="130"/>
      <c r="C578" s="118" t="s">
        <v>3817</v>
      </c>
      <c r="D578" s="141"/>
      <c r="E578" s="118"/>
      <c r="F578" s="118"/>
      <c r="G578" s="118" t="s">
        <v>7273</v>
      </c>
      <c r="H578" s="118" t="s">
        <v>2515</v>
      </c>
      <c r="I578" s="118" t="s">
        <v>2350</v>
      </c>
      <c r="J578" s="118" t="s">
        <v>7481</v>
      </c>
      <c r="K578" s="141"/>
      <c r="L578" s="135" t="str">
        <f t="shared" si="30"/>
        <v>Ceratotherium simum</v>
      </c>
      <c r="M578" s="133">
        <f t="shared" si="34"/>
        <v>6.4698200000000003</v>
      </c>
      <c r="N578" s="133">
        <v>2949986.3062460502</v>
      </c>
      <c r="O578" s="179" t="s">
        <v>7081</v>
      </c>
      <c r="P578" s="108" t="s">
        <v>2835</v>
      </c>
      <c r="Q578" s="90" t="s">
        <v>6985</v>
      </c>
    </row>
    <row r="579" spans="1:18" ht="25.5">
      <c r="A579" s="213" t="s">
        <v>2778</v>
      </c>
      <c r="B579" s="130"/>
      <c r="C579" s="118" t="s">
        <v>3817</v>
      </c>
      <c r="D579" s="141"/>
      <c r="E579" s="118"/>
      <c r="F579" s="118"/>
      <c r="G579" s="118" t="s">
        <v>7273</v>
      </c>
      <c r="H579" s="118" t="s">
        <v>2515</v>
      </c>
      <c r="I579" s="118" t="s">
        <v>7155</v>
      </c>
      <c r="J579" s="118" t="s">
        <v>7156</v>
      </c>
      <c r="K579" s="141"/>
      <c r="L579" s="135" t="str">
        <f t="shared" si="30"/>
        <v>Diceros bicornis</v>
      </c>
      <c r="M579" s="133">
        <f t="shared" si="34"/>
        <v>6.072070000000001</v>
      </c>
      <c r="N579" s="133">
        <v>1180510.89619355</v>
      </c>
      <c r="O579" s="179" t="s">
        <v>6711</v>
      </c>
      <c r="P579" s="111" t="s">
        <v>2835</v>
      </c>
      <c r="Q579" s="90" t="s">
        <v>7071</v>
      </c>
    </row>
    <row r="580" spans="1:18">
      <c r="A580" s="213" t="s">
        <v>2778</v>
      </c>
      <c r="B580" s="130"/>
      <c r="C580" s="118" t="s">
        <v>3817</v>
      </c>
      <c r="D580" s="141"/>
      <c r="E580" s="118"/>
      <c r="F580" s="118"/>
      <c r="G580" s="118" t="s">
        <v>4821</v>
      </c>
      <c r="H580" s="118" t="s">
        <v>4822</v>
      </c>
      <c r="I580" s="118" t="s">
        <v>5047</v>
      </c>
      <c r="J580" s="118" t="s">
        <v>7482</v>
      </c>
      <c r="K580" s="141"/>
      <c r="L580" s="135" t="str">
        <f t="shared" si="30"/>
        <v>Manis tricuspis</v>
      </c>
      <c r="M580" s="133">
        <f t="shared" si="34"/>
        <v>3.3152704347785913</v>
      </c>
      <c r="N580" s="133">
        <f>AVERAGE(1800, 2400, 2000)</f>
        <v>2066.6666666666665</v>
      </c>
      <c r="O580" s="179" t="s">
        <v>3356</v>
      </c>
      <c r="P580" s="108" t="s">
        <v>1659</v>
      </c>
      <c r="R580" s="85" t="s">
        <v>1660</v>
      </c>
    </row>
    <row r="581" spans="1:18">
      <c r="A581" s="213" t="s">
        <v>2778</v>
      </c>
      <c r="B581" s="130"/>
      <c r="C581" s="118" t="s">
        <v>3817</v>
      </c>
      <c r="D581" s="141"/>
      <c r="E581" s="118"/>
      <c r="F581" s="118"/>
      <c r="G581" s="118" t="s">
        <v>4821</v>
      </c>
      <c r="H581" s="118" t="s">
        <v>4822</v>
      </c>
      <c r="I581" s="118" t="s">
        <v>5047</v>
      </c>
      <c r="J581" s="118" t="s">
        <v>2134</v>
      </c>
      <c r="K581" s="141"/>
      <c r="L581" s="135" t="str">
        <f t="shared" ref="L581:L644" si="35">I581&amp;" "&amp;J581</f>
        <v>Manis tetradactyla</v>
      </c>
      <c r="M581" s="133">
        <f t="shared" si="34"/>
        <v>3.43933</v>
      </c>
      <c r="N581" s="133">
        <v>2749.9829424260374</v>
      </c>
      <c r="O581" s="179" t="s">
        <v>3356</v>
      </c>
      <c r="P581" s="108" t="s">
        <v>6637</v>
      </c>
      <c r="R581" s="85" t="s">
        <v>1661</v>
      </c>
    </row>
    <row r="582" spans="1:18">
      <c r="A582" s="213" t="s">
        <v>2778</v>
      </c>
      <c r="B582" s="130"/>
      <c r="C582" s="118" t="s">
        <v>3817</v>
      </c>
      <c r="D582" s="141"/>
      <c r="E582" s="118"/>
      <c r="F582" s="118"/>
      <c r="G582" s="118" t="s">
        <v>4821</v>
      </c>
      <c r="H582" s="118" t="s">
        <v>4822</v>
      </c>
      <c r="I582" s="118" t="s">
        <v>5047</v>
      </c>
      <c r="J582" s="118" t="s">
        <v>2133</v>
      </c>
      <c r="K582" s="141"/>
      <c r="L582" s="135" t="str">
        <f t="shared" si="35"/>
        <v>Manis temminckii</v>
      </c>
      <c r="M582" s="133">
        <f t="shared" si="34"/>
        <v>3.8561200000000007</v>
      </c>
      <c r="N582" s="133">
        <v>7179.9265256691642</v>
      </c>
      <c r="O582" s="179" t="s">
        <v>3356</v>
      </c>
      <c r="P582" s="108">
        <v>60</v>
      </c>
      <c r="Q582" s="90" t="s">
        <v>6642</v>
      </c>
    </row>
    <row r="583" spans="1:18">
      <c r="A583" s="213" t="s">
        <v>2778</v>
      </c>
      <c r="B583" s="130"/>
      <c r="C583" s="118" t="s">
        <v>3817</v>
      </c>
      <c r="D583" s="141"/>
      <c r="E583" s="118"/>
      <c r="F583" s="118"/>
      <c r="G583" s="118" t="s">
        <v>4821</v>
      </c>
      <c r="H583" s="118" t="s">
        <v>4822</v>
      </c>
      <c r="I583" s="118" t="s">
        <v>5047</v>
      </c>
      <c r="J583" s="118" t="s">
        <v>2132</v>
      </c>
      <c r="K583" s="141"/>
      <c r="L583" s="135" t="str">
        <f t="shared" si="35"/>
        <v>Manis gigantea</v>
      </c>
      <c r="M583" s="133">
        <f t="shared" si="34"/>
        <v>4.51851</v>
      </c>
      <c r="N583" s="133">
        <v>32999.700628522936</v>
      </c>
      <c r="O583" s="179" t="s">
        <v>3356</v>
      </c>
      <c r="P583" s="108" t="s">
        <v>2835</v>
      </c>
    </row>
    <row r="584" spans="1:18">
      <c r="A584" s="213" t="s">
        <v>2778</v>
      </c>
      <c r="B584" s="130"/>
      <c r="C584" s="118" t="s">
        <v>3817</v>
      </c>
      <c r="D584" s="141"/>
      <c r="E584" s="118"/>
      <c r="F584" s="118"/>
      <c r="G584" s="118" t="s">
        <v>7250</v>
      </c>
      <c r="H584" s="118" t="s">
        <v>6300</v>
      </c>
      <c r="I584" s="118" t="s">
        <v>6301</v>
      </c>
      <c r="J584" s="118" t="s">
        <v>3002</v>
      </c>
      <c r="K584" s="141"/>
      <c r="L584" s="135" t="str">
        <f t="shared" si="35"/>
        <v>Allenopithecus nigroviridis</v>
      </c>
      <c r="M584" s="133">
        <f t="shared" si="34"/>
        <v>3.6766900000000002</v>
      </c>
      <c r="N584" s="133">
        <v>4749.9605206891265</v>
      </c>
      <c r="O584" s="179" t="s">
        <v>7081</v>
      </c>
      <c r="P584" s="108">
        <v>56</v>
      </c>
      <c r="Q584" s="90" t="s">
        <v>6642</v>
      </c>
    </row>
    <row r="585" spans="1:18">
      <c r="A585" s="213" t="s">
        <v>2778</v>
      </c>
      <c r="B585" s="130"/>
      <c r="C585" s="118" t="s">
        <v>3817</v>
      </c>
      <c r="D585" s="141"/>
      <c r="E585" s="118"/>
      <c r="F585" s="118"/>
      <c r="G585" s="118" t="s">
        <v>7250</v>
      </c>
      <c r="H585" s="118" t="s">
        <v>6300</v>
      </c>
      <c r="I585" s="118" t="s">
        <v>3594</v>
      </c>
      <c r="J585" s="118" t="s">
        <v>3712</v>
      </c>
      <c r="K585" s="141"/>
      <c r="L585" s="135" t="str">
        <f t="shared" si="35"/>
        <v>Cercocebus torquatus</v>
      </c>
      <c r="M585" s="133">
        <f t="shared" si="34"/>
        <v>3.8893000000000004</v>
      </c>
      <c r="N585" s="133">
        <v>7749.9696187757672</v>
      </c>
      <c r="O585" s="179" t="s">
        <v>7081</v>
      </c>
      <c r="P585" s="108">
        <v>65</v>
      </c>
      <c r="Q585" s="90" t="s">
        <v>6642</v>
      </c>
      <c r="R585" s="85" t="s">
        <v>1656</v>
      </c>
    </row>
    <row r="586" spans="1:18">
      <c r="A586" s="213" t="s">
        <v>2778</v>
      </c>
      <c r="B586" s="130"/>
      <c r="C586" s="118" t="s">
        <v>3817</v>
      </c>
      <c r="D586" s="141"/>
      <c r="E586" s="118"/>
      <c r="F586" s="118"/>
      <c r="G586" s="118" t="s">
        <v>7250</v>
      </c>
      <c r="H586" s="118" t="s">
        <v>6300</v>
      </c>
      <c r="I586" s="118" t="s">
        <v>3594</v>
      </c>
      <c r="J586" s="118" t="s">
        <v>3003</v>
      </c>
      <c r="K586" s="141"/>
      <c r="L586" s="135" t="str">
        <f t="shared" si="35"/>
        <v>Cercocebus galeritus</v>
      </c>
      <c r="M586" s="133">
        <f t="shared" si="34"/>
        <v>3.8940400000000004</v>
      </c>
      <c r="N586" s="133">
        <v>7835.0180262591975</v>
      </c>
      <c r="O586" s="179" t="s">
        <v>7081</v>
      </c>
      <c r="P586" s="108">
        <v>60</v>
      </c>
      <c r="Q586" s="90" t="s">
        <v>6642</v>
      </c>
    </row>
    <row r="587" spans="1:18" ht="25.5">
      <c r="A587" s="213" t="s">
        <v>2778</v>
      </c>
      <c r="B587" s="130"/>
      <c r="C587" s="121" t="s">
        <v>3817</v>
      </c>
      <c r="D587" s="156"/>
      <c r="E587" s="121"/>
      <c r="F587" s="121"/>
      <c r="G587" s="121" t="s">
        <v>7250</v>
      </c>
      <c r="H587" s="118" t="s">
        <v>6300</v>
      </c>
      <c r="I587" s="121" t="s">
        <v>3594</v>
      </c>
      <c r="J587" s="121" t="s">
        <v>4399</v>
      </c>
      <c r="K587" s="156"/>
      <c r="L587" s="135" t="str">
        <f t="shared" si="35"/>
        <v>Cercocebus agilis</v>
      </c>
      <c r="M587" s="133">
        <f t="shared" ref="M587:M618" si="36">LOG(N587)</f>
        <v>3.9030899869919438</v>
      </c>
      <c r="N587" s="143">
        <f>AVERAGE(6000, 10000)</f>
        <v>8000</v>
      </c>
      <c r="O587" s="179" t="s">
        <v>6855</v>
      </c>
      <c r="P587" s="108">
        <v>70</v>
      </c>
    </row>
    <row r="588" spans="1:18">
      <c r="A588" s="213" t="s">
        <v>2778</v>
      </c>
      <c r="B588" s="130"/>
      <c r="C588" s="118" t="s">
        <v>3817</v>
      </c>
      <c r="D588" s="141"/>
      <c r="E588" s="118"/>
      <c r="F588" s="118"/>
      <c r="G588" s="118" t="s">
        <v>7250</v>
      </c>
      <c r="H588" s="118" t="s">
        <v>6300</v>
      </c>
      <c r="I588" s="118" t="s">
        <v>3164</v>
      </c>
      <c r="J588" s="118" t="s">
        <v>3367</v>
      </c>
      <c r="K588" s="141"/>
      <c r="L588" s="135" t="str">
        <f t="shared" si="35"/>
        <v>Cercopithecus erythrogaster</v>
      </c>
      <c r="M588" s="133">
        <f t="shared" si="36"/>
        <v>3.3979400000000002</v>
      </c>
      <c r="N588" s="133">
        <v>2499.9999500797412</v>
      </c>
      <c r="O588" s="179" t="s">
        <v>7081</v>
      </c>
      <c r="P588" s="108">
        <v>65</v>
      </c>
      <c r="Q588" s="90" t="s">
        <v>6640</v>
      </c>
    </row>
    <row r="589" spans="1:18">
      <c r="A589" s="213" t="s">
        <v>2778</v>
      </c>
      <c r="B589" s="130"/>
      <c r="C589" s="118" t="s">
        <v>3817</v>
      </c>
      <c r="D589" s="141"/>
      <c r="E589" s="118"/>
      <c r="F589" s="118"/>
      <c r="G589" s="118" t="s">
        <v>7250</v>
      </c>
      <c r="H589" s="118" t="s">
        <v>6300</v>
      </c>
      <c r="I589" s="118" t="s">
        <v>3164</v>
      </c>
      <c r="J589" s="118" t="s">
        <v>6343</v>
      </c>
      <c r="K589" s="141"/>
      <c r="L589" s="135" t="str">
        <f t="shared" si="35"/>
        <v>Cercopithecus petaurista</v>
      </c>
      <c r="M589" s="133">
        <f t="shared" si="36"/>
        <v>3.4432600000000004</v>
      </c>
      <c r="N589" s="133">
        <v>2774.980911179603</v>
      </c>
      <c r="O589" s="179" t="s">
        <v>3356</v>
      </c>
      <c r="P589" s="108">
        <v>65</v>
      </c>
    </row>
    <row r="590" spans="1:18">
      <c r="A590" s="213" t="s">
        <v>2778</v>
      </c>
      <c r="B590" s="130"/>
      <c r="C590" s="118" t="s">
        <v>3817</v>
      </c>
      <c r="D590" s="141"/>
      <c r="E590" s="118"/>
      <c r="F590" s="118"/>
      <c r="G590" s="118" t="s">
        <v>7250</v>
      </c>
      <c r="H590" s="118" t="s">
        <v>6300</v>
      </c>
      <c r="I590" s="118" t="s">
        <v>3164</v>
      </c>
      <c r="J590" s="118" t="s">
        <v>4400</v>
      </c>
      <c r="K590" s="141"/>
      <c r="L590" s="135" t="str">
        <f t="shared" si="35"/>
        <v>Cercopithecus dryas</v>
      </c>
      <c r="M590" s="133">
        <f t="shared" si="36"/>
        <v>3.4878451201114355</v>
      </c>
      <c r="N590" s="133">
        <f>AVERAGE(2250, 3900)</f>
        <v>3075</v>
      </c>
      <c r="O590" s="179" t="s">
        <v>7081</v>
      </c>
      <c r="P590" s="108">
        <v>70</v>
      </c>
      <c r="Q590" s="90" t="s">
        <v>6987</v>
      </c>
    </row>
    <row r="591" spans="1:18">
      <c r="A591" s="213" t="s">
        <v>2778</v>
      </c>
      <c r="B591" s="130"/>
      <c r="C591" s="118" t="s">
        <v>3817</v>
      </c>
      <c r="D591" s="141"/>
      <c r="E591" s="118"/>
      <c r="F591" s="118"/>
      <c r="G591" s="118" t="s">
        <v>7250</v>
      </c>
      <c r="H591" s="118" t="s">
        <v>6300</v>
      </c>
      <c r="I591" s="118" t="s">
        <v>3164</v>
      </c>
      <c r="J591" s="118" t="s">
        <v>2425</v>
      </c>
      <c r="K591" s="141"/>
      <c r="L591" s="135" t="str">
        <f t="shared" si="35"/>
        <v>Cercopithecus sclateri</v>
      </c>
      <c r="M591" s="133">
        <f t="shared" si="36"/>
        <v>3.5282737771670436</v>
      </c>
      <c r="N591" s="133">
        <f>AVERAGE(3000, 3750)</f>
        <v>3375</v>
      </c>
      <c r="O591" s="189" t="s">
        <v>7081</v>
      </c>
      <c r="P591" s="108">
        <v>70</v>
      </c>
      <c r="Q591" s="90" t="s">
        <v>6640</v>
      </c>
    </row>
    <row r="592" spans="1:18">
      <c r="A592" s="213" t="s">
        <v>2778</v>
      </c>
      <c r="B592" s="130"/>
      <c r="C592" s="118" t="s">
        <v>3817</v>
      </c>
      <c r="D592" s="141"/>
      <c r="E592" s="118"/>
      <c r="F592" s="118"/>
      <c r="G592" s="118" t="s">
        <v>7250</v>
      </c>
      <c r="H592" s="118" t="s">
        <v>6300</v>
      </c>
      <c r="I592" s="118" t="s">
        <v>3164</v>
      </c>
      <c r="J592" s="118" t="s">
        <v>3365</v>
      </c>
      <c r="K592" s="141"/>
      <c r="L592" s="135" t="str">
        <f t="shared" si="35"/>
        <v>Cercopithecus cephus</v>
      </c>
      <c r="M592" s="133">
        <f t="shared" si="36"/>
        <v>3.5421999999999998</v>
      </c>
      <c r="N592" s="133">
        <v>3484.977672404485</v>
      </c>
      <c r="O592" s="179" t="s">
        <v>3356</v>
      </c>
      <c r="P592" s="108">
        <v>60</v>
      </c>
    </row>
    <row r="593" spans="1:18">
      <c r="A593" s="213" t="s">
        <v>2778</v>
      </c>
      <c r="B593" s="130"/>
      <c r="C593" s="118" t="s">
        <v>3817</v>
      </c>
      <c r="D593" s="141"/>
      <c r="E593" s="118"/>
      <c r="F593" s="118"/>
      <c r="G593" s="118" t="s">
        <v>7250</v>
      </c>
      <c r="H593" s="118" t="s">
        <v>6300</v>
      </c>
      <c r="I593" s="118" t="s">
        <v>3164</v>
      </c>
      <c r="J593" s="118" t="s">
        <v>3363</v>
      </c>
      <c r="K593" s="141"/>
      <c r="L593" s="135" t="str">
        <f t="shared" si="35"/>
        <v>Cercopithecus ascanius</v>
      </c>
      <c r="M593" s="133">
        <f t="shared" si="36"/>
        <v>3.5502283530550942</v>
      </c>
      <c r="N593" s="133">
        <f>AVERAGE(2900, 4200)</f>
        <v>3550</v>
      </c>
      <c r="O593" s="179" t="s">
        <v>2306</v>
      </c>
      <c r="P593" s="108">
        <v>74</v>
      </c>
    </row>
    <row r="594" spans="1:18">
      <c r="A594" s="213" t="s">
        <v>2778</v>
      </c>
      <c r="B594" s="130"/>
      <c r="C594" s="118" t="s">
        <v>3817</v>
      </c>
      <c r="D594" s="141"/>
      <c r="E594" s="118"/>
      <c r="F594" s="118"/>
      <c r="G594" s="118" t="s">
        <v>7250</v>
      </c>
      <c r="H594" s="118" t="s">
        <v>6300</v>
      </c>
      <c r="I594" s="118" t="s">
        <v>3164</v>
      </c>
      <c r="J594" s="118" t="s">
        <v>6344</v>
      </c>
      <c r="K594" s="141"/>
      <c r="L594" s="135" t="str">
        <f t="shared" si="35"/>
        <v>Cercopithecus pogonias</v>
      </c>
      <c r="M594" s="133">
        <f t="shared" si="36"/>
        <v>3.5757599999999998</v>
      </c>
      <c r="N594" s="133">
        <v>3764.9568228149178</v>
      </c>
      <c r="O594" s="179" t="s">
        <v>3356</v>
      </c>
      <c r="P594" s="108">
        <v>60</v>
      </c>
    </row>
    <row r="595" spans="1:18">
      <c r="A595" s="213" t="s">
        <v>2778</v>
      </c>
      <c r="B595" s="130"/>
      <c r="C595" s="118" t="s">
        <v>3817</v>
      </c>
      <c r="D595" s="141"/>
      <c r="E595" s="118"/>
      <c r="F595" s="118"/>
      <c r="G595" s="118" t="s">
        <v>7250</v>
      </c>
      <c r="H595" s="118" t="s">
        <v>6300</v>
      </c>
      <c r="I595" s="118" t="s">
        <v>3164</v>
      </c>
      <c r="J595" s="118" t="s">
        <v>6310</v>
      </c>
      <c r="K595" s="141"/>
      <c r="L595" s="135" t="str">
        <f t="shared" si="35"/>
        <v>Cercopithecus erythrotis</v>
      </c>
      <c r="M595" s="133">
        <f t="shared" si="36"/>
        <v>3.5931013787412955</v>
      </c>
      <c r="N595" s="133">
        <f>AVERAGE(3255, 4000, 4500)</f>
        <v>3918.3333333333335</v>
      </c>
      <c r="O595" s="179" t="s">
        <v>7081</v>
      </c>
      <c r="P595" s="108" t="s">
        <v>1899</v>
      </c>
      <c r="Q595" s="90" t="s">
        <v>6988</v>
      </c>
      <c r="R595" s="85" t="s">
        <v>1898</v>
      </c>
    </row>
    <row r="596" spans="1:18">
      <c r="A596" s="213" t="s">
        <v>2778</v>
      </c>
      <c r="B596" s="130"/>
      <c r="C596" s="118" t="s">
        <v>3817</v>
      </c>
      <c r="D596" s="141"/>
      <c r="E596" s="118"/>
      <c r="F596" s="118"/>
      <c r="G596" s="118" t="s">
        <v>7250</v>
      </c>
      <c r="H596" s="118" t="s">
        <v>6300</v>
      </c>
      <c r="I596" s="118" t="s">
        <v>3164</v>
      </c>
      <c r="J596" s="118" t="s">
        <v>5395</v>
      </c>
      <c r="K596" s="141"/>
      <c r="L596" s="135" t="str">
        <f t="shared" si="35"/>
        <v>Cercopithecus wolfi</v>
      </c>
      <c r="M596" s="133">
        <f t="shared" si="36"/>
        <v>3.6020599913279625</v>
      </c>
      <c r="N596" s="133">
        <f>AVERAGE(2000, 6000)</f>
        <v>4000</v>
      </c>
      <c r="O596" s="179" t="s">
        <v>3356</v>
      </c>
      <c r="P596" s="108">
        <v>70</v>
      </c>
    </row>
    <row r="597" spans="1:18">
      <c r="A597" s="118" t="s">
        <v>2778</v>
      </c>
      <c r="B597" s="130"/>
      <c r="C597" s="118" t="s">
        <v>3817</v>
      </c>
      <c r="D597" s="141"/>
      <c r="E597" s="118"/>
      <c r="F597" s="118"/>
      <c r="G597" s="118" t="s">
        <v>7250</v>
      </c>
      <c r="H597" s="118" t="s">
        <v>6300</v>
      </c>
      <c r="I597" s="118" t="s">
        <v>3164</v>
      </c>
      <c r="J597" s="118" t="s">
        <v>3364</v>
      </c>
      <c r="K597" s="141"/>
      <c r="L597" s="135" t="str">
        <f t="shared" si="35"/>
        <v>Cercopithecus campbelli</v>
      </c>
      <c r="M597" s="133">
        <f t="shared" si="36"/>
        <v>3.6127800000000003</v>
      </c>
      <c r="N597" s="133">
        <v>4099.9635904176512</v>
      </c>
      <c r="O597" s="179" t="s">
        <v>3356</v>
      </c>
      <c r="P597" s="108">
        <v>60</v>
      </c>
    </row>
    <row r="598" spans="1:18">
      <c r="A598" s="213" t="s">
        <v>2778</v>
      </c>
      <c r="B598" s="130"/>
      <c r="C598" s="118" t="s">
        <v>3817</v>
      </c>
      <c r="D598" s="141"/>
      <c r="E598" s="118"/>
      <c r="F598" s="118"/>
      <c r="G598" s="118" t="s">
        <v>7250</v>
      </c>
      <c r="H598" s="118" t="s">
        <v>6300</v>
      </c>
      <c r="I598" s="118" t="s">
        <v>3164</v>
      </c>
      <c r="J598" s="118" t="s">
        <v>3366</v>
      </c>
      <c r="K598" s="141"/>
      <c r="L598" s="135" t="str">
        <f t="shared" si="35"/>
        <v>Cercopithecus diana</v>
      </c>
      <c r="M598" s="133">
        <f t="shared" si="36"/>
        <v>3.6206600000000004</v>
      </c>
      <c r="N598" s="133">
        <v>4175.0338406617175</v>
      </c>
      <c r="O598" s="179" t="s">
        <v>7081</v>
      </c>
      <c r="P598" s="108">
        <v>65</v>
      </c>
      <c r="Q598" s="90" t="s">
        <v>6640</v>
      </c>
    </row>
    <row r="599" spans="1:18">
      <c r="A599" s="213" t="s">
        <v>2778</v>
      </c>
      <c r="B599" s="130"/>
      <c r="C599" s="118" t="s">
        <v>3817</v>
      </c>
      <c r="D599" s="141"/>
      <c r="E599" s="118"/>
      <c r="F599" s="118"/>
      <c r="G599" s="118" t="s">
        <v>7250</v>
      </c>
      <c r="H599" s="118" t="s">
        <v>6300</v>
      </c>
      <c r="I599" s="118" t="s">
        <v>3164</v>
      </c>
      <c r="J599" s="118" t="s">
        <v>6143</v>
      </c>
      <c r="K599" s="141"/>
      <c r="L599" s="135" t="str">
        <f t="shared" si="35"/>
        <v>Cercopithecus mona</v>
      </c>
      <c r="M599" s="133">
        <f t="shared" si="36"/>
        <v>3.6241101320710367</v>
      </c>
      <c r="N599" s="133">
        <f>AVERAGE(4625, 2500, 5500)</f>
        <v>4208.333333333333</v>
      </c>
      <c r="O599" s="179" t="s">
        <v>3356</v>
      </c>
      <c r="P599" s="108" t="s">
        <v>1899</v>
      </c>
      <c r="R599" s="85" t="s">
        <v>1653</v>
      </c>
    </row>
    <row r="600" spans="1:18">
      <c r="A600" s="213" t="s">
        <v>2778</v>
      </c>
      <c r="B600" s="130"/>
      <c r="C600" s="118" t="s">
        <v>3817</v>
      </c>
      <c r="D600" s="141"/>
      <c r="E600" s="118"/>
      <c r="F600" s="118"/>
      <c r="G600" s="118" t="s">
        <v>7250</v>
      </c>
      <c r="H600" s="118" t="s">
        <v>6300</v>
      </c>
      <c r="I600" s="118" t="s">
        <v>3164</v>
      </c>
      <c r="J600" s="118" t="s">
        <v>6320</v>
      </c>
      <c r="K600" s="141"/>
      <c r="L600" s="135" t="str">
        <f t="shared" si="35"/>
        <v>Cercopithecus mitis</v>
      </c>
      <c r="M600" s="133">
        <f t="shared" si="36"/>
        <v>3.6989700000000001</v>
      </c>
      <c r="N600" s="133">
        <v>4999.9999500797403</v>
      </c>
      <c r="O600" s="179" t="s">
        <v>3356</v>
      </c>
      <c r="P600" s="108">
        <v>65</v>
      </c>
    </row>
    <row r="601" spans="1:18">
      <c r="A601" s="213" t="s">
        <v>2778</v>
      </c>
      <c r="B601" s="130"/>
      <c r="C601" s="118" t="s">
        <v>3817</v>
      </c>
      <c r="D601" s="141"/>
      <c r="E601" s="118"/>
      <c r="F601" s="118"/>
      <c r="G601" s="118" t="s">
        <v>7250</v>
      </c>
      <c r="H601" s="118" t="s">
        <v>6300</v>
      </c>
      <c r="I601" s="118" t="s">
        <v>3164</v>
      </c>
      <c r="J601" s="118" t="s">
        <v>5531</v>
      </c>
      <c r="K601" s="141"/>
      <c r="L601" s="135" t="str">
        <f t="shared" si="35"/>
        <v>Cercopithecus preussi</v>
      </c>
      <c r="M601" s="133">
        <f t="shared" si="36"/>
        <v>3.720159303405957</v>
      </c>
      <c r="N601" s="133">
        <f>AVERAGE(3500, 7000)</f>
        <v>5250</v>
      </c>
      <c r="O601" s="179" t="s">
        <v>7081</v>
      </c>
      <c r="P601" s="108">
        <v>70</v>
      </c>
      <c r="Q601" s="90" t="s">
        <v>6640</v>
      </c>
    </row>
    <row r="602" spans="1:18">
      <c r="A602" s="213" t="s">
        <v>2778</v>
      </c>
      <c r="B602" s="130"/>
      <c r="C602" s="118" t="s">
        <v>3817</v>
      </c>
      <c r="D602" s="141"/>
      <c r="E602" s="118"/>
      <c r="F602" s="118"/>
      <c r="G602" s="118" t="s">
        <v>7250</v>
      </c>
      <c r="H602" s="118" t="s">
        <v>6300</v>
      </c>
      <c r="I602" s="118" t="s">
        <v>3164</v>
      </c>
      <c r="J602" s="118" t="s">
        <v>6319</v>
      </c>
      <c r="K602" s="141"/>
      <c r="L602" s="135" t="str">
        <f t="shared" si="35"/>
        <v>Cercopithecus lhoesti</v>
      </c>
      <c r="M602" s="133">
        <f t="shared" si="36"/>
        <v>3.7303800000000003</v>
      </c>
      <c r="N602" s="133">
        <v>5375.0189533974644</v>
      </c>
      <c r="O602" s="179" t="s">
        <v>6641</v>
      </c>
      <c r="P602" s="108">
        <v>65</v>
      </c>
      <c r="Q602" s="90" t="s">
        <v>6642</v>
      </c>
    </row>
    <row r="603" spans="1:18">
      <c r="A603" s="213" t="s">
        <v>2778</v>
      </c>
      <c r="B603" s="130"/>
      <c r="C603" s="118" t="s">
        <v>3817</v>
      </c>
      <c r="D603" s="141"/>
      <c r="E603" s="118"/>
      <c r="F603" s="118"/>
      <c r="G603" s="118" t="s">
        <v>7250</v>
      </c>
      <c r="H603" s="118" t="s">
        <v>6300</v>
      </c>
      <c r="I603" s="118" t="s">
        <v>3164</v>
      </c>
      <c r="J603" s="118" t="s">
        <v>6144</v>
      </c>
      <c r="K603" s="141"/>
      <c r="L603" s="135" t="str">
        <f t="shared" si="35"/>
        <v>Cercopithecus neglectus</v>
      </c>
      <c r="M603" s="133">
        <f t="shared" si="36"/>
        <v>3.7387800000000002</v>
      </c>
      <c r="N603" s="133">
        <v>5479.992952955884</v>
      </c>
      <c r="O603" s="179" t="s">
        <v>3356</v>
      </c>
      <c r="P603" s="108">
        <v>60</v>
      </c>
    </row>
    <row r="604" spans="1:18">
      <c r="A604" s="213" t="s">
        <v>2778</v>
      </c>
      <c r="B604" s="130"/>
      <c r="C604" s="118" t="s">
        <v>3817</v>
      </c>
      <c r="D604" s="141"/>
      <c r="E604" s="118"/>
      <c r="F604" s="118"/>
      <c r="G604" s="118" t="s">
        <v>7250</v>
      </c>
      <c r="H604" s="118" t="s">
        <v>6300</v>
      </c>
      <c r="I604" s="118" t="s">
        <v>3164</v>
      </c>
      <c r="J604" s="118" t="s">
        <v>6145</v>
      </c>
      <c r="K604" s="141"/>
      <c r="L604" s="135" t="str">
        <f t="shared" si="35"/>
        <v>Cercopithecus nictitans</v>
      </c>
      <c r="M604" s="133">
        <f t="shared" si="36"/>
        <v>3.7636783662429054</v>
      </c>
      <c r="N604" s="133">
        <f>AVERAGE(5410.03406863468, 5000, 7000)</f>
        <v>5803.3446895448933</v>
      </c>
      <c r="O604" s="179" t="s">
        <v>3356</v>
      </c>
      <c r="P604" s="108" t="s">
        <v>6637</v>
      </c>
      <c r="R604" s="85" t="s">
        <v>1654</v>
      </c>
    </row>
    <row r="605" spans="1:18">
      <c r="A605" s="118" t="s">
        <v>2778</v>
      </c>
      <c r="B605" s="130"/>
      <c r="C605" s="118" t="s">
        <v>3817</v>
      </c>
      <c r="D605" s="141"/>
      <c r="E605" s="118"/>
      <c r="F605" s="118"/>
      <c r="G605" s="118" t="s">
        <v>7250</v>
      </c>
      <c r="H605" s="118" t="s">
        <v>6300</v>
      </c>
      <c r="I605" s="118" t="s">
        <v>3164</v>
      </c>
      <c r="J605" s="118" t="s">
        <v>5699</v>
      </c>
      <c r="K605" s="141"/>
      <c r="L605" s="135" t="str">
        <f t="shared" si="35"/>
        <v>Cercopithecus solatus</v>
      </c>
      <c r="M605" s="133">
        <f t="shared" si="36"/>
        <v>3.8129133566428557</v>
      </c>
      <c r="N605" s="133">
        <f>AVERAGE(4000, 9000)</f>
        <v>6500</v>
      </c>
      <c r="O605" s="189" t="s">
        <v>7081</v>
      </c>
      <c r="P605" s="108">
        <v>70</v>
      </c>
      <c r="Q605" s="90" t="s">
        <v>6988</v>
      </c>
    </row>
    <row r="606" spans="1:18">
      <c r="A606" s="213" t="s">
        <v>2778</v>
      </c>
      <c r="B606" s="130"/>
      <c r="C606" s="118" t="s">
        <v>3817</v>
      </c>
      <c r="D606" s="141"/>
      <c r="E606" s="118"/>
      <c r="F606" s="118"/>
      <c r="G606" s="118" t="s">
        <v>7250</v>
      </c>
      <c r="H606" s="118" t="s">
        <v>6300</v>
      </c>
      <c r="I606" s="118" t="s">
        <v>3164</v>
      </c>
      <c r="J606" s="118" t="s">
        <v>5530</v>
      </c>
      <c r="K606" s="141"/>
      <c r="L606" s="135" t="str">
        <f t="shared" si="35"/>
        <v>Cercopithecus hamlyni</v>
      </c>
      <c r="M606" s="133">
        <f t="shared" si="36"/>
        <v>3.8372727025023003</v>
      </c>
      <c r="N606" s="133">
        <f>AVERAGE(5250, 8500)</f>
        <v>6875</v>
      </c>
      <c r="O606" s="179" t="s">
        <v>6641</v>
      </c>
      <c r="P606" s="108">
        <v>70</v>
      </c>
      <c r="Q606" s="90" t="s">
        <v>6642</v>
      </c>
    </row>
    <row r="607" spans="1:18">
      <c r="A607" s="213" t="s">
        <v>2778</v>
      </c>
      <c r="B607" s="130"/>
      <c r="C607" s="118" t="s">
        <v>3817</v>
      </c>
      <c r="D607" s="141"/>
      <c r="E607" s="118"/>
      <c r="F607" s="118"/>
      <c r="G607" s="118" t="s">
        <v>7250</v>
      </c>
      <c r="H607" s="118" t="s">
        <v>6300</v>
      </c>
      <c r="I607" s="118" t="s">
        <v>6345</v>
      </c>
      <c r="J607" s="118" t="s">
        <v>6346</v>
      </c>
      <c r="K607" s="141"/>
      <c r="L607" s="135" t="str">
        <f t="shared" si="35"/>
        <v>Chlorocebus aethiops</v>
      </c>
      <c r="M607" s="133">
        <f t="shared" si="36"/>
        <v>3.61857102812013</v>
      </c>
      <c r="N607" s="133">
        <f>AVERAGE(3560, 4750)</f>
        <v>4155</v>
      </c>
      <c r="O607" s="179" t="s">
        <v>3232</v>
      </c>
      <c r="P607" s="115">
        <v>74</v>
      </c>
    </row>
    <row r="608" spans="1:18">
      <c r="A608" s="213" t="s">
        <v>2778</v>
      </c>
      <c r="B608" s="130"/>
      <c r="C608" s="118" t="s">
        <v>3817</v>
      </c>
      <c r="D608" s="141"/>
      <c r="E608" s="118"/>
      <c r="F608" s="118"/>
      <c r="G608" s="118" t="s">
        <v>7250</v>
      </c>
      <c r="H608" s="118" t="s">
        <v>6300</v>
      </c>
      <c r="I608" s="118" t="s">
        <v>3216</v>
      </c>
      <c r="J608" s="118" t="s">
        <v>2546</v>
      </c>
      <c r="K608" s="141"/>
      <c r="L608" s="135" t="str">
        <f t="shared" si="35"/>
        <v>Colobus satanas</v>
      </c>
      <c r="M608" s="133">
        <f t="shared" si="36"/>
        <v>3.6354800000000003</v>
      </c>
      <c r="N608" s="133">
        <v>4319.9627299648728</v>
      </c>
      <c r="O608" s="179" t="s">
        <v>7081</v>
      </c>
      <c r="P608" s="108">
        <v>60</v>
      </c>
      <c r="Q608" s="90" t="s">
        <v>6988</v>
      </c>
    </row>
    <row r="609" spans="1:18" ht="51">
      <c r="A609" s="213" t="s">
        <v>2778</v>
      </c>
      <c r="B609" s="141" t="s">
        <v>2666</v>
      </c>
      <c r="C609" s="118" t="s">
        <v>3817</v>
      </c>
      <c r="D609" s="141"/>
      <c r="E609" s="118"/>
      <c r="F609" s="118"/>
      <c r="G609" s="118" t="s">
        <v>7250</v>
      </c>
      <c r="H609" s="118" t="s">
        <v>6300</v>
      </c>
      <c r="I609" s="118" t="s">
        <v>3216</v>
      </c>
      <c r="J609" s="118" t="s">
        <v>4911</v>
      </c>
      <c r="K609" s="141"/>
      <c r="L609" s="135" t="str">
        <f t="shared" si="35"/>
        <v>Colobus angolensis</v>
      </c>
      <c r="M609" s="133">
        <f t="shared" si="36"/>
        <v>3.9934362304976116</v>
      </c>
      <c r="N609" s="133">
        <f>AVERAGE(9000, 10700)</f>
        <v>9850</v>
      </c>
      <c r="O609" s="179" t="s">
        <v>3053</v>
      </c>
      <c r="P609" s="108">
        <v>74</v>
      </c>
    </row>
    <row r="610" spans="1:18">
      <c r="A610" s="213" t="s">
        <v>2778</v>
      </c>
      <c r="B610" s="130"/>
      <c r="C610" s="118" t="s">
        <v>3817</v>
      </c>
      <c r="D610" s="141"/>
      <c r="E610" s="118"/>
      <c r="F610" s="118"/>
      <c r="G610" s="118" t="s">
        <v>7250</v>
      </c>
      <c r="H610" s="118" t="s">
        <v>6300</v>
      </c>
      <c r="I610" s="118" t="s">
        <v>3216</v>
      </c>
      <c r="J610" s="118" t="s">
        <v>3218</v>
      </c>
      <c r="K610" s="141"/>
      <c r="L610" s="135" t="str">
        <f t="shared" si="35"/>
        <v>Colobus polykomos</v>
      </c>
      <c r="M610" s="133">
        <f t="shared" si="36"/>
        <v>3.9964000451763027</v>
      </c>
      <c r="N610" s="133">
        <f>AVERAGE(9834.90116789981, 10000)</f>
        <v>9917.4505839499052</v>
      </c>
      <c r="O610" s="179" t="s">
        <v>7081</v>
      </c>
      <c r="P610" s="108" t="s">
        <v>6637</v>
      </c>
      <c r="Q610" s="90" t="s">
        <v>6988</v>
      </c>
      <c r="R610" s="85" t="s">
        <v>1656</v>
      </c>
    </row>
    <row r="611" spans="1:18">
      <c r="A611" s="213" t="s">
        <v>2778</v>
      </c>
      <c r="B611" s="130"/>
      <c r="C611" s="118" t="s">
        <v>3817</v>
      </c>
      <c r="D611" s="141"/>
      <c r="E611" s="118"/>
      <c r="F611" s="118"/>
      <c r="G611" s="118" t="s">
        <v>7250</v>
      </c>
      <c r="H611" s="118" t="s">
        <v>6300</v>
      </c>
      <c r="I611" s="118" t="s">
        <v>3216</v>
      </c>
      <c r="J611" s="118" t="s">
        <v>3217</v>
      </c>
      <c r="K611" s="141"/>
      <c r="L611" s="135" t="str">
        <f t="shared" si="35"/>
        <v>Colobus guereza</v>
      </c>
      <c r="M611" s="133">
        <f t="shared" si="36"/>
        <v>4.0253058652647704</v>
      </c>
      <c r="N611" s="133">
        <f>AVERAGE(10200, 11000)</f>
        <v>10600</v>
      </c>
      <c r="O611" s="179" t="s">
        <v>3356</v>
      </c>
      <c r="P611" s="108" t="s">
        <v>6637</v>
      </c>
      <c r="R611" s="85" t="s">
        <v>1657</v>
      </c>
    </row>
    <row r="612" spans="1:18">
      <c r="A612" s="213" t="s">
        <v>2778</v>
      </c>
      <c r="B612" s="130"/>
      <c r="C612" s="118" t="s">
        <v>3817</v>
      </c>
      <c r="D612" s="141"/>
      <c r="E612" s="118"/>
      <c r="F612" s="118"/>
      <c r="G612" s="118" t="s">
        <v>7250</v>
      </c>
      <c r="H612" s="118" t="s">
        <v>6300</v>
      </c>
      <c r="I612" s="118" t="s">
        <v>3219</v>
      </c>
      <c r="J612" s="118" t="s">
        <v>3220</v>
      </c>
      <c r="K612" s="141"/>
      <c r="L612" s="135" t="str">
        <f t="shared" si="35"/>
        <v>Erythrocebus patas</v>
      </c>
      <c r="M612" s="133">
        <f t="shared" si="36"/>
        <v>3.9079485216122722</v>
      </c>
      <c r="N612" s="133">
        <f>AVERAGE(7270, 7000, 10000)</f>
        <v>8090</v>
      </c>
      <c r="O612" s="179" t="s">
        <v>3356</v>
      </c>
      <c r="P612" s="108" t="s">
        <v>6637</v>
      </c>
      <c r="R612" s="85" t="s">
        <v>1655</v>
      </c>
    </row>
    <row r="613" spans="1:18">
      <c r="A613" s="213" t="s">
        <v>2778</v>
      </c>
      <c r="B613" s="130"/>
      <c r="C613" s="118" t="s">
        <v>3817</v>
      </c>
      <c r="D613" s="141"/>
      <c r="E613" s="118"/>
      <c r="F613" s="118"/>
      <c r="G613" s="118" t="s">
        <v>7250</v>
      </c>
      <c r="H613" s="118" t="s">
        <v>6300</v>
      </c>
      <c r="I613" s="118" t="s">
        <v>3221</v>
      </c>
      <c r="J613" s="118" t="s">
        <v>8024</v>
      </c>
      <c r="K613" s="141"/>
      <c r="L613" s="135" t="str">
        <f t="shared" si="35"/>
        <v>Lophocebus albigena</v>
      </c>
      <c r="M613" s="133">
        <f t="shared" si="36"/>
        <v>3.8859300000000006</v>
      </c>
      <c r="N613" s="133">
        <v>7690.0648109676367</v>
      </c>
      <c r="O613" s="179" t="s">
        <v>7081</v>
      </c>
      <c r="P613" s="108">
        <v>60</v>
      </c>
      <c r="Q613" s="90" t="s">
        <v>6642</v>
      </c>
    </row>
    <row r="614" spans="1:18">
      <c r="A614" s="213" t="s">
        <v>2778</v>
      </c>
      <c r="B614" s="130"/>
      <c r="C614" s="118" t="s">
        <v>3817</v>
      </c>
      <c r="D614" s="141"/>
      <c r="E614" s="118"/>
      <c r="F614" s="118"/>
      <c r="G614" s="118" t="s">
        <v>7250</v>
      </c>
      <c r="H614" s="118" t="s">
        <v>6300</v>
      </c>
      <c r="I614" s="118" t="s">
        <v>8025</v>
      </c>
      <c r="J614" s="118" t="s">
        <v>8026</v>
      </c>
      <c r="K614" s="141"/>
      <c r="L614" s="135" t="str">
        <f t="shared" si="35"/>
        <v>Macaca sylvanus</v>
      </c>
      <c r="M614" s="133">
        <f t="shared" si="36"/>
        <v>3.8451000000000004</v>
      </c>
      <c r="N614" s="133">
        <v>7000.0315913089735</v>
      </c>
      <c r="O614" s="179" t="s">
        <v>6641</v>
      </c>
      <c r="P614" s="108">
        <v>65</v>
      </c>
      <c r="Q614" s="90" t="s">
        <v>6988</v>
      </c>
    </row>
    <row r="615" spans="1:18">
      <c r="A615" s="213" t="s">
        <v>2778</v>
      </c>
      <c r="B615" s="130"/>
      <c r="C615" s="118" t="s">
        <v>3817</v>
      </c>
      <c r="D615" s="141"/>
      <c r="E615" s="118"/>
      <c r="F615" s="118"/>
      <c r="G615" s="118" t="s">
        <v>7250</v>
      </c>
      <c r="H615" s="118" t="s">
        <v>6300</v>
      </c>
      <c r="I615" s="118" t="s">
        <v>6352</v>
      </c>
      <c r="J615" s="118" t="s">
        <v>6353</v>
      </c>
      <c r="K615" s="141"/>
      <c r="L615" s="135" t="str">
        <f t="shared" si="35"/>
        <v>Mandrillus leucophaeus</v>
      </c>
      <c r="M615" s="133">
        <f t="shared" si="36"/>
        <v>4.1760900000000003</v>
      </c>
      <c r="N615" s="133">
        <v>14999.956513820405</v>
      </c>
      <c r="O615" s="179" t="s">
        <v>7081</v>
      </c>
      <c r="P615" s="108">
        <v>65</v>
      </c>
      <c r="Q615" s="90" t="s">
        <v>6640</v>
      </c>
    </row>
    <row r="616" spans="1:18">
      <c r="A616" s="213" t="s">
        <v>2778</v>
      </c>
      <c r="B616" s="130"/>
      <c r="C616" s="118" t="s">
        <v>3817</v>
      </c>
      <c r="D616" s="141"/>
      <c r="E616" s="118"/>
      <c r="F616" s="118"/>
      <c r="G616" s="118" t="s">
        <v>7250</v>
      </c>
      <c r="H616" s="118" t="s">
        <v>6300</v>
      </c>
      <c r="I616" s="118" t="s">
        <v>6352</v>
      </c>
      <c r="J616" s="118" t="s">
        <v>6347</v>
      </c>
      <c r="K616" s="141"/>
      <c r="L616" s="135" t="str">
        <f t="shared" si="35"/>
        <v>Mandrillus sphinx</v>
      </c>
      <c r="M616" s="133">
        <f t="shared" si="36"/>
        <v>4.26126</v>
      </c>
      <c r="N616" s="133">
        <v>18249.879447489526</v>
      </c>
      <c r="O616" s="179" t="s">
        <v>7081</v>
      </c>
      <c r="P616" s="108">
        <v>60</v>
      </c>
      <c r="Q616" s="90" t="s">
        <v>6988</v>
      </c>
    </row>
    <row r="617" spans="1:18">
      <c r="A617" s="213" t="s">
        <v>2778</v>
      </c>
      <c r="B617" s="130"/>
      <c r="C617" s="118" t="s">
        <v>3817</v>
      </c>
      <c r="D617" s="141"/>
      <c r="E617" s="118"/>
      <c r="F617" s="118"/>
      <c r="G617" s="118" t="s">
        <v>7250</v>
      </c>
      <c r="H617" s="118" t="s">
        <v>6300</v>
      </c>
      <c r="I617" s="118" t="s">
        <v>6348</v>
      </c>
      <c r="J617" s="118" t="s">
        <v>6349</v>
      </c>
      <c r="K617" s="141"/>
      <c r="L617" s="135" t="str">
        <f t="shared" si="35"/>
        <v>Miopithecus talapoin</v>
      </c>
      <c r="M617" s="133">
        <f t="shared" si="36"/>
        <v>3.0969100000000003</v>
      </c>
      <c r="N617" s="133">
        <v>1249.9999625598048</v>
      </c>
      <c r="O617" s="179" t="s">
        <v>3356</v>
      </c>
      <c r="P617" s="108">
        <v>60</v>
      </c>
    </row>
    <row r="618" spans="1:18" ht="25.5">
      <c r="A618" s="213" t="s">
        <v>2778</v>
      </c>
      <c r="B618" s="130"/>
      <c r="C618" s="118" t="s">
        <v>3817</v>
      </c>
      <c r="D618" s="141"/>
      <c r="E618" s="118"/>
      <c r="F618" s="118"/>
      <c r="G618" s="118" t="s">
        <v>7250</v>
      </c>
      <c r="H618" s="118" t="s">
        <v>6300</v>
      </c>
      <c r="I618" s="118" t="s">
        <v>6350</v>
      </c>
      <c r="J618" s="118" t="s">
        <v>6351</v>
      </c>
      <c r="K618" s="141"/>
      <c r="L618" s="135" t="str">
        <f t="shared" si="35"/>
        <v>Papio hamadryas</v>
      </c>
      <c r="M618" s="133">
        <f t="shared" si="36"/>
        <v>4.3273599999999997</v>
      </c>
      <c r="N618" s="133">
        <v>21250.052140469656</v>
      </c>
      <c r="O618" s="179" t="s">
        <v>6908</v>
      </c>
      <c r="P618" s="108">
        <v>65</v>
      </c>
      <c r="Q618" s="90" t="s">
        <v>6642</v>
      </c>
    </row>
    <row r="619" spans="1:18">
      <c r="A619" s="213" t="s">
        <v>2778</v>
      </c>
      <c r="B619" s="130"/>
      <c r="C619" s="118" t="s">
        <v>3817</v>
      </c>
      <c r="D619" s="141"/>
      <c r="E619" s="118"/>
      <c r="F619" s="118"/>
      <c r="G619" s="118" t="s">
        <v>7250</v>
      </c>
      <c r="H619" s="118" t="s">
        <v>6300</v>
      </c>
      <c r="I619" s="118" t="s">
        <v>3178</v>
      </c>
      <c r="J619" s="118" t="s">
        <v>3637</v>
      </c>
      <c r="K619" s="141"/>
      <c r="L619" s="135" t="str">
        <f t="shared" si="35"/>
        <v>Procolobus verus</v>
      </c>
      <c r="M619" s="133">
        <f t="shared" ref="M619:M650" si="37">LOG(N619)</f>
        <v>3.6020600000000003</v>
      </c>
      <c r="N619" s="133">
        <v>4000.0000798724222</v>
      </c>
      <c r="O619" s="179" t="s">
        <v>7081</v>
      </c>
      <c r="P619" s="108">
        <v>65</v>
      </c>
      <c r="Q619" s="90" t="s">
        <v>6642</v>
      </c>
    </row>
    <row r="620" spans="1:18">
      <c r="A620" s="213" t="s">
        <v>2778</v>
      </c>
      <c r="B620" s="141" t="s">
        <v>2376</v>
      </c>
      <c r="C620" s="118" t="s">
        <v>3817</v>
      </c>
      <c r="D620" s="141"/>
      <c r="E620" s="118"/>
      <c r="F620" s="118"/>
      <c r="G620" s="118" t="s">
        <v>7250</v>
      </c>
      <c r="H620" s="118" t="s">
        <v>6300</v>
      </c>
      <c r="I620" s="118" t="s">
        <v>3178</v>
      </c>
      <c r="J620" s="118" t="s">
        <v>4882</v>
      </c>
      <c r="K620" s="141"/>
      <c r="L620" s="135" t="str">
        <f t="shared" si="35"/>
        <v>Procolobus rufomitratus</v>
      </c>
      <c r="M620" s="133">
        <f t="shared" si="37"/>
        <v>3.9030899869919438</v>
      </c>
      <c r="N620" s="133">
        <v>8000</v>
      </c>
      <c r="O620" s="179" t="s">
        <v>7081</v>
      </c>
      <c r="P620" s="108">
        <v>70</v>
      </c>
      <c r="Q620" s="90" t="s">
        <v>7071</v>
      </c>
    </row>
    <row r="621" spans="1:18">
      <c r="A621" s="213" t="s">
        <v>2778</v>
      </c>
      <c r="B621" s="130"/>
      <c r="C621" s="118" t="s">
        <v>3817</v>
      </c>
      <c r="D621" s="141"/>
      <c r="E621" s="118"/>
      <c r="F621" s="118"/>
      <c r="G621" s="118" t="s">
        <v>7250</v>
      </c>
      <c r="H621" s="118" t="s">
        <v>6300</v>
      </c>
      <c r="I621" s="118" t="s">
        <v>3178</v>
      </c>
      <c r="J621" s="118" t="s">
        <v>3179</v>
      </c>
      <c r="K621" s="141"/>
      <c r="L621" s="135" t="str">
        <f t="shared" si="35"/>
        <v>Procolobus badius</v>
      </c>
      <c r="M621" s="133">
        <f t="shared" si="37"/>
        <v>3.9542400000000004</v>
      </c>
      <c r="N621" s="133">
        <v>8999.9479963720187</v>
      </c>
      <c r="O621" s="179" t="s">
        <v>7081</v>
      </c>
      <c r="P621" s="115">
        <v>-999</v>
      </c>
      <c r="Q621" s="90" t="s">
        <v>6640</v>
      </c>
    </row>
    <row r="622" spans="1:18">
      <c r="A622" s="213" t="s">
        <v>2778</v>
      </c>
      <c r="B622" s="141" t="s">
        <v>2615</v>
      </c>
      <c r="C622" s="118" t="s">
        <v>3817</v>
      </c>
      <c r="D622" s="141"/>
      <c r="E622" s="118"/>
      <c r="F622" s="118"/>
      <c r="G622" s="118" t="s">
        <v>7250</v>
      </c>
      <c r="H622" s="118" t="s">
        <v>6300</v>
      </c>
      <c r="I622" s="118" t="s">
        <v>3178</v>
      </c>
      <c r="J622" s="118" t="s">
        <v>5531</v>
      </c>
      <c r="K622" s="141"/>
      <c r="L622" s="135" t="str">
        <f t="shared" si="35"/>
        <v>Procolobus preussi</v>
      </c>
      <c r="M622" s="133">
        <f t="shared" si="37"/>
        <v>3.989004615698537</v>
      </c>
      <c r="N622" s="133">
        <f>AVERAGE(8000, 11500)</f>
        <v>9750</v>
      </c>
      <c r="O622" s="179" t="s">
        <v>3356</v>
      </c>
      <c r="P622" s="108">
        <v>70</v>
      </c>
    </row>
    <row r="623" spans="1:18" ht="25.5">
      <c r="A623" s="213" t="s">
        <v>2778</v>
      </c>
      <c r="B623" s="141" t="s">
        <v>7510</v>
      </c>
      <c r="C623" s="118" t="s">
        <v>3817</v>
      </c>
      <c r="D623" s="141"/>
      <c r="E623" s="118"/>
      <c r="F623" s="118"/>
      <c r="G623" s="118" t="s">
        <v>7250</v>
      </c>
      <c r="H623" s="118" t="s">
        <v>6300</v>
      </c>
      <c r="I623" s="118" t="s">
        <v>3178</v>
      </c>
      <c r="J623" s="118" t="s">
        <v>8274</v>
      </c>
      <c r="K623" s="141"/>
      <c r="L623" s="135" t="str">
        <f t="shared" si="35"/>
        <v>Procolobus pennantii</v>
      </c>
      <c r="M623" s="133">
        <f t="shared" si="37"/>
        <v>4.0372670945687101</v>
      </c>
      <c r="N623" s="133">
        <f>454*24</f>
        <v>10896</v>
      </c>
      <c r="O623" s="179" t="s">
        <v>7081</v>
      </c>
      <c r="P623" s="108">
        <v>107</v>
      </c>
      <c r="Q623" s="90" t="s">
        <v>6640</v>
      </c>
    </row>
    <row r="624" spans="1:18">
      <c r="A624" s="213" t="s">
        <v>2778</v>
      </c>
      <c r="B624" s="130"/>
      <c r="C624" s="118" t="s">
        <v>3817</v>
      </c>
      <c r="D624" s="141"/>
      <c r="E624" s="118"/>
      <c r="F624" s="118"/>
      <c r="G624" s="118" t="s">
        <v>7250</v>
      </c>
      <c r="H624" s="118" t="s">
        <v>6300</v>
      </c>
      <c r="I624" s="118" t="s">
        <v>3226</v>
      </c>
      <c r="J624" s="118" t="s">
        <v>3180</v>
      </c>
      <c r="K624" s="141"/>
      <c r="L624" s="135" t="str">
        <f t="shared" si="35"/>
        <v>Theropithecus gelada</v>
      </c>
      <c r="M624" s="133">
        <f t="shared" si="37"/>
        <v>4.231720000000001</v>
      </c>
      <c r="N624" s="133">
        <v>17049.827915441812</v>
      </c>
      <c r="O624" s="179" t="s">
        <v>6641</v>
      </c>
      <c r="P624" s="108">
        <v>60</v>
      </c>
      <c r="Q624" s="90" t="s">
        <v>6642</v>
      </c>
    </row>
    <row r="625" spans="1:19" ht="25.5">
      <c r="A625" s="213" t="s">
        <v>2778</v>
      </c>
      <c r="B625" s="130" t="s">
        <v>2800</v>
      </c>
      <c r="C625" s="118" t="s">
        <v>3817</v>
      </c>
      <c r="D625" s="141"/>
      <c r="E625" s="118"/>
      <c r="F625" s="118"/>
      <c r="G625" s="118" t="s">
        <v>7250</v>
      </c>
      <c r="H625" s="118" t="s">
        <v>6313</v>
      </c>
      <c r="I625" s="118" t="s">
        <v>6314</v>
      </c>
      <c r="J625" s="118" t="s">
        <v>5379</v>
      </c>
      <c r="K625" s="141"/>
      <c r="L625" s="135" t="str">
        <f t="shared" si="35"/>
        <v>Euoticus pallidus</v>
      </c>
      <c r="M625" s="133">
        <f t="shared" si="37"/>
        <v>2.3617278360175931</v>
      </c>
      <c r="N625" s="133">
        <v>230</v>
      </c>
      <c r="O625" s="179" t="s">
        <v>7080</v>
      </c>
      <c r="P625" s="108">
        <v>70</v>
      </c>
      <c r="Q625" s="90" t="s">
        <v>6642</v>
      </c>
    </row>
    <row r="626" spans="1:19" ht="25.5">
      <c r="A626" s="213" t="s">
        <v>2778</v>
      </c>
      <c r="B626" s="130"/>
      <c r="C626" s="118" t="s">
        <v>3817</v>
      </c>
      <c r="D626" s="141"/>
      <c r="E626" s="118"/>
      <c r="F626" s="118"/>
      <c r="G626" s="118" t="s">
        <v>7250</v>
      </c>
      <c r="H626" s="118" t="s">
        <v>6313</v>
      </c>
      <c r="I626" s="118" t="s">
        <v>6314</v>
      </c>
      <c r="J626" s="118" t="s">
        <v>6315</v>
      </c>
      <c r="K626" s="141"/>
      <c r="L626" s="135" t="str">
        <f t="shared" si="35"/>
        <v>Euoticus elegantulus</v>
      </c>
      <c r="M626" s="133">
        <f t="shared" si="37"/>
        <v>2.4771212547196626</v>
      </c>
      <c r="N626" s="133">
        <v>300</v>
      </c>
      <c r="O626" s="179" t="s">
        <v>8149</v>
      </c>
      <c r="P626" s="108">
        <v>60130</v>
      </c>
      <c r="Q626" s="90" t="s">
        <v>6642</v>
      </c>
      <c r="R626" s="85" t="s">
        <v>1894</v>
      </c>
    </row>
    <row r="627" spans="1:19">
      <c r="A627" s="213" t="s">
        <v>2778</v>
      </c>
      <c r="B627" s="130"/>
      <c r="C627" s="118" t="s">
        <v>3817</v>
      </c>
      <c r="D627" s="141"/>
      <c r="E627" s="118"/>
      <c r="F627" s="118"/>
      <c r="G627" s="118" t="s">
        <v>7250</v>
      </c>
      <c r="H627" s="118" t="s">
        <v>6313</v>
      </c>
      <c r="I627" s="118" t="s">
        <v>6316</v>
      </c>
      <c r="J627" s="118" t="s">
        <v>8120</v>
      </c>
      <c r="K627" s="141"/>
      <c r="L627" s="135" t="str">
        <f t="shared" si="35"/>
        <v>Galago moholi</v>
      </c>
      <c r="M627" s="133">
        <f t="shared" si="37"/>
        <v>2.2041199826559246</v>
      </c>
      <c r="N627" s="133">
        <v>160</v>
      </c>
      <c r="O627" s="179" t="s">
        <v>6736</v>
      </c>
      <c r="P627" s="108">
        <v>70</v>
      </c>
    </row>
    <row r="628" spans="1:19">
      <c r="A628" s="118" t="s">
        <v>2778</v>
      </c>
      <c r="B628" s="130"/>
      <c r="C628" s="118" t="s">
        <v>3817</v>
      </c>
      <c r="D628" s="141"/>
      <c r="E628" s="118"/>
      <c r="F628" s="118"/>
      <c r="G628" s="118" t="s">
        <v>7250</v>
      </c>
      <c r="H628" s="118" t="s">
        <v>6313</v>
      </c>
      <c r="I628" s="118" t="s">
        <v>6316</v>
      </c>
      <c r="J628" s="118" t="s">
        <v>6317</v>
      </c>
      <c r="K628" s="141"/>
      <c r="L628" s="135" t="str">
        <f t="shared" si="35"/>
        <v>Galago matschiei</v>
      </c>
      <c r="M628" s="133">
        <f t="shared" si="37"/>
        <v>2.3222200000000002</v>
      </c>
      <c r="N628" s="133">
        <v>210.00034102666152</v>
      </c>
      <c r="O628" s="179" t="s">
        <v>6882</v>
      </c>
      <c r="P628" s="115">
        <v>70</v>
      </c>
      <c r="Q628" s="90" t="s">
        <v>6642</v>
      </c>
    </row>
    <row r="629" spans="1:19">
      <c r="A629" s="118" t="s">
        <v>2778</v>
      </c>
      <c r="B629" s="130"/>
      <c r="C629" s="118" t="s">
        <v>3817</v>
      </c>
      <c r="D629" s="141"/>
      <c r="E629" s="118"/>
      <c r="F629" s="118"/>
      <c r="G629" s="118" t="s">
        <v>7250</v>
      </c>
      <c r="H629" s="118" t="s">
        <v>6313</v>
      </c>
      <c r="I629" s="118" t="s">
        <v>6316</v>
      </c>
      <c r="J629" s="118" t="s">
        <v>6318</v>
      </c>
      <c r="K629" s="141"/>
      <c r="L629" s="135" t="str">
        <f t="shared" si="35"/>
        <v>Galago senegalensis</v>
      </c>
      <c r="M629" s="133">
        <f t="shared" si="37"/>
        <v>2.3572991284423788</v>
      </c>
      <c r="N629" s="133">
        <f>AVERAGE(152.999495930202, 230, 300)</f>
        <v>227.66649864340067</v>
      </c>
      <c r="O629" s="179" t="s">
        <v>6882</v>
      </c>
      <c r="P629" s="108">
        <v>60130</v>
      </c>
      <c r="Q629" s="90" t="s">
        <v>6987</v>
      </c>
      <c r="R629" s="85" t="s">
        <v>1896</v>
      </c>
    </row>
    <row r="630" spans="1:19" ht="38.25">
      <c r="A630" s="118" t="s">
        <v>2778</v>
      </c>
      <c r="B630" s="141" t="s">
        <v>2613</v>
      </c>
      <c r="C630" s="118" t="s">
        <v>3817</v>
      </c>
      <c r="D630" s="141"/>
      <c r="E630" s="118"/>
      <c r="F630" s="118"/>
      <c r="G630" s="118" t="s">
        <v>7250</v>
      </c>
      <c r="H630" s="118" t="s">
        <v>6313</v>
      </c>
      <c r="I630" s="118" t="s">
        <v>6316</v>
      </c>
      <c r="J630" s="118" t="s">
        <v>5775</v>
      </c>
      <c r="K630" s="141"/>
      <c r="L630" s="135" t="str">
        <f t="shared" si="35"/>
        <v>Galago gallarum</v>
      </c>
      <c r="M630" s="133">
        <f t="shared" si="37"/>
        <v>2.3979400086720375</v>
      </c>
      <c r="N630" s="133">
        <v>250</v>
      </c>
      <c r="O630" s="179" t="s">
        <v>8149</v>
      </c>
      <c r="P630" s="108">
        <v>70</v>
      </c>
      <c r="Q630" s="90" t="s">
        <v>6642</v>
      </c>
    </row>
    <row r="631" spans="1:19">
      <c r="A631" s="118" t="s">
        <v>2778</v>
      </c>
      <c r="B631" s="130"/>
      <c r="C631" s="118" t="s">
        <v>3817</v>
      </c>
      <c r="D631" s="141"/>
      <c r="E631" s="118"/>
      <c r="F631" s="118"/>
      <c r="G631" s="118" t="s">
        <v>7250</v>
      </c>
      <c r="H631" s="118" t="s">
        <v>6313</v>
      </c>
      <c r="I631" s="118" t="s">
        <v>6316</v>
      </c>
      <c r="J631" s="118" t="s">
        <v>4087</v>
      </c>
      <c r="K631" s="141"/>
      <c r="L631" s="135" t="str">
        <f t="shared" si="35"/>
        <v>Galago alleni</v>
      </c>
      <c r="M631" s="133">
        <f t="shared" si="37"/>
        <v>2.4149733479708178</v>
      </c>
      <c r="N631" s="133">
        <v>260</v>
      </c>
      <c r="O631" s="179" t="s">
        <v>6641</v>
      </c>
      <c r="P631" s="108">
        <v>60130</v>
      </c>
      <c r="Q631" s="90" t="s">
        <v>6642</v>
      </c>
      <c r="R631" s="90" t="s">
        <v>1895</v>
      </c>
    </row>
    <row r="632" spans="1:19" ht="72" customHeight="1">
      <c r="A632" s="118" t="s">
        <v>2778</v>
      </c>
      <c r="B632" s="130"/>
      <c r="C632" s="118" t="s">
        <v>3817</v>
      </c>
      <c r="D632" s="141"/>
      <c r="E632" s="118"/>
      <c r="F632" s="118"/>
      <c r="G632" s="118" t="s">
        <v>7250</v>
      </c>
      <c r="H632" s="118" t="s">
        <v>6313</v>
      </c>
      <c r="I632" s="118" t="s">
        <v>5442</v>
      </c>
      <c r="J632" s="118" t="s">
        <v>5443</v>
      </c>
      <c r="K632" s="141"/>
      <c r="L632" s="135" t="str">
        <f t="shared" si="35"/>
        <v>Galagoides demidoff</v>
      </c>
      <c r="M632" s="133">
        <f t="shared" si="37"/>
        <v>1.7853300000000003</v>
      </c>
      <c r="N632" s="133">
        <v>61.000023174011105</v>
      </c>
      <c r="O632" s="179" t="s">
        <v>6882</v>
      </c>
      <c r="P632" s="108">
        <v>60130</v>
      </c>
      <c r="Q632" s="90" t="s">
        <v>6987</v>
      </c>
      <c r="R632" s="89" t="s">
        <v>1897</v>
      </c>
    </row>
    <row r="633" spans="1:19">
      <c r="A633" s="118" t="s">
        <v>2778</v>
      </c>
      <c r="B633" s="130"/>
      <c r="C633" s="118" t="s">
        <v>3817</v>
      </c>
      <c r="D633" s="141"/>
      <c r="E633" s="118"/>
      <c r="F633" s="118"/>
      <c r="G633" s="118" t="s">
        <v>7250</v>
      </c>
      <c r="H633" s="118" t="s">
        <v>6313</v>
      </c>
      <c r="I633" s="118" t="s">
        <v>5442</v>
      </c>
      <c r="J633" s="118" t="s">
        <v>5444</v>
      </c>
      <c r="K633" s="141"/>
      <c r="L633" s="135" t="str">
        <f t="shared" si="35"/>
        <v>Galagoides zanzibaricus</v>
      </c>
      <c r="M633" s="133">
        <f t="shared" si="37"/>
        <v>2.00217</v>
      </c>
      <c r="N633" s="133">
        <v>100.50091135227832</v>
      </c>
      <c r="O633" s="179" t="s">
        <v>6641</v>
      </c>
      <c r="P633" s="108">
        <v>56</v>
      </c>
      <c r="Q633" s="90" t="s">
        <v>6642</v>
      </c>
    </row>
    <row r="634" spans="1:19">
      <c r="A634" s="118" t="s">
        <v>2778</v>
      </c>
      <c r="B634" s="130"/>
      <c r="C634" s="118" t="s">
        <v>3817</v>
      </c>
      <c r="D634" s="141"/>
      <c r="E634" s="118"/>
      <c r="F634" s="118"/>
      <c r="G634" s="118" t="s">
        <v>7250</v>
      </c>
      <c r="H634" s="118" t="s">
        <v>6313</v>
      </c>
      <c r="I634" s="118" t="s">
        <v>6354</v>
      </c>
      <c r="J634" s="118" t="s">
        <v>5113</v>
      </c>
      <c r="K634" s="141"/>
      <c r="L634" s="135" t="str">
        <f t="shared" si="35"/>
        <v>Otolemur garnettii</v>
      </c>
      <c r="M634" s="133">
        <f t="shared" si="37"/>
        <v>2.8808135922807914</v>
      </c>
      <c r="N634" s="133">
        <v>760</v>
      </c>
      <c r="O634" s="179"/>
      <c r="P634" s="108">
        <v>70</v>
      </c>
    </row>
    <row r="635" spans="1:19" ht="25.5">
      <c r="A635" s="118" t="s">
        <v>2778</v>
      </c>
      <c r="B635" s="130"/>
      <c r="C635" s="118" t="s">
        <v>3817</v>
      </c>
      <c r="D635" s="141"/>
      <c r="E635" s="118"/>
      <c r="F635" s="118"/>
      <c r="G635" s="118" t="s">
        <v>7250</v>
      </c>
      <c r="H635" s="118" t="s">
        <v>6313</v>
      </c>
      <c r="I635" s="118" t="s">
        <v>6354</v>
      </c>
      <c r="J635" s="118" t="s">
        <v>4214</v>
      </c>
      <c r="K635" s="141"/>
      <c r="L635" s="135" t="str">
        <f t="shared" si="35"/>
        <v>Otolemur crassicaudatus</v>
      </c>
      <c r="M635" s="133">
        <f t="shared" si="37"/>
        <v>3.1760912590556813</v>
      </c>
      <c r="N635" s="133">
        <v>1500</v>
      </c>
      <c r="O635" s="179" t="s">
        <v>6584</v>
      </c>
      <c r="P635" s="115">
        <v>75</v>
      </c>
      <c r="Q635" s="90" t="s">
        <v>6640</v>
      </c>
    </row>
    <row r="636" spans="1:19">
      <c r="A636" s="118" t="s">
        <v>2778</v>
      </c>
      <c r="B636" s="130"/>
      <c r="C636" s="118" t="s">
        <v>3817</v>
      </c>
      <c r="D636" s="141"/>
      <c r="E636" s="118"/>
      <c r="F636" s="118"/>
      <c r="G636" s="118" t="s">
        <v>7250</v>
      </c>
      <c r="H636" s="118" t="s">
        <v>6355</v>
      </c>
      <c r="I636" s="118" t="s">
        <v>3224</v>
      </c>
      <c r="J636" s="118" t="s">
        <v>3225</v>
      </c>
      <c r="K636" s="141"/>
      <c r="L636" s="135" t="str">
        <f t="shared" si="35"/>
        <v>Gorilla gorilla</v>
      </c>
      <c r="M636" s="133">
        <f t="shared" si="37"/>
        <v>5.1193400845671926</v>
      </c>
      <c r="N636" s="133">
        <f>AVERAGE(124251.030692901, 139000)</f>
        <v>131625.5153464505</v>
      </c>
      <c r="O636" s="179" t="s">
        <v>7081</v>
      </c>
      <c r="P636" s="108" t="s">
        <v>6637</v>
      </c>
      <c r="Q636" s="90" t="s">
        <v>6640</v>
      </c>
    </row>
    <row r="637" spans="1:19">
      <c r="A637" s="118" t="s">
        <v>2778</v>
      </c>
      <c r="B637" s="130"/>
      <c r="C637" s="118" t="s">
        <v>3817</v>
      </c>
      <c r="D637" s="141"/>
      <c r="E637" s="118"/>
      <c r="F637" s="118"/>
      <c r="G637" s="118" t="s">
        <v>7250</v>
      </c>
      <c r="H637" s="118" t="s">
        <v>6355</v>
      </c>
      <c r="I637" s="118" t="s">
        <v>6357</v>
      </c>
      <c r="J637" s="118" t="s">
        <v>7184</v>
      </c>
      <c r="K637" s="141"/>
      <c r="L637" s="135" t="str">
        <f t="shared" si="35"/>
        <v>Pan paniscus</v>
      </c>
      <c r="M637" s="133">
        <f t="shared" si="37"/>
        <v>4.5314800000000011</v>
      </c>
      <c r="N637" s="133">
        <v>34000.084782586011</v>
      </c>
      <c r="O637" s="179" t="s">
        <v>7081</v>
      </c>
      <c r="P637" s="108">
        <v>60</v>
      </c>
      <c r="Q637" s="90" t="s">
        <v>6640</v>
      </c>
    </row>
    <row r="638" spans="1:19">
      <c r="A638" s="118" t="s">
        <v>2778</v>
      </c>
      <c r="B638" s="130"/>
      <c r="C638" s="118" t="s">
        <v>3817</v>
      </c>
      <c r="D638" s="141"/>
      <c r="E638" s="118"/>
      <c r="F638" s="118"/>
      <c r="G638" s="118" t="s">
        <v>7250</v>
      </c>
      <c r="H638" s="118" t="s">
        <v>6355</v>
      </c>
      <c r="I638" s="118" t="s">
        <v>6357</v>
      </c>
      <c r="J638" s="118" t="s">
        <v>6324</v>
      </c>
      <c r="K638" s="141"/>
      <c r="L638" s="135" t="str">
        <f t="shared" si="35"/>
        <v>Pan troglodytes</v>
      </c>
      <c r="M638" s="133">
        <f t="shared" si="37"/>
        <v>4.6283889300503116</v>
      </c>
      <c r="N638" s="133">
        <f>AVERAGE(40000, 45000)</f>
        <v>42500</v>
      </c>
      <c r="O638" s="179" t="s">
        <v>7081</v>
      </c>
      <c r="P638" s="108" t="s">
        <v>6637</v>
      </c>
      <c r="Q638" s="90" t="s">
        <v>6640</v>
      </c>
      <c r="R638" s="85" t="s">
        <v>1658</v>
      </c>
    </row>
    <row r="639" spans="1:19">
      <c r="A639" s="118" t="s">
        <v>2778</v>
      </c>
      <c r="B639" s="130"/>
      <c r="C639" s="118" t="s">
        <v>3817</v>
      </c>
      <c r="D639" s="141"/>
      <c r="E639" s="118"/>
      <c r="F639" s="118"/>
      <c r="G639" s="118" t="s">
        <v>7250</v>
      </c>
      <c r="H639" s="118" t="s">
        <v>3227</v>
      </c>
      <c r="I639" s="118" t="s">
        <v>3610</v>
      </c>
      <c r="J639" s="118" t="s">
        <v>4893</v>
      </c>
      <c r="K639" s="141"/>
      <c r="L639" s="135" t="str">
        <f t="shared" si="35"/>
        <v>Arctocebus calabarensis</v>
      </c>
      <c r="M639" s="133">
        <f t="shared" si="37"/>
        <v>2.3222200000000002</v>
      </c>
      <c r="N639" s="133">
        <v>210.00034102666152</v>
      </c>
      <c r="O639" s="179" t="s">
        <v>7072</v>
      </c>
      <c r="P639" s="108">
        <v>60130</v>
      </c>
      <c r="Q639" s="90" t="s">
        <v>6642</v>
      </c>
      <c r="R639" s="85" t="s">
        <v>1893</v>
      </c>
      <c r="S639" s="90"/>
    </row>
    <row r="640" spans="1:19">
      <c r="A640" s="118" t="s">
        <v>2778</v>
      </c>
      <c r="B640" s="130"/>
      <c r="C640" s="118" t="s">
        <v>3817</v>
      </c>
      <c r="D640" s="141"/>
      <c r="E640" s="118"/>
      <c r="F640" s="118"/>
      <c r="G640" s="118" t="s">
        <v>7250</v>
      </c>
      <c r="H640" s="118" t="s">
        <v>3227</v>
      </c>
      <c r="I640" s="118" t="s">
        <v>3610</v>
      </c>
      <c r="J640" s="118" t="s">
        <v>7364</v>
      </c>
      <c r="K640" s="141"/>
      <c r="L640" s="135" t="str">
        <f t="shared" si="35"/>
        <v>Arctocebus aureus</v>
      </c>
      <c r="M640" s="133">
        <f t="shared" si="37"/>
        <v>2.3710678622717363</v>
      </c>
      <c r="N640" s="133">
        <f>AVERAGE(200, 270)</f>
        <v>235</v>
      </c>
      <c r="O640" s="179" t="s">
        <v>7081</v>
      </c>
      <c r="P640" s="108">
        <v>70</v>
      </c>
      <c r="Q640" s="90" t="s">
        <v>6642</v>
      </c>
    </row>
    <row r="641" spans="1:22">
      <c r="A641" s="118" t="s">
        <v>2778</v>
      </c>
      <c r="B641" s="130"/>
      <c r="C641" s="118" t="s">
        <v>3817</v>
      </c>
      <c r="D641" s="141"/>
      <c r="E641" s="118"/>
      <c r="F641" s="118"/>
      <c r="G641" s="118" t="s">
        <v>7250</v>
      </c>
      <c r="H641" s="118" t="s">
        <v>3227</v>
      </c>
      <c r="I641" s="118" t="s">
        <v>3611</v>
      </c>
      <c r="J641" s="118" t="s">
        <v>3612</v>
      </c>
      <c r="K641" s="141"/>
      <c r="L641" s="135" t="str">
        <f t="shared" si="35"/>
        <v>Perodicticus potto</v>
      </c>
      <c r="M641" s="133">
        <f t="shared" si="37"/>
        <v>3.0413900000000003</v>
      </c>
      <c r="N641" s="133">
        <v>1099.9931989351937</v>
      </c>
      <c r="O641" s="179" t="s">
        <v>3356</v>
      </c>
      <c r="P641" s="108">
        <v>60130</v>
      </c>
      <c r="R641" s="85" t="s">
        <v>1892</v>
      </c>
    </row>
    <row r="642" spans="1:22">
      <c r="A642" s="134" t="s">
        <v>2778</v>
      </c>
      <c r="B642" s="135"/>
      <c r="C642" s="136" t="s">
        <v>5092</v>
      </c>
      <c r="D642" s="220"/>
      <c r="E642" s="136"/>
      <c r="F642" s="136"/>
      <c r="G642" s="134" t="s">
        <v>4084</v>
      </c>
      <c r="H642" s="134" t="s">
        <v>3613</v>
      </c>
      <c r="I642" s="134" t="s">
        <v>5452</v>
      </c>
      <c r="J642" s="134" t="s">
        <v>2393</v>
      </c>
      <c r="K642" s="135"/>
      <c r="L642" s="135" t="str">
        <f t="shared" si="35"/>
        <v>Elephas iolensis</v>
      </c>
      <c r="M642" s="133">
        <f t="shared" si="37"/>
        <v>6.8129133566428557</v>
      </c>
      <c r="N642" s="137">
        <v>6500000</v>
      </c>
      <c r="O642" s="180"/>
      <c r="P642" s="110" t="s">
        <v>2394</v>
      </c>
    </row>
    <row r="643" spans="1:22">
      <c r="A643" s="118" t="s">
        <v>2778</v>
      </c>
      <c r="B643" s="130"/>
      <c r="C643" s="118" t="s">
        <v>3817</v>
      </c>
      <c r="D643" s="141"/>
      <c r="E643" s="118"/>
      <c r="F643" s="118"/>
      <c r="G643" s="118" t="s">
        <v>4084</v>
      </c>
      <c r="H643" s="118" t="s">
        <v>3613</v>
      </c>
      <c r="I643" s="118" t="s">
        <v>3614</v>
      </c>
      <c r="J643" s="118" t="s">
        <v>4052</v>
      </c>
      <c r="K643" s="141"/>
      <c r="L643" s="135" t="str">
        <f t="shared" si="35"/>
        <v>Loxodonta africana</v>
      </c>
      <c r="M643" s="133">
        <f t="shared" si="37"/>
        <v>6.5955000000000013</v>
      </c>
      <c r="N643" s="133">
        <v>3940034.2764474698</v>
      </c>
      <c r="O643" s="179" t="s">
        <v>3356</v>
      </c>
      <c r="P643" s="111" t="s">
        <v>2835</v>
      </c>
      <c r="Q643" s="90" t="s">
        <v>6640</v>
      </c>
    </row>
    <row r="644" spans="1:22">
      <c r="A644" s="118" t="s">
        <v>2778</v>
      </c>
      <c r="B644" s="141" t="s">
        <v>5993</v>
      </c>
      <c r="C644" s="118" t="s">
        <v>3931</v>
      </c>
      <c r="D644" s="141"/>
      <c r="E644" s="118"/>
      <c r="F644" s="118"/>
      <c r="G644" s="118" t="s">
        <v>3618</v>
      </c>
      <c r="H644" s="118" t="s">
        <v>3638</v>
      </c>
      <c r="I644" s="118" t="s">
        <v>3400</v>
      </c>
      <c r="J644" s="118" t="s">
        <v>8256</v>
      </c>
      <c r="K644" s="141"/>
      <c r="L644" s="135" t="str">
        <f t="shared" si="35"/>
        <v>Leimacomys buettneri</v>
      </c>
      <c r="M644" s="133">
        <f t="shared" si="37"/>
        <v>1.7403626894942439</v>
      </c>
      <c r="N644" s="133">
        <v>55</v>
      </c>
      <c r="O644" s="179" t="s">
        <v>6882</v>
      </c>
      <c r="P644" s="108" t="s">
        <v>6856</v>
      </c>
      <c r="Q644" s="90" t="s">
        <v>6987</v>
      </c>
      <c r="U644" s="20"/>
      <c r="V644" s="20"/>
    </row>
    <row r="645" spans="1:22">
      <c r="A645" s="213" t="s">
        <v>2778</v>
      </c>
      <c r="B645" s="141" t="s">
        <v>6064</v>
      </c>
      <c r="C645" s="118" t="s">
        <v>3817</v>
      </c>
      <c r="D645" s="141"/>
      <c r="E645" s="118"/>
      <c r="F645" s="118"/>
      <c r="G645" s="118" t="s">
        <v>3618</v>
      </c>
      <c r="H645" s="118" t="s">
        <v>3392</v>
      </c>
      <c r="I645" s="118" t="s">
        <v>3393</v>
      </c>
      <c r="J645" s="118" t="s">
        <v>4473</v>
      </c>
      <c r="K645" s="141"/>
      <c r="L645" s="135" t="str">
        <f t="shared" ref="L645:L708" si="38">I645&amp;" "&amp;J645</f>
        <v>Anomalurus pusillus</v>
      </c>
      <c r="M645" s="133">
        <f t="shared" si="37"/>
        <v>2.3979400086720375</v>
      </c>
      <c r="N645" s="133">
        <v>250</v>
      </c>
      <c r="O645" s="179" t="s">
        <v>3356</v>
      </c>
      <c r="P645" s="108">
        <v>70</v>
      </c>
    </row>
    <row r="646" spans="1:22">
      <c r="A646" s="213" t="s">
        <v>2778</v>
      </c>
      <c r="B646" s="130"/>
      <c r="C646" s="118" t="s">
        <v>3817</v>
      </c>
      <c r="D646" s="141"/>
      <c r="E646" s="118"/>
      <c r="F646" s="118"/>
      <c r="G646" s="118" t="s">
        <v>3618</v>
      </c>
      <c r="H646" s="118" t="s">
        <v>3392</v>
      </c>
      <c r="I646" s="118" t="s">
        <v>3393</v>
      </c>
      <c r="J646" s="118" t="s">
        <v>3394</v>
      </c>
      <c r="K646" s="141"/>
      <c r="L646" s="135" t="str">
        <f t="shared" si="38"/>
        <v>Anomalurus beecrofti</v>
      </c>
      <c r="M646" s="133">
        <f t="shared" si="37"/>
        <v>2.58995</v>
      </c>
      <c r="N646" s="133">
        <v>389.00035709496058</v>
      </c>
      <c r="O646" s="179" t="s">
        <v>3356</v>
      </c>
      <c r="P646" s="108">
        <v>60</v>
      </c>
      <c r="S646" s="90"/>
    </row>
    <row r="647" spans="1:22">
      <c r="A647" s="213" t="s">
        <v>2778</v>
      </c>
      <c r="B647" s="130"/>
      <c r="C647" s="118" t="s">
        <v>3817</v>
      </c>
      <c r="D647" s="141"/>
      <c r="E647" s="118"/>
      <c r="F647" s="118"/>
      <c r="G647" s="118" t="s">
        <v>3618</v>
      </c>
      <c r="H647" s="118" t="s">
        <v>3392</v>
      </c>
      <c r="I647" s="118" t="s">
        <v>3393</v>
      </c>
      <c r="J647" s="118" t="s">
        <v>3062</v>
      </c>
      <c r="K647" s="141"/>
      <c r="L647" s="135" t="str">
        <f t="shared" si="38"/>
        <v>Anomalurus derbianus</v>
      </c>
      <c r="M647" s="133">
        <f t="shared" si="37"/>
        <v>2.8129100000000005</v>
      </c>
      <c r="N647" s="133">
        <v>649.99497619814383</v>
      </c>
      <c r="O647" s="179" t="s">
        <v>3356</v>
      </c>
      <c r="P647" s="108">
        <v>65</v>
      </c>
    </row>
    <row r="648" spans="1:22">
      <c r="A648" s="213" t="s">
        <v>2778</v>
      </c>
      <c r="B648" s="130"/>
      <c r="C648" s="118" t="s">
        <v>3817</v>
      </c>
      <c r="D648" s="141"/>
      <c r="E648" s="118"/>
      <c r="F648" s="118"/>
      <c r="G648" s="118" t="s">
        <v>3618</v>
      </c>
      <c r="H648" s="118" t="s">
        <v>3392</v>
      </c>
      <c r="I648" s="118" t="s">
        <v>3393</v>
      </c>
      <c r="J648" s="118" t="s">
        <v>3395</v>
      </c>
      <c r="K648" s="141"/>
      <c r="L648" s="135" t="str">
        <f t="shared" si="38"/>
        <v>Anomalurus pelii</v>
      </c>
      <c r="M648" s="133">
        <f t="shared" si="37"/>
        <v>3.24797</v>
      </c>
      <c r="N648" s="133">
        <v>1769.9866877455345</v>
      </c>
      <c r="O648" s="179" t="s">
        <v>6641</v>
      </c>
      <c r="P648" s="108">
        <v>60</v>
      </c>
      <c r="Q648" s="90" t="s">
        <v>6988</v>
      </c>
    </row>
    <row r="649" spans="1:22">
      <c r="A649" s="213" t="s">
        <v>2778</v>
      </c>
      <c r="B649" s="141" t="s">
        <v>3152</v>
      </c>
      <c r="C649" s="118" t="s">
        <v>3817</v>
      </c>
      <c r="D649" s="141"/>
      <c r="E649" s="118"/>
      <c r="F649" s="118"/>
      <c r="G649" s="118" t="s">
        <v>3618</v>
      </c>
      <c r="H649" s="118" t="s">
        <v>3392</v>
      </c>
      <c r="I649" s="118" t="s">
        <v>3396</v>
      </c>
      <c r="J649" s="118" t="s">
        <v>4141</v>
      </c>
      <c r="K649" s="141"/>
      <c r="L649" s="135" t="str">
        <f t="shared" si="38"/>
        <v>Idiurus macrotis</v>
      </c>
      <c r="M649" s="133">
        <f t="shared" si="37"/>
        <v>1.4771212547196624</v>
      </c>
      <c r="N649" s="133">
        <v>30</v>
      </c>
      <c r="O649" s="179" t="s">
        <v>6641</v>
      </c>
      <c r="P649" s="108">
        <v>70</v>
      </c>
      <c r="Q649" s="90" t="s">
        <v>6642</v>
      </c>
    </row>
    <row r="650" spans="1:22">
      <c r="A650" s="213" t="s">
        <v>2778</v>
      </c>
      <c r="B650" s="130"/>
      <c r="C650" s="118" t="s">
        <v>3817</v>
      </c>
      <c r="D650" s="141"/>
      <c r="E650" s="118"/>
      <c r="F650" s="118"/>
      <c r="G650" s="118" t="s">
        <v>3618</v>
      </c>
      <c r="H650" s="118" t="s">
        <v>3392</v>
      </c>
      <c r="I650" s="118" t="s">
        <v>3396</v>
      </c>
      <c r="J650" s="118" t="s">
        <v>3397</v>
      </c>
      <c r="K650" s="141"/>
      <c r="L650" s="135" t="str">
        <f t="shared" si="38"/>
        <v>Idiurus zenkeri</v>
      </c>
      <c r="M650" s="133">
        <f t="shared" si="37"/>
        <v>2</v>
      </c>
      <c r="N650" s="133">
        <f>AVERAGE(90, 110)</f>
        <v>100</v>
      </c>
      <c r="O650" s="179" t="s">
        <v>6641</v>
      </c>
      <c r="P650" s="108">
        <v>116</v>
      </c>
      <c r="Q650" s="90" t="s">
        <v>6642</v>
      </c>
    </row>
    <row r="651" spans="1:22" ht="38.25">
      <c r="A651" s="213" t="s">
        <v>2778</v>
      </c>
      <c r="B651" s="141" t="s">
        <v>5311</v>
      </c>
      <c r="C651" s="118" t="s">
        <v>3817</v>
      </c>
      <c r="D651" s="141"/>
      <c r="E651" s="118"/>
      <c r="F651" s="118"/>
      <c r="G651" s="118" t="s">
        <v>3618</v>
      </c>
      <c r="H651" s="118" t="s">
        <v>3392</v>
      </c>
      <c r="I651" s="118" t="s">
        <v>5424</v>
      </c>
      <c r="J651" s="118" t="s">
        <v>6460</v>
      </c>
      <c r="K651" s="141"/>
      <c r="L651" s="135" t="str">
        <f t="shared" si="38"/>
        <v>Zenkerella insignis</v>
      </c>
      <c r="M651" s="133">
        <f t="shared" ref="M651:M653" si="39">LOG(N651)</f>
        <v>2.3010299956639813</v>
      </c>
      <c r="N651" s="133">
        <v>200</v>
      </c>
      <c r="O651" s="179" t="s">
        <v>6882</v>
      </c>
      <c r="P651" s="108">
        <v>70</v>
      </c>
      <c r="Q651" s="90" t="s">
        <v>6642</v>
      </c>
    </row>
    <row r="652" spans="1:22">
      <c r="A652" s="213" t="s">
        <v>2778</v>
      </c>
      <c r="B652" s="130"/>
      <c r="C652" s="118" t="s">
        <v>3817</v>
      </c>
      <c r="D652" s="141"/>
      <c r="E652" s="118"/>
      <c r="F652" s="118"/>
      <c r="G652" s="118" t="s">
        <v>3618</v>
      </c>
      <c r="H652" s="118" t="s">
        <v>3409</v>
      </c>
      <c r="I652" s="118" t="s">
        <v>3410</v>
      </c>
      <c r="J652" s="118" t="s">
        <v>5453</v>
      </c>
      <c r="K652" s="141"/>
      <c r="L652" s="135" t="str">
        <f t="shared" si="38"/>
        <v>Bathyergus janetta</v>
      </c>
      <c r="M652" s="133">
        <f t="shared" si="39"/>
        <v>2.5211380837040362</v>
      </c>
      <c r="N652" s="133">
        <v>332</v>
      </c>
      <c r="O652" s="179" t="s">
        <v>6641</v>
      </c>
      <c r="P652" s="108">
        <v>68</v>
      </c>
      <c r="Q652" s="90" t="s">
        <v>6642</v>
      </c>
    </row>
    <row r="653" spans="1:22">
      <c r="A653" s="213" t="s">
        <v>2778</v>
      </c>
      <c r="B653" s="130"/>
      <c r="C653" s="118" t="s">
        <v>3817</v>
      </c>
      <c r="D653" s="141"/>
      <c r="E653" s="118"/>
      <c r="F653" s="118"/>
      <c r="G653" s="118" t="s">
        <v>3618</v>
      </c>
      <c r="H653" s="118" t="s">
        <v>3409</v>
      </c>
      <c r="I653" s="118" t="s">
        <v>3410</v>
      </c>
      <c r="J653" s="118" t="s">
        <v>3411</v>
      </c>
      <c r="K653" s="141"/>
      <c r="L653" s="135" t="str">
        <f t="shared" si="38"/>
        <v>Bathyergus suillus</v>
      </c>
      <c r="M653" s="133">
        <f t="shared" si="39"/>
        <v>2.7958800000000004</v>
      </c>
      <c r="N653" s="133">
        <v>624.99997503987015</v>
      </c>
      <c r="O653" s="179" t="s">
        <v>3356</v>
      </c>
      <c r="P653" s="108">
        <v>60</v>
      </c>
    </row>
    <row r="654" spans="1:22">
      <c r="A654" s="213" t="s">
        <v>2778</v>
      </c>
      <c r="B654" s="141" t="s">
        <v>5992</v>
      </c>
      <c r="C654" s="118" t="s">
        <v>3817</v>
      </c>
      <c r="D654" s="141"/>
      <c r="E654" s="118"/>
      <c r="F654" s="118"/>
      <c r="G654" s="118" t="s">
        <v>3618</v>
      </c>
      <c r="H654" s="118" t="s">
        <v>3409</v>
      </c>
      <c r="I654" s="118" t="s">
        <v>3039</v>
      </c>
      <c r="J654" s="118" t="s">
        <v>7244</v>
      </c>
      <c r="K654" s="141"/>
      <c r="L654" s="135" t="str">
        <f t="shared" si="38"/>
        <v>Cryptomys foxi</v>
      </c>
      <c r="M654" s="133">
        <v>-999</v>
      </c>
      <c r="N654" s="133">
        <v>-999</v>
      </c>
      <c r="O654" s="179" t="s">
        <v>7081</v>
      </c>
      <c r="P654" s="108">
        <v>-999</v>
      </c>
      <c r="Q654" s="80" t="s">
        <v>6642</v>
      </c>
    </row>
    <row r="655" spans="1:22">
      <c r="A655" s="213" t="s">
        <v>2778</v>
      </c>
      <c r="B655" s="130"/>
      <c r="C655" s="118" t="s">
        <v>3817</v>
      </c>
      <c r="D655" s="141"/>
      <c r="E655" s="118"/>
      <c r="F655" s="118"/>
      <c r="G655" s="118" t="s">
        <v>3618</v>
      </c>
      <c r="H655" s="118" t="s">
        <v>3409</v>
      </c>
      <c r="I655" s="118" t="s">
        <v>3039</v>
      </c>
      <c r="J655" s="118" t="s">
        <v>5461</v>
      </c>
      <c r="K655" s="141"/>
      <c r="L655" s="135" t="str">
        <f t="shared" si="38"/>
        <v>Cryptomys bocagei</v>
      </c>
      <c r="M655" s="133">
        <f t="shared" ref="M655:M673" si="40">LOG(N655)</f>
        <v>1.9731278535996986</v>
      </c>
      <c r="N655" s="133">
        <v>94</v>
      </c>
      <c r="O655" s="179" t="s">
        <v>6736</v>
      </c>
      <c r="P655" s="108">
        <v>-999</v>
      </c>
    </row>
    <row r="656" spans="1:22">
      <c r="A656" s="213" t="s">
        <v>2778</v>
      </c>
      <c r="B656" s="130"/>
      <c r="C656" s="118" t="s">
        <v>3817</v>
      </c>
      <c r="D656" s="141"/>
      <c r="E656" s="118"/>
      <c r="F656" s="118"/>
      <c r="G656" s="118" t="s">
        <v>3618</v>
      </c>
      <c r="H656" s="118" t="s">
        <v>3409</v>
      </c>
      <c r="I656" s="118" t="s">
        <v>3039</v>
      </c>
      <c r="J656" s="118" t="s">
        <v>2597</v>
      </c>
      <c r="K656" s="141"/>
      <c r="L656" s="135" t="str">
        <f t="shared" si="38"/>
        <v>Cryptomys hottentotus</v>
      </c>
      <c r="M656" s="133">
        <f t="shared" si="40"/>
        <v>2.0083872301141588</v>
      </c>
      <c r="N656" s="133">
        <f>AVERAGE(134, 119, 86.4, 68.4)</f>
        <v>101.94999999999999</v>
      </c>
      <c r="O656" s="179" t="s">
        <v>3356</v>
      </c>
      <c r="P656" s="108" t="s">
        <v>1854</v>
      </c>
    </row>
    <row r="657" spans="1:18">
      <c r="A657" s="213" t="s">
        <v>2778</v>
      </c>
      <c r="B657" s="130"/>
      <c r="C657" s="118" t="s">
        <v>3817</v>
      </c>
      <c r="D657" s="141"/>
      <c r="E657" s="118"/>
      <c r="F657" s="118"/>
      <c r="G657" s="118" t="s">
        <v>3618</v>
      </c>
      <c r="H657" s="118" t="s">
        <v>3409</v>
      </c>
      <c r="I657" s="118" t="s">
        <v>3039</v>
      </c>
      <c r="J657" s="118" t="s">
        <v>7682</v>
      </c>
      <c r="K657" s="141"/>
      <c r="L657" s="135" t="str">
        <f t="shared" si="38"/>
        <v>Cryptomys damarensis</v>
      </c>
      <c r="M657" s="133">
        <f t="shared" si="40"/>
        <v>2.1854004831904525</v>
      </c>
      <c r="N657" s="133">
        <f>AVERAGE(165, 141.5)</f>
        <v>153.25</v>
      </c>
      <c r="O657" s="179" t="s">
        <v>3356</v>
      </c>
      <c r="P657" s="108">
        <v>239</v>
      </c>
    </row>
    <row r="658" spans="1:18">
      <c r="A658" s="213" t="s">
        <v>2778</v>
      </c>
      <c r="B658" s="130"/>
      <c r="C658" s="118" t="s">
        <v>3817</v>
      </c>
      <c r="D658" s="141"/>
      <c r="E658" s="118"/>
      <c r="F658" s="118"/>
      <c r="G658" s="118" t="s">
        <v>3618</v>
      </c>
      <c r="H658" s="118" t="s">
        <v>3409</v>
      </c>
      <c r="I658" s="118" t="s">
        <v>3039</v>
      </c>
      <c r="J658" s="118" t="s">
        <v>6695</v>
      </c>
      <c r="K658" s="141"/>
      <c r="L658" s="135" t="str">
        <f t="shared" si="38"/>
        <v>Cryptomys ochraceocinereus</v>
      </c>
      <c r="M658" s="133">
        <f t="shared" si="40"/>
        <v>2.3010299999999999</v>
      </c>
      <c r="N658" s="133">
        <v>200.00000199681045</v>
      </c>
      <c r="O658" s="179" t="s">
        <v>3356</v>
      </c>
      <c r="P658" s="108" t="s">
        <v>2835</v>
      </c>
    </row>
    <row r="659" spans="1:18">
      <c r="A659" s="213" t="s">
        <v>2778</v>
      </c>
      <c r="B659" s="141" t="s">
        <v>5993</v>
      </c>
      <c r="C659" s="118" t="s">
        <v>3817</v>
      </c>
      <c r="D659" s="141"/>
      <c r="E659" s="118"/>
      <c r="F659" s="118"/>
      <c r="G659" s="118" t="s">
        <v>3618</v>
      </c>
      <c r="H659" s="118" t="s">
        <v>3409</v>
      </c>
      <c r="I659" s="118" t="s">
        <v>3039</v>
      </c>
      <c r="J659" s="118" t="s">
        <v>5281</v>
      </c>
      <c r="K659" s="141"/>
      <c r="L659" s="135" t="str">
        <f t="shared" si="38"/>
        <v>Cryptomys zechi</v>
      </c>
      <c r="M659" s="133">
        <f t="shared" si="40"/>
        <v>2.3484119628301414</v>
      </c>
      <c r="N659" s="142">
        <f>AVERAGE(241.61, 204.5)</f>
        <v>223.05500000000001</v>
      </c>
      <c r="O659" s="179" t="s">
        <v>7081</v>
      </c>
      <c r="P659" s="108">
        <v>200</v>
      </c>
      <c r="Q659" s="80" t="s">
        <v>6642</v>
      </c>
    </row>
    <row r="660" spans="1:18">
      <c r="A660" s="213" t="s">
        <v>2778</v>
      </c>
      <c r="B660" s="130"/>
      <c r="C660" s="118" t="s">
        <v>3817</v>
      </c>
      <c r="D660" s="141"/>
      <c r="E660" s="118"/>
      <c r="F660" s="118"/>
      <c r="G660" s="118" t="s">
        <v>3618</v>
      </c>
      <c r="H660" s="118" t="s">
        <v>3409</v>
      </c>
      <c r="I660" s="118" t="s">
        <v>3039</v>
      </c>
      <c r="J660" s="118" t="s">
        <v>5462</v>
      </c>
      <c r="K660" s="141"/>
      <c r="L660" s="135" t="str">
        <f t="shared" si="38"/>
        <v>Cryptomys mechowi</v>
      </c>
      <c r="M660" s="133">
        <f t="shared" si="40"/>
        <v>2.4345689040341987</v>
      </c>
      <c r="N660" s="133">
        <v>272</v>
      </c>
      <c r="O660" s="179" t="s">
        <v>6736</v>
      </c>
      <c r="P660" s="108">
        <v>-999</v>
      </c>
    </row>
    <row r="661" spans="1:18">
      <c r="A661" s="213" t="s">
        <v>2778</v>
      </c>
      <c r="B661" s="130"/>
      <c r="C661" s="118" t="s">
        <v>3817</v>
      </c>
      <c r="D661" s="141"/>
      <c r="E661" s="118"/>
      <c r="F661" s="118"/>
      <c r="G661" s="118" t="s">
        <v>3618</v>
      </c>
      <c r="H661" s="118" t="s">
        <v>3409</v>
      </c>
      <c r="I661" s="118" t="s">
        <v>6325</v>
      </c>
      <c r="J661" s="118" t="s">
        <v>4259</v>
      </c>
      <c r="K661" s="141"/>
      <c r="L661" s="135" t="str">
        <f t="shared" si="38"/>
        <v>Georychus capensis</v>
      </c>
      <c r="M661" s="133">
        <f t="shared" si="40"/>
        <v>2.3667341679034988</v>
      </c>
      <c r="N661" s="133">
        <f>AVERAGE(245, 310, 360, 124, 173, 195, 326, 181, 180)</f>
        <v>232.66666666666666</v>
      </c>
      <c r="O661" s="179" t="s">
        <v>3356</v>
      </c>
      <c r="P661" s="108" t="s">
        <v>1855</v>
      </c>
    </row>
    <row r="662" spans="1:18">
      <c r="A662" s="213" t="s">
        <v>2778</v>
      </c>
      <c r="B662" s="130"/>
      <c r="C662" s="118" t="s">
        <v>3817</v>
      </c>
      <c r="D662" s="141"/>
      <c r="E662" s="118"/>
      <c r="F662" s="118"/>
      <c r="G662" s="118" t="s">
        <v>3618</v>
      </c>
      <c r="H662" s="118" t="s">
        <v>3409</v>
      </c>
      <c r="I662" s="118" t="s">
        <v>3230</v>
      </c>
      <c r="J662" s="118" t="s">
        <v>3025</v>
      </c>
      <c r="K662" s="141"/>
      <c r="L662" s="135" t="str">
        <f t="shared" si="38"/>
        <v>Heliophobius argenteocinereus</v>
      </c>
      <c r="M662" s="133">
        <f t="shared" si="40"/>
        <v>2.2576800000000001</v>
      </c>
      <c r="N662" s="133">
        <v>181.00059394975446</v>
      </c>
      <c r="O662" s="179" t="s">
        <v>6773</v>
      </c>
      <c r="P662" s="108">
        <v>60</v>
      </c>
      <c r="Q662" s="90" t="s">
        <v>6642</v>
      </c>
    </row>
    <row r="663" spans="1:18">
      <c r="A663" s="213" t="s">
        <v>2778</v>
      </c>
      <c r="B663" s="130"/>
      <c r="C663" s="118" t="s">
        <v>3817</v>
      </c>
      <c r="D663" s="141"/>
      <c r="E663" s="118"/>
      <c r="F663" s="118"/>
      <c r="G663" s="118" t="s">
        <v>3618</v>
      </c>
      <c r="H663" s="118" t="s">
        <v>3409</v>
      </c>
      <c r="I663" s="118" t="s">
        <v>3026</v>
      </c>
      <c r="J663" s="118" t="s">
        <v>3391</v>
      </c>
      <c r="K663" s="141"/>
      <c r="L663" s="135" t="str">
        <f t="shared" si="38"/>
        <v>Heterocephalus glaber</v>
      </c>
      <c r="M663" s="133">
        <f t="shared" si="40"/>
        <v>1.7403600000000001</v>
      </c>
      <c r="N663" s="133">
        <v>54.999659397640222</v>
      </c>
      <c r="O663" s="179" t="s">
        <v>3356</v>
      </c>
      <c r="P663" s="108" t="s">
        <v>2835</v>
      </c>
    </row>
    <row r="664" spans="1:18">
      <c r="A664" s="213" t="s">
        <v>2778</v>
      </c>
      <c r="B664" s="130"/>
      <c r="C664" s="118" t="s">
        <v>3817</v>
      </c>
      <c r="D664" s="141"/>
      <c r="E664" s="118"/>
      <c r="F664" s="118"/>
      <c r="G664" s="118" t="s">
        <v>3618</v>
      </c>
      <c r="H664" s="118" t="s">
        <v>3340</v>
      </c>
      <c r="I664" s="118" t="s">
        <v>5469</v>
      </c>
      <c r="J664" s="118" t="s">
        <v>5287</v>
      </c>
      <c r="K664" s="141"/>
      <c r="L664" s="135" t="str">
        <f t="shared" si="38"/>
        <v>Ctenodactylus vali</v>
      </c>
      <c r="M664" s="133">
        <f t="shared" si="40"/>
        <v>2.2430380486862944</v>
      </c>
      <c r="N664" s="133">
        <v>175</v>
      </c>
      <c r="O664" s="179" t="s">
        <v>3356</v>
      </c>
      <c r="P664" s="108">
        <v>75</v>
      </c>
    </row>
    <row r="665" spans="1:18">
      <c r="A665" s="213" t="s">
        <v>2778</v>
      </c>
      <c r="B665" s="130"/>
      <c r="C665" s="118" t="s">
        <v>3817</v>
      </c>
      <c r="D665" s="141"/>
      <c r="E665" s="118"/>
      <c r="F665" s="118"/>
      <c r="G665" s="118" t="s">
        <v>3618</v>
      </c>
      <c r="H665" s="118" t="s">
        <v>3340</v>
      </c>
      <c r="I665" s="118" t="s">
        <v>5469</v>
      </c>
      <c r="J665" s="118" t="s">
        <v>5470</v>
      </c>
      <c r="K665" s="141"/>
      <c r="L665" s="135" t="str">
        <f t="shared" si="38"/>
        <v>Ctenodactylus gundi</v>
      </c>
      <c r="M665" s="133">
        <f t="shared" si="40"/>
        <v>2.4608978427565478</v>
      </c>
      <c r="N665" s="133">
        <v>289</v>
      </c>
      <c r="O665" s="179" t="s">
        <v>6736</v>
      </c>
      <c r="P665" s="108">
        <v>68</v>
      </c>
    </row>
    <row r="666" spans="1:18">
      <c r="A666" s="213" t="s">
        <v>2778</v>
      </c>
      <c r="B666" s="141" t="s">
        <v>2783</v>
      </c>
      <c r="C666" s="118" t="s">
        <v>3817</v>
      </c>
      <c r="D666" s="141"/>
      <c r="E666" s="118"/>
      <c r="F666" s="118"/>
      <c r="G666" s="118" t="s">
        <v>3618</v>
      </c>
      <c r="H666" s="118" t="s">
        <v>3340</v>
      </c>
      <c r="I666" s="118" t="s">
        <v>5288</v>
      </c>
      <c r="J666" s="118" t="s">
        <v>5134</v>
      </c>
      <c r="K666" s="141"/>
      <c r="L666" s="135" t="str">
        <f t="shared" si="38"/>
        <v>Felovia vae</v>
      </c>
      <c r="M666" s="133">
        <f t="shared" si="40"/>
        <v>2.3117538610557542</v>
      </c>
      <c r="N666" s="133">
        <v>205</v>
      </c>
      <c r="O666" s="179" t="s">
        <v>6641</v>
      </c>
      <c r="P666" s="108">
        <v>70</v>
      </c>
      <c r="Q666" s="90" t="s">
        <v>6988</v>
      </c>
    </row>
    <row r="667" spans="1:18">
      <c r="A667" s="213" t="s">
        <v>2778</v>
      </c>
      <c r="B667" s="141" t="s">
        <v>2319</v>
      </c>
      <c r="C667" s="118" t="s">
        <v>3817</v>
      </c>
      <c r="D667" s="141"/>
      <c r="E667" s="118"/>
      <c r="F667" s="118"/>
      <c r="G667" s="118" t="s">
        <v>3618</v>
      </c>
      <c r="H667" s="118" t="s">
        <v>3340</v>
      </c>
      <c r="I667" s="118" t="s">
        <v>5135</v>
      </c>
      <c r="J667" s="118" t="s">
        <v>4741</v>
      </c>
      <c r="K667" s="141"/>
      <c r="L667" s="135" t="str">
        <f t="shared" si="38"/>
        <v>Pectinator spekei</v>
      </c>
      <c r="M667" s="133">
        <f t="shared" si="40"/>
        <v>2.2041199826559246</v>
      </c>
      <c r="N667" s="133">
        <v>160</v>
      </c>
      <c r="O667" s="179" t="s">
        <v>3356</v>
      </c>
      <c r="P667" s="108">
        <v>70</v>
      </c>
    </row>
    <row r="668" spans="1:18" ht="25.5">
      <c r="A668" s="213" t="s">
        <v>2778</v>
      </c>
      <c r="B668" s="130"/>
      <c r="C668" s="118" t="s">
        <v>3817</v>
      </c>
      <c r="D668" s="141"/>
      <c r="E668" s="118"/>
      <c r="F668" s="118"/>
      <c r="G668" s="118" t="s">
        <v>3618</v>
      </c>
      <c r="H668" s="118" t="s">
        <v>6223</v>
      </c>
      <c r="I668" s="118" t="s">
        <v>5195</v>
      </c>
      <c r="J668" s="118" t="s">
        <v>2134</v>
      </c>
      <c r="K668" s="141"/>
      <c r="L668" s="135" t="str">
        <f t="shared" si="38"/>
        <v>Allactaga tetradactyla</v>
      </c>
      <c r="M668" s="133">
        <f t="shared" si="40"/>
        <v>1.7160033436347992</v>
      </c>
      <c r="N668" s="133">
        <v>52</v>
      </c>
      <c r="O668" s="179" t="s">
        <v>8149</v>
      </c>
      <c r="P668" s="108">
        <v>68</v>
      </c>
      <c r="Q668" s="90" t="s">
        <v>6640</v>
      </c>
    </row>
    <row r="669" spans="1:18" ht="36" customHeight="1">
      <c r="A669" s="213" t="s">
        <v>2778</v>
      </c>
      <c r="B669" s="130"/>
      <c r="C669" s="118" t="s">
        <v>3817</v>
      </c>
      <c r="D669" s="141"/>
      <c r="E669" s="118"/>
      <c r="F669" s="118"/>
      <c r="G669" s="118" t="s">
        <v>3618</v>
      </c>
      <c r="H669" s="118" t="s">
        <v>6223</v>
      </c>
      <c r="I669" s="118" t="s">
        <v>6224</v>
      </c>
      <c r="J669" s="118" t="s">
        <v>6225</v>
      </c>
      <c r="K669" s="141"/>
      <c r="L669" s="135" t="str">
        <f t="shared" si="38"/>
        <v>Jaculus jaculus</v>
      </c>
      <c r="M669" s="133">
        <f t="shared" si="40"/>
        <v>1.7524332158008897</v>
      </c>
      <c r="N669" s="133">
        <f>AVERAGE(70.0003159130897, 55, 50.8, 50.4)</f>
        <v>56.550078978272424</v>
      </c>
      <c r="O669" s="179" t="s">
        <v>3356</v>
      </c>
      <c r="P669" s="108" t="s">
        <v>6644</v>
      </c>
      <c r="R669" s="89" t="s">
        <v>7740</v>
      </c>
    </row>
    <row r="670" spans="1:18">
      <c r="A670" s="213" t="s">
        <v>2778</v>
      </c>
      <c r="B670" s="130"/>
      <c r="C670" s="118" t="s">
        <v>3817</v>
      </c>
      <c r="D670" s="141"/>
      <c r="E670" s="118"/>
      <c r="F670" s="118"/>
      <c r="G670" s="118" t="s">
        <v>3618</v>
      </c>
      <c r="H670" s="118" t="s">
        <v>6223</v>
      </c>
      <c r="I670" s="118" t="s">
        <v>6224</v>
      </c>
      <c r="J670" s="118" t="s">
        <v>3805</v>
      </c>
      <c r="K670" s="141"/>
      <c r="L670" s="135" t="str">
        <f t="shared" si="38"/>
        <v>Jaculus orientalis</v>
      </c>
      <c r="M670" s="133">
        <f t="shared" si="40"/>
        <v>2.1398799999999998</v>
      </c>
      <c r="N670" s="133">
        <v>138.00029030247268</v>
      </c>
      <c r="O670" s="179" t="s">
        <v>6931</v>
      </c>
      <c r="P670" s="108">
        <v>60</v>
      </c>
      <c r="Q670" s="90" t="s">
        <v>6642</v>
      </c>
    </row>
    <row r="671" spans="1:18">
      <c r="A671" s="213" t="s">
        <v>2778</v>
      </c>
      <c r="B671" s="130"/>
      <c r="C671" s="118" t="s">
        <v>3817</v>
      </c>
      <c r="D671" s="141"/>
      <c r="E671" s="118"/>
      <c r="F671" s="118"/>
      <c r="G671" s="118" t="s">
        <v>3618</v>
      </c>
      <c r="H671" s="118" t="s">
        <v>7240</v>
      </c>
      <c r="I671" s="118" t="s">
        <v>7241</v>
      </c>
      <c r="J671" s="118" t="s">
        <v>7242</v>
      </c>
      <c r="K671" s="141"/>
      <c r="L671" s="135" t="str">
        <f t="shared" si="38"/>
        <v>Atherurus africanus</v>
      </c>
      <c r="M671" s="133">
        <f t="shared" si="40"/>
        <v>3.2864564697469829</v>
      </c>
      <c r="N671" s="133">
        <f>AVERAGE(1670, 2198)</f>
        <v>1934</v>
      </c>
      <c r="O671" s="179" t="s">
        <v>1308</v>
      </c>
      <c r="P671" s="108">
        <v>135</v>
      </c>
      <c r="R671" s="85" t="s">
        <v>7742</v>
      </c>
    </row>
    <row r="672" spans="1:18">
      <c r="A672" s="213" t="s">
        <v>2778</v>
      </c>
      <c r="B672" s="130"/>
      <c r="C672" s="118" t="s">
        <v>3817</v>
      </c>
      <c r="D672" s="141"/>
      <c r="E672" s="118"/>
      <c r="F672" s="118"/>
      <c r="G672" s="118" t="s">
        <v>3618</v>
      </c>
      <c r="H672" s="118" t="s">
        <v>7240</v>
      </c>
      <c r="I672" s="118" t="s">
        <v>7243</v>
      </c>
      <c r="J672" s="118" t="s">
        <v>4635</v>
      </c>
      <c r="K672" s="141"/>
      <c r="L672" s="135" t="str">
        <f t="shared" si="38"/>
        <v>Hystrix africaeaustralis</v>
      </c>
      <c r="M672" s="133">
        <f t="shared" si="40"/>
        <v>4.174234996486148</v>
      </c>
      <c r="N672" s="133">
        <f>AVERAGE(14050.1189161578, 16900, 18400, 12290, 13040)</f>
        <v>14936.023783231562</v>
      </c>
      <c r="O672" s="179" t="s">
        <v>3356</v>
      </c>
      <c r="P672" s="108" t="s">
        <v>7105</v>
      </c>
    </row>
    <row r="673" spans="1:19">
      <c r="A673" s="213" t="s">
        <v>2778</v>
      </c>
      <c r="B673" s="130"/>
      <c r="C673" s="118" t="s">
        <v>3817</v>
      </c>
      <c r="D673" s="141"/>
      <c r="E673" s="118"/>
      <c r="F673" s="118"/>
      <c r="G673" s="118" t="s">
        <v>3618</v>
      </c>
      <c r="H673" s="118" t="s">
        <v>7240</v>
      </c>
      <c r="I673" s="118" t="s">
        <v>7243</v>
      </c>
      <c r="J673" s="118" t="s">
        <v>2461</v>
      </c>
      <c r="K673" s="141"/>
      <c r="L673" s="135" t="str">
        <f t="shared" si="38"/>
        <v>Hystrix cristata</v>
      </c>
      <c r="M673" s="133">
        <f t="shared" si="40"/>
        <v>4.3010300000000008</v>
      </c>
      <c r="N673" s="133">
        <v>20000.000199681075</v>
      </c>
      <c r="O673" s="179" t="s">
        <v>3356</v>
      </c>
      <c r="P673" s="108" t="s">
        <v>6637</v>
      </c>
      <c r="Q673" s="90" t="s">
        <v>6642</v>
      </c>
      <c r="R673" s="85" t="s">
        <v>7741</v>
      </c>
    </row>
    <row r="674" spans="1:19">
      <c r="A674" s="213" t="s">
        <v>2778</v>
      </c>
      <c r="B674" s="130"/>
      <c r="C674" s="118" t="s">
        <v>3817</v>
      </c>
      <c r="D674" s="141"/>
      <c r="E674" s="118"/>
      <c r="F674" s="118"/>
      <c r="G674" s="118" t="s">
        <v>3618</v>
      </c>
      <c r="H674" s="118" t="s">
        <v>3638</v>
      </c>
      <c r="I674" s="118" t="s">
        <v>3639</v>
      </c>
      <c r="J674" s="118" t="s">
        <v>6395</v>
      </c>
      <c r="K674" s="141"/>
      <c r="L674" s="135" t="str">
        <f t="shared" si="38"/>
        <v>Acomys cineraceus</v>
      </c>
      <c r="M674" s="133">
        <v>-999</v>
      </c>
      <c r="N674" s="133">
        <v>-999</v>
      </c>
      <c r="O674" s="179" t="s">
        <v>3356</v>
      </c>
      <c r="P674" s="108">
        <v>-999</v>
      </c>
      <c r="Q674" s="80"/>
      <c r="R674" s="93"/>
    </row>
    <row r="675" spans="1:19">
      <c r="A675" s="213" t="s">
        <v>2778</v>
      </c>
      <c r="B675" s="130"/>
      <c r="C675" s="118" t="s">
        <v>3817</v>
      </c>
      <c r="D675" s="141"/>
      <c r="E675" s="118"/>
      <c r="F675" s="118"/>
      <c r="G675" s="118" t="s">
        <v>3618</v>
      </c>
      <c r="H675" s="118" t="s">
        <v>3638</v>
      </c>
      <c r="I675" s="118" t="s">
        <v>3639</v>
      </c>
      <c r="J675" s="118" t="s">
        <v>4098</v>
      </c>
      <c r="K675" s="141"/>
      <c r="L675" s="135" t="str">
        <f t="shared" si="38"/>
        <v>Acomys mullah</v>
      </c>
      <c r="M675" s="133">
        <v>-999</v>
      </c>
      <c r="N675" s="133">
        <v>-999</v>
      </c>
      <c r="O675" s="179" t="s">
        <v>3356</v>
      </c>
      <c r="P675" s="108">
        <v>-999</v>
      </c>
      <c r="Q675" s="80"/>
      <c r="R675" s="82"/>
      <c r="S675" s="82"/>
    </row>
    <row r="676" spans="1:19">
      <c r="A676" s="213" t="s">
        <v>2778</v>
      </c>
      <c r="B676" s="130"/>
      <c r="C676" s="118" t="s">
        <v>3817</v>
      </c>
      <c r="D676" s="141"/>
      <c r="E676" s="118"/>
      <c r="F676" s="118"/>
      <c r="G676" s="118" t="s">
        <v>3618</v>
      </c>
      <c r="H676" s="118" t="s">
        <v>3638</v>
      </c>
      <c r="I676" s="118" t="s">
        <v>3639</v>
      </c>
      <c r="J676" s="118" t="s">
        <v>3185</v>
      </c>
      <c r="K676" s="141"/>
      <c r="L676" s="135" t="str">
        <f t="shared" si="38"/>
        <v>Acomys wilsoni</v>
      </c>
      <c r="M676" s="133">
        <f t="shared" ref="M676:M684" si="41">LOG(N676)</f>
        <v>1.2671699999999999</v>
      </c>
      <c r="N676" s="133">
        <v>18.499926373938745</v>
      </c>
      <c r="O676" s="179" t="s">
        <v>3356</v>
      </c>
      <c r="P676" s="108">
        <v>60</v>
      </c>
    </row>
    <row r="677" spans="1:19">
      <c r="A677" s="213" t="s">
        <v>2778</v>
      </c>
      <c r="B677" s="130"/>
      <c r="C677" s="118" t="s">
        <v>3817</v>
      </c>
      <c r="D677" s="141"/>
      <c r="E677" s="118"/>
      <c r="F677" s="118"/>
      <c r="G677" s="118" t="s">
        <v>3618</v>
      </c>
      <c r="H677" s="118" t="s">
        <v>3638</v>
      </c>
      <c r="I677" s="118" t="s">
        <v>3639</v>
      </c>
      <c r="J677" s="118" t="s">
        <v>3182</v>
      </c>
      <c r="K677" s="141"/>
      <c r="L677" s="135" t="str">
        <f t="shared" si="38"/>
        <v>Acomys louisae</v>
      </c>
      <c r="M677" s="133">
        <f t="shared" si="41"/>
        <v>1.3053500000000002</v>
      </c>
      <c r="N677" s="133">
        <v>20.199936304099325</v>
      </c>
      <c r="O677" s="179" t="s">
        <v>3356</v>
      </c>
      <c r="P677" s="108">
        <v>60</v>
      </c>
    </row>
    <row r="678" spans="1:19">
      <c r="A678" s="213" t="s">
        <v>2778</v>
      </c>
      <c r="B678" s="130"/>
      <c r="C678" s="118" t="s">
        <v>3817</v>
      </c>
      <c r="D678" s="141"/>
      <c r="E678" s="118"/>
      <c r="F678" s="118"/>
      <c r="G678" s="118" t="s">
        <v>3618</v>
      </c>
      <c r="H678" s="118" t="s">
        <v>3638</v>
      </c>
      <c r="I678" s="118" t="s">
        <v>3639</v>
      </c>
      <c r="J678" s="118" t="s">
        <v>3494</v>
      </c>
      <c r="K678" s="141"/>
      <c r="L678" s="135" t="str">
        <f t="shared" si="38"/>
        <v>Acomys subspinosus</v>
      </c>
      <c r="M678" s="133">
        <f t="shared" si="41"/>
        <v>1.3222192947339193</v>
      </c>
      <c r="N678" s="133">
        <v>21</v>
      </c>
      <c r="O678" s="179" t="s">
        <v>3356</v>
      </c>
      <c r="P678" s="114" t="s">
        <v>1095</v>
      </c>
    </row>
    <row r="679" spans="1:19">
      <c r="A679" s="213" t="s">
        <v>2778</v>
      </c>
      <c r="B679" s="130"/>
      <c r="C679" s="118" t="s">
        <v>3817</v>
      </c>
      <c r="D679" s="141"/>
      <c r="E679" s="118"/>
      <c r="F679" s="118"/>
      <c r="G679" s="118" t="s">
        <v>3618</v>
      </c>
      <c r="H679" s="118" t="s">
        <v>3638</v>
      </c>
      <c r="I679" s="118" t="s">
        <v>3639</v>
      </c>
      <c r="J679" s="118" t="s">
        <v>3617</v>
      </c>
      <c r="K679" s="141"/>
      <c r="L679" s="135" t="str">
        <f t="shared" si="38"/>
        <v>Acomys kempi</v>
      </c>
      <c r="M679" s="133">
        <f t="shared" si="41"/>
        <v>1.3424226808222062</v>
      </c>
      <c r="N679" s="133">
        <f>AVERAGE(11, 33)</f>
        <v>22</v>
      </c>
      <c r="O679" s="179" t="s">
        <v>3356</v>
      </c>
      <c r="P679" s="108">
        <v>109</v>
      </c>
    </row>
    <row r="680" spans="1:19">
      <c r="A680" s="213" t="s">
        <v>2778</v>
      </c>
      <c r="B680" s="130"/>
      <c r="C680" s="118" t="s">
        <v>3817</v>
      </c>
      <c r="D680" s="141"/>
      <c r="E680" s="118"/>
      <c r="F680" s="118"/>
      <c r="G680" s="118" t="s">
        <v>3618</v>
      </c>
      <c r="H680" s="118" t="s">
        <v>3638</v>
      </c>
      <c r="I680" s="118" t="s">
        <v>3639</v>
      </c>
      <c r="J680" s="118" t="s">
        <v>6533</v>
      </c>
      <c r="K680" s="141"/>
      <c r="L680" s="135" t="str">
        <f t="shared" si="38"/>
        <v>Acomys percivali</v>
      </c>
      <c r="M680" s="133">
        <f t="shared" si="41"/>
        <v>1.3424226808222062</v>
      </c>
      <c r="N680" s="133">
        <v>22</v>
      </c>
      <c r="O680" s="179" t="s">
        <v>3356</v>
      </c>
      <c r="P680" s="108">
        <v>109</v>
      </c>
    </row>
    <row r="681" spans="1:19">
      <c r="A681" s="213" t="s">
        <v>2778</v>
      </c>
      <c r="B681" s="130"/>
      <c r="C681" s="118" t="s">
        <v>3817</v>
      </c>
      <c r="D681" s="141"/>
      <c r="E681" s="118"/>
      <c r="F681" s="118"/>
      <c r="G681" s="118" t="s">
        <v>3618</v>
      </c>
      <c r="H681" s="118" t="s">
        <v>3638</v>
      </c>
      <c r="I681" s="118" t="s">
        <v>3639</v>
      </c>
      <c r="J681" s="118" t="s">
        <v>7991</v>
      </c>
      <c r="K681" s="141"/>
      <c r="L681" s="135" t="str">
        <f t="shared" si="38"/>
        <v>Acomys ignitus</v>
      </c>
      <c r="M681" s="133">
        <f t="shared" si="41"/>
        <v>1.3802112417116059</v>
      </c>
      <c r="N681" s="133">
        <f>AVERAGE(25, 26, 21)</f>
        <v>24</v>
      </c>
      <c r="O681" s="179" t="s">
        <v>3356</v>
      </c>
      <c r="P681" s="108" t="s">
        <v>7827</v>
      </c>
      <c r="Q681" s="80"/>
    </row>
    <row r="682" spans="1:19">
      <c r="A682" s="213" t="s">
        <v>2778</v>
      </c>
      <c r="B682" s="130"/>
      <c r="C682" s="118" t="s">
        <v>3817</v>
      </c>
      <c r="D682" s="141"/>
      <c r="E682" s="118"/>
      <c r="F682" s="118"/>
      <c r="G682" s="118" t="s">
        <v>3618</v>
      </c>
      <c r="H682" s="118" t="s">
        <v>3638</v>
      </c>
      <c r="I682" s="118" t="s">
        <v>3639</v>
      </c>
      <c r="J682" s="118" t="s">
        <v>3184</v>
      </c>
      <c r="K682" s="141"/>
      <c r="L682" s="135" t="str">
        <f t="shared" si="38"/>
        <v>Acomys spinosissimus</v>
      </c>
      <c r="M682" s="133">
        <f t="shared" si="41"/>
        <v>1.4232500000000001</v>
      </c>
      <c r="N682" s="133">
        <v>26.500251767403348</v>
      </c>
      <c r="O682" s="179" t="s">
        <v>3356</v>
      </c>
      <c r="P682" s="108">
        <v>60</v>
      </c>
    </row>
    <row r="683" spans="1:19">
      <c r="A683" s="213" t="s">
        <v>2778</v>
      </c>
      <c r="B683" s="130"/>
      <c r="C683" s="118" t="s">
        <v>3817</v>
      </c>
      <c r="D683" s="141"/>
      <c r="E683" s="118"/>
      <c r="F683" s="118"/>
      <c r="G683" s="118" t="s">
        <v>3618</v>
      </c>
      <c r="H683" s="118" t="s">
        <v>3638</v>
      </c>
      <c r="I683" s="118" t="s">
        <v>3639</v>
      </c>
      <c r="J683" s="118" t="s">
        <v>3181</v>
      </c>
      <c r="K683" s="141"/>
      <c r="L683" s="135" t="str">
        <f t="shared" si="38"/>
        <v>Acomys cahirinus</v>
      </c>
      <c r="M683" s="133">
        <f t="shared" si="41"/>
        <v>1.5872299683103204</v>
      </c>
      <c r="N683" s="133">
        <f>AVERAGE(35.5001346244483, 47.3, 35.6, 36.4, 40.8, 48, 27)</f>
        <v>38.657162089206899</v>
      </c>
      <c r="O683" s="179" t="s">
        <v>3356</v>
      </c>
      <c r="P683" s="108" t="s">
        <v>6636</v>
      </c>
      <c r="R683" s="85" t="s">
        <v>1547</v>
      </c>
    </row>
    <row r="684" spans="1:19">
      <c r="A684" s="213" t="s">
        <v>2778</v>
      </c>
      <c r="B684" s="130"/>
      <c r="C684" s="118" t="s">
        <v>3817</v>
      </c>
      <c r="D684" s="141"/>
      <c r="E684" s="118"/>
      <c r="F684" s="118"/>
      <c r="G684" s="118" t="s">
        <v>3618</v>
      </c>
      <c r="H684" s="118" t="s">
        <v>3638</v>
      </c>
      <c r="I684" s="118" t="s">
        <v>3639</v>
      </c>
      <c r="J684" s="118" t="s">
        <v>3183</v>
      </c>
      <c r="K684" s="141"/>
      <c r="L684" s="135" t="str">
        <f t="shared" si="38"/>
        <v>Acomys russatus</v>
      </c>
      <c r="M684" s="133">
        <f t="shared" si="41"/>
        <v>1.6967930741872248</v>
      </c>
      <c r="N684" s="133">
        <f>AVERAGE(62.499997503987, 37)</f>
        <v>49.749998751993502</v>
      </c>
      <c r="O684" s="179" t="s">
        <v>3356</v>
      </c>
      <c r="P684" s="108" t="s">
        <v>6644</v>
      </c>
    </row>
    <row r="685" spans="1:19">
      <c r="A685" s="213" t="s">
        <v>2778</v>
      </c>
      <c r="B685" s="130" t="s">
        <v>2108</v>
      </c>
      <c r="C685" s="121" t="s">
        <v>3817</v>
      </c>
      <c r="D685" s="156"/>
      <c r="E685" s="121"/>
      <c r="F685" s="121"/>
      <c r="G685" s="121" t="s">
        <v>3618</v>
      </c>
      <c r="H685" s="118" t="s">
        <v>3638</v>
      </c>
      <c r="I685" s="121" t="s">
        <v>3186</v>
      </c>
      <c r="J685" s="121" t="s">
        <v>5461</v>
      </c>
      <c r="K685" s="156"/>
      <c r="L685" s="135" t="str">
        <f t="shared" si="38"/>
        <v>Aethomys bocagei</v>
      </c>
      <c r="M685" s="133">
        <v>-999</v>
      </c>
      <c r="N685" s="143">
        <v>-999</v>
      </c>
      <c r="O685" s="179" t="s">
        <v>3356</v>
      </c>
      <c r="P685" s="108">
        <v>-999</v>
      </c>
      <c r="Q685" s="80"/>
      <c r="R685" s="82"/>
      <c r="S685" s="82"/>
    </row>
    <row r="686" spans="1:19">
      <c r="A686" s="213" t="s">
        <v>2778</v>
      </c>
      <c r="B686" s="130"/>
      <c r="C686" s="118" t="s">
        <v>3817</v>
      </c>
      <c r="D686" s="141"/>
      <c r="E686" s="118"/>
      <c r="F686" s="118"/>
      <c r="G686" s="118" t="s">
        <v>3618</v>
      </c>
      <c r="H686" s="118" t="s">
        <v>3638</v>
      </c>
      <c r="I686" s="118" t="s">
        <v>3186</v>
      </c>
      <c r="J686" s="118" t="s">
        <v>7929</v>
      </c>
      <c r="K686" s="141"/>
      <c r="L686" s="135" t="str">
        <f t="shared" si="38"/>
        <v>Aethomys silindensis</v>
      </c>
      <c r="M686" s="133">
        <v>-999</v>
      </c>
      <c r="N686" s="133">
        <v>-999</v>
      </c>
      <c r="O686" s="179" t="s">
        <v>3356</v>
      </c>
      <c r="P686" s="108">
        <v>-999</v>
      </c>
      <c r="Q686" s="80"/>
      <c r="R686" s="82"/>
    </row>
    <row r="687" spans="1:19">
      <c r="A687" s="213" t="s">
        <v>2778</v>
      </c>
      <c r="B687" s="130"/>
      <c r="C687" s="118" t="s">
        <v>3817</v>
      </c>
      <c r="D687" s="141"/>
      <c r="E687" s="118"/>
      <c r="F687" s="118"/>
      <c r="G687" s="118" t="s">
        <v>3618</v>
      </c>
      <c r="H687" s="118" t="s">
        <v>3638</v>
      </c>
      <c r="I687" s="118" t="s">
        <v>3186</v>
      </c>
      <c r="J687" s="118" t="s">
        <v>8246</v>
      </c>
      <c r="K687" s="141"/>
      <c r="L687" s="135" t="str">
        <f t="shared" si="38"/>
        <v>Aethomys stannarius</v>
      </c>
      <c r="M687" s="133">
        <v>-999</v>
      </c>
      <c r="N687" s="133">
        <v>-999</v>
      </c>
      <c r="O687" s="179" t="s">
        <v>6641</v>
      </c>
      <c r="P687" s="108">
        <v>-999</v>
      </c>
      <c r="Q687" s="80" t="s">
        <v>6642</v>
      </c>
      <c r="R687" s="82"/>
    </row>
    <row r="688" spans="1:19">
      <c r="A688" s="213" t="s">
        <v>2778</v>
      </c>
      <c r="B688" s="130" t="s">
        <v>4753</v>
      </c>
      <c r="C688" s="118" t="s">
        <v>3817</v>
      </c>
      <c r="D688" s="141"/>
      <c r="E688" s="118"/>
      <c r="F688" s="118"/>
      <c r="G688" s="118" t="s">
        <v>3618</v>
      </c>
      <c r="H688" s="118" t="s">
        <v>3638</v>
      </c>
      <c r="I688" s="118" t="s">
        <v>3186</v>
      </c>
      <c r="J688" s="118" t="s">
        <v>4852</v>
      </c>
      <c r="K688" s="141"/>
      <c r="L688" s="135" t="str">
        <f t="shared" si="38"/>
        <v>Aethomys thomasi</v>
      </c>
      <c r="M688" s="133">
        <v>-999</v>
      </c>
      <c r="N688" s="133">
        <v>-999</v>
      </c>
      <c r="O688" s="179" t="s">
        <v>3356</v>
      </c>
      <c r="P688" s="108">
        <v>-999</v>
      </c>
      <c r="Q688" s="80"/>
      <c r="R688" s="82"/>
    </row>
    <row r="689" spans="1:18">
      <c r="A689" s="213" t="s">
        <v>2778</v>
      </c>
      <c r="B689" s="130" t="s">
        <v>2576</v>
      </c>
      <c r="C689" s="118" t="s">
        <v>3817</v>
      </c>
      <c r="D689" s="141"/>
      <c r="E689" s="118"/>
      <c r="F689" s="118"/>
      <c r="G689" s="118" t="s">
        <v>3618</v>
      </c>
      <c r="H689" s="118" t="s">
        <v>3638</v>
      </c>
      <c r="I689" s="118" t="s">
        <v>3186</v>
      </c>
      <c r="J689" s="118" t="s">
        <v>7281</v>
      </c>
      <c r="K689" s="141"/>
      <c r="L689" s="135" t="str">
        <f t="shared" si="38"/>
        <v>Aethomys granti</v>
      </c>
      <c r="M689" s="133">
        <f t="shared" ref="M689:M696" si="42">LOG(N689)</f>
        <v>1.6020599913279623</v>
      </c>
      <c r="N689" s="133">
        <v>40</v>
      </c>
      <c r="O689" s="179" t="s">
        <v>3356</v>
      </c>
      <c r="P689" s="108">
        <v>106</v>
      </c>
    </row>
    <row r="690" spans="1:18">
      <c r="A690" s="213" t="s">
        <v>2778</v>
      </c>
      <c r="B690" s="130"/>
      <c r="C690" s="118" t="s">
        <v>3817</v>
      </c>
      <c r="D690" s="141"/>
      <c r="E690" s="118"/>
      <c r="F690" s="118"/>
      <c r="G690" s="118" t="s">
        <v>3618</v>
      </c>
      <c r="H690" s="118" t="s">
        <v>3638</v>
      </c>
      <c r="I690" s="118" t="s">
        <v>3186</v>
      </c>
      <c r="J690" s="118" t="s">
        <v>3190</v>
      </c>
      <c r="K690" s="141"/>
      <c r="L690" s="135" t="str">
        <f t="shared" si="38"/>
        <v>Aethomys namaquensis</v>
      </c>
      <c r="M690" s="133">
        <f t="shared" si="42"/>
        <v>1.704365079117881</v>
      </c>
      <c r="N690" s="133">
        <f>AVERAGE(48.8000200008747, 48.4, 53.5, 51.8)</f>
        <v>50.625005000218678</v>
      </c>
      <c r="O690" s="179" t="s">
        <v>3356</v>
      </c>
      <c r="P690" s="108" t="s">
        <v>1845</v>
      </c>
    </row>
    <row r="691" spans="1:18">
      <c r="A691" s="213" t="s">
        <v>2778</v>
      </c>
      <c r="B691" s="130"/>
      <c r="C691" s="118" t="s">
        <v>3817</v>
      </c>
      <c r="D691" s="141"/>
      <c r="E691" s="118"/>
      <c r="F691" s="118"/>
      <c r="G691" s="118" t="s">
        <v>3618</v>
      </c>
      <c r="H691" s="118" t="s">
        <v>3638</v>
      </c>
      <c r="I691" s="118" t="s">
        <v>3186</v>
      </c>
      <c r="J691" s="118" t="s">
        <v>3187</v>
      </c>
      <c r="K691" s="141"/>
      <c r="L691" s="135" t="str">
        <f t="shared" si="38"/>
        <v>Aethomys chrysophilus</v>
      </c>
      <c r="M691" s="133">
        <f t="shared" si="42"/>
        <v>1.8741918046790711</v>
      </c>
      <c r="N691" s="133">
        <f>AVERAGE(76.7, 68.1, 84, 70.6)</f>
        <v>74.849999999999994</v>
      </c>
      <c r="O691" s="179" t="s">
        <v>3356</v>
      </c>
      <c r="P691" s="108" t="s">
        <v>1854</v>
      </c>
    </row>
    <row r="692" spans="1:18">
      <c r="A692" s="213" t="s">
        <v>2778</v>
      </c>
      <c r="B692" s="130"/>
      <c r="C692" s="118" t="s">
        <v>3817</v>
      </c>
      <c r="D692" s="141"/>
      <c r="E692" s="118"/>
      <c r="F692" s="118"/>
      <c r="G692" s="118" t="s">
        <v>3618</v>
      </c>
      <c r="H692" s="118" t="s">
        <v>3638</v>
      </c>
      <c r="I692" s="118" t="s">
        <v>3186</v>
      </c>
      <c r="J692" s="118" t="s">
        <v>4092</v>
      </c>
      <c r="K692" s="141"/>
      <c r="L692" s="135" t="str">
        <f t="shared" si="38"/>
        <v>Aethomys nyikae</v>
      </c>
      <c r="M692" s="133">
        <f t="shared" si="42"/>
        <v>1.886575229387726</v>
      </c>
      <c r="N692" s="133">
        <v>77.014983974996127</v>
      </c>
      <c r="O692" s="179" t="s">
        <v>3356</v>
      </c>
      <c r="P692" s="108" t="s">
        <v>7913</v>
      </c>
      <c r="Q692" s="80"/>
    </row>
    <row r="693" spans="1:18">
      <c r="A693" s="213" t="s">
        <v>2778</v>
      </c>
      <c r="B693" s="130"/>
      <c r="C693" s="118" t="s">
        <v>3817</v>
      </c>
      <c r="D693" s="141"/>
      <c r="E693" s="118"/>
      <c r="F693" s="118"/>
      <c r="G693" s="118" t="s">
        <v>3618</v>
      </c>
      <c r="H693" s="118" t="s">
        <v>3638</v>
      </c>
      <c r="I693" s="118" t="s">
        <v>3186</v>
      </c>
      <c r="J693" s="118" t="s">
        <v>3189</v>
      </c>
      <c r="K693" s="141"/>
      <c r="L693" s="135" t="str">
        <f t="shared" si="38"/>
        <v>Aethomys kaiseri</v>
      </c>
      <c r="M693" s="133">
        <f t="shared" si="42"/>
        <v>1.9542400000000002</v>
      </c>
      <c r="N693" s="133">
        <v>89.999479963720162</v>
      </c>
      <c r="O693" s="179" t="s">
        <v>3356</v>
      </c>
      <c r="P693" s="108" t="s">
        <v>2835</v>
      </c>
    </row>
    <row r="694" spans="1:18">
      <c r="A694" s="213" t="s">
        <v>2778</v>
      </c>
      <c r="B694" s="130"/>
      <c r="C694" s="118" t="s">
        <v>3817</v>
      </c>
      <c r="D694" s="141"/>
      <c r="E694" s="118"/>
      <c r="F694" s="118"/>
      <c r="G694" s="118" t="s">
        <v>3618</v>
      </c>
      <c r="H694" s="118" t="s">
        <v>3638</v>
      </c>
      <c r="I694" s="118" t="s">
        <v>3186</v>
      </c>
      <c r="J694" s="118" t="s">
        <v>3188</v>
      </c>
      <c r="K694" s="141"/>
      <c r="L694" s="135" t="str">
        <f t="shared" si="38"/>
        <v>Aethomys hindei</v>
      </c>
      <c r="M694" s="133">
        <f t="shared" si="42"/>
        <v>2.0149403497929366</v>
      </c>
      <c r="N694" s="133">
        <f>AVERAGE(100, 107)</f>
        <v>103.5</v>
      </c>
      <c r="O694" s="179" t="s">
        <v>3356</v>
      </c>
      <c r="P694" s="108" t="s">
        <v>1559</v>
      </c>
      <c r="R694" s="85" t="s">
        <v>7739</v>
      </c>
    </row>
    <row r="695" spans="1:18">
      <c r="A695" s="217" t="s">
        <v>2778</v>
      </c>
      <c r="B695" s="130"/>
      <c r="C695" s="118" t="s">
        <v>3817</v>
      </c>
      <c r="D695" s="141"/>
      <c r="E695" s="118"/>
      <c r="F695" s="118"/>
      <c r="G695" s="118" t="s">
        <v>3618</v>
      </c>
      <c r="H695" s="118" t="s">
        <v>3638</v>
      </c>
      <c r="I695" s="118" t="s">
        <v>6699</v>
      </c>
      <c r="J695" s="118" t="s">
        <v>3884</v>
      </c>
      <c r="K695" s="141"/>
      <c r="L695" s="135" t="str">
        <f t="shared" si="38"/>
        <v>Ammodillus imbellis</v>
      </c>
      <c r="M695" s="133">
        <f t="shared" si="42"/>
        <v>1.6989700043360187</v>
      </c>
      <c r="N695" s="133">
        <v>50</v>
      </c>
      <c r="O695" s="179" t="s">
        <v>6641</v>
      </c>
      <c r="P695" s="108">
        <v>70</v>
      </c>
      <c r="Q695" s="90" t="s">
        <v>6988</v>
      </c>
    </row>
    <row r="696" spans="1:18">
      <c r="A696" s="213" t="s">
        <v>2778</v>
      </c>
      <c r="B696" s="130"/>
      <c r="C696" s="118" t="s">
        <v>3817</v>
      </c>
      <c r="D696" s="141"/>
      <c r="E696" s="118"/>
      <c r="F696" s="118"/>
      <c r="G696" s="118" t="s">
        <v>3618</v>
      </c>
      <c r="H696" s="118" t="s">
        <v>3638</v>
      </c>
      <c r="I696" s="118" t="s">
        <v>5261</v>
      </c>
      <c r="J696" s="118" t="s">
        <v>5739</v>
      </c>
      <c r="K696" s="141"/>
      <c r="L696" s="135" t="str">
        <f t="shared" si="38"/>
        <v>Apodemus sylvaticus</v>
      </c>
      <c r="M696" s="133">
        <f t="shared" si="42"/>
        <v>1.3324384599156054</v>
      </c>
      <c r="N696" s="133">
        <f>AVERAGE(13, 30)</f>
        <v>21.5</v>
      </c>
      <c r="O696" s="179"/>
      <c r="P696" s="108">
        <v>70</v>
      </c>
    </row>
    <row r="697" spans="1:18">
      <c r="A697" s="213" t="s">
        <v>2778</v>
      </c>
      <c r="B697" s="130"/>
      <c r="C697" s="121" t="s">
        <v>3817</v>
      </c>
      <c r="D697" s="156"/>
      <c r="E697" s="121"/>
      <c r="F697" s="121"/>
      <c r="G697" s="121" t="s">
        <v>3618</v>
      </c>
      <c r="H697" s="118" t="s">
        <v>3638</v>
      </c>
      <c r="I697" s="121" t="s">
        <v>6323</v>
      </c>
      <c r="J697" s="121" t="s">
        <v>4104</v>
      </c>
      <c r="K697" s="156"/>
      <c r="L697" s="135" t="str">
        <f t="shared" si="38"/>
        <v>Arvicanthis somalicus</v>
      </c>
      <c r="M697" s="133">
        <v>-999</v>
      </c>
      <c r="N697" s="143">
        <v>-999</v>
      </c>
      <c r="O697" s="179" t="s">
        <v>3356</v>
      </c>
      <c r="P697" s="108">
        <v>-999</v>
      </c>
      <c r="Q697" s="80"/>
      <c r="R697" s="82"/>
    </row>
    <row r="698" spans="1:18">
      <c r="A698" s="213" t="s">
        <v>2778</v>
      </c>
      <c r="B698" s="130"/>
      <c r="C698" s="118" t="s">
        <v>3817</v>
      </c>
      <c r="D698" s="141"/>
      <c r="E698" s="118"/>
      <c r="F698" s="118"/>
      <c r="G698" s="118" t="s">
        <v>3618</v>
      </c>
      <c r="H698" s="118" t="s">
        <v>3638</v>
      </c>
      <c r="I698" s="118" t="s">
        <v>6323</v>
      </c>
      <c r="J698" s="118" t="s">
        <v>3193</v>
      </c>
      <c r="K698" s="141"/>
      <c r="L698" s="135" t="str">
        <f t="shared" si="38"/>
        <v>Arvicanthis abyssinicus</v>
      </c>
      <c r="M698" s="133">
        <f>LOG(N698)</f>
        <v>1.8870500000000001</v>
      </c>
      <c r="N698" s="133">
        <v>77.099222771549108</v>
      </c>
      <c r="O698" s="179" t="s">
        <v>3356</v>
      </c>
      <c r="P698" s="108">
        <v>60</v>
      </c>
    </row>
    <row r="699" spans="1:18">
      <c r="A699" s="213" t="s">
        <v>2778</v>
      </c>
      <c r="B699" s="130"/>
      <c r="C699" s="118" t="s">
        <v>3817</v>
      </c>
      <c r="D699" s="141"/>
      <c r="E699" s="118"/>
      <c r="F699" s="118"/>
      <c r="G699" s="118" t="s">
        <v>3618</v>
      </c>
      <c r="H699" s="118" t="s">
        <v>3638</v>
      </c>
      <c r="I699" s="118" t="s">
        <v>6323</v>
      </c>
      <c r="J699" s="118" t="s">
        <v>5356</v>
      </c>
      <c r="K699" s="141"/>
      <c r="L699" s="135" t="str">
        <f t="shared" si="38"/>
        <v>Arvicanthis nairobae</v>
      </c>
      <c r="M699" s="133">
        <f>LOG(N699)</f>
        <v>2.0170333392987803</v>
      </c>
      <c r="N699" s="133">
        <v>104</v>
      </c>
      <c r="O699" s="179" t="s">
        <v>3356</v>
      </c>
      <c r="P699" s="108" t="s">
        <v>1277</v>
      </c>
      <c r="Q699" s="80"/>
    </row>
    <row r="700" spans="1:18">
      <c r="A700" s="213" t="s">
        <v>2778</v>
      </c>
      <c r="B700" s="130"/>
      <c r="C700" s="118" t="s">
        <v>3817</v>
      </c>
      <c r="D700" s="141"/>
      <c r="E700" s="118"/>
      <c r="F700" s="118"/>
      <c r="G700" s="118" t="s">
        <v>3618</v>
      </c>
      <c r="H700" s="118" t="s">
        <v>3638</v>
      </c>
      <c r="I700" s="118" t="s">
        <v>6323</v>
      </c>
      <c r="J700" s="118" t="s">
        <v>4894</v>
      </c>
      <c r="K700" s="141"/>
      <c r="L700" s="135" t="str">
        <f t="shared" si="38"/>
        <v>Arvicanthis niloticus</v>
      </c>
      <c r="M700" s="133">
        <f>LOG(N700)</f>
        <v>2.0289777052087778</v>
      </c>
      <c r="N700" s="133">
        <f>AVERAGE(75,138.8)</f>
        <v>106.9</v>
      </c>
      <c r="O700" s="179" t="s">
        <v>3356</v>
      </c>
      <c r="P700" s="108" t="s">
        <v>1549</v>
      </c>
      <c r="R700" s="85" t="s">
        <v>1548</v>
      </c>
    </row>
    <row r="701" spans="1:18">
      <c r="A701" s="213" t="s">
        <v>2778</v>
      </c>
      <c r="B701" s="130"/>
      <c r="C701" s="118" t="s">
        <v>3817</v>
      </c>
      <c r="D701" s="141"/>
      <c r="E701" s="118"/>
      <c r="F701" s="118"/>
      <c r="G701" s="118" t="s">
        <v>3618</v>
      </c>
      <c r="H701" s="118" t="s">
        <v>3638</v>
      </c>
      <c r="I701" s="118" t="s">
        <v>6323</v>
      </c>
      <c r="J701" s="118" t="s">
        <v>3194</v>
      </c>
      <c r="K701" s="141"/>
      <c r="L701" s="135" t="str">
        <f t="shared" si="38"/>
        <v>Arvicanthis blicki</v>
      </c>
      <c r="M701" s="133">
        <f>LOG(N701)</f>
        <v>2.1072100000000002</v>
      </c>
      <c r="N701" s="133">
        <v>128.00000894571116</v>
      </c>
      <c r="O701" s="179" t="s">
        <v>3356</v>
      </c>
      <c r="P701" s="108">
        <v>60</v>
      </c>
    </row>
    <row r="702" spans="1:18">
      <c r="A702" s="213" t="s">
        <v>2778</v>
      </c>
      <c r="B702" s="130"/>
      <c r="C702" s="118" t="s">
        <v>3817</v>
      </c>
      <c r="D702" s="141"/>
      <c r="E702" s="118"/>
      <c r="F702" s="118"/>
      <c r="G702" s="118" t="s">
        <v>3618</v>
      </c>
      <c r="H702" s="118" t="s">
        <v>3638</v>
      </c>
      <c r="I702" s="118" t="s">
        <v>4895</v>
      </c>
      <c r="J702" s="118" t="s">
        <v>5838</v>
      </c>
      <c r="K702" s="141"/>
      <c r="L702" s="135" t="str">
        <f t="shared" si="38"/>
        <v>Beamys major</v>
      </c>
      <c r="M702" s="133">
        <v>-999</v>
      </c>
      <c r="N702" s="133">
        <v>-999</v>
      </c>
      <c r="O702" s="179" t="s">
        <v>6882</v>
      </c>
      <c r="P702" s="108">
        <v>-999</v>
      </c>
      <c r="Q702" s="80" t="s">
        <v>6642</v>
      </c>
      <c r="R702" s="82"/>
    </row>
    <row r="703" spans="1:18">
      <c r="A703" s="213" t="s">
        <v>2778</v>
      </c>
      <c r="B703" s="130"/>
      <c r="C703" s="118" t="s">
        <v>3817</v>
      </c>
      <c r="D703" s="141"/>
      <c r="E703" s="118"/>
      <c r="F703" s="118"/>
      <c r="G703" s="118" t="s">
        <v>3618</v>
      </c>
      <c r="H703" s="118" t="s">
        <v>3638</v>
      </c>
      <c r="I703" s="118" t="s">
        <v>4895</v>
      </c>
      <c r="J703" s="118" t="s">
        <v>3188</v>
      </c>
      <c r="K703" s="141"/>
      <c r="L703" s="135" t="str">
        <f t="shared" si="38"/>
        <v>Beamys hindei</v>
      </c>
      <c r="M703" s="133">
        <f>LOG(N703)</f>
        <v>1.8796692056320534</v>
      </c>
      <c r="N703" s="133">
        <v>75.8</v>
      </c>
      <c r="O703" s="179" t="s">
        <v>6882</v>
      </c>
      <c r="P703" s="108">
        <v>125</v>
      </c>
      <c r="Q703" s="90" t="s">
        <v>6988</v>
      </c>
    </row>
    <row r="704" spans="1:18">
      <c r="A704" s="213" t="s">
        <v>2778</v>
      </c>
      <c r="B704" s="130"/>
      <c r="C704" s="118" t="s">
        <v>3817</v>
      </c>
      <c r="D704" s="141"/>
      <c r="E704" s="118"/>
      <c r="F704" s="118"/>
      <c r="G704" s="118" t="s">
        <v>3618</v>
      </c>
      <c r="H704" s="118" t="s">
        <v>3638</v>
      </c>
      <c r="I704" s="118" t="s">
        <v>4896</v>
      </c>
      <c r="J704" s="118" t="s">
        <v>4897</v>
      </c>
      <c r="K704" s="141"/>
      <c r="L704" s="135" t="str">
        <f t="shared" si="38"/>
        <v>Colomys goslingi</v>
      </c>
      <c r="M704" s="133">
        <f>LOG(N704)</f>
        <v>1.7958800173440752</v>
      </c>
      <c r="N704" s="133">
        <f>AVERAGE(50, 75)</f>
        <v>62.5</v>
      </c>
      <c r="O704" s="179" t="s">
        <v>6641</v>
      </c>
      <c r="P704" s="108">
        <v>116</v>
      </c>
      <c r="Q704" s="90" t="s">
        <v>7071</v>
      </c>
    </row>
    <row r="705" spans="1:19">
      <c r="A705" s="213" t="s">
        <v>2778</v>
      </c>
      <c r="B705" s="130"/>
      <c r="C705" s="118" t="s">
        <v>3817</v>
      </c>
      <c r="D705" s="141"/>
      <c r="E705" s="118"/>
      <c r="F705" s="118"/>
      <c r="G705" s="118" t="s">
        <v>3618</v>
      </c>
      <c r="H705" s="118" t="s">
        <v>3638</v>
      </c>
      <c r="I705" s="118" t="s">
        <v>4898</v>
      </c>
      <c r="J705" s="118" t="s">
        <v>4900</v>
      </c>
      <c r="K705" s="141"/>
      <c r="L705" s="135" t="str">
        <f t="shared" si="38"/>
        <v>Cricetomys gambianus</v>
      </c>
      <c r="M705" s="133">
        <f>LOG(N705)</f>
        <v>3.1041455505540081</v>
      </c>
      <c r="N705" s="133">
        <f>AVERAGE(1375, 1310, 1170, 1000, 1500)</f>
        <v>1271</v>
      </c>
      <c r="O705" s="179" t="s">
        <v>3356</v>
      </c>
      <c r="P705" s="108" t="s">
        <v>1543</v>
      </c>
      <c r="R705" s="85" t="s">
        <v>1544</v>
      </c>
    </row>
    <row r="706" spans="1:19">
      <c r="A706" s="213" t="s">
        <v>2778</v>
      </c>
      <c r="B706" s="130"/>
      <c r="C706" s="118" t="s">
        <v>3817</v>
      </c>
      <c r="D706" s="141"/>
      <c r="E706" s="118"/>
      <c r="F706" s="118"/>
      <c r="G706" s="118" t="s">
        <v>3618</v>
      </c>
      <c r="H706" s="118" t="s">
        <v>3638</v>
      </c>
      <c r="I706" s="118" t="s">
        <v>4898</v>
      </c>
      <c r="J706" s="118" t="s">
        <v>4899</v>
      </c>
      <c r="K706" s="141"/>
      <c r="L706" s="135" t="str">
        <f t="shared" si="38"/>
        <v>Cricetomys emini</v>
      </c>
      <c r="M706" s="133">
        <f>LOG(N706)</f>
        <v>3.1139400000000004</v>
      </c>
      <c r="N706" s="133">
        <v>1299.9899653754551</v>
      </c>
      <c r="O706" s="179" t="s">
        <v>3356</v>
      </c>
      <c r="P706" s="108">
        <v>60</v>
      </c>
    </row>
    <row r="707" spans="1:19">
      <c r="A707" s="213" t="s">
        <v>2778</v>
      </c>
      <c r="B707" s="141" t="s">
        <v>5992</v>
      </c>
      <c r="C707" s="118" t="s">
        <v>3817</v>
      </c>
      <c r="D707" s="141"/>
      <c r="E707" s="118"/>
      <c r="F707" s="118"/>
      <c r="G707" s="118" t="s">
        <v>3618</v>
      </c>
      <c r="H707" s="118" t="s">
        <v>3638</v>
      </c>
      <c r="I707" s="118" t="s">
        <v>7684</v>
      </c>
      <c r="J707" s="118" t="s">
        <v>7244</v>
      </c>
      <c r="K707" s="141"/>
      <c r="L707" s="135" t="str">
        <f t="shared" si="38"/>
        <v>Dasymys foxi</v>
      </c>
      <c r="M707" s="133">
        <v>-999</v>
      </c>
      <c r="N707" s="133">
        <v>-999</v>
      </c>
      <c r="O707" s="179" t="s">
        <v>6641</v>
      </c>
      <c r="P707" s="108">
        <v>-999</v>
      </c>
      <c r="Q707" s="80" t="s">
        <v>6642</v>
      </c>
      <c r="R707" s="82"/>
    </row>
    <row r="708" spans="1:19">
      <c r="A708" s="213" t="s">
        <v>2778</v>
      </c>
      <c r="B708" s="141" t="s">
        <v>2580</v>
      </c>
      <c r="C708" s="118" t="s">
        <v>3817</v>
      </c>
      <c r="D708" s="141"/>
      <c r="E708" s="118"/>
      <c r="F708" s="118"/>
      <c r="G708" s="118" t="s">
        <v>3618</v>
      </c>
      <c r="H708" s="118" t="s">
        <v>3638</v>
      </c>
      <c r="I708" s="118" t="s">
        <v>7684</v>
      </c>
      <c r="J708" s="118" t="s">
        <v>3985</v>
      </c>
      <c r="K708" s="141"/>
      <c r="L708" s="135" t="str">
        <f t="shared" si="38"/>
        <v>Dasymys montanus</v>
      </c>
      <c r="M708" s="133">
        <v>-999</v>
      </c>
      <c r="N708" s="133">
        <v>-999</v>
      </c>
      <c r="O708" s="179" t="s">
        <v>6641</v>
      </c>
      <c r="P708" s="108">
        <v>-999</v>
      </c>
      <c r="Q708" s="80" t="s">
        <v>6988</v>
      </c>
      <c r="R708" s="82"/>
    </row>
    <row r="709" spans="1:19">
      <c r="A709" s="213" t="s">
        <v>2778</v>
      </c>
      <c r="B709" s="130"/>
      <c r="C709" s="118" t="s">
        <v>3817</v>
      </c>
      <c r="D709" s="141"/>
      <c r="E709" s="118"/>
      <c r="F709" s="118"/>
      <c r="G709" s="118" t="s">
        <v>3618</v>
      </c>
      <c r="H709" s="118" t="s">
        <v>3638</v>
      </c>
      <c r="I709" s="118" t="s">
        <v>7684</v>
      </c>
      <c r="J709" s="118" t="s">
        <v>6691</v>
      </c>
      <c r="K709" s="141"/>
      <c r="L709" s="135" t="str">
        <f t="shared" ref="L709:L772" si="43">I709&amp;" "&amp;J709</f>
        <v>Dasymys nudipes</v>
      </c>
      <c r="M709" s="133">
        <v>-999</v>
      </c>
      <c r="N709" s="133">
        <v>-999</v>
      </c>
      <c r="O709" s="179" t="s">
        <v>6641</v>
      </c>
      <c r="P709" s="108">
        <v>-999</v>
      </c>
      <c r="Q709" s="80" t="s">
        <v>6987</v>
      </c>
      <c r="R709" s="82"/>
    </row>
    <row r="710" spans="1:19">
      <c r="A710" s="213" t="s">
        <v>2778</v>
      </c>
      <c r="B710" s="130"/>
      <c r="C710" s="118" t="s">
        <v>3817</v>
      </c>
      <c r="D710" s="141"/>
      <c r="E710" s="118"/>
      <c r="F710" s="118"/>
      <c r="G710" s="118" t="s">
        <v>3618</v>
      </c>
      <c r="H710" s="118" t="s">
        <v>3638</v>
      </c>
      <c r="I710" s="118" t="s">
        <v>7684</v>
      </c>
      <c r="J710" s="118" t="s">
        <v>3571</v>
      </c>
      <c r="K710" s="141"/>
      <c r="L710" s="135" t="str">
        <f t="shared" si="43"/>
        <v>Dasymys rufulus</v>
      </c>
      <c r="M710" s="133">
        <v>-999</v>
      </c>
      <c r="N710" s="133">
        <v>-999</v>
      </c>
      <c r="O710" s="179" t="s">
        <v>6641</v>
      </c>
      <c r="P710" s="108">
        <v>-999</v>
      </c>
      <c r="Q710" s="80" t="s">
        <v>6987</v>
      </c>
      <c r="R710" s="82"/>
    </row>
    <row r="711" spans="1:19">
      <c r="A711" s="213" t="s">
        <v>2778</v>
      </c>
      <c r="B711" s="130"/>
      <c r="C711" s="118" t="s">
        <v>3817</v>
      </c>
      <c r="D711" s="141"/>
      <c r="E711" s="118"/>
      <c r="F711" s="118"/>
      <c r="G711" s="118" t="s">
        <v>3618</v>
      </c>
      <c r="H711" s="118" t="s">
        <v>3638</v>
      </c>
      <c r="I711" s="118" t="s">
        <v>7684</v>
      </c>
      <c r="J711" s="118" t="s">
        <v>4625</v>
      </c>
      <c r="K711" s="141"/>
      <c r="L711" s="135" t="str">
        <f t="shared" si="43"/>
        <v>Dasymys incomtus</v>
      </c>
      <c r="M711" s="133">
        <f>LOG(N711)</f>
        <v>2.1408221801093106</v>
      </c>
      <c r="N711" s="133">
        <f>AVERAGE(128.5, 127, 176.5, 139.5, 120)</f>
        <v>138.30000000000001</v>
      </c>
      <c r="O711" s="179" t="s">
        <v>6641</v>
      </c>
      <c r="P711" s="108" t="s">
        <v>1552</v>
      </c>
      <c r="Q711" s="90" t="s">
        <v>6987</v>
      </c>
      <c r="R711" s="85" t="s">
        <v>1553</v>
      </c>
    </row>
    <row r="712" spans="1:19">
      <c r="A712" s="213" t="s">
        <v>2778</v>
      </c>
      <c r="B712" s="130"/>
      <c r="C712" s="118" t="s">
        <v>3817</v>
      </c>
      <c r="D712" s="141"/>
      <c r="E712" s="118"/>
      <c r="F712" s="118"/>
      <c r="G712" s="118" t="s">
        <v>3618</v>
      </c>
      <c r="H712" s="118" t="s">
        <v>3638</v>
      </c>
      <c r="I712" s="118" t="s">
        <v>4626</v>
      </c>
      <c r="J712" s="118" t="s">
        <v>4489</v>
      </c>
      <c r="K712" s="141"/>
      <c r="L712" s="135" t="str">
        <f t="shared" si="43"/>
        <v>Delanymys brooksi</v>
      </c>
      <c r="M712" s="133">
        <f>LOG(N712)</f>
        <v>0.69896999999999998</v>
      </c>
      <c r="N712" s="133">
        <v>4.9999999500797392</v>
      </c>
      <c r="O712" s="179" t="s">
        <v>3356</v>
      </c>
      <c r="P712" s="108" t="s">
        <v>2835</v>
      </c>
    </row>
    <row r="713" spans="1:19" ht="15" customHeight="1">
      <c r="A713" s="213" t="s">
        <v>2778</v>
      </c>
      <c r="B713" s="141" t="s">
        <v>6064</v>
      </c>
      <c r="C713" s="118" t="s">
        <v>3817</v>
      </c>
      <c r="D713" s="141"/>
      <c r="E713" s="118"/>
      <c r="F713" s="118"/>
      <c r="G713" s="118" t="s">
        <v>3618</v>
      </c>
      <c r="H713" s="118" t="s">
        <v>3638</v>
      </c>
      <c r="I713" s="118" t="s">
        <v>4490</v>
      </c>
      <c r="J713" s="118" t="s">
        <v>3449</v>
      </c>
      <c r="K713" s="141"/>
      <c r="L713" s="135" t="str">
        <f t="shared" si="43"/>
        <v>Dendromus kahuziensis</v>
      </c>
      <c r="M713" s="133">
        <v>-999</v>
      </c>
      <c r="N713" s="133">
        <v>-999</v>
      </c>
      <c r="O713" s="179" t="s">
        <v>6882</v>
      </c>
      <c r="P713" s="108">
        <v>-999</v>
      </c>
      <c r="Q713" s="80" t="s">
        <v>6642</v>
      </c>
      <c r="R713" s="82"/>
    </row>
    <row r="714" spans="1:19">
      <c r="A714" s="213" t="s">
        <v>2778</v>
      </c>
      <c r="B714" s="141" t="s">
        <v>2412</v>
      </c>
      <c r="C714" s="121" t="s">
        <v>3817</v>
      </c>
      <c r="D714" s="156"/>
      <c r="E714" s="121"/>
      <c r="F714" s="121"/>
      <c r="G714" s="121" t="s">
        <v>3618</v>
      </c>
      <c r="H714" s="118" t="s">
        <v>3638</v>
      </c>
      <c r="I714" s="121" t="s">
        <v>4490</v>
      </c>
      <c r="J714" s="121" t="s">
        <v>3031</v>
      </c>
      <c r="K714" s="156"/>
      <c r="L714" s="135" t="str">
        <f t="shared" si="43"/>
        <v>Dendromus kivu</v>
      </c>
      <c r="M714" s="133">
        <v>-999</v>
      </c>
      <c r="N714" s="143">
        <v>-999</v>
      </c>
      <c r="O714" s="179" t="s">
        <v>3356</v>
      </c>
      <c r="P714" s="108">
        <v>-999</v>
      </c>
      <c r="Q714" s="80"/>
      <c r="R714" s="82"/>
    </row>
    <row r="715" spans="1:19">
      <c r="A715" s="213" t="s">
        <v>2778</v>
      </c>
      <c r="B715" s="130"/>
      <c r="C715" s="118" t="s">
        <v>3817</v>
      </c>
      <c r="D715" s="141"/>
      <c r="E715" s="118"/>
      <c r="F715" s="118"/>
      <c r="G715" s="118" t="s">
        <v>3618</v>
      </c>
      <c r="H715" s="118" t="s">
        <v>3638</v>
      </c>
      <c r="I715" s="118" t="s">
        <v>4490</v>
      </c>
      <c r="J715" s="118" t="s">
        <v>3648</v>
      </c>
      <c r="K715" s="141"/>
      <c r="L715" s="135" t="str">
        <f t="shared" si="43"/>
        <v>Dendromus messorius</v>
      </c>
      <c r="M715" s="133">
        <v>-999</v>
      </c>
      <c r="N715" s="133">
        <v>-999</v>
      </c>
      <c r="O715" s="179" t="s">
        <v>3356</v>
      </c>
      <c r="P715" s="108">
        <v>-999</v>
      </c>
      <c r="Q715" s="80"/>
      <c r="R715" s="82"/>
    </row>
    <row r="716" spans="1:19">
      <c r="A716" s="118" t="s">
        <v>2778</v>
      </c>
      <c r="B716" s="141" t="s">
        <v>2615</v>
      </c>
      <c r="C716" s="121" t="s">
        <v>3817</v>
      </c>
      <c r="D716" s="156"/>
      <c r="E716" s="121"/>
      <c r="F716" s="121"/>
      <c r="G716" s="121" t="s">
        <v>3618</v>
      </c>
      <c r="H716" s="118" t="s">
        <v>3638</v>
      </c>
      <c r="I716" s="121" t="s">
        <v>4490</v>
      </c>
      <c r="J716" s="121" t="s">
        <v>8035</v>
      </c>
      <c r="K716" s="156"/>
      <c r="L716" s="135" t="str">
        <f t="shared" si="43"/>
        <v>Dendromus oreas</v>
      </c>
      <c r="M716" s="133">
        <v>-999</v>
      </c>
      <c r="N716" s="143">
        <v>-999</v>
      </c>
      <c r="O716" s="179" t="s">
        <v>6641</v>
      </c>
      <c r="P716" s="108">
        <v>-999</v>
      </c>
      <c r="Q716" s="80" t="s">
        <v>6988</v>
      </c>
      <c r="R716" s="82"/>
    </row>
    <row r="717" spans="1:19">
      <c r="A717" s="118" t="s">
        <v>2778</v>
      </c>
      <c r="B717" s="141" t="s">
        <v>2339</v>
      </c>
      <c r="C717" s="118" t="s">
        <v>3817</v>
      </c>
      <c r="D717" s="141"/>
      <c r="E717" s="118"/>
      <c r="F717" s="118"/>
      <c r="G717" s="118" t="s">
        <v>3618</v>
      </c>
      <c r="H717" s="118" t="s">
        <v>3638</v>
      </c>
      <c r="I717" s="118" t="s">
        <v>4490</v>
      </c>
      <c r="J717" s="118" t="s">
        <v>3649</v>
      </c>
      <c r="K717" s="141"/>
      <c r="L717" s="135" t="str">
        <f t="shared" si="43"/>
        <v>Dendromus vernayi</v>
      </c>
      <c r="M717" s="133">
        <v>-999</v>
      </c>
      <c r="N717" s="133">
        <v>-999</v>
      </c>
      <c r="O717" s="179" t="s">
        <v>6641</v>
      </c>
      <c r="P717" s="108">
        <v>-999</v>
      </c>
      <c r="Q717" s="80" t="s">
        <v>7071</v>
      </c>
      <c r="R717" s="82"/>
      <c r="S717" s="82"/>
    </row>
    <row r="718" spans="1:19">
      <c r="A718" s="118" t="s">
        <v>2778</v>
      </c>
      <c r="B718" s="130"/>
      <c r="C718" s="118" t="s">
        <v>3817</v>
      </c>
      <c r="D718" s="141"/>
      <c r="E718" s="118"/>
      <c r="F718" s="118"/>
      <c r="G718" s="118" t="s">
        <v>3618</v>
      </c>
      <c r="H718" s="118" t="s">
        <v>3638</v>
      </c>
      <c r="I718" s="118" t="s">
        <v>4490</v>
      </c>
      <c r="J718" s="118" t="s">
        <v>3192</v>
      </c>
      <c r="K718" s="141"/>
      <c r="L718" s="135" t="str">
        <f t="shared" si="43"/>
        <v>Dendromus mystacalis</v>
      </c>
      <c r="M718" s="133">
        <f t="shared" ref="M718:M723" si="44">LOG(N718)</f>
        <v>0.88742926638320685</v>
      </c>
      <c r="N718" s="133">
        <f>AVERAGE(6.5, 9,7.64997472013233)</f>
        <v>7.7166582400441106</v>
      </c>
      <c r="O718" s="179" t="s">
        <v>3356</v>
      </c>
      <c r="P718" s="108" t="s">
        <v>6637</v>
      </c>
      <c r="R718" s="85" t="s">
        <v>1668</v>
      </c>
    </row>
    <row r="719" spans="1:19">
      <c r="A719" s="118" t="s">
        <v>2778</v>
      </c>
      <c r="B719" s="130"/>
      <c r="C719" s="118" t="s">
        <v>3817</v>
      </c>
      <c r="D719" s="141"/>
      <c r="E719" s="118"/>
      <c r="F719" s="118"/>
      <c r="G719" s="118" t="s">
        <v>3618</v>
      </c>
      <c r="H719" s="118" t="s">
        <v>3638</v>
      </c>
      <c r="I719" s="118" t="s">
        <v>4490</v>
      </c>
      <c r="J719" s="118" t="s">
        <v>4633</v>
      </c>
      <c r="K719" s="141"/>
      <c r="L719" s="135" t="str">
        <f t="shared" si="43"/>
        <v>Dendromus melanotis</v>
      </c>
      <c r="M719" s="133">
        <f t="shared" si="44"/>
        <v>0.95699121786747587</v>
      </c>
      <c r="N719" s="133">
        <f>AVERAGE(11, 12, 6.7, 6.7, 10, 10, 7)</f>
        <v>9.0571428571428569</v>
      </c>
      <c r="O719" s="179" t="s">
        <v>3356</v>
      </c>
      <c r="P719" s="108" t="s">
        <v>1667</v>
      </c>
      <c r="R719" s="85" t="s">
        <v>1756</v>
      </c>
    </row>
    <row r="720" spans="1:19">
      <c r="A720" s="118" t="s">
        <v>2778</v>
      </c>
      <c r="B720" s="130"/>
      <c r="C720" s="121" t="s">
        <v>3817</v>
      </c>
      <c r="D720" s="156"/>
      <c r="E720" s="121"/>
      <c r="F720" s="121"/>
      <c r="G720" s="121" t="s">
        <v>3618</v>
      </c>
      <c r="H720" s="118" t="s">
        <v>3638</v>
      </c>
      <c r="I720" s="121" t="s">
        <v>4490</v>
      </c>
      <c r="J720" s="121" t="s">
        <v>6460</v>
      </c>
      <c r="K720" s="156"/>
      <c r="L720" s="135" t="str">
        <f t="shared" si="43"/>
        <v>Dendromus insignis</v>
      </c>
      <c r="M720" s="133">
        <f t="shared" si="44"/>
        <v>1.043406973153213</v>
      </c>
      <c r="N720" s="143">
        <f>AVERAGE(9.60227452406008, 12.5)</f>
        <v>11.051137262030039</v>
      </c>
      <c r="O720" s="179" t="s">
        <v>3356</v>
      </c>
      <c r="P720" s="108" t="s">
        <v>7828</v>
      </c>
      <c r="Q720" s="80"/>
      <c r="R720" s="82"/>
    </row>
    <row r="721" spans="1:18">
      <c r="A721" s="118" t="s">
        <v>2778</v>
      </c>
      <c r="B721" s="130"/>
      <c r="C721" s="118" t="s">
        <v>3817</v>
      </c>
      <c r="D721" s="141"/>
      <c r="E721" s="118"/>
      <c r="F721" s="118"/>
      <c r="G721" s="118" t="s">
        <v>3618</v>
      </c>
      <c r="H721" s="118" t="s">
        <v>3638</v>
      </c>
      <c r="I721" s="118" t="s">
        <v>4490</v>
      </c>
      <c r="J721" s="118" t="s">
        <v>7365</v>
      </c>
      <c r="K721" s="141"/>
      <c r="L721" s="135" t="str">
        <f t="shared" si="43"/>
        <v>Dendromus mesomelas</v>
      </c>
      <c r="M721" s="133">
        <f t="shared" si="44"/>
        <v>1.0461047872460387</v>
      </c>
      <c r="N721" s="133">
        <f>AVERAGE(8, 12, 10.6, 11, 14)</f>
        <v>11.120000000000001</v>
      </c>
      <c r="O721" s="179" t="s">
        <v>3356</v>
      </c>
      <c r="P721" s="108" t="s">
        <v>1841</v>
      </c>
    </row>
    <row r="722" spans="1:18" ht="24" customHeight="1">
      <c r="A722" s="118" t="s">
        <v>2778</v>
      </c>
      <c r="B722" s="130"/>
      <c r="C722" s="118" t="s">
        <v>3817</v>
      </c>
      <c r="D722" s="141"/>
      <c r="E722" s="118"/>
      <c r="F722" s="118"/>
      <c r="G722" s="118" t="s">
        <v>3618</v>
      </c>
      <c r="H722" s="118" t="s">
        <v>3638</v>
      </c>
      <c r="I722" s="118" t="s">
        <v>4490</v>
      </c>
      <c r="J722" s="118" t="s">
        <v>3191</v>
      </c>
      <c r="K722" s="141"/>
      <c r="L722" s="135" t="str">
        <f t="shared" si="43"/>
        <v>Dendromus lovati</v>
      </c>
      <c r="M722" s="133">
        <f t="shared" si="44"/>
        <v>1.07918</v>
      </c>
      <c r="N722" s="133">
        <v>11.999965570481159</v>
      </c>
      <c r="O722" s="179" t="s">
        <v>6882</v>
      </c>
      <c r="P722" s="108">
        <v>60</v>
      </c>
      <c r="Q722" s="90" t="s">
        <v>6642</v>
      </c>
      <c r="R722" s="89"/>
    </row>
    <row r="723" spans="1:18">
      <c r="A723" s="118" t="s">
        <v>2778</v>
      </c>
      <c r="B723" s="130"/>
      <c r="C723" s="118" t="s">
        <v>3817</v>
      </c>
      <c r="D723" s="141"/>
      <c r="E723" s="118"/>
      <c r="F723" s="118"/>
      <c r="G723" s="118" t="s">
        <v>3618</v>
      </c>
      <c r="H723" s="118" t="s">
        <v>3638</v>
      </c>
      <c r="I723" s="118" t="s">
        <v>4490</v>
      </c>
      <c r="J723" s="118" t="s">
        <v>4092</v>
      </c>
      <c r="K723" s="141"/>
      <c r="L723" s="135" t="str">
        <f t="shared" si="43"/>
        <v>Dendromus nyikae</v>
      </c>
      <c r="M723" s="133">
        <f t="shared" si="44"/>
        <v>1.1760900000000003</v>
      </c>
      <c r="N723" s="133">
        <v>14.999956513820401</v>
      </c>
      <c r="O723" s="179" t="s">
        <v>3356</v>
      </c>
      <c r="P723" s="108" t="s">
        <v>2835</v>
      </c>
    </row>
    <row r="724" spans="1:18">
      <c r="A724" s="118" t="s">
        <v>2778</v>
      </c>
      <c r="B724" s="141" t="s">
        <v>2340</v>
      </c>
      <c r="C724" s="118" t="s">
        <v>3817</v>
      </c>
      <c r="D724" s="141"/>
      <c r="E724" s="118"/>
      <c r="F724" s="118"/>
      <c r="G724" s="118" t="s">
        <v>3618</v>
      </c>
      <c r="H724" s="118" t="s">
        <v>3638</v>
      </c>
      <c r="I724" s="118" t="s">
        <v>3650</v>
      </c>
      <c r="J724" s="118" t="s">
        <v>3651</v>
      </c>
      <c r="K724" s="141"/>
      <c r="L724" s="135" t="str">
        <f t="shared" si="43"/>
        <v>Dendroprionomys rousseloti</v>
      </c>
      <c r="M724" s="133">
        <v>-999</v>
      </c>
      <c r="N724" s="133">
        <v>-999</v>
      </c>
      <c r="O724" s="179" t="s">
        <v>6882</v>
      </c>
      <c r="P724" s="108">
        <v>-999</v>
      </c>
      <c r="Q724" s="80" t="s">
        <v>6642</v>
      </c>
      <c r="R724" s="82"/>
    </row>
    <row r="725" spans="1:18">
      <c r="A725" s="118" t="s">
        <v>2778</v>
      </c>
      <c r="B725" s="130"/>
      <c r="C725" s="118" t="s">
        <v>3817</v>
      </c>
      <c r="D725" s="141"/>
      <c r="E725" s="118"/>
      <c r="F725" s="118"/>
      <c r="G725" s="118" t="s">
        <v>3618</v>
      </c>
      <c r="H725" s="118" t="s">
        <v>3638</v>
      </c>
      <c r="I725" s="118" t="s">
        <v>3640</v>
      </c>
      <c r="J725" s="118" t="s">
        <v>3641</v>
      </c>
      <c r="K725" s="141"/>
      <c r="L725" s="135" t="str">
        <f t="shared" si="43"/>
        <v>Deomys ferrugineus</v>
      </c>
      <c r="M725" s="133">
        <f t="shared" ref="M725:M734" si="45">LOG(N725)</f>
        <v>1.7923916894982539</v>
      </c>
      <c r="N725" s="133">
        <v>62</v>
      </c>
      <c r="O725" s="179" t="s">
        <v>3356</v>
      </c>
      <c r="P725" s="108">
        <v>135</v>
      </c>
    </row>
    <row r="726" spans="1:18">
      <c r="A726" s="118" t="s">
        <v>2778</v>
      </c>
      <c r="B726" s="130"/>
      <c r="C726" s="118" t="s">
        <v>3817</v>
      </c>
      <c r="D726" s="141"/>
      <c r="E726" s="118"/>
      <c r="F726" s="118"/>
      <c r="G726" s="118" t="s">
        <v>3618</v>
      </c>
      <c r="H726" s="118" t="s">
        <v>3638</v>
      </c>
      <c r="I726" s="118" t="s">
        <v>3642</v>
      </c>
      <c r="J726" s="118" t="s">
        <v>3643</v>
      </c>
      <c r="K726" s="141"/>
      <c r="L726" s="135" t="str">
        <f t="shared" si="43"/>
        <v>Dephomys defua</v>
      </c>
      <c r="M726" s="133">
        <f t="shared" si="45"/>
        <v>1.6339699999999999</v>
      </c>
      <c r="N726" s="133">
        <v>43.049687179419706</v>
      </c>
      <c r="O726" s="179" t="s">
        <v>3356</v>
      </c>
      <c r="P726" s="108">
        <v>60</v>
      </c>
    </row>
    <row r="727" spans="1:18">
      <c r="A727" s="118" t="s">
        <v>2778</v>
      </c>
      <c r="B727" s="141" t="s">
        <v>2365</v>
      </c>
      <c r="C727" s="118" t="s">
        <v>3817</v>
      </c>
      <c r="D727" s="141"/>
      <c r="E727" s="118"/>
      <c r="F727" s="118"/>
      <c r="G727" s="118" t="s">
        <v>3618</v>
      </c>
      <c r="H727" s="118" t="s">
        <v>3638</v>
      </c>
      <c r="I727" s="118" t="s">
        <v>3642</v>
      </c>
      <c r="J727" s="118" t="s">
        <v>6411</v>
      </c>
      <c r="K727" s="141"/>
      <c r="L727" s="135" t="str">
        <f t="shared" si="43"/>
        <v>Dephomys eburnea</v>
      </c>
      <c r="M727" s="133">
        <f t="shared" si="45"/>
        <v>1.7201593034059568</v>
      </c>
      <c r="N727" s="133">
        <f>AVERAGE(40, 65)</f>
        <v>52.5</v>
      </c>
      <c r="O727" s="179" t="s">
        <v>3356</v>
      </c>
      <c r="P727" s="108">
        <v>70</v>
      </c>
    </row>
    <row r="728" spans="1:18">
      <c r="A728" s="118" t="s">
        <v>2778</v>
      </c>
      <c r="B728" s="130"/>
      <c r="C728" s="118" t="s">
        <v>3817</v>
      </c>
      <c r="D728" s="141"/>
      <c r="E728" s="118"/>
      <c r="F728" s="118"/>
      <c r="G728" s="118" t="s">
        <v>3618</v>
      </c>
      <c r="H728" s="118" t="s">
        <v>3638</v>
      </c>
      <c r="I728" s="118" t="s">
        <v>3608</v>
      </c>
      <c r="J728" s="118" t="s">
        <v>3609</v>
      </c>
      <c r="K728" s="141"/>
      <c r="L728" s="135" t="str">
        <f t="shared" si="43"/>
        <v>Desmodilliscus braueri</v>
      </c>
      <c r="M728" s="133">
        <f t="shared" si="45"/>
        <v>1</v>
      </c>
      <c r="N728" s="133">
        <v>10</v>
      </c>
      <c r="O728" s="179" t="s">
        <v>3356</v>
      </c>
      <c r="P728" s="108">
        <v>56</v>
      </c>
    </row>
    <row r="729" spans="1:18" ht="12" customHeight="1">
      <c r="A729" s="118" t="s">
        <v>2778</v>
      </c>
      <c r="B729" s="130"/>
      <c r="C729" s="118" t="s">
        <v>3817</v>
      </c>
      <c r="D729" s="141"/>
      <c r="E729" s="118"/>
      <c r="F729" s="118"/>
      <c r="G729" s="118" t="s">
        <v>3618</v>
      </c>
      <c r="H729" s="118" t="s">
        <v>3638</v>
      </c>
      <c r="I729" s="118" t="s">
        <v>4089</v>
      </c>
      <c r="J729" s="118" t="s">
        <v>3412</v>
      </c>
      <c r="K729" s="141"/>
      <c r="L729" s="135" t="str">
        <f t="shared" si="43"/>
        <v>Desmodillus auricularis</v>
      </c>
      <c r="M729" s="133">
        <f t="shared" si="45"/>
        <v>1.7267300000000003</v>
      </c>
      <c r="N729" s="133">
        <v>53.300342531088724</v>
      </c>
      <c r="O729" s="179" t="s">
        <v>3356</v>
      </c>
      <c r="P729" s="108">
        <v>60</v>
      </c>
      <c r="R729" s="89"/>
    </row>
    <row r="730" spans="1:18">
      <c r="A730" s="118" t="s">
        <v>2778</v>
      </c>
      <c r="B730" s="141" t="s">
        <v>6141</v>
      </c>
      <c r="C730" s="118" t="s">
        <v>3817</v>
      </c>
      <c r="D730" s="141"/>
      <c r="E730" s="118"/>
      <c r="F730" s="118"/>
      <c r="G730" s="118" t="s">
        <v>3618</v>
      </c>
      <c r="H730" s="118" t="s">
        <v>3638</v>
      </c>
      <c r="I730" s="118" t="s">
        <v>6733</v>
      </c>
      <c r="J730" s="118" t="s">
        <v>6392</v>
      </c>
      <c r="K730" s="141"/>
      <c r="L730" s="135" t="str">
        <f t="shared" si="43"/>
        <v>Desmomys harringtoni</v>
      </c>
      <c r="M730" s="133">
        <f t="shared" si="45"/>
        <v>1.954242509439325</v>
      </c>
      <c r="N730" s="133">
        <v>90</v>
      </c>
      <c r="O730" s="179" t="s">
        <v>3356</v>
      </c>
      <c r="P730" s="108">
        <v>70</v>
      </c>
    </row>
    <row r="731" spans="1:18">
      <c r="A731" s="118" t="s">
        <v>2778</v>
      </c>
      <c r="B731" s="130"/>
      <c r="C731" s="118" t="s">
        <v>3817</v>
      </c>
      <c r="D731" s="141"/>
      <c r="E731" s="118"/>
      <c r="F731" s="118"/>
      <c r="G731" s="118" t="s">
        <v>3618</v>
      </c>
      <c r="H731" s="118" t="s">
        <v>3638</v>
      </c>
      <c r="I731" s="118" t="s">
        <v>3451</v>
      </c>
      <c r="J731" s="118" t="s">
        <v>3452</v>
      </c>
      <c r="K731" s="141"/>
      <c r="L731" s="135" t="str">
        <f t="shared" si="43"/>
        <v>Gerbillurus paeba</v>
      </c>
      <c r="M731" s="133">
        <f t="shared" si="45"/>
        <v>1.3673600000000001</v>
      </c>
      <c r="N731" s="133">
        <v>23.300218838930814</v>
      </c>
      <c r="O731" s="179" t="s">
        <v>3356</v>
      </c>
      <c r="P731" s="108">
        <v>60</v>
      </c>
    </row>
    <row r="732" spans="1:18">
      <c r="A732" s="118" t="s">
        <v>2778</v>
      </c>
      <c r="B732" s="130"/>
      <c r="C732" s="118" t="s">
        <v>3817</v>
      </c>
      <c r="D732" s="141"/>
      <c r="E732" s="118"/>
      <c r="F732" s="118"/>
      <c r="G732" s="118" t="s">
        <v>3618</v>
      </c>
      <c r="H732" s="118" t="s">
        <v>3638</v>
      </c>
      <c r="I732" s="118" t="s">
        <v>3451</v>
      </c>
      <c r="J732" s="118" t="s">
        <v>3886</v>
      </c>
      <c r="K732" s="141"/>
      <c r="L732" s="135" t="str">
        <f t="shared" si="43"/>
        <v>Gerbillurus tytonis</v>
      </c>
      <c r="M732" s="133">
        <f t="shared" si="45"/>
        <v>1.4913600000000002</v>
      </c>
      <c r="N732" s="133">
        <v>30.999879094111858</v>
      </c>
      <c r="O732" s="179" t="s">
        <v>3356</v>
      </c>
      <c r="P732" s="108">
        <v>60</v>
      </c>
    </row>
    <row r="733" spans="1:18">
      <c r="A733" s="118" t="s">
        <v>2778</v>
      </c>
      <c r="B733" s="130"/>
      <c r="C733" s="118" t="s">
        <v>3817</v>
      </c>
      <c r="D733" s="141"/>
      <c r="E733" s="118"/>
      <c r="F733" s="118"/>
      <c r="G733" s="118" t="s">
        <v>3618</v>
      </c>
      <c r="H733" s="118" t="s">
        <v>3638</v>
      </c>
      <c r="I733" s="118" t="s">
        <v>3451</v>
      </c>
      <c r="J733" s="118" t="s">
        <v>4088</v>
      </c>
      <c r="K733" s="141"/>
      <c r="L733" s="135" t="str">
        <f t="shared" si="43"/>
        <v>Gerbillurus vallinus</v>
      </c>
      <c r="M733" s="133">
        <f t="shared" si="45"/>
        <v>1.5471600000000001</v>
      </c>
      <c r="N733" s="133">
        <v>35.250071318520412</v>
      </c>
      <c r="O733" s="179" t="s">
        <v>3356</v>
      </c>
      <c r="P733" s="108">
        <v>60</v>
      </c>
    </row>
    <row r="734" spans="1:18">
      <c r="A734" s="118" t="s">
        <v>2778</v>
      </c>
      <c r="B734" s="130"/>
      <c r="C734" s="118" t="s">
        <v>3817</v>
      </c>
      <c r="D734" s="141"/>
      <c r="E734" s="118"/>
      <c r="F734" s="118"/>
      <c r="G734" s="118" t="s">
        <v>3618</v>
      </c>
      <c r="H734" s="118" t="s">
        <v>3638</v>
      </c>
      <c r="I734" s="118" t="s">
        <v>3451</v>
      </c>
      <c r="J734" s="118" t="s">
        <v>3414</v>
      </c>
      <c r="K734" s="141"/>
      <c r="L734" s="135" t="str">
        <f t="shared" si="43"/>
        <v>Gerbillurus setzeri</v>
      </c>
      <c r="M734" s="133">
        <f t="shared" si="45"/>
        <v>1.5831999999999999</v>
      </c>
      <c r="N734" s="133">
        <v>38.300108122644858</v>
      </c>
      <c r="O734" s="179" t="s">
        <v>3356</v>
      </c>
      <c r="P734" s="108">
        <v>60</v>
      </c>
    </row>
    <row r="735" spans="1:18">
      <c r="A735" s="118" t="s">
        <v>2778</v>
      </c>
      <c r="B735" s="141" t="s">
        <v>2610</v>
      </c>
      <c r="C735" s="118" t="s">
        <v>3817</v>
      </c>
      <c r="D735" s="141"/>
      <c r="E735" s="118"/>
      <c r="F735" s="118"/>
      <c r="G735" s="118" t="s">
        <v>3618</v>
      </c>
      <c r="H735" s="118" t="s">
        <v>3638</v>
      </c>
      <c r="I735" s="118" t="s">
        <v>4775</v>
      </c>
      <c r="J735" s="118" t="s">
        <v>4149</v>
      </c>
      <c r="K735" s="141"/>
      <c r="L735" s="135" t="str">
        <f t="shared" si="43"/>
        <v>Gerbillus acticola</v>
      </c>
      <c r="M735" s="133">
        <v>-999</v>
      </c>
      <c r="N735" s="133">
        <v>-999</v>
      </c>
      <c r="O735" s="179" t="s">
        <v>3356</v>
      </c>
      <c r="P735" s="108">
        <v>-999</v>
      </c>
      <c r="Q735" s="80"/>
      <c r="R735" s="82"/>
    </row>
    <row r="736" spans="1:18" ht="25.5">
      <c r="A736" s="118" t="s">
        <v>2778</v>
      </c>
      <c r="B736" s="141" t="s">
        <v>2457</v>
      </c>
      <c r="C736" s="121" t="s">
        <v>3817</v>
      </c>
      <c r="D736" s="156"/>
      <c r="E736" s="121"/>
      <c r="F736" s="121"/>
      <c r="G736" s="121" t="s">
        <v>3618</v>
      </c>
      <c r="H736" s="118" t="s">
        <v>3638</v>
      </c>
      <c r="I736" s="121" t="s">
        <v>4775</v>
      </c>
      <c r="J736" s="121" t="s">
        <v>4150</v>
      </c>
      <c r="K736" s="156"/>
      <c r="L736" s="135" t="str">
        <f t="shared" si="43"/>
        <v>Gerbillus agag</v>
      </c>
      <c r="M736" s="133">
        <v>-999</v>
      </c>
      <c r="N736" s="143">
        <v>-999</v>
      </c>
      <c r="O736" s="179" t="s">
        <v>3356</v>
      </c>
      <c r="P736" s="108">
        <v>-999</v>
      </c>
      <c r="Q736" s="80"/>
      <c r="R736" s="82"/>
    </row>
    <row r="737" spans="1:18">
      <c r="A737" s="118" t="s">
        <v>2778</v>
      </c>
      <c r="B737" s="141" t="s">
        <v>6141</v>
      </c>
      <c r="C737" s="118" t="s">
        <v>3817</v>
      </c>
      <c r="D737" s="141"/>
      <c r="E737" s="118"/>
      <c r="F737" s="118"/>
      <c r="G737" s="118" t="s">
        <v>3618</v>
      </c>
      <c r="H737" s="118" t="s">
        <v>3638</v>
      </c>
      <c r="I737" s="118" t="s">
        <v>4775</v>
      </c>
      <c r="J737" s="118" t="s">
        <v>8258</v>
      </c>
      <c r="K737" s="141"/>
      <c r="L737" s="135" t="str">
        <f t="shared" si="43"/>
        <v>Gerbillus bilensis</v>
      </c>
      <c r="M737" s="133">
        <v>-999</v>
      </c>
      <c r="N737" s="133">
        <v>-999</v>
      </c>
      <c r="O737" s="179" t="s">
        <v>6641</v>
      </c>
      <c r="P737" s="108">
        <v>-999</v>
      </c>
      <c r="Q737" s="80" t="s">
        <v>7071</v>
      </c>
      <c r="R737" s="82"/>
    </row>
    <row r="738" spans="1:18">
      <c r="A738" s="118" t="s">
        <v>2778</v>
      </c>
      <c r="B738" s="141" t="s">
        <v>2542</v>
      </c>
      <c r="C738" s="121" t="s">
        <v>3817</v>
      </c>
      <c r="D738" s="156"/>
      <c r="E738" s="121"/>
      <c r="F738" s="121"/>
      <c r="G738" s="121" t="s">
        <v>3618</v>
      </c>
      <c r="H738" s="118" t="s">
        <v>3638</v>
      </c>
      <c r="I738" s="121" t="s">
        <v>4775</v>
      </c>
      <c r="J738" s="121" t="s">
        <v>8259</v>
      </c>
      <c r="K738" s="156"/>
      <c r="L738" s="135" t="str">
        <f t="shared" si="43"/>
        <v>Gerbillus bonhotei</v>
      </c>
      <c r="M738" s="133">
        <v>-999</v>
      </c>
      <c r="N738" s="143">
        <v>-999</v>
      </c>
      <c r="O738" s="179" t="s">
        <v>6641</v>
      </c>
      <c r="P738" s="108">
        <v>-999</v>
      </c>
      <c r="Q738" s="80" t="s">
        <v>6988</v>
      </c>
      <c r="R738" s="82"/>
    </row>
    <row r="739" spans="1:18">
      <c r="A739" s="118" t="s">
        <v>2778</v>
      </c>
      <c r="B739" s="141" t="s">
        <v>2543</v>
      </c>
      <c r="C739" s="118" t="s">
        <v>3817</v>
      </c>
      <c r="D739" s="141"/>
      <c r="E739" s="118"/>
      <c r="F739" s="118"/>
      <c r="G739" s="118" t="s">
        <v>3618</v>
      </c>
      <c r="H739" s="118" t="s">
        <v>3638</v>
      </c>
      <c r="I739" s="118" t="s">
        <v>4775</v>
      </c>
      <c r="J739" s="118" t="s">
        <v>5712</v>
      </c>
      <c r="K739" s="141"/>
      <c r="L739" s="135" t="str">
        <f t="shared" si="43"/>
        <v>Gerbillus bottai</v>
      </c>
      <c r="M739" s="133">
        <v>-999</v>
      </c>
      <c r="N739" s="133">
        <v>-999</v>
      </c>
      <c r="O739" s="179" t="s">
        <v>3356</v>
      </c>
      <c r="P739" s="108">
        <v>-999</v>
      </c>
      <c r="Q739" s="80"/>
      <c r="R739" s="82"/>
    </row>
    <row r="740" spans="1:18" ht="15" customHeight="1">
      <c r="A740" s="213" t="s">
        <v>2778</v>
      </c>
      <c r="B740" s="141" t="s">
        <v>2610</v>
      </c>
      <c r="C740" s="118" t="s">
        <v>3817</v>
      </c>
      <c r="D740" s="141"/>
      <c r="E740" s="118"/>
      <c r="F740" s="118"/>
      <c r="G740" s="121" t="s">
        <v>3618</v>
      </c>
      <c r="H740" s="118" t="s">
        <v>3638</v>
      </c>
      <c r="I740" s="121" t="s">
        <v>4775</v>
      </c>
      <c r="J740" s="121" t="s">
        <v>5713</v>
      </c>
      <c r="K740" s="156"/>
      <c r="L740" s="135" t="str">
        <f t="shared" si="43"/>
        <v>Gerbillus brockmani</v>
      </c>
      <c r="M740" s="133">
        <v>-999</v>
      </c>
      <c r="N740" s="143">
        <v>-999</v>
      </c>
      <c r="O740" s="179" t="s">
        <v>3356</v>
      </c>
      <c r="P740" s="108">
        <v>-999</v>
      </c>
      <c r="Q740" s="80"/>
      <c r="R740" s="82"/>
    </row>
    <row r="741" spans="1:18">
      <c r="A741" s="213" t="s">
        <v>2778</v>
      </c>
      <c r="B741" s="141" t="s">
        <v>2544</v>
      </c>
      <c r="C741" s="121" t="s">
        <v>3817</v>
      </c>
      <c r="D741" s="156"/>
      <c r="E741" s="121"/>
      <c r="F741" s="121"/>
      <c r="G741" s="121" t="s">
        <v>3618</v>
      </c>
      <c r="H741" s="118" t="s">
        <v>3638</v>
      </c>
      <c r="I741" s="121" t="s">
        <v>4775</v>
      </c>
      <c r="J741" s="121" t="s">
        <v>3942</v>
      </c>
      <c r="K741" s="156"/>
      <c r="L741" s="135" t="str">
        <f t="shared" si="43"/>
        <v>Gerbillus burtoni</v>
      </c>
      <c r="M741" s="133">
        <v>-999</v>
      </c>
      <c r="N741" s="143">
        <v>-999</v>
      </c>
      <c r="O741" s="179" t="s">
        <v>6641</v>
      </c>
      <c r="P741" s="108">
        <v>-999</v>
      </c>
      <c r="Q741" s="80" t="s">
        <v>6988</v>
      </c>
      <c r="R741" s="82"/>
    </row>
    <row r="742" spans="1:18">
      <c r="A742" s="213" t="s">
        <v>2778</v>
      </c>
      <c r="B742" s="141" t="s">
        <v>2376</v>
      </c>
      <c r="C742" s="121" t="s">
        <v>3817</v>
      </c>
      <c r="D742" s="156"/>
      <c r="E742" s="121"/>
      <c r="F742" s="121"/>
      <c r="G742" s="121" t="s">
        <v>3618</v>
      </c>
      <c r="H742" s="118" t="s">
        <v>3638</v>
      </c>
      <c r="I742" s="121" t="s">
        <v>4775</v>
      </c>
      <c r="J742" s="121" t="s">
        <v>8205</v>
      </c>
      <c r="K742" s="156"/>
      <c r="L742" s="135" t="str">
        <f t="shared" si="43"/>
        <v>Gerbillus cosensis</v>
      </c>
      <c r="M742" s="133">
        <v>-999</v>
      </c>
      <c r="N742" s="143">
        <v>-999</v>
      </c>
      <c r="O742" s="179" t="s">
        <v>6882</v>
      </c>
      <c r="P742" s="108">
        <v>-999</v>
      </c>
      <c r="Q742" s="80" t="s">
        <v>7071</v>
      </c>
      <c r="R742" s="82"/>
    </row>
    <row r="743" spans="1:18" ht="24" customHeight="1">
      <c r="A743" s="213" t="s">
        <v>2778</v>
      </c>
      <c r="B743" s="141" t="s">
        <v>2204</v>
      </c>
      <c r="C743" s="118" t="s">
        <v>3817</v>
      </c>
      <c r="D743" s="141"/>
      <c r="E743" s="118"/>
      <c r="F743" s="118"/>
      <c r="G743" s="118" t="s">
        <v>3618</v>
      </c>
      <c r="H743" s="118" t="s">
        <v>3638</v>
      </c>
      <c r="I743" s="118" t="s">
        <v>4775</v>
      </c>
      <c r="J743" s="118" t="s">
        <v>8206</v>
      </c>
      <c r="K743" s="141"/>
      <c r="L743" s="135" t="str">
        <f t="shared" si="43"/>
        <v>Gerbillus dalloni</v>
      </c>
      <c r="M743" s="133">
        <v>-999</v>
      </c>
      <c r="N743" s="133">
        <v>-999</v>
      </c>
      <c r="O743" s="179" t="s">
        <v>6882</v>
      </c>
      <c r="P743" s="108">
        <v>-999</v>
      </c>
      <c r="Q743" s="80" t="s">
        <v>7071</v>
      </c>
      <c r="R743" s="82"/>
    </row>
    <row r="744" spans="1:18">
      <c r="A744" s="213" t="s">
        <v>2778</v>
      </c>
      <c r="B744" s="141" t="s">
        <v>2544</v>
      </c>
      <c r="C744" s="118" t="s">
        <v>3817</v>
      </c>
      <c r="D744" s="141"/>
      <c r="E744" s="118"/>
      <c r="F744" s="118"/>
      <c r="G744" s="118" t="s">
        <v>3618</v>
      </c>
      <c r="H744" s="118" t="s">
        <v>3638</v>
      </c>
      <c r="I744" s="118" t="s">
        <v>4775</v>
      </c>
      <c r="J744" s="118" t="s">
        <v>5948</v>
      </c>
      <c r="K744" s="141"/>
      <c r="L744" s="135" t="str">
        <f t="shared" si="43"/>
        <v>Gerbillus dongolanus</v>
      </c>
      <c r="M744" s="133">
        <v>-999</v>
      </c>
      <c r="N744" s="133">
        <v>-999</v>
      </c>
      <c r="O744" s="179" t="s">
        <v>3356</v>
      </c>
      <c r="P744" s="108">
        <v>-999</v>
      </c>
      <c r="Q744" s="80"/>
      <c r="R744" s="82"/>
    </row>
    <row r="745" spans="1:18">
      <c r="A745" s="213" t="s">
        <v>2778</v>
      </c>
      <c r="B745" s="141" t="s">
        <v>2319</v>
      </c>
      <c r="C745" s="121" t="s">
        <v>3817</v>
      </c>
      <c r="D745" s="156"/>
      <c r="E745" s="121"/>
      <c r="F745" s="121"/>
      <c r="G745" s="121" t="s">
        <v>3618</v>
      </c>
      <c r="H745" s="118" t="s">
        <v>3638</v>
      </c>
      <c r="I745" s="121" t="s">
        <v>4775</v>
      </c>
      <c r="J745" s="121" t="s">
        <v>6801</v>
      </c>
      <c r="K745" s="156"/>
      <c r="L745" s="135" t="str">
        <f t="shared" si="43"/>
        <v>Gerbillus dunni</v>
      </c>
      <c r="M745" s="133">
        <v>-999</v>
      </c>
      <c r="N745" s="143">
        <v>-999</v>
      </c>
      <c r="O745" s="179" t="s">
        <v>3356</v>
      </c>
      <c r="P745" s="108">
        <v>-999</v>
      </c>
      <c r="Q745" s="80"/>
      <c r="R745" s="82"/>
    </row>
    <row r="746" spans="1:18">
      <c r="A746" s="118" t="s">
        <v>2778</v>
      </c>
      <c r="B746" s="141" t="s">
        <v>2451</v>
      </c>
      <c r="C746" s="118" t="s">
        <v>3817</v>
      </c>
      <c r="D746" s="141"/>
      <c r="E746" s="118"/>
      <c r="F746" s="118"/>
      <c r="G746" s="118" t="s">
        <v>3618</v>
      </c>
      <c r="H746" s="118" t="s">
        <v>3638</v>
      </c>
      <c r="I746" s="118" t="s">
        <v>4775</v>
      </c>
      <c r="J746" s="118" t="s">
        <v>7448</v>
      </c>
      <c r="K746" s="141"/>
      <c r="L746" s="135" t="str">
        <f t="shared" si="43"/>
        <v>Gerbillus floweri</v>
      </c>
      <c r="M746" s="133">
        <v>-999</v>
      </c>
      <c r="N746" s="133">
        <v>-999</v>
      </c>
      <c r="O746" s="179" t="s">
        <v>6882</v>
      </c>
      <c r="P746" s="108">
        <v>-999</v>
      </c>
      <c r="Q746" s="80" t="s">
        <v>7071</v>
      </c>
      <c r="R746" s="82"/>
    </row>
    <row r="747" spans="1:18">
      <c r="A747" s="118" t="s">
        <v>2778</v>
      </c>
      <c r="B747" s="141" t="s">
        <v>2452</v>
      </c>
      <c r="C747" s="118" t="s">
        <v>3817</v>
      </c>
      <c r="D747" s="141"/>
      <c r="E747" s="118"/>
      <c r="F747" s="118"/>
      <c r="G747" s="118" t="s">
        <v>3618</v>
      </c>
      <c r="H747" s="118" t="s">
        <v>3638</v>
      </c>
      <c r="I747" s="118" t="s">
        <v>4775</v>
      </c>
      <c r="J747" s="118" t="s">
        <v>6524</v>
      </c>
      <c r="K747" s="141"/>
      <c r="L747" s="135" t="str">
        <f t="shared" si="43"/>
        <v>Gerbillus garamantis</v>
      </c>
      <c r="M747" s="133">
        <v>-999</v>
      </c>
      <c r="N747" s="133">
        <v>-999</v>
      </c>
      <c r="O747" s="179" t="s">
        <v>3356</v>
      </c>
      <c r="P747" s="108">
        <v>-999</v>
      </c>
      <c r="Q747" s="80"/>
      <c r="R747" s="82"/>
    </row>
    <row r="748" spans="1:18">
      <c r="A748" s="118" t="s">
        <v>2778</v>
      </c>
      <c r="B748" s="141" t="s">
        <v>2455</v>
      </c>
      <c r="C748" s="121" t="s">
        <v>3817</v>
      </c>
      <c r="D748" s="156"/>
      <c r="E748" s="121"/>
      <c r="F748" s="121"/>
      <c r="G748" s="121" t="s">
        <v>3618</v>
      </c>
      <c r="H748" s="118" t="s">
        <v>3638</v>
      </c>
      <c r="I748" s="121" t="s">
        <v>4775</v>
      </c>
      <c r="J748" s="121" t="s">
        <v>6808</v>
      </c>
      <c r="K748" s="156"/>
      <c r="L748" s="135" t="str">
        <f t="shared" si="43"/>
        <v>Gerbillus grobbeni</v>
      </c>
      <c r="M748" s="133">
        <v>-999</v>
      </c>
      <c r="N748" s="143">
        <v>-999</v>
      </c>
      <c r="O748" s="179" t="s">
        <v>6882</v>
      </c>
      <c r="P748" s="108">
        <v>-999</v>
      </c>
      <c r="Q748" s="80" t="s">
        <v>7071</v>
      </c>
      <c r="R748" s="82"/>
    </row>
    <row r="749" spans="1:18">
      <c r="A749" s="118" t="s">
        <v>2778</v>
      </c>
      <c r="B749" s="130"/>
      <c r="C749" s="121" t="s">
        <v>3817</v>
      </c>
      <c r="D749" s="156"/>
      <c r="E749" s="121"/>
      <c r="F749" s="121"/>
      <c r="G749" s="121" t="s">
        <v>3618</v>
      </c>
      <c r="H749" s="118" t="s">
        <v>3638</v>
      </c>
      <c r="I749" s="121" t="s">
        <v>4775</v>
      </c>
      <c r="J749" s="121" t="s">
        <v>6103</v>
      </c>
      <c r="K749" s="156"/>
      <c r="L749" s="135" t="str">
        <f t="shared" si="43"/>
        <v>Gerbillus hesperinus</v>
      </c>
      <c r="M749" s="133">
        <v>-999</v>
      </c>
      <c r="N749" s="143">
        <v>-999</v>
      </c>
      <c r="O749" s="179" t="s">
        <v>3356</v>
      </c>
      <c r="P749" s="108">
        <v>-999</v>
      </c>
      <c r="Q749" s="80"/>
      <c r="R749" s="82"/>
    </row>
    <row r="750" spans="1:18" ht="15">
      <c r="A750" s="118" t="s">
        <v>2778</v>
      </c>
      <c r="B750" s="141" t="s">
        <v>2456</v>
      </c>
      <c r="C750" s="118" t="s">
        <v>3817</v>
      </c>
      <c r="D750" s="141"/>
      <c r="E750" s="118"/>
      <c r="F750" s="118"/>
      <c r="G750" s="118" t="s">
        <v>3618</v>
      </c>
      <c r="H750" s="118" t="s">
        <v>3638</v>
      </c>
      <c r="I750" s="118" t="s">
        <v>4775</v>
      </c>
      <c r="J750" s="118" t="s">
        <v>5342</v>
      </c>
      <c r="K750" s="141"/>
      <c r="L750" s="135" t="str">
        <f t="shared" si="43"/>
        <v>Gerbillus hoogstraali</v>
      </c>
      <c r="M750" s="133">
        <v>-999</v>
      </c>
      <c r="N750" s="133">
        <v>-999</v>
      </c>
      <c r="O750" s="179" t="s">
        <v>6641</v>
      </c>
      <c r="P750" s="108">
        <v>-999</v>
      </c>
      <c r="Q750" s="88" t="s">
        <v>7071</v>
      </c>
      <c r="R750" s="82"/>
    </row>
    <row r="751" spans="1:18" ht="24" customHeight="1">
      <c r="A751" s="118" t="s">
        <v>2778</v>
      </c>
      <c r="B751" s="141" t="s">
        <v>2450</v>
      </c>
      <c r="C751" s="118" t="s">
        <v>3817</v>
      </c>
      <c r="D751" s="141"/>
      <c r="E751" s="118"/>
      <c r="F751" s="118"/>
      <c r="G751" s="118" t="s">
        <v>3618</v>
      </c>
      <c r="H751" s="118" t="s">
        <v>3638</v>
      </c>
      <c r="I751" s="118" t="s">
        <v>4775</v>
      </c>
      <c r="J751" s="118" t="s">
        <v>6526</v>
      </c>
      <c r="K751" s="141"/>
      <c r="L751" s="135" t="str">
        <f t="shared" si="43"/>
        <v>Gerbillus jamesi</v>
      </c>
      <c r="M751" s="133">
        <v>-999</v>
      </c>
      <c r="N751" s="133">
        <v>-999</v>
      </c>
      <c r="O751" s="179" t="s">
        <v>3356</v>
      </c>
      <c r="P751" s="108">
        <v>-999</v>
      </c>
      <c r="Q751" s="80"/>
      <c r="R751" s="82"/>
    </row>
    <row r="752" spans="1:18" ht="24" customHeight="1">
      <c r="A752" s="118" t="s">
        <v>2778</v>
      </c>
      <c r="B752" s="141" t="s">
        <v>2610</v>
      </c>
      <c r="C752" s="118" t="s">
        <v>3817</v>
      </c>
      <c r="D752" s="141"/>
      <c r="E752" s="118"/>
      <c r="F752" s="118"/>
      <c r="G752" s="118" t="s">
        <v>3618</v>
      </c>
      <c r="H752" s="118" t="s">
        <v>3638</v>
      </c>
      <c r="I752" s="118" t="s">
        <v>4775</v>
      </c>
      <c r="J752" s="118" t="s">
        <v>6805</v>
      </c>
      <c r="K752" s="141"/>
      <c r="L752" s="135" t="str">
        <f t="shared" si="43"/>
        <v>Gerbillus juliani</v>
      </c>
      <c r="M752" s="133">
        <v>-999</v>
      </c>
      <c r="N752" s="133">
        <v>-999</v>
      </c>
      <c r="O752" s="179" t="s">
        <v>3356</v>
      </c>
      <c r="P752" s="108">
        <v>-999</v>
      </c>
      <c r="Q752" s="80"/>
      <c r="R752" s="82"/>
    </row>
    <row r="753" spans="1:30" ht="24" customHeight="1">
      <c r="A753" s="118" t="s">
        <v>2778</v>
      </c>
      <c r="B753" s="141" t="s">
        <v>2544</v>
      </c>
      <c r="C753" s="118" t="s">
        <v>3817</v>
      </c>
      <c r="D753" s="141"/>
      <c r="E753" s="118"/>
      <c r="F753" s="118"/>
      <c r="G753" s="118" t="s">
        <v>3618</v>
      </c>
      <c r="H753" s="118" t="s">
        <v>3638</v>
      </c>
      <c r="I753" s="118" t="s">
        <v>4775</v>
      </c>
      <c r="J753" s="118" t="s">
        <v>6807</v>
      </c>
      <c r="K753" s="141"/>
      <c r="L753" s="135" t="str">
        <f t="shared" si="43"/>
        <v>Gerbillus lowei</v>
      </c>
      <c r="M753" s="133">
        <v>-999</v>
      </c>
      <c r="N753" s="133">
        <v>-999</v>
      </c>
      <c r="O753" s="179" t="s">
        <v>6882</v>
      </c>
      <c r="P753" s="108">
        <v>-999</v>
      </c>
      <c r="Q753" s="80" t="s">
        <v>7071</v>
      </c>
    </row>
    <row r="754" spans="1:30" ht="24" customHeight="1">
      <c r="A754" s="118" t="s">
        <v>2778</v>
      </c>
      <c r="B754" s="141" t="s">
        <v>6038</v>
      </c>
      <c r="C754" s="121" t="s">
        <v>3817</v>
      </c>
      <c r="D754" s="156"/>
      <c r="E754" s="121"/>
      <c r="F754" s="121"/>
      <c r="G754" s="121" t="s">
        <v>3618</v>
      </c>
      <c r="H754" s="118" t="s">
        <v>3638</v>
      </c>
      <c r="I754" s="121" t="s">
        <v>4775</v>
      </c>
      <c r="J754" s="121" t="s">
        <v>6521</v>
      </c>
      <c r="K754" s="156"/>
      <c r="L754" s="135" t="str">
        <f t="shared" si="43"/>
        <v>Gerbillus mackillingini</v>
      </c>
      <c r="M754" s="133">
        <v>-999</v>
      </c>
      <c r="N754" s="143">
        <v>-999</v>
      </c>
      <c r="O754" s="179" t="s">
        <v>3356</v>
      </c>
      <c r="P754" s="108">
        <v>-999</v>
      </c>
      <c r="Q754" s="80"/>
    </row>
    <row r="755" spans="1:30" ht="24" customHeight="1">
      <c r="A755" s="118" t="s">
        <v>2778</v>
      </c>
      <c r="B755" s="141" t="s">
        <v>2456</v>
      </c>
      <c r="C755" s="121" t="s">
        <v>3817</v>
      </c>
      <c r="D755" s="156"/>
      <c r="E755" s="121"/>
      <c r="F755" s="121"/>
      <c r="G755" s="121" t="s">
        <v>3618</v>
      </c>
      <c r="H755" s="118" t="s">
        <v>3638</v>
      </c>
      <c r="I755" s="121" t="s">
        <v>4775</v>
      </c>
      <c r="J755" s="121" t="s">
        <v>6108</v>
      </c>
      <c r="K755" s="156"/>
      <c r="L755" s="135" t="str">
        <f t="shared" si="43"/>
        <v>Gerbillus maghrebi</v>
      </c>
      <c r="M755" s="133">
        <v>-999</v>
      </c>
      <c r="N755" s="143">
        <v>-999</v>
      </c>
      <c r="O755" s="179" t="s">
        <v>6882</v>
      </c>
      <c r="P755" s="108">
        <v>-999</v>
      </c>
      <c r="Q755" s="88" t="s">
        <v>6988</v>
      </c>
    </row>
    <row r="756" spans="1:30">
      <c r="A756" s="118" t="s">
        <v>2778</v>
      </c>
      <c r="B756" s="141" t="s">
        <v>2788</v>
      </c>
      <c r="C756" s="118" t="s">
        <v>3817</v>
      </c>
      <c r="D756" s="141"/>
      <c r="E756" s="118"/>
      <c r="F756" s="118"/>
      <c r="G756" s="118" t="s">
        <v>3618</v>
      </c>
      <c r="H756" s="118" t="s">
        <v>3638</v>
      </c>
      <c r="I756" s="118" t="s">
        <v>4775</v>
      </c>
      <c r="J756" s="118" t="s">
        <v>6113</v>
      </c>
      <c r="K756" s="141"/>
      <c r="L756" s="135" t="str">
        <f t="shared" si="43"/>
        <v>Gerbillus mauritaniae</v>
      </c>
      <c r="M756" s="133">
        <v>-999</v>
      </c>
      <c r="N756" s="133">
        <v>-999</v>
      </c>
      <c r="O756" s="179" t="s">
        <v>6882</v>
      </c>
      <c r="P756" s="108">
        <v>-999</v>
      </c>
      <c r="Q756" s="80" t="s">
        <v>7071</v>
      </c>
    </row>
    <row r="757" spans="1:30" ht="24" customHeight="1">
      <c r="A757" s="118" t="s">
        <v>2778</v>
      </c>
      <c r="B757" s="141" t="s">
        <v>2544</v>
      </c>
      <c r="C757" s="118" t="s">
        <v>3817</v>
      </c>
      <c r="D757" s="141"/>
      <c r="E757" s="118"/>
      <c r="F757" s="118"/>
      <c r="G757" s="118" t="s">
        <v>3618</v>
      </c>
      <c r="H757" s="118" t="s">
        <v>3638</v>
      </c>
      <c r="I757" s="118" t="s">
        <v>4775</v>
      </c>
      <c r="J757" s="118" t="s">
        <v>6530</v>
      </c>
      <c r="K757" s="141"/>
      <c r="L757" s="135" t="str">
        <f t="shared" si="43"/>
        <v>Gerbillus muriculus</v>
      </c>
      <c r="M757" s="133">
        <v>-999</v>
      </c>
      <c r="N757" s="133">
        <v>-999</v>
      </c>
      <c r="O757" s="179" t="s">
        <v>3356</v>
      </c>
      <c r="P757" s="108">
        <v>-999</v>
      </c>
      <c r="Q757" s="80"/>
    </row>
    <row r="758" spans="1:30" ht="15.75">
      <c r="A758" s="213" t="s">
        <v>2778</v>
      </c>
      <c r="B758" s="141" t="s">
        <v>2544</v>
      </c>
      <c r="C758" s="118" t="s">
        <v>3817</v>
      </c>
      <c r="D758" s="141"/>
      <c r="E758" s="118"/>
      <c r="F758" s="118"/>
      <c r="G758" s="118" t="s">
        <v>3618</v>
      </c>
      <c r="H758" s="118" t="s">
        <v>3638</v>
      </c>
      <c r="I758" s="118" t="s">
        <v>4775</v>
      </c>
      <c r="J758" s="118" t="s">
        <v>6531</v>
      </c>
      <c r="K758" s="141"/>
      <c r="L758" s="135" t="str">
        <f t="shared" si="43"/>
        <v>Gerbillus nancillus</v>
      </c>
      <c r="M758" s="133">
        <v>-999</v>
      </c>
      <c r="N758" s="133">
        <v>-999</v>
      </c>
      <c r="O758" s="179" t="s">
        <v>6882</v>
      </c>
      <c r="P758" s="108">
        <v>-999</v>
      </c>
      <c r="Q758" s="80" t="s">
        <v>6642</v>
      </c>
      <c r="R758" s="89"/>
    </row>
    <row r="759" spans="1:30">
      <c r="A759" s="213" t="s">
        <v>2778</v>
      </c>
      <c r="B759" s="141" t="s">
        <v>2456</v>
      </c>
      <c r="C759" s="121" t="s">
        <v>3817</v>
      </c>
      <c r="D759" s="156"/>
      <c r="E759" s="121"/>
      <c r="F759" s="121"/>
      <c r="G759" s="121" t="s">
        <v>3618</v>
      </c>
      <c r="H759" s="118" t="s">
        <v>3638</v>
      </c>
      <c r="I759" s="121" t="s">
        <v>4775</v>
      </c>
      <c r="J759" s="121" t="s">
        <v>6532</v>
      </c>
      <c r="K759" s="156"/>
      <c r="L759" s="135" t="str">
        <f t="shared" si="43"/>
        <v>Gerbillus occiduus</v>
      </c>
      <c r="M759" s="133">
        <v>-999</v>
      </c>
      <c r="N759" s="143">
        <v>-999</v>
      </c>
      <c r="O759" s="179" t="s">
        <v>6882</v>
      </c>
      <c r="P759" s="108">
        <v>-999</v>
      </c>
      <c r="Q759" s="80" t="s">
        <v>7071</v>
      </c>
    </row>
    <row r="760" spans="1:30">
      <c r="A760" s="213" t="s">
        <v>2778</v>
      </c>
      <c r="B760" s="141" t="s">
        <v>2376</v>
      </c>
      <c r="C760" s="118" t="s">
        <v>3817</v>
      </c>
      <c r="D760" s="141"/>
      <c r="E760" s="118"/>
      <c r="F760" s="118"/>
      <c r="G760" s="118" t="s">
        <v>3618</v>
      </c>
      <c r="H760" s="118" t="s">
        <v>3638</v>
      </c>
      <c r="I760" s="118" t="s">
        <v>4775</v>
      </c>
      <c r="J760" s="118" t="s">
        <v>6533</v>
      </c>
      <c r="K760" s="141"/>
      <c r="L760" s="135" t="str">
        <f t="shared" si="43"/>
        <v>Gerbillus percivali</v>
      </c>
      <c r="M760" s="133">
        <v>-999</v>
      </c>
      <c r="N760" s="133">
        <v>-999</v>
      </c>
      <c r="O760" s="179" t="s">
        <v>3356</v>
      </c>
      <c r="P760" s="108">
        <v>-999</v>
      </c>
      <c r="Q760" s="80"/>
    </row>
    <row r="761" spans="1:30">
      <c r="A761" s="217" t="s">
        <v>2778</v>
      </c>
      <c r="B761" s="141" t="s">
        <v>2544</v>
      </c>
      <c r="C761" s="118" t="s">
        <v>3817</v>
      </c>
      <c r="D761" s="141"/>
      <c r="E761" s="118"/>
      <c r="F761" s="118"/>
      <c r="G761" s="118" t="s">
        <v>3618</v>
      </c>
      <c r="H761" s="118" t="s">
        <v>3638</v>
      </c>
      <c r="I761" s="118" t="s">
        <v>4775</v>
      </c>
      <c r="J761" s="118" t="s">
        <v>6535</v>
      </c>
      <c r="K761" s="141"/>
      <c r="L761" s="135" t="str">
        <f t="shared" si="43"/>
        <v>Gerbillus principulus</v>
      </c>
      <c r="M761" s="133">
        <v>-999</v>
      </c>
      <c r="N761" s="133">
        <v>-999</v>
      </c>
      <c r="O761" s="179" t="s">
        <v>6882</v>
      </c>
      <c r="P761" s="108">
        <v>-999</v>
      </c>
      <c r="Q761" s="80" t="s">
        <v>7071</v>
      </c>
    </row>
    <row r="762" spans="1:30" ht="24" customHeight="1">
      <c r="A762" s="213" t="s">
        <v>2778</v>
      </c>
      <c r="B762" s="141" t="s">
        <v>6141</v>
      </c>
      <c r="C762" s="118" t="s">
        <v>3817</v>
      </c>
      <c r="D762" s="141"/>
      <c r="E762" s="118"/>
      <c r="F762" s="118"/>
      <c r="G762" s="118" t="s">
        <v>3618</v>
      </c>
      <c r="H762" s="118" t="s">
        <v>3638</v>
      </c>
      <c r="I762" s="118" t="s">
        <v>4775</v>
      </c>
      <c r="J762" s="118" t="s">
        <v>6564</v>
      </c>
      <c r="K762" s="141"/>
      <c r="L762" s="135" t="str">
        <f t="shared" si="43"/>
        <v>Gerbillus pulvinatus</v>
      </c>
      <c r="M762" s="133">
        <v>-999</v>
      </c>
      <c r="N762" s="133">
        <v>-999</v>
      </c>
      <c r="O762" s="179" t="s">
        <v>1710</v>
      </c>
      <c r="P762" s="108">
        <v>206</v>
      </c>
      <c r="Q762" s="80"/>
    </row>
    <row r="763" spans="1:30">
      <c r="A763" s="213" t="s">
        <v>2778</v>
      </c>
      <c r="B763" s="141" t="s">
        <v>2544</v>
      </c>
      <c r="C763" s="118" t="s">
        <v>3817</v>
      </c>
      <c r="D763" s="141"/>
      <c r="E763" s="118"/>
      <c r="F763" s="118"/>
      <c r="G763" s="118" t="s">
        <v>3618</v>
      </c>
      <c r="H763" s="118" t="s">
        <v>3638</v>
      </c>
      <c r="I763" s="118" t="s">
        <v>4775</v>
      </c>
      <c r="J763" s="118" t="s">
        <v>6389</v>
      </c>
      <c r="K763" s="141"/>
      <c r="L763" s="135" t="str">
        <f t="shared" si="43"/>
        <v>Gerbillus quadrimaculatus</v>
      </c>
      <c r="M763" s="133">
        <v>-999</v>
      </c>
      <c r="N763" s="133">
        <v>-999</v>
      </c>
      <c r="O763" s="179" t="s">
        <v>6882</v>
      </c>
      <c r="P763" s="108">
        <v>-999</v>
      </c>
      <c r="Q763" s="80" t="s">
        <v>7071</v>
      </c>
    </row>
    <row r="764" spans="1:30">
      <c r="A764" s="213" t="s">
        <v>2778</v>
      </c>
      <c r="B764" s="141" t="s">
        <v>5895</v>
      </c>
      <c r="C764" s="121" t="s">
        <v>3817</v>
      </c>
      <c r="D764" s="156"/>
      <c r="E764" s="121"/>
      <c r="F764" s="121"/>
      <c r="G764" s="121" t="s">
        <v>3618</v>
      </c>
      <c r="H764" s="118" t="s">
        <v>3638</v>
      </c>
      <c r="I764" s="121" t="s">
        <v>4775</v>
      </c>
      <c r="J764" s="121" t="s">
        <v>3467</v>
      </c>
      <c r="K764" s="156"/>
      <c r="L764" s="135" t="str">
        <f t="shared" si="43"/>
        <v>Gerbillus riggenbachi</v>
      </c>
      <c r="M764" s="133">
        <v>-999</v>
      </c>
      <c r="N764" s="143">
        <v>-999</v>
      </c>
      <c r="O764" s="179" t="s">
        <v>6882</v>
      </c>
      <c r="P764" s="108">
        <v>-999</v>
      </c>
      <c r="Q764" s="80" t="s">
        <v>6642</v>
      </c>
    </row>
    <row r="765" spans="1:30" ht="24" customHeight="1">
      <c r="A765" s="213" t="s">
        <v>2778</v>
      </c>
      <c r="B765" s="141" t="s">
        <v>2544</v>
      </c>
      <c r="C765" s="118" t="s">
        <v>3817</v>
      </c>
      <c r="D765" s="141"/>
      <c r="E765" s="118"/>
      <c r="F765" s="118"/>
      <c r="G765" s="118" t="s">
        <v>3618</v>
      </c>
      <c r="H765" s="118" t="s">
        <v>3638</v>
      </c>
      <c r="I765" s="118" t="s">
        <v>4775</v>
      </c>
      <c r="J765" s="118" t="s">
        <v>5476</v>
      </c>
      <c r="K765" s="141"/>
      <c r="L765" s="135" t="str">
        <f t="shared" si="43"/>
        <v>Gerbillus rosalinda</v>
      </c>
      <c r="M765" s="133">
        <v>-999</v>
      </c>
      <c r="N765" s="133">
        <v>-999</v>
      </c>
      <c r="O765" s="179" t="s">
        <v>3356</v>
      </c>
      <c r="P765" s="108">
        <v>-999</v>
      </c>
      <c r="Q765" s="80"/>
      <c r="R765" s="89"/>
    </row>
    <row r="766" spans="1:30" ht="12" customHeight="1">
      <c r="A766" s="213" t="s">
        <v>2778</v>
      </c>
      <c r="B766" s="141" t="s">
        <v>5896</v>
      </c>
      <c r="C766" s="121" t="s">
        <v>3817</v>
      </c>
      <c r="D766" s="156"/>
      <c r="E766" s="121"/>
      <c r="F766" s="121"/>
      <c r="G766" s="121" t="s">
        <v>3618</v>
      </c>
      <c r="H766" s="118" t="s">
        <v>3638</v>
      </c>
      <c r="I766" s="121" t="s">
        <v>4775</v>
      </c>
      <c r="J766" s="121" t="s">
        <v>3696</v>
      </c>
      <c r="K766" s="156"/>
      <c r="L766" s="135" t="str">
        <f t="shared" si="43"/>
        <v>Gerbillus ruberrimus</v>
      </c>
      <c r="M766" s="133">
        <v>-999</v>
      </c>
      <c r="N766" s="143">
        <v>-999</v>
      </c>
      <c r="O766" s="179" t="s">
        <v>3356</v>
      </c>
      <c r="P766" s="108">
        <v>-999</v>
      </c>
      <c r="Q766" s="80"/>
      <c r="R766" s="89"/>
    </row>
    <row r="767" spans="1:30" ht="12" customHeight="1">
      <c r="A767" s="213" t="s">
        <v>2778</v>
      </c>
      <c r="B767" s="141" t="s">
        <v>2610</v>
      </c>
      <c r="C767" s="118" t="s">
        <v>3817</v>
      </c>
      <c r="D767" s="141"/>
      <c r="E767" s="118"/>
      <c r="F767" s="118"/>
      <c r="G767" s="118" t="s">
        <v>3618</v>
      </c>
      <c r="H767" s="118" t="s">
        <v>3638</v>
      </c>
      <c r="I767" s="118" t="s">
        <v>4775</v>
      </c>
      <c r="J767" s="118" t="s">
        <v>4104</v>
      </c>
      <c r="K767" s="141"/>
      <c r="L767" s="135" t="str">
        <f t="shared" si="43"/>
        <v>Gerbillus somalicus</v>
      </c>
      <c r="M767" s="133">
        <v>-999</v>
      </c>
      <c r="N767" s="133">
        <v>-999</v>
      </c>
      <c r="O767" s="179" t="s">
        <v>3356</v>
      </c>
      <c r="P767" s="108">
        <v>-999</v>
      </c>
      <c r="Q767" s="88"/>
      <c r="R767" s="89"/>
    </row>
    <row r="768" spans="1:30" ht="12" customHeight="1">
      <c r="A768" s="213" t="s">
        <v>2778</v>
      </c>
      <c r="B768" s="141" t="s">
        <v>2544</v>
      </c>
      <c r="C768" s="118" t="s">
        <v>3817</v>
      </c>
      <c r="D768" s="141"/>
      <c r="E768" s="118"/>
      <c r="F768" s="118"/>
      <c r="G768" s="118" t="s">
        <v>3618</v>
      </c>
      <c r="H768" s="118" t="s">
        <v>3638</v>
      </c>
      <c r="I768" s="118" t="s">
        <v>4775</v>
      </c>
      <c r="J768" s="118" t="s">
        <v>4103</v>
      </c>
      <c r="K768" s="141"/>
      <c r="L768" s="135" t="str">
        <f t="shared" si="43"/>
        <v>Gerbillus stigmonyx</v>
      </c>
      <c r="M768" s="133">
        <v>-999</v>
      </c>
      <c r="N768" s="133">
        <v>-999</v>
      </c>
      <c r="O768" s="179" t="s">
        <v>3356</v>
      </c>
      <c r="P768" s="108">
        <v>-999</v>
      </c>
      <c r="Q768" s="80"/>
      <c r="R768" s="89"/>
      <c r="W768"/>
      <c r="X768"/>
      <c r="Y768"/>
      <c r="Z768"/>
      <c r="AA768"/>
      <c r="AB768"/>
      <c r="AC768"/>
      <c r="AD768"/>
    </row>
    <row r="769" spans="1:18" ht="12" customHeight="1">
      <c r="A769" s="213" t="s">
        <v>2778</v>
      </c>
      <c r="B769" s="141" t="s">
        <v>2455</v>
      </c>
      <c r="C769" s="118" t="s">
        <v>3817</v>
      </c>
      <c r="D769" s="141"/>
      <c r="E769" s="118"/>
      <c r="F769" s="118"/>
      <c r="G769" s="118" t="s">
        <v>3618</v>
      </c>
      <c r="H769" s="118" t="s">
        <v>3638</v>
      </c>
      <c r="I769" s="118" t="s">
        <v>4775</v>
      </c>
      <c r="J769" s="118" t="s">
        <v>8217</v>
      </c>
      <c r="K769" s="141"/>
      <c r="L769" s="135" t="str">
        <f t="shared" si="43"/>
        <v>Gerbillus syrticus</v>
      </c>
      <c r="M769" s="133">
        <v>-999</v>
      </c>
      <c r="N769" s="133">
        <v>-999</v>
      </c>
      <c r="O769" s="179" t="s">
        <v>6882</v>
      </c>
      <c r="P769" s="108">
        <v>-999</v>
      </c>
      <c r="Q769" s="80" t="s">
        <v>7071</v>
      </c>
      <c r="R769" s="89"/>
    </row>
    <row r="770" spans="1:18">
      <c r="A770" s="213" t="s">
        <v>2778</v>
      </c>
      <c r="B770" s="141" t="s">
        <v>2455</v>
      </c>
      <c r="C770" s="118" t="s">
        <v>3817</v>
      </c>
      <c r="D770" s="141"/>
      <c r="E770" s="118"/>
      <c r="F770" s="118"/>
      <c r="G770" s="118" t="s">
        <v>3618</v>
      </c>
      <c r="H770" s="118" t="s">
        <v>3638</v>
      </c>
      <c r="I770" s="118" t="s">
        <v>4775</v>
      </c>
      <c r="J770" s="118" t="s">
        <v>8218</v>
      </c>
      <c r="K770" s="141"/>
      <c r="L770" s="135" t="str">
        <f t="shared" si="43"/>
        <v>Gerbillus tarabuli</v>
      </c>
      <c r="M770" s="133">
        <v>-999</v>
      </c>
      <c r="N770" s="133">
        <v>-999</v>
      </c>
      <c r="O770" s="179" t="s">
        <v>3356</v>
      </c>
      <c r="P770" s="108">
        <v>-999</v>
      </c>
      <c r="Q770" s="80"/>
    </row>
    <row r="771" spans="1:18">
      <c r="A771" s="213" t="s">
        <v>2778</v>
      </c>
      <c r="B771" s="141" t="s">
        <v>2455</v>
      </c>
      <c r="C771" s="118" t="s">
        <v>3817</v>
      </c>
      <c r="D771" s="141"/>
      <c r="E771" s="118"/>
      <c r="F771" s="118"/>
      <c r="G771" s="118" t="s">
        <v>3618</v>
      </c>
      <c r="H771" s="118" t="s">
        <v>3638</v>
      </c>
      <c r="I771" s="118" t="s">
        <v>4775</v>
      </c>
      <c r="J771" s="118" t="s">
        <v>8219</v>
      </c>
      <c r="K771" s="141"/>
      <c r="L771" s="135" t="str">
        <f t="shared" si="43"/>
        <v>Gerbillus vivax</v>
      </c>
      <c r="M771" s="133">
        <v>-999</v>
      </c>
      <c r="N771" s="133">
        <v>-999</v>
      </c>
      <c r="O771" s="179" t="s">
        <v>3356</v>
      </c>
      <c r="P771" s="108">
        <v>-999</v>
      </c>
      <c r="Q771" s="80"/>
    </row>
    <row r="772" spans="1:18">
      <c r="A772" s="213" t="s">
        <v>2778</v>
      </c>
      <c r="B772" s="130"/>
      <c r="C772" s="118" t="s">
        <v>3817</v>
      </c>
      <c r="D772" s="141"/>
      <c r="E772" s="118"/>
      <c r="F772" s="118"/>
      <c r="G772" s="118" t="s">
        <v>3618</v>
      </c>
      <c r="H772" s="118" t="s">
        <v>3638</v>
      </c>
      <c r="I772" s="118" t="s">
        <v>4775</v>
      </c>
      <c r="J772" s="118" t="s">
        <v>3626</v>
      </c>
      <c r="K772" s="141"/>
      <c r="L772" s="135" t="str">
        <f t="shared" si="43"/>
        <v>Gerbillus henleyi</v>
      </c>
      <c r="M772" s="133">
        <f t="shared" ref="M772:M787" si="46">LOG(N772)</f>
        <v>0.90309000000000006</v>
      </c>
      <c r="N772" s="133">
        <v>8.0000002396172594</v>
      </c>
      <c r="O772" s="179" t="s">
        <v>3356</v>
      </c>
      <c r="P772" s="108">
        <v>60</v>
      </c>
      <c r="R772" s="82"/>
    </row>
    <row r="773" spans="1:18">
      <c r="A773" s="213" t="s">
        <v>2778</v>
      </c>
      <c r="B773" s="141" t="s">
        <v>2544</v>
      </c>
      <c r="C773" s="118" t="s">
        <v>3817</v>
      </c>
      <c r="D773" s="141"/>
      <c r="E773" s="118"/>
      <c r="F773" s="118"/>
      <c r="G773" s="118" t="s">
        <v>3618</v>
      </c>
      <c r="H773" s="118" t="s">
        <v>3638</v>
      </c>
      <c r="I773" s="118" t="s">
        <v>4775</v>
      </c>
      <c r="J773" s="118" t="s">
        <v>8221</v>
      </c>
      <c r="K773" s="141"/>
      <c r="L773" s="135" t="str">
        <f t="shared" ref="L773:L836" si="47">I773&amp;" "&amp;J773</f>
        <v>Gerbillus watersi</v>
      </c>
      <c r="M773" s="133">
        <f t="shared" si="46"/>
        <v>1.0170333392987803</v>
      </c>
      <c r="N773" s="133">
        <v>10.4</v>
      </c>
      <c r="O773" s="179" t="s">
        <v>3356</v>
      </c>
      <c r="P773" s="108">
        <v>206</v>
      </c>
      <c r="Q773" s="80"/>
    </row>
    <row r="774" spans="1:18" ht="102">
      <c r="A774" s="118" t="s">
        <v>2778</v>
      </c>
      <c r="B774" s="141" t="s">
        <v>2376</v>
      </c>
      <c r="C774" s="118" t="s">
        <v>3817</v>
      </c>
      <c r="D774" s="141"/>
      <c r="E774" s="118"/>
      <c r="F774" s="118"/>
      <c r="G774" s="118" t="s">
        <v>3618</v>
      </c>
      <c r="H774" s="118" t="s">
        <v>3638</v>
      </c>
      <c r="I774" s="118" t="s">
        <v>4775</v>
      </c>
      <c r="J774" s="118" t="s">
        <v>6102</v>
      </c>
      <c r="K774" s="141"/>
      <c r="L774" s="135" t="str">
        <f t="shared" si="47"/>
        <v>Gerbillus harwoodi</v>
      </c>
      <c r="M774" s="133">
        <f t="shared" si="46"/>
        <v>1.0453229787866574</v>
      </c>
      <c r="N774" s="133">
        <v>11.1</v>
      </c>
      <c r="O774" s="179" t="s">
        <v>3356</v>
      </c>
      <c r="P774" s="108" t="s">
        <v>1277</v>
      </c>
      <c r="Q774" s="80" t="s">
        <v>148</v>
      </c>
      <c r="R774" s="82"/>
    </row>
    <row r="775" spans="1:18">
      <c r="A775" s="213" t="s">
        <v>2778</v>
      </c>
      <c r="B775" s="130"/>
      <c r="C775" s="118" t="s">
        <v>3817</v>
      </c>
      <c r="D775" s="141"/>
      <c r="E775" s="118"/>
      <c r="F775" s="118"/>
      <c r="G775" s="118" t="s">
        <v>3618</v>
      </c>
      <c r="H775" s="118" t="s">
        <v>3638</v>
      </c>
      <c r="I775" s="118" t="s">
        <v>4775</v>
      </c>
      <c r="J775" s="118" t="s">
        <v>4473</v>
      </c>
      <c r="K775" s="141"/>
      <c r="L775" s="135" t="str">
        <f t="shared" si="47"/>
        <v>Gerbillus pusillus</v>
      </c>
      <c r="M775" s="133">
        <f t="shared" si="46"/>
        <v>1.1003705451175629</v>
      </c>
      <c r="N775" s="133">
        <v>12.6</v>
      </c>
      <c r="O775" s="179" t="s">
        <v>3356</v>
      </c>
      <c r="P775" s="108">
        <v>188</v>
      </c>
    </row>
    <row r="776" spans="1:18">
      <c r="A776" s="213" t="s">
        <v>2778</v>
      </c>
      <c r="B776" s="141" t="s">
        <v>2054</v>
      </c>
      <c r="C776" s="118" t="s">
        <v>3817</v>
      </c>
      <c r="D776" s="141"/>
      <c r="E776" s="118"/>
      <c r="F776" s="118"/>
      <c r="G776" s="118" t="s">
        <v>3618</v>
      </c>
      <c r="H776" s="118" t="s">
        <v>3638</v>
      </c>
      <c r="I776" s="118" t="s">
        <v>4775</v>
      </c>
      <c r="J776" s="118" t="s">
        <v>4137</v>
      </c>
      <c r="K776" s="141"/>
      <c r="L776" s="135" t="str">
        <f t="shared" si="47"/>
        <v>Gerbillus amoenus</v>
      </c>
      <c r="M776" s="133">
        <f t="shared" si="46"/>
        <v>1.1205739312058498</v>
      </c>
      <c r="N776" s="133">
        <v>13.2</v>
      </c>
      <c r="O776" s="179" t="s">
        <v>3356</v>
      </c>
      <c r="P776" s="108">
        <v>128</v>
      </c>
      <c r="Q776" s="80"/>
    </row>
    <row r="777" spans="1:18" ht="63.75">
      <c r="A777" s="213" t="s">
        <v>2778</v>
      </c>
      <c r="B777" s="141" t="s">
        <v>2376</v>
      </c>
      <c r="C777" s="118" t="s">
        <v>3817</v>
      </c>
      <c r="D777" s="141"/>
      <c r="E777" s="118"/>
      <c r="F777" s="118"/>
      <c r="G777" s="118" t="s">
        <v>3618</v>
      </c>
      <c r="H777" s="118" t="s">
        <v>3638</v>
      </c>
      <c r="I777" s="118" t="s">
        <v>4775</v>
      </c>
      <c r="J777" s="118" t="s">
        <v>8207</v>
      </c>
      <c r="K777" s="141"/>
      <c r="L777" s="135" t="str">
        <f t="shared" si="47"/>
        <v>Gerbillus diminutus</v>
      </c>
      <c r="M777" s="133">
        <f t="shared" si="46"/>
        <v>1.2392994791268925</v>
      </c>
      <c r="N777" s="133">
        <f>AVERAGE(17, 17.7)</f>
        <v>17.350000000000001</v>
      </c>
      <c r="O777" s="179" t="s">
        <v>3356</v>
      </c>
      <c r="P777" s="108" t="s">
        <v>1277</v>
      </c>
      <c r="Q777" s="80" t="s">
        <v>145</v>
      </c>
    </row>
    <row r="778" spans="1:18" ht="25.5">
      <c r="A778" s="213" t="s">
        <v>2778</v>
      </c>
      <c r="B778" s="141" t="s">
        <v>5897</v>
      </c>
      <c r="C778" s="118" t="s">
        <v>3817</v>
      </c>
      <c r="D778" s="141"/>
      <c r="E778" s="118"/>
      <c r="F778" s="118"/>
      <c r="G778" s="118" t="s">
        <v>3618</v>
      </c>
      <c r="H778" s="118" t="s">
        <v>3638</v>
      </c>
      <c r="I778" s="118" t="s">
        <v>4775</v>
      </c>
      <c r="J778" s="118" t="s">
        <v>3878</v>
      </c>
      <c r="K778" s="141"/>
      <c r="L778" s="135" t="str">
        <f t="shared" si="47"/>
        <v>Gerbillus simoni</v>
      </c>
      <c r="M778" s="133">
        <f t="shared" si="46"/>
        <v>1.2405492482825997</v>
      </c>
      <c r="N778" s="133">
        <v>17.399999999999999</v>
      </c>
      <c r="O778" s="179" t="s">
        <v>3356</v>
      </c>
      <c r="P778" s="108">
        <v>128</v>
      </c>
      <c r="Q778" s="80"/>
    </row>
    <row r="779" spans="1:18">
      <c r="A779" s="213" t="s">
        <v>2778</v>
      </c>
      <c r="B779" s="130"/>
      <c r="C779" s="118" t="s">
        <v>3817</v>
      </c>
      <c r="D779" s="141"/>
      <c r="E779" s="118"/>
      <c r="F779" s="118"/>
      <c r="G779" s="118" t="s">
        <v>3618</v>
      </c>
      <c r="H779" s="118" t="s">
        <v>3638</v>
      </c>
      <c r="I779" s="118" t="s">
        <v>4775</v>
      </c>
      <c r="J779" s="118" t="s">
        <v>4302</v>
      </c>
      <c r="K779" s="141"/>
      <c r="L779" s="135" t="str">
        <f t="shared" si="47"/>
        <v>Gerbillus dasyurus</v>
      </c>
      <c r="M779" s="133">
        <f t="shared" si="46"/>
        <v>1.3710700000000002</v>
      </c>
      <c r="N779" s="133">
        <v>23.500115674363677</v>
      </c>
      <c r="O779" s="179" t="s">
        <v>3356</v>
      </c>
      <c r="P779" s="108">
        <v>64</v>
      </c>
    </row>
    <row r="780" spans="1:18" ht="24" customHeight="1">
      <c r="A780" s="213" t="s">
        <v>2778</v>
      </c>
      <c r="B780" s="130"/>
      <c r="C780" s="118" t="s">
        <v>3817</v>
      </c>
      <c r="D780" s="141"/>
      <c r="E780" s="118"/>
      <c r="F780" s="118"/>
      <c r="G780" s="118" t="s">
        <v>3618</v>
      </c>
      <c r="H780" s="118" t="s">
        <v>3638</v>
      </c>
      <c r="I780" s="118" t="s">
        <v>4775</v>
      </c>
      <c r="J780" s="118" t="s">
        <v>3625</v>
      </c>
      <c r="K780" s="141"/>
      <c r="L780" s="135" t="str">
        <f t="shared" si="47"/>
        <v>Gerbillus gerbillus</v>
      </c>
      <c r="M780" s="133">
        <f t="shared" si="46"/>
        <v>1.3985898416898659</v>
      </c>
      <c r="N780" s="133">
        <f>AVERAGE(34.6497415828929, 24.2, 22.1, 19.2)</f>
        <v>25.037435395723225</v>
      </c>
      <c r="O780" s="179" t="s">
        <v>3356</v>
      </c>
      <c r="P780" s="108" t="s">
        <v>6644</v>
      </c>
    </row>
    <row r="781" spans="1:18">
      <c r="A781" s="213" t="s">
        <v>2778</v>
      </c>
      <c r="B781" s="130"/>
      <c r="C781" s="118" t="s">
        <v>3817</v>
      </c>
      <c r="D781" s="141"/>
      <c r="E781" s="118"/>
      <c r="F781" s="118"/>
      <c r="G781" s="118" t="s">
        <v>3618</v>
      </c>
      <c r="H781" s="118" t="s">
        <v>3638</v>
      </c>
      <c r="I781" s="118" t="s">
        <v>4775</v>
      </c>
      <c r="J781" s="118" t="s">
        <v>2177</v>
      </c>
      <c r="K781" s="141"/>
      <c r="L781" s="135" t="str">
        <f t="shared" si="47"/>
        <v>Gerbillus nanus</v>
      </c>
      <c r="M781" s="133">
        <f t="shared" si="46"/>
        <v>1.4065400000000001</v>
      </c>
      <c r="N781" s="133">
        <v>25.499989405656549</v>
      </c>
      <c r="O781" s="179" t="s">
        <v>3356</v>
      </c>
      <c r="P781" s="108">
        <v>60</v>
      </c>
    </row>
    <row r="782" spans="1:18">
      <c r="A782" s="213" t="s">
        <v>2778</v>
      </c>
      <c r="B782" s="130"/>
      <c r="C782" s="118" t="s">
        <v>3817</v>
      </c>
      <c r="D782" s="141"/>
      <c r="E782" s="118"/>
      <c r="F782" s="118"/>
      <c r="G782" s="118" t="s">
        <v>3618</v>
      </c>
      <c r="H782" s="118" t="s">
        <v>3638</v>
      </c>
      <c r="I782" s="118" t="s">
        <v>4775</v>
      </c>
      <c r="J782" s="118" t="s">
        <v>4402</v>
      </c>
      <c r="K782" s="141"/>
      <c r="L782" s="135" t="str">
        <f t="shared" si="47"/>
        <v>Gerbillus andersoni</v>
      </c>
      <c r="M782" s="133">
        <f t="shared" si="46"/>
        <v>1.4292130553489992</v>
      </c>
      <c r="N782" s="133">
        <f>AVERAGE(21.9998641983517, 28.6, 30)</f>
        <v>26.866621399450565</v>
      </c>
      <c r="O782" s="182" t="s">
        <v>3356</v>
      </c>
      <c r="P782" s="111" t="s">
        <v>6644</v>
      </c>
    </row>
    <row r="783" spans="1:18">
      <c r="A783" s="213" t="s">
        <v>2778</v>
      </c>
      <c r="B783" s="130"/>
      <c r="C783" s="118" t="s">
        <v>3817</v>
      </c>
      <c r="D783" s="141"/>
      <c r="E783" s="118"/>
      <c r="F783" s="118"/>
      <c r="G783" s="118" t="s">
        <v>3618</v>
      </c>
      <c r="H783" s="118" t="s">
        <v>3638</v>
      </c>
      <c r="I783" s="118" t="s">
        <v>4775</v>
      </c>
      <c r="J783" s="118" t="s">
        <v>3628</v>
      </c>
      <c r="K783" s="141"/>
      <c r="L783" s="135" t="str">
        <f t="shared" si="47"/>
        <v>Gerbillus campestris</v>
      </c>
      <c r="M783" s="133">
        <f t="shared" si="46"/>
        <v>1.4537004733597723</v>
      </c>
      <c r="N783" s="133">
        <f>AVERAGE(29.2, 34.1, 24, 26.4)</f>
        <v>28.424999999999997</v>
      </c>
      <c r="O783" s="179" t="s">
        <v>3356</v>
      </c>
      <c r="P783" s="108">
        <v>128</v>
      </c>
    </row>
    <row r="784" spans="1:18">
      <c r="A784" s="213" t="s">
        <v>2778</v>
      </c>
      <c r="B784" s="130"/>
      <c r="C784" s="118" t="s">
        <v>3817</v>
      </c>
      <c r="D784" s="141"/>
      <c r="E784" s="118"/>
      <c r="F784" s="118"/>
      <c r="G784" s="118" t="s">
        <v>3618</v>
      </c>
      <c r="H784" s="118" t="s">
        <v>3638</v>
      </c>
      <c r="I784" s="118" t="s">
        <v>4775</v>
      </c>
      <c r="J784" s="118" t="s">
        <v>4165</v>
      </c>
      <c r="K784" s="141"/>
      <c r="L784" s="135" t="str">
        <f t="shared" si="47"/>
        <v>Gerbillus nigeriae</v>
      </c>
      <c r="M784" s="133">
        <f t="shared" si="46"/>
        <v>1.4727600000000001</v>
      </c>
      <c r="N784" s="133">
        <v>29.700242820745554</v>
      </c>
      <c r="O784" s="179" t="s">
        <v>3356</v>
      </c>
      <c r="P784" s="108">
        <v>60</v>
      </c>
    </row>
    <row r="785" spans="1:18">
      <c r="A785" s="213" t="s">
        <v>2778</v>
      </c>
      <c r="B785" s="130"/>
      <c r="C785" s="118" t="s">
        <v>3817</v>
      </c>
      <c r="D785" s="141"/>
      <c r="E785" s="118"/>
      <c r="F785" s="118"/>
      <c r="G785" s="118" t="s">
        <v>3618</v>
      </c>
      <c r="H785" s="118" t="s">
        <v>3638</v>
      </c>
      <c r="I785" s="118" t="s">
        <v>4775</v>
      </c>
      <c r="J785" s="118" t="s">
        <v>5681</v>
      </c>
      <c r="K785" s="141"/>
      <c r="L785" s="135" t="str">
        <f t="shared" si="47"/>
        <v>Gerbillus perpallidus</v>
      </c>
      <c r="M785" s="133">
        <f t="shared" si="46"/>
        <v>1.5599066250361124</v>
      </c>
      <c r="N785" s="133">
        <v>36.299999999999997</v>
      </c>
      <c r="O785" s="179" t="s">
        <v>6736</v>
      </c>
      <c r="P785" s="108">
        <v>128</v>
      </c>
    </row>
    <row r="786" spans="1:18">
      <c r="A786" s="213" t="s">
        <v>2778</v>
      </c>
      <c r="B786" s="141" t="s">
        <v>2737</v>
      </c>
      <c r="C786" s="118" t="s">
        <v>3817</v>
      </c>
      <c r="D786" s="141"/>
      <c r="E786" s="118"/>
      <c r="F786" s="118"/>
      <c r="G786" s="118" t="s">
        <v>3618</v>
      </c>
      <c r="H786" s="118" t="s">
        <v>3638</v>
      </c>
      <c r="I786" s="118" t="s">
        <v>4775</v>
      </c>
      <c r="J786" s="118" t="s">
        <v>6806</v>
      </c>
      <c r="K786" s="141"/>
      <c r="L786" s="135" t="str">
        <f t="shared" si="47"/>
        <v>Gerbillus latastei</v>
      </c>
      <c r="M786" s="133">
        <f t="shared" si="46"/>
        <v>1.5971464878336954</v>
      </c>
      <c r="N786" s="133">
        <f>AVERAGE(42.2, 36.9)</f>
        <v>39.549999999999997</v>
      </c>
      <c r="O786" s="179" t="s">
        <v>3356</v>
      </c>
      <c r="P786" s="108">
        <v>205</v>
      </c>
      <c r="Q786" s="80"/>
    </row>
    <row r="787" spans="1:18">
      <c r="A787" s="213" t="s">
        <v>2778</v>
      </c>
      <c r="B787" s="130"/>
      <c r="C787" s="118" t="s">
        <v>3817</v>
      </c>
      <c r="D787" s="141"/>
      <c r="E787" s="118"/>
      <c r="F787" s="118"/>
      <c r="G787" s="118" t="s">
        <v>3618</v>
      </c>
      <c r="H787" s="118" t="s">
        <v>3638</v>
      </c>
      <c r="I787" s="118" t="s">
        <v>4775</v>
      </c>
      <c r="J787" s="118" t="s">
        <v>3627</v>
      </c>
      <c r="K787" s="141"/>
      <c r="L787" s="135" t="str">
        <f t="shared" si="47"/>
        <v>Gerbillus pyramidum</v>
      </c>
      <c r="M787" s="133">
        <f t="shared" si="46"/>
        <v>1.6654629943143242</v>
      </c>
      <c r="N787" s="133">
        <f>AVERAGE(40.8996884671792, 54.1, 53.2, 36.95)</f>
        <v>46.287422116794801</v>
      </c>
      <c r="O787" s="179" t="s">
        <v>3356</v>
      </c>
      <c r="P787" s="108" t="s">
        <v>201</v>
      </c>
    </row>
    <row r="788" spans="1:18">
      <c r="A788" s="213" t="s">
        <v>2778</v>
      </c>
      <c r="B788" s="141" t="s">
        <v>6281</v>
      </c>
      <c r="C788" s="118" t="s">
        <v>3817</v>
      </c>
      <c r="D788" s="141"/>
      <c r="E788" s="118"/>
      <c r="F788" s="118"/>
      <c r="G788" s="118" t="s">
        <v>3618</v>
      </c>
      <c r="H788" s="118" t="s">
        <v>3638</v>
      </c>
      <c r="I788" s="118" t="s">
        <v>3402</v>
      </c>
      <c r="J788" s="118" t="s">
        <v>6456</v>
      </c>
      <c r="K788" s="141"/>
      <c r="L788" s="135" t="str">
        <f t="shared" si="47"/>
        <v>Grammomys aridulus</v>
      </c>
      <c r="M788" s="133">
        <v>-999</v>
      </c>
      <c r="N788" s="133">
        <v>-999</v>
      </c>
      <c r="O788" s="179" t="s">
        <v>3356</v>
      </c>
      <c r="P788" s="108">
        <v>-999</v>
      </c>
      <c r="Q788" s="80"/>
    </row>
    <row r="789" spans="1:18">
      <c r="A789" s="213" t="s">
        <v>2778</v>
      </c>
      <c r="B789" s="130"/>
      <c r="C789" s="118" t="s">
        <v>3817</v>
      </c>
      <c r="D789" s="141"/>
      <c r="E789" s="118"/>
      <c r="F789" s="118"/>
      <c r="G789" s="118" t="s">
        <v>3618</v>
      </c>
      <c r="H789" s="118" t="s">
        <v>3638</v>
      </c>
      <c r="I789" s="118" t="s">
        <v>3402</v>
      </c>
      <c r="J789" s="118" t="s">
        <v>6745</v>
      </c>
      <c r="K789" s="141"/>
      <c r="L789" s="135" t="str">
        <f t="shared" si="47"/>
        <v>Grammomys buntingi</v>
      </c>
      <c r="M789" s="133">
        <v>-999</v>
      </c>
      <c r="N789" s="133">
        <v>-999</v>
      </c>
      <c r="O789" s="179" t="s">
        <v>3356</v>
      </c>
      <c r="P789" s="108">
        <v>-999</v>
      </c>
      <c r="Q789" s="80"/>
    </row>
    <row r="790" spans="1:18">
      <c r="A790" s="213" t="s">
        <v>2778</v>
      </c>
      <c r="B790" s="141" t="s">
        <v>6282</v>
      </c>
      <c r="C790" s="118" t="s">
        <v>3817</v>
      </c>
      <c r="D790" s="141"/>
      <c r="E790" s="118"/>
      <c r="F790" s="118"/>
      <c r="G790" s="118" t="s">
        <v>3618</v>
      </c>
      <c r="H790" s="118" t="s">
        <v>3638</v>
      </c>
      <c r="I790" s="118" t="s">
        <v>3402</v>
      </c>
      <c r="J790" s="118" t="s">
        <v>3526</v>
      </c>
      <c r="K790" s="141"/>
      <c r="L790" s="135" t="str">
        <f t="shared" si="47"/>
        <v>Grammomys caniceps</v>
      </c>
      <c r="M790" s="133">
        <v>-999</v>
      </c>
      <c r="N790" s="133">
        <v>-999</v>
      </c>
      <c r="O790" s="179" t="s">
        <v>3356</v>
      </c>
      <c r="P790" s="108">
        <v>-999</v>
      </c>
      <c r="Q790" s="80"/>
    </row>
    <row r="791" spans="1:18" ht="25.5">
      <c r="A791" s="213" t="s">
        <v>2778</v>
      </c>
      <c r="B791" s="141" t="s">
        <v>2304</v>
      </c>
      <c r="C791" s="118" t="s">
        <v>3817</v>
      </c>
      <c r="D791" s="141"/>
      <c r="E791" s="118"/>
      <c r="F791" s="118"/>
      <c r="G791" s="118" t="s">
        <v>3618</v>
      </c>
      <c r="H791" s="118" t="s">
        <v>3638</v>
      </c>
      <c r="I791" s="118" t="s">
        <v>3402</v>
      </c>
      <c r="J791" s="118" t="s">
        <v>4400</v>
      </c>
      <c r="K791" s="141"/>
      <c r="L791" s="135" t="str">
        <f t="shared" si="47"/>
        <v>Grammomys dryas</v>
      </c>
      <c r="M791" s="133">
        <v>-999</v>
      </c>
      <c r="N791" s="133">
        <v>-999</v>
      </c>
      <c r="O791" s="179" t="s">
        <v>3356</v>
      </c>
      <c r="P791" s="108">
        <v>-999</v>
      </c>
      <c r="Q791" s="80"/>
    </row>
    <row r="792" spans="1:18">
      <c r="A792" s="213" t="s">
        <v>2778</v>
      </c>
      <c r="B792" s="141" t="s">
        <v>2878</v>
      </c>
      <c r="C792" s="118" t="s">
        <v>3817</v>
      </c>
      <c r="D792" s="141"/>
      <c r="E792" s="118"/>
      <c r="F792" s="118"/>
      <c r="G792" s="118" t="s">
        <v>3618</v>
      </c>
      <c r="H792" s="118" t="s">
        <v>3638</v>
      </c>
      <c r="I792" s="118" t="s">
        <v>3402</v>
      </c>
      <c r="J792" s="118" t="s">
        <v>7405</v>
      </c>
      <c r="K792" s="141"/>
      <c r="L792" s="135" t="str">
        <f t="shared" si="47"/>
        <v>Grammomys gigas</v>
      </c>
      <c r="M792" s="133">
        <v>-999</v>
      </c>
      <c r="N792" s="133">
        <v>-999</v>
      </c>
      <c r="O792" s="179" t="s">
        <v>6641</v>
      </c>
      <c r="P792" s="108">
        <v>-999</v>
      </c>
      <c r="Q792" s="80" t="s">
        <v>6640</v>
      </c>
    </row>
    <row r="793" spans="1:18" ht="15" customHeight="1">
      <c r="A793" s="213" t="s">
        <v>2778</v>
      </c>
      <c r="B793" s="130"/>
      <c r="C793" s="118" t="s">
        <v>3817</v>
      </c>
      <c r="D793" s="141"/>
      <c r="E793" s="118"/>
      <c r="F793" s="118"/>
      <c r="G793" s="118" t="s">
        <v>3618</v>
      </c>
      <c r="H793" s="118" t="s">
        <v>3638</v>
      </c>
      <c r="I793" s="118" t="s">
        <v>3402</v>
      </c>
      <c r="J793" s="118" t="s">
        <v>3418</v>
      </c>
      <c r="K793" s="141"/>
      <c r="L793" s="135" t="str">
        <f t="shared" si="47"/>
        <v>Grammomys minnae</v>
      </c>
      <c r="M793" s="133">
        <f t="shared" ref="M793:M799" si="48">LOG(N793)</f>
        <v>1.5563</v>
      </c>
      <c r="N793" s="133">
        <v>35.999792704335675</v>
      </c>
      <c r="O793" s="179" t="s">
        <v>6882</v>
      </c>
      <c r="P793" s="108">
        <v>60</v>
      </c>
      <c r="Q793" s="90" t="s">
        <v>6642</v>
      </c>
    </row>
    <row r="794" spans="1:18">
      <c r="A794" s="213" t="s">
        <v>2778</v>
      </c>
      <c r="B794" s="130"/>
      <c r="C794" s="118" t="s">
        <v>3817</v>
      </c>
      <c r="D794" s="141"/>
      <c r="E794" s="118"/>
      <c r="F794" s="118"/>
      <c r="G794" s="118" t="s">
        <v>3618</v>
      </c>
      <c r="H794" s="118" t="s">
        <v>3638</v>
      </c>
      <c r="I794" s="118" t="s">
        <v>3402</v>
      </c>
      <c r="J794" s="118" t="s">
        <v>7052</v>
      </c>
      <c r="K794" s="141"/>
      <c r="L794" s="135" t="str">
        <f t="shared" si="47"/>
        <v>Grammomys macmillani</v>
      </c>
      <c r="M794" s="133">
        <f t="shared" si="48"/>
        <v>1.5563025007672873</v>
      </c>
      <c r="N794" s="133">
        <v>36</v>
      </c>
      <c r="O794" s="179" t="s">
        <v>3356</v>
      </c>
      <c r="P794" s="108">
        <v>125</v>
      </c>
      <c r="Q794" s="80"/>
    </row>
    <row r="795" spans="1:18" ht="25.5">
      <c r="A795" s="213" t="s">
        <v>2778</v>
      </c>
      <c r="B795" s="130"/>
      <c r="C795" s="118" t="s">
        <v>3817</v>
      </c>
      <c r="D795" s="141"/>
      <c r="E795" s="118"/>
      <c r="F795" s="118"/>
      <c r="G795" s="118" t="s">
        <v>3618</v>
      </c>
      <c r="H795" s="118" t="s">
        <v>3638</v>
      </c>
      <c r="I795" s="118" t="s">
        <v>3402</v>
      </c>
      <c r="J795" s="118" t="s">
        <v>3621</v>
      </c>
      <c r="K795" s="141"/>
      <c r="L795" s="135" t="str">
        <f t="shared" si="47"/>
        <v>Grammomys dolichurus</v>
      </c>
      <c r="M795" s="133">
        <f t="shared" si="48"/>
        <v>1.614633607841792</v>
      </c>
      <c r="N795" s="133">
        <f>AVERAGE(41.1, 38.6, 43, 42)</f>
        <v>41.174999999999997</v>
      </c>
      <c r="O795" s="179" t="s">
        <v>1515</v>
      </c>
      <c r="P795" s="108" t="s">
        <v>1843</v>
      </c>
    </row>
    <row r="796" spans="1:18" ht="38.25">
      <c r="A796" s="213" t="s">
        <v>2778</v>
      </c>
      <c r="B796" s="141" t="s">
        <v>5984</v>
      </c>
      <c r="C796" s="118" t="s">
        <v>3817</v>
      </c>
      <c r="D796" s="141"/>
      <c r="E796" s="118"/>
      <c r="F796" s="118"/>
      <c r="G796" s="118" t="s">
        <v>3618</v>
      </c>
      <c r="H796" s="118" t="s">
        <v>3638</v>
      </c>
      <c r="I796" s="118" t="s">
        <v>3402</v>
      </c>
      <c r="J796" s="118" t="s">
        <v>8129</v>
      </c>
      <c r="K796" s="141"/>
      <c r="L796" s="135" t="str">
        <f t="shared" si="47"/>
        <v>Grammomys ibeanus</v>
      </c>
      <c r="M796" s="133">
        <f t="shared" si="48"/>
        <v>1.6148972160331345</v>
      </c>
      <c r="N796" s="133">
        <v>41.2</v>
      </c>
      <c r="O796" s="179" t="s">
        <v>3356</v>
      </c>
      <c r="P796" s="108">
        <v>125</v>
      </c>
      <c r="Q796" s="80"/>
    </row>
    <row r="797" spans="1:18">
      <c r="A797" s="213" t="s">
        <v>2778</v>
      </c>
      <c r="B797" s="130"/>
      <c r="C797" s="118" t="s">
        <v>3817</v>
      </c>
      <c r="D797" s="141"/>
      <c r="E797" s="118"/>
      <c r="F797" s="118"/>
      <c r="G797" s="118" t="s">
        <v>3618</v>
      </c>
      <c r="H797" s="118" t="s">
        <v>3638</v>
      </c>
      <c r="I797" s="118" t="s">
        <v>3402</v>
      </c>
      <c r="J797" s="118" t="s">
        <v>6746</v>
      </c>
      <c r="K797" s="141"/>
      <c r="L797" s="135" t="str">
        <f t="shared" si="47"/>
        <v>Grammomys cometes</v>
      </c>
      <c r="M797" s="133">
        <f t="shared" si="48"/>
        <v>1.6857417386022637</v>
      </c>
      <c r="N797" s="133">
        <f>AVERAGE(52, 45)</f>
        <v>48.5</v>
      </c>
      <c r="O797" s="179" t="s">
        <v>3356</v>
      </c>
      <c r="P797" s="108" t="s">
        <v>1842</v>
      </c>
    </row>
    <row r="798" spans="1:18" ht="12" customHeight="1">
      <c r="A798" s="213" t="s">
        <v>2778</v>
      </c>
      <c r="B798" s="130"/>
      <c r="C798" s="118" t="s">
        <v>3817</v>
      </c>
      <c r="D798" s="141"/>
      <c r="E798" s="118"/>
      <c r="F798" s="118"/>
      <c r="G798" s="118" t="s">
        <v>3618</v>
      </c>
      <c r="H798" s="118" t="s">
        <v>3638</v>
      </c>
      <c r="I798" s="118" t="s">
        <v>3402</v>
      </c>
      <c r="J798" s="118" t="s">
        <v>3419</v>
      </c>
      <c r="K798" s="141"/>
      <c r="L798" s="135" t="str">
        <f t="shared" si="47"/>
        <v>Grammomys rutilans</v>
      </c>
      <c r="M798" s="133">
        <f t="shared" si="48"/>
        <v>1.7160033436347992</v>
      </c>
      <c r="N798" s="133">
        <v>52</v>
      </c>
      <c r="O798" s="179" t="s">
        <v>3356</v>
      </c>
      <c r="P798" s="115">
        <v>130</v>
      </c>
      <c r="R798" s="89" t="s">
        <v>1556</v>
      </c>
    </row>
    <row r="799" spans="1:18" ht="15" customHeight="1">
      <c r="A799" s="213" t="s">
        <v>2778</v>
      </c>
      <c r="B799" s="130"/>
      <c r="C799" s="118" t="s">
        <v>3817</v>
      </c>
      <c r="D799" s="141"/>
      <c r="E799" s="118"/>
      <c r="F799" s="118"/>
      <c r="G799" s="118" t="s">
        <v>3618</v>
      </c>
      <c r="H799" s="118" t="s">
        <v>3638</v>
      </c>
      <c r="I799" s="118" t="s">
        <v>3420</v>
      </c>
      <c r="J799" s="118" t="s">
        <v>3343</v>
      </c>
      <c r="K799" s="141"/>
      <c r="L799" s="135" t="str">
        <f t="shared" si="47"/>
        <v>Heimyscus fumosus</v>
      </c>
      <c r="M799" s="133">
        <f t="shared" si="48"/>
        <v>1.15381</v>
      </c>
      <c r="N799" s="133">
        <v>14.249840392811253</v>
      </c>
      <c r="O799" s="179" t="s">
        <v>3356</v>
      </c>
      <c r="P799" s="108">
        <v>56</v>
      </c>
    </row>
    <row r="800" spans="1:18">
      <c r="A800" s="213" t="s">
        <v>2778</v>
      </c>
      <c r="B800" s="141" t="s">
        <v>2615</v>
      </c>
      <c r="C800" s="118" t="s">
        <v>3817</v>
      </c>
      <c r="D800" s="141"/>
      <c r="E800" s="118"/>
      <c r="F800" s="118"/>
      <c r="G800" s="118" t="s">
        <v>3618</v>
      </c>
      <c r="H800" s="118" t="s">
        <v>3638</v>
      </c>
      <c r="I800" s="118" t="s">
        <v>3421</v>
      </c>
      <c r="J800" s="118" t="s">
        <v>7450</v>
      </c>
      <c r="K800" s="141"/>
      <c r="L800" s="135" t="str">
        <f t="shared" si="47"/>
        <v>Hybomys eisentrauti</v>
      </c>
      <c r="M800" s="133">
        <v>-999</v>
      </c>
      <c r="N800" s="133">
        <v>-999</v>
      </c>
      <c r="O800" s="179" t="s">
        <v>6882</v>
      </c>
      <c r="P800" s="108">
        <v>-999</v>
      </c>
      <c r="Q800" s="80" t="s">
        <v>6640</v>
      </c>
    </row>
    <row r="801" spans="1:22" ht="24" customHeight="1">
      <c r="A801" s="213" t="s">
        <v>2778</v>
      </c>
      <c r="B801" s="141" t="s">
        <v>1465</v>
      </c>
      <c r="C801" s="118" t="s">
        <v>3817</v>
      </c>
      <c r="D801" s="141"/>
      <c r="E801" s="118"/>
      <c r="F801" s="118"/>
      <c r="G801" s="118" t="s">
        <v>3618</v>
      </c>
      <c r="H801" s="118" t="s">
        <v>3638</v>
      </c>
      <c r="I801" s="118" t="s">
        <v>3421</v>
      </c>
      <c r="J801" s="118" t="s">
        <v>7137</v>
      </c>
      <c r="K801" s="141"/>
      <c r="L801" s="135" t="str">
        <f t="shared" si="47"/>
        <v>Hybomys lunaris</v>
      </c>
      <c r="M801" s="133">
        <v>-999</v>
      </c>
      <c r="N801" s="133">
        <v>-999</v>
      </c>
      <c r="O801" s="179" t="s">
        <v>3356</v>
      </c>
      <c r="P801" s="108">
        <v>-999</v>
      </c>
      <c r="Q801" s="80"/>
    </row>
    <row r="802" spans="1:22">
      <c r="A802" s="213" t="s">
        <v>2778</v>
      </c>
      <c r="B802" s="130"/>
      <c r="C802" s="118" t="s">
        <v>3817</v>
      </c>
      <c r="D802" s="141"/>
      <c r="E802" s="118"/>
      <c r="F802" s="118"/>
      <c r="G802" s="118" t="s">
        <v>3618</v>
      </c>
      <c r="H802" s="118" t="s">
        <v>3638</v>
      </c>
      <c r="I802" s="118" t="s">
        <v>3421</v>
      </c>
      <c r="J802" s="118" t="s">
        <v>4155</v>
      </c>
      <c r="K802" s="141"/>
      <c r="L802" s="135" t="str">
        <f t="shared" si="47"/>
        <v>Hybomys univittatus</v>
      </c>
      <c r="M802" s="133">
        <f>LOG(N802)</f>
        <v>1.6776069527204931</v>
      </c>
      <c r="N802" s="133">
        <f>AVERAGE(47.9, 47.3)</f>
        <v>47.599999999999994</v>
      </c>
      <c r="O802" s="179" t="s">
        <v>1518</v>
      </c>
      <c r="P802" s="108">
        <v>135</v>
      </c>
    </row>
    <row r="803" spans="1:22" ht="15.75">
      <c r="A803" s="213" t="s">
        <v>2778</v>
      </c>
      <c r="B803" s="130"/>
      <c r="C803" s="118" t="s">
        <v>3817</v>
      </c>
      <c r="D803" s="141"/>
      <c r="E803" s="118"/>
      <c r="F803" s="118"/>
      <c r="G803" s="118" t="s">
        <v>3618</v>
      </c>
      <c r="H803" s="118" t="s">
        <v>3638</v>
      </c>
      <c r="I803" s="118" t="s">
        <v>3421</v>
      </c>
      <c r="J803" s="118" t="s">
        <v>4154</v>
      </c>
      <c r="K803" s="141"/>
      <c r="L803" s="135" t="str">
        <f t="shared" si="47"/>
        <v>Hybomys planifrons</v>
      </c>
      <c r="M803" s="133">
        <f>LOG(N803)</f>
        <v>1.6954800000000003</v>
      </c>
      <c r="N803" s="133">
        <v>49.599808531407263</v>
      </c>
      <c r="O803" s="179" t="s">
        <v>3356</v>
      </c>
      <c r="P803" s="108">
        <v>60</v>
      </c>
      <c r="R803" s="89"/>
    </row>
    <row r="804" spans="1:22">
      <c r="A804" s="213" t="s">
        <v>2778</v>
      </c>
      <c r="B804" s="130"/>
      <c r="C804" s="118" t="s">
        <v>3817</v>
      </c>
      <c r="D804" s="141"/>
      <c r="E804" s="118"/>
      <c r="F804" s="118"/>
      <c r="G804" s="118" t="s">
        <v>3618</v>
      </c>
      <c r="H804" s="118" t="s">
        <v>3638</v>
      </c>
      <c r="I804" s="118" t="s">
        <v>3421</v>
      </c>
      <c r="J804" s="118" t="s">
        <v>4636</v>
      </c>
      <c r="K804" s="141"/>
      <c r="L804" s="135" t="str">
        <f t="shared" si="47"/>
        <v>Hybomys trivirgatus</v>
      </c>
      <c r="M804" s="133">
        <f>LOG(N804)</f>
        <v>1.7551106092458892</v>
      </c>
      <c r="N804" s="133">
        <f>AVERAGE(63, 50.7995657710955)</f>
        <v>56.899782885547751</v>
      </c>
      <c r="O804" s="179" t="s">
        <v>3356</v>
      </c>
      <c r="P804" s="108" t="s">
        <v>6637</v>
      </c>
      <c r="R804" s="85" t="s">
        <v>1550</v>
      </c>
    </row>
    <row r="805" spans="1:22">
      <c r="A805" s="213" t="s">
        <v>2778</v>
      </c>
      <c r="B805" s="141" t="s">
        <v>1467</v>
      </c>
      <c r="C805" s="118" t="s">
        <v>3817</v>
      </c>
      <c r="D805" s="141"/>
      <c r="E805" s="118"/>
      <c r="F805" s="118"/>
      <c r="G805" s="118" t="s">
        <v>3618</v>
      </c>
      <c r="H805" s="118" t="s">
        <v>3638</v>
      </c>
      <c r="I805" s="118" t="s">
        <v>4156</v>
      </c>
      <c r="J805" s="118" t="s">
        <v>6765</v>
      </c>
      <c r="K805" s="141"/>
      <c r="L805" s="135" t="str">
        <f t="shared" si="47"/>
        <v>Hylomyscus baeri</v>
      </c>
      <c r="M805" s="133">
        <v>-999</v>
      </c>
      <c r="N805" s="133">
        <v>-999</v>
      </c>
      <c r="O805" s="179" t="s">
        <v>3356</v>
      </c>
      <c r="P805" s="108">
        <v>-999</v>
      </c>
      <c r="Q805" s="80"/>
    </row>
    <row r="806" spans="1:22">
      <c r="A806" s="213" t="s">
        <v>2778</v>
      </c>
      <c r="B806" s="141" t="s">
        <v>1468</v>
      </c>
      <c r="C806" s="118" t="s">
        <v>3817</v>
      </c>
      <c r="D806" s="141"/>
      <c r="E806" s="118"/>
      <c r="F806" s="118"/>
      <c r="G806" s="118" t="s">
        <v>3618</v>
      </c>
      <c r="H806" s="118" t="s">
        <v>3638</v>
      </c>
      <c r="I806" s="118" t="s">
        <v>4156</v>
      </c>
      <c r="J806" s="118" t="s">
        <v>6618</v>
      </c>
      <c r="K806" s="141"/>
      <c r="L806" s="135" t="str">
        <f t="shared" si="47"/>
        <v>Hylomyscus carillus</v>
      </c>
      <c r="M806" s="133">
        <v>-999</v>
      </c>
      <c r="N806" s="133">
        <v>-999</v>
      </c>
      <c r="O806" s="179" t="s">
        <v>3356</v>
      </c>
      <c r="P806" s="108">
        <v>-999</v>
      </c>
      <c r="Q806" s="80"/>
    </row>
    <row r="807" spans="1:22" ht="38.25">
      <c r="A807" s="213" t="s">
        <v>2778</v>
      </c>
      <c r="B807" s="141" t="s">
        <v>1199</v>
      </c>
      <c r="C807" s="121" t="s">
        <v>3817</v>
      </c>
      <c r="D807" s="156"/>
      <c r="E807" s="121"/>
      <c r="F807" s="121"/>
      <c r="G807" s="121" t="s">
        <v>3618</v>
      </c>
      <c r="H807" s="118" t="s">
        <v>3638</v>
      </c>
      <c r="I807" s="121" t="s">
        <v>4156</v>
      </c>
      <c r="J807" s="121" t="s">
        <v>7332</v>
      </c>
      <c r="K807" s="156"/>
      <c r="L807" s="135" t="str">
        <f t="shared" si="47"/>
        <v>Hylomyscus parvus</v>
      </c>
      <c r="M807" s="133">
        <f>LOG(N807)</f>
        <v>1.1613034446092956</v>
      </c>
      <c r="N807" s="164">
        <v>14.497844743508129</v>
      </c>
      <c r="O807" s="179" t="s">
        <v>3356</v>
      </c>
      <c r="P807" s="108" t="s">
        <v>1827</v>
      </c>
      <c r="Q807" s="80"/>
    </row>
    <row r="808" spans="1:22">
      <c r="A808" s="213" t="s">
        <v>2778</v>
      </c>
      <c r="B808" s="130"/>
      <c r="C808" s="118" t="s">
        <v>3817</v>
      </c>
      <c r="D808" s="141"/>
      <c r="E808" s="118"/>
      <c r="F808" s="118"/>
      <c r="G808" s="118" t="s">
        <v>3618</v>
      </c>
      <c r="H808" s="118" t="s">
        <v>3638</v>
      </c>
      <c r="I808" s="118" t="s">
        <v>4156</v>
      </c>
      <c r="J808" s="118" t="s">
        <v>4087</v>
      </c>
      <c r="K808" s="141"/>
      <c r="L808" s="135" t="str">
        <f t="shared" si="47"/>
        <v>Hylomyscus alleni</v>
      </c>
      <c r="M808" s="133">
        <f>LOG(N808)</f>
        <v>1.2999429000227669</v>
      </c>
      <c r="N808" s="133">
        <f>AVERAGE(21, 18.9)</f>
        <v>19.95</v>
      </c>
      <c r="O808" s="179" t="s">
        <v>3356</v>
      </c>
      <c r="P808" s="108">
        <v>135</v>
      </c>
    </row>
    <row r="809" spans="1:22">
      <c r="A809" s="213" t="s">
        <v>2778</v>
      </c>
      <c r="B809" s="130"/>
      <c r="C809" s="118" t="s">
        <v>3817</v>
      </c>
      <c r="D809" s="141"/>
      <c r="E809" s="118"/>
      <c r="F809" s="118"/>
      <c r="G809" s="118" t="s">
        <v>3618</v>
      </c>
      <c r="H809" s="118" t="s">
        <v>3638</v>
      </c>
      <c r="I809" s="118" t="s">
        <v>4156</v>
      </c>
      <c r="J809" s="118" t="s">
        <v>4157</v>
      </c>
      <c r="K809" s="141"/>
      <c r="L809" s="135" t="str">
        <f t="shared" si="47"/>
        <v>Hylomyscus aeta</v>
      </c>
      <c r="M809" s="133">
        <f>LOG(N809)</f>
        <v>1.3010300000000001</v>
      </c>
      <c r="N809" s="133">
        <v>20.000000199681054</v>
      </c>
      <c r="O809" s="179" t="s">
        <v>3356</v>
      </c>
      <c r="P809" s="115">
        <v>-999</v>
      </c>
    </row>
    <row r="810" spans="1:22">
      <c r="A810" s="213" t="s">
        <v>2778</v>
      </c>
      <c r="B810" s="130"/>
      <c r="C810" s="118" t="s">
        <v>3817</v>
      </c>
      <c r="D810" s="141"/>
      <c r="E810" s="118"/>
      <c r="F810" s="118"/>
      <c r="G810" s="118" t="s">
        <v>3618</v>
      </c>
      <c r="H810" s="118" t="s">
        <v>3638</v>
      </c>
      <c r="I810" s="118" t="s">
        <v>4156</v>
      </c>
      <c r="J810" s="118" t="s">
        <v>8265</v>
      </c>
      <c r="K810" s="141"/>
      <c r="L810" s="135" t="str">
        <f t="shared" si="47"/>
        <v>Hylomyscus stella</v>
      </c>
      <c r="M810" s="133">
        <f>LOG(N810)</f>
        <v>1.3021127731082949</v>
      </c>
      <c r="N810" s="133">
        <f>AVERAGE(19.0998519111226, 21)</f>
        <v>20.049925955561299</v>
      </c>
      <c r="O810" s="179" t="s">
        <v>3356</v>
      </c>
      <c r="P810" s="108" t="s">
        <v>6637</v>
      </c>
      <c r="R810" s="85" t="s">
        <v>1819</v>
      </c>
    </row>
    <row r="811" spans="1:22" ht="15" customHeight="1">
      <c r="A811" s="213" t="s">
        <v>2778</v>
      </c>
      <c r="B811" s="130"/>
      <c r="C811" s="118" t="s">
        <v>3817</v>
      </c>
      <c r="D811" s="141"/>
      <c r="E811" s="118"/>
      <c r="F811" s="118"/>
      <c r="G811" s="118" t="s">
        <v>3618</v>
      </c>
      <c r="H811" s="118" t="s">
        <v>3638</v>
      </c>
      <c r="I811" s="118" t="s">
        <v>4156</v>
      </c>
      <c r="J811" s="118" t="s">
        <v>4158</v>
      </c>
      <c r="K811" s="141"/>
      <c r="L811" s="135" t="str">
        <f t="shared" si="47"/>
        <v>Hylomyscus denniae</v>
      </c>
      <c r="M811" s="133">
        <f>LOG(N811)</f>
        <v>1.5563025007672873</v>
      </c>
      <c r="N811" s="133">
        <v>36</v>
      </c>
      <c r="O811" s="179" t="s">
        <v>3356</v>
      </c>
      <c r="P811" s="108">
        <v>125</v>
      </c>
    </row>
    <row r="812" spans="1:22" ht="12" customHeight="1">
      <c r="A812" s="213" t="s">
        <v>2778</v>
      </c>
      <c r="B812" s="130" t="s">
        <v>2615</v>
      </c>
      <c r="C812" s="118" t="s">
        <v>3817</v>
      </c>
      <c r="D812" s="141"/>
      <c r="E812" s="118"/>
      <c r="F812" s="118"/>
      <c r="G812" s="118" t="s">
        <v>3618</v>
      </c>
      <c r="H812" s="118" t="s">
        <v>3638</v>
      </c>
      <c r="I812" s="118" t="s">
        <v>4197</v>
      </c>
      <c r="J812" s="118" t="s">
        <v>3989</v>
      </c>
      <c r="K812" s="141"/>
      <c r="L812" s="135" t="str">
        <f t="shared" si="47"/>
        <v>Lamottemys okuensis</v>
      </c>
      <c r="M812" s="133">
        <v>-999</v>
      </c>
      <c r="N812" s="133">
        <v>-999</v>
      </c>
      <c r="O812" s="179" t="s">
        <v>6641</v>
      </c>
      <c r="P812" s="108">
        <v>-999</v>
      </c>
      <c r="Q812" s="80" t="s">
        <v>6640</v>
      </c>
      <c r="R812" s="89"/>
      <c r="U812" s="20"/>
      <c r="V812" s="20"/>
    </row>
    <row r="813" spans="1:22">
      <c r="A813" s="213" t="s">
        <v>2778</v>
      </c>
      <c r="B813" s="141" t="s">
        <v>2288</v>
      </c>
      <c r="C813" s="118" t="s">
        <v>3817</v>
      </c>
      <c r="D813" s="141"/>
      <c r="E813" s="118"/>
      <c r="F813" s="118"/>
      <c r="G813" s="118" t="s">
        <v>3618</v>
      </c>
      <c r="H813" s="118" t="s">
        <v>3638</v>
      </c>
      <c r="I813" s="118" t="s">
        <v>6519</v>
      </c>
      <c r="J813" s="118" t="s">
        <v>3999</v>
      </c>
      <c r="K813" s="141"/>
      <c r="L813" s="135" t="str">
        <f t="shared" si="47"/>
        <v>Lemniscomys bellieri</v>
      </c>
      <c r="M813" s="133">
        <v>-999</v>
      </c>
      <c r="N813" s="133">
        <v>-999</v>
      </c>
      <c r="O813" s="179" t="s">
        <v>6882</v>
      </c>
      <c r="P813" s="108">
        <v>-999</v>
      </c>
      <c r="Q813" s="80" t="s">
        <v>6987</v>
      </c>
      <c r="U813" s="20"/>
      <c r="V813" s="20"/>
    </row>
    <row r="814" spans="1:22">
      <c r="A814" s="213" t="s">
        <v>2778</v>
      </c>
      <c r="B814" s="141" t="s">
        <v>2544</v>
      </c>
      <c r="C814" s="118" t="s">
        <v>3817</v>
      </c>
      <c r="D814" s="141"/>
      <c r="E814" s="118"/>
      <c r="F814" s="118"/>
      <c r="G814" s="118" t="s">
        <v>3618</v>
      </c>
      <c r="H814" s="118" t="s">
        <v>3638</v>
      </c>
      <c r="I814" s="118" t="s">
        <v>6519</v>
      </c>
      <c r="J814" s="118" t="s">
        <v>5342</v>
      </c>
      <c r="K814" s="141"/>
      <c r="L814" s="135" t="str">
        <f t="shared" si="47"/>
        <v>Lemniscomys hoogstraali</v>
      </c>
      <c r="M814" s="133">
        <v>-999</v>
      </c>
      <c r="N814" s="133">
        <v>-999</v>
      </c>
      <c r="O814" s="179" t="s">
        <v>6882</v>
      </c>
      <c r="P814" s="108">
        <v>-999</v>
      </c>
      <c r="Q814" s="80" t="s">
        <v>6987</v>
      </c>
      <c r="U814" s="20"/>
      <c r="V814" s="20"/>
    </row>
    <row r="815" spans="1:22" ht="25.5">
      <c r="A815" s="217" t="s">
        <v>2778</v>
      </c>
      <c r="B815" s="141" t="s">
        <v>2508</v>
      </c>
      <c r="C815" s="118" t="s">
        <v>3817</v>
      </c>
      <c r="D815" s="141"/>
      <c r="E815" s="118"/>
      <c r="F815" s="118"/>
      <c r="G815" s="118" t="s">
        <v>3618</v>
      </c>
      <c r="H815" s="118" t="s">
        <v>3638</v>
      </c>
      <c r="I815" s="118" t="s">
        <v>6519</v>
      </c>
      <c r="J815" s="118" t="s">
        <v>3997</v>
      </c>
      <c r="K815" s="141"/>
      <c r="L815" s="135" t="str">
        <f t="shared" si="47"/>
        <v>Lemniscomys linulus</v>
      </c>
      <c r="M815" s="133">
        <v>-999</v>
      </c>
      <c r="N815" s="133">
        <v>-999</v>
      </c>
      <c r="O815" s="179" t="s">
        <v>3356</v>
      </c>
      <c r="P815" s="108">
        <v>-999</v>
      </c>
      <c r="Q815" s="80" t="s">
        <v>6987</v>
      </c>
      <c r="U815" s="20"/>
      <c r="V815" s="20"/>
    </row>
    <row r="816" spans="1:22">
      <c r="A816" s="213" t="s">
        <v>2778</v>
      </c>
      <c r="B816" s="141" t="s">
        <v>2615</v>
      </c>
      <c r="C816" s="118" t="s">
        <v>3817</v>
      </c>
      <c r="D816" s="141"/>
      <c r="E816" s="118"/>
      <c r="F816" s="118"/>
      <c r="G816" s="118" t="s">
        <v>3618</v>
      </c>
      <c r="H816" s="118" t="s">
        <v>3638</v>
      </c>
      <c r="I816" s="118" t="s">
        <v>6519</v>
      </c>
      <c r="J816" s="118" t="s">
        <v>6482</v>
      </c>
      <c r="K816" s="141"/>
      <c r="L816" s="135" t="str">
        <f t="shared" si="47"/>
        <v>Lemniscomys mittendorfi</v>
      </c>
      <c r="M816" s="133">
        <v>-999</v>
      </c>
      <c r="N816" s="133">
        <v>-999</v>
      </c>
      <c r="O816" s="179" t="s">
        <v>6641</v>
      </c>
      <c r="P816" s="108">
        <v>-999</v>
      </c>
      <c r="Q816" s="80" t="s">
        <v>6640</v>
      </c>
      <c r="U816" s="20"/>
      <c r="V816" s="20"/>
    </row>
    <row r="817" spans="1:22">
      <c r="A817" s="213" t="s">
        <v>2778</v>
      </c>
      <c r="B817" s="130"/>
      <c r="C817" s="118" t="s">
        <v>3817</v>
      </c>
      <c r="D817" s="141"/>
      <c r="E817" s="118"/>
      <c r="F817" s="118"/>
      <c r="G817" s="118" t="s">
        <v>3618</v>
      </c>
      <c r="H817" s="118" t="s">
        <v>3638</v>
      </c>
      <c r="I817" s="118" t="s">
        <v>6519</v>
      </c>
      <c r="J817" s="118" t="s">
        <v>6483</v>
      </c>
      <c r="K817" s="141"/>
      <c r="L817" s="135" t="str">
        <f t="shared" si="47"/>
        <v>Lemniscomys roseveari</v>
      </c>
      <c r="M817" s="133">
        <v>-999</v>
      </c>
      <c r="N817" s="133">
        <v>-999</v>
      </c>
      <c r="O817" s="179" t="s">
        <v>6882</v>
      </c>
      <c r="P817" s="108">
        <v>-999</v>
      </c>
      <c r="Q817" s="80" t="s">
        <v>6642</v>
      </c>
      <c r="U817" s="20"/>
      <c r="V817" s="20"/>
    </row>
    <row r="818" spans="1:22">
      <c r="A818" s="213" t="s">
        <v>2778</v>
      </c>
      <c r="B818" s="130"/>
      <c r="C818" s="118" t="s">
        <v>3817</v>
      </c>
      <c r="D818" s="141"/>
      <c r="E818" s="118"/>
      <c r="F818" s="118"/>
      <c r="G818" s="118" t="s">
        <v>3618</v>
      </c>
      <c r="H818" s="118" t="s">
        <v>3638</v>
      </c>
      <c r="I818" s="118" t="s">
        <v>6519</v>
      </c>
      <c r="J818" s="118" t="s">
        <v>6689</v>
      </c>
      <c r="K818" s="141"/>
      <c r="L818" s="135" t="str">
        <f t="shared" si="47"/>
        <v>Lemniscomys macculus</v>
      </c>
      <c r="M818" s="133">
        <f t="shared" ref="M818:M823" si="49">LOG(N818)</f>
        <v>1.4232500000000001</v>
      </c>
      <c r="N818" s="133">
        <v>26.500251767403348</v>
      </c>
      <c r="O818" s="179" t="s">
        <v>3356</v>
      </c>
      <c r="P818" s="108" t="s">
        <v>2835</v>
      </c>
      <c r="U818" s="20"/>
      <c r="V818" s="20"/>
    </row>
    <row r="819" spans="1:22">
      <c r="A819" s="213" t="s">
        <v>2778</v>
      </c>
      <c r="B819" s="130"/>
      <c r="C819" s="118" t="s">
        <v>3817</v>
      </c>
      <c r="D819" s="141"/>
      <c r="E819" s="118"/>
      <c r="F819" s="118"/>
      <c r="G819" s="118" t="s">
        <v>3618</v>
      </c>
      <c r="H819" s="118" t="s">
        <v>3638</v>
      </c>
      <c r="I819" s="118" t="s">
        <v>6519</v>
      </c>
      <c r="J819" s="118" t="s">
        <v>6687</v>
      </c>
      <c r="K819" s="141"/>
      <c r="L819" s="135" t="str">
        <f t="shared" si="47"/>
        <v>Lemniscomys barbarus</v>
      </c>
      <c r="M819" s="133">
        <f t="shared" si="49"/>
        <v>1.5241796783007557</v>
      </c>
      <c r="N819" s="133">
        <f>AVERAGE(27.7, 24.6, 48)</f>
        <v>33.43333333333333</v>
      </c>
      <c r="O819" s="179" t="s">
        <v>3356</v>
      </c>
      <c r="P819" s="108" t="s">
        <v>1551</v>
      </c>
      <c r="R819" s="85" t="s">
        <v>1666</v>
      </c>
      <c r="U819" s="20"/>
      <c r="V819" s="20"/>
    </row>
    <row r="820" spans="1:22" ht="24" customHeight="1">
      <c r="A820" s="213" t="s">
        <v>2778</v>
      </c>
      <c r="B820" s="130"/>
      <c r="C820" s="118" t="s">
        <v>3817</v>
      </c>
      <c r="D820" s="141"/>
      <c r="E820" s="118"/>
      <c r="F820" s="118"/>
      <c r="G820" s="118" t="s">
        <v>3618</v>
      </c>
      <c r="H820" s="118" t="s">
        <v>3638</v>
      </c>
      <c r="I820" s="118" t="s">
        <v>6519</v>
      </c>
      <c r="J820" s="118" t="s">
        <v>3807</v>
      </c>
      <c r="K820" s="141"/>
      <c r="L820" s="135" t="str">
        <f t="shared" si="47"/>
        <v>Lemniscomys striatus</v>
      </c>
      <c r="M820" s="133">
        <f t="shared" si="49"/>
        <v>1.581304769737343</v>
      </c>
      <c r="N820" s="133">
        <f>AVERAGE(35.3, 36.3, 42.8)</f>
        <v>38.133333333333333</v>
      </c>
      <c r="O820" s="179" t="s">
        <v>1517</v>
      </c>
      <c r="P820" s="108" t="s">
        <v>1551</v>
      </c>
      <c r="R820" s="85" t="s">
        <v>1555</v>
      </c>
      <c r="U820" s="20"/>
      <c r="V820" s="20"/>
    </row>
    <row r="821" spans="1:22">
      <c r="A821" s="213" t="s">
        <v>2778</v>
      </c>
      <c r="B821" s="130"/>
      <c r="C821" s="118" t="s">
        <v>3817</v>
      </c>
      <c r="D821" s="141"/>
      <c r="E821" s="118"/>
      <c r="F821" s="118"/>
      <c r="G821" s="118" t="s">
        <v>3618</v>
      </c>
      <c r="H821" s="118" t="s">
        <v>3638</v>
      </c>
      <c r="I821" s="118" t="s">
        <v>6519</v>
      </c>
      <c r="J821" s="118" t="s">
        <v>6688</v>
      </c>
      <c r="K821" s="141"/>
      <c r="L821" s="135" t="str">
        <f t="shared" si="47"/>
        <v>Lemniscomys griselda</v>
      </c>
      <c r="M821" s="133">
        <f t="shared" si="49"/>
        <v>1.7634300000000003</v>
      </c>
      <c r="N821" s="133">
        <v>58.000267960159121</v>
      </c>
      <c r="O821" s="179" t="s">
        <v>3356</v>
      </c>
      <c r="P821" s="108">
        <v>60</v>
      </c>
      <c r="U821" s="20"/>
      <c r="V821" s="20"/>
    </row>
    <row r="822" spans="1:22">
      <c r="A822" s="213" t="s">
        <v>2778</v>
      </c>
      <c r="B822" s="130"/>
      <c r="C822" s="118" t="s">
        <v>3817</v>
      </c>
      <c r="D822" s="141"/>
      <c r="E822" s="118"/>
      <c r="F822" s="118"/>
      <c r="G822" s="118" t="s">
        <v>3618</v>
      </c>
      <c r="H822" s="118" t="s">
        <v>3638</v>
      </c>
      <c r="I822" s="118" t="s">
        <v>6519</v>
      </c>
      <c r="J822" s="118" t="s">
        <v>7166</v>
      </c>
      <c r="K822" s="141"/>
      <c r="L822" s="135" t="str">
        <f t="shared" si="47"/>
        <v>Lemniscomys rosalia</v>
      </c>
      <c r="M822" s="133">
        <f t="shared" si="49"/>
        <v>1.7730546933642626</v>
      </c>
      <c r="N822" s="133">
        <f>AVERAGE(62.8, 55.8)</f>
        <v>59.3</v>
      </c>
      <c r="O822" s="179" t="s">
        <v>3356</v>
      </c>
      <c r="P822" s="108">
        <v>260</v>
      </c>
      <c r="U822" s="20"/>
      <c r="V822" s="20"/>
    </row>
    <row r="823" spans="1:22">
      <c r="A823" s="213" t="s">
        <v>2778</v>
      </c>
      <c r="B823" s="130"/>
      <c r="C823" s="118" t="s">
        <v>3817</v>
      </c>
      <c r="D823" s="141"/>
      <c r="E823" s="118"/>
      <c r="F823" s="118"/>
      <c r="G823" s="118" t="s">
        <v>3618</v>
      </c>
      <c r="H823" s="118" t="s">
        <v>3638</v>
      </c>
      <c r="I823" s="118" t="s">
        <v>3859</v>
      </c>
      <c r="J823" s="118" t="s">
        <v>3898</v>
      </c>
      <c r="K823" s="141"/>
      <c r="L823" s="135" t="str">
        <f t="shared" si="47"/>
        <v>Lophiomys imhausi</v>
      </c>
      <c r="M823" s="133">
        <f t="shared" si="49"/>
        <v>2.8779500000000002</v>
      </c>
      <c r="N823" s="133">
        <v>755.00529946415679</v>
      </c>
      <c r="O823" s="179" t="s">
        <v>3356</v>
      </c>
      <c r="P823" s="108" t="s">
        <v>2835</v>
      </c>
      <c r="U823"/>
      <c r="V823"/>
    </row>
    <row r="824" spans="1:22">
      <c r="A824" s="213" t="s">
        <v>2778</v>
      </c>
      <c r="B824" s="130" t="s">
        <v>6064</v>
      </c>
      <c r="C824" s="118" t="s">
        <v>3817</v>
      </c>
      <c r="D824" s="141"/>
      <c r="E824" s="118"/>
      <c r="F824" s="118"/>
      <c r="G824" s="118" t="s">
        <v>3618</v>
      </c>
      <c r="H824" s="118" t="s">
        <v>3638</v>
      </c>
      <c r="I824" s="118" t="s">
        <v>3844</v>
      </c>
      <c r="J824" s="118" t="s">
        <v>4485</v>
      </c>
      <c r="K824" s="141"/>
      <c r="L824" s="135" t="str">
        <f t="shared" si="47"/>
        <v>Lophuromys cinereus</v>
      </c>
      <c r="M824" s="133">
        <v>-999</v>
      </c>
      <c r="N824" s="133">
        <v>-999</v>
      </c>
      <c r="O824" s="179" t="s">
        <v>6882</v>
      </c>
      <c r="P824" s="108">
        <v>-999</v>
      </c>
      <c r="Q824" s="80" t="s">
        <v>6987</v>
      </c>
      <c r="U824"/>
      <c r="V824"/>
    </row>
    <row r="825" spans="1:22">
      <c r="A825" s="213" t="s">
        <v>2778</v>
      </c>
      <c r="B825" s="130" t="s">
        <v>6064</v>
      </c>
      <c r="C825" s="118" t="s">
        <v>3817</v>
      </c>
      <c r="D825" s="141"/>
      <c r="E825" s="118"/>
      <c r="F825" s="118"/>
      <c r="G825" s="118" t="s">
        <v>3618</v>
      </c>
      <c r="H825" s="118" t="s">
        <v>3638</v>
      </c>
      <c r="I825" s="118" t="s">
        <v>3844</v>
      </c>
      <c r="J825" s="118" t="s">
        <v>3814</v>
      </c>
      <c r="K825" s="141"/>
      <c r="L825" s="135" t="str">
        <f t="shared" si="47"/>
        <v>Lophuromys luteogaster</v>
      </c>
      <c r="M825" s="133">
        <v>-999</v>
      </c>
      <c r="N825" s="133">
        <v>-999</v>
      </c>
      <c r="O825" s="179" t="s">
        <v>3356</v>
      </c>
      <c r="P825" s="108">
        <v>-999</v>
      </c>
      <c r="Q825" s="80"/>
      <c r="U825"/>
      <c r="V825"/>
    </row>
    <row r="826" spans="1:22" ht="15" customHeight="1">
      <c r="A826" s="213" t="s">
        <v>2778</v>
      </c>
      <c r="B826" s="141" t="s">
        <v>2317</v>
      </c>
      <c r="C826" s="118" t="s">
        <v>3817</v>
      </c>
      <c r="D826" s="141"/>
      <c r="E826" s="118"/>
      <c r="F826" s="118"/>
      <c r="G826" s="118" t="s">
        <v>3618</v>
      </c>
      <c r="H826" s="118" t="s">
        <v>3638</v>
      </c>
      <c r="I826" s="118" t="s">
        <v>3844</v>
      </c>
      <c r="J826" s="118" t="s">
        <v>3580</v>
      </c>
      <c r="K826" s="141"/>
      <c r="L826" s="135" t="str">
        <f t="shared" si="47"/>
        <v>Lophuromys medicaudatus</v>
      </c>
      <c r="M826" s="133">
        <v>-999</v>
      </c>
      <c r="N826" s="133">
        <v>-999</v>
      </c>
      <c r="O826" s="179" t="s">
        <v>6641</v>
      </c>
      <c r="P826" s="108">
        <v>-999</v>
      </c>
      <c r="Q826" s="80" t="s">
        <v>6642</v>
      </c>
      <c r="U826"/>
      <c r="V826"/>
    </row>
    <row r="827" spans="1:22" ht="12" customHeight="1">
      <c r="A827" s="213" t="s">
        <v>2778</v>
      </c>
      <c r="B827" s="141" t="s">
        <v>2315</v>
      </c>
      <c r="C827" s="118" t="s">
        <v>3817</v>
      </c>
      <c r="D827" s="141"/>
      <c r="E827" s="118"/>
      <c r="F827" s="118"/>
      <c r="G827" s="118" t="s">
        <v>3618</v>
      </c>
      <c r="H827" s="118" t="s">
        <v>3638</v>
      </c>
      <c r="I827" s="118" t="s">
        <v>3844</v>
      </c>
      <c r="J827" s="118" t="s">
        <v>4091</v>
      </c>
      <c r="K827" s="141"/>
      <c r="L827" s="135" t="str">
        <f t="shared" si="47"/>
        <v>Lophuromys nudicaudus</v>
      </c>
      <c r="M827" s="133">
        <v>-999</v>
      </c>
      <c r="N827" s="133">
        <v>-999</v>
      </c>
      <c r="O827" s="179" t="s">
        <v>3356</v>
      </c>
      <c r="P827" s="108">
        <v>-999</v>
      </c>
      <c r="Q827" s="80"/>
      <c r="R827" s="89"/>
      <c r="U827"/>
      <c r="V827"/>
    </row>
    <row r="828" spans="1:22">
      <c r="A828" s="213" t="s">
        <v>2778</v>
      </c>
      <c r="B828" s="130"/>
      <c r="C828" s="118" t="s">
        <v>3817</v>
      </c>
      <c r="D828" s="141"/>
      <c r="E828" s="118"/>
      <c r="F828" s="118"/>
      <c r="G828" s="118" t="s">
        <v>3618</v>
      </c>
      <c r="H828" s="118" t="s">
        <v>3638</v>
      </c>
      <c r="I828" s="118" t="s">
        <v>3844</v>
      </c>
      <c r="J828" s="118" t="s">
        <v>3861</v>
      </c>
      <c r="K828" s="141"/>
      <c r="L828" s="135" t="str">
        <f t="shared" si="47"/>
        <v>Lophuromys melanonyx</v>
      </c>
      <c r="M828" s="133">
        <f>LOG(N828)</f>
        <v>1.0085999999999999</v>
      </c>
      <c r="N828" s="133">
        <v>10.199995965937203</v>
      </c>
      <c r="O828" s="179" t="s">
        <v>6641</v>
      </c>
      <c r="P828" s="108">
        <v>60</v>
      </c>
      <c r="Q828" s="90" t="s">
        <v>6642</v>
      </c>
      <c r="U828"/>
      <c r="V828"/>
    </row>
    <row r="829" spans="1:22">
      <c r="A829" s="213" t="s">
        <v>2778</v>
      </c>
      <c r="B829" s="141" t="s">
        <v>2317</v>
      </c>
      <c r="C829" s="118" t="s">
        <v>3817</v>
      </c>
      <c r="D829" s="141"/>
      <c r="E829" s="118"/>
      <c r="F829" s="118"/>
      <c r="G829" s="118" t="s">
        <v>3618</v>
      </c>
      <c r="H829" s="118" t="s">
        <v>3638</v>
      </c>
      <c r="I829" s="118" t="s">
        <v>3844</v>
      </c>
      <c r="J829" s="118" t="s">
        <v>3386</v>
      </c>
      <c r="K829" s="141"/>
      <c r="L829" s="135" t="str">
        <f t="shared" si="47"/>
        <v>Lophuromys rahmi</v>
      </c>
      <c r="M829" s="133">
        <f>LOG(N829)</f>
        <v>1.5797835966168101</v>
      </c>
      <c r="N829" s="133">
        <v>38</v>
      </c>
      <c r="O829" s="179" t="s">
        <v>6641</v>
      </c>
      <c r="P829" s="108">
        <v>212</v>
      </c>
      <c r="Q829" s="80" t="s">
        <v>6642</v>
      </c>
      <c r="U829"/>
      <c r="V829"/>
    </row>
    <row r="830" spans="1:22">
      <c r="A830" s="213" t="s">
        <v>2778</v>
      </c>
      <c r="B830" s="130"/>
      <c r="C830" s="118" t="s">
        <v>3817</v>
      </c>
      <c r="D830" s="141"/>
      <c r="E830" s="118"/>
      <c r="F830" s="118"/>
      <c r="G830" s="118" t="s">
        <v>3618</v>
      </c>
      <c r="H830" s="118" t="s">
        <v>3638</v>
      </c>
      <c r="I830" s="118" t="s">
        <v>3844</v>
      </c>
      <c r="J830" s="118" t="s">
        <v>7413</v>
      </c>
      <c r="K830" s="141"/>
      <c r="L830" s="135" t="str">
        <f t="shared" si="47"/>
        <v>Lophuromys woosnami</v>
      </c>
      <c r="M830" s="133">
        <f>LOG(N830)</f>
        <v>1.6247975789607612</v>
      </c>
      <c r="N830" s="133">
        <f>AVERAGE(44.7, 39.6)</f>
        <v>42.150000000000006</v>
      </c>
      <c r="O830" s="179" t="s">
        <v>1306</v>
      </c>
      <c r="P830" s="108">
        <v>135</v>
      </c>
      <c r="U830"/>
      <c r="V830"/>
    </row>
    <row r="831" spans="1:22" ht="15" customHeight="1">
      <c r="A831" s="213" t="s">
        <v>2778</v>
      </c>
      <c r="B831" s="130"/>
      <c r="C831" s="118" t="s">
        <v>3817</v>
      </c>
      <c r="D831" s="141"/>
      <c r="E831" s="118"/>
      <c r="F831" s="118"/>
      <c r="G831" s="118" t="s">
        <v>3618</v>
      </c>
      <c r="H831" s="118" t="s">
        <v>3638</v>
      </c>
      <c r="I831" s="118" t="s">
        <v>3844</v>
      </c>
      <c r="J831" s="118" t="s">
        <v>3860</v>
      </c>
      <c r="K831" s="141"/>
      <c r="L831" s="135" t="str">
        <f t="shared" si="47"/>
        <v>Lophuromys flavopunctatus</v>
      </c>
      <c r="M831" s="133">
        <f>LOG(N831)</f>
        <v>1.7781500000000001</v>
      </c>
      <c r="N831" s="133">
        <v>59.999827253364401</v>
      </c>
      <c r="O831" s="179" t="s">
        <v>3356</v>
      </c>
      <c r="P831" s="108" t="s">
        <v>2835</v>
      </c>
      <c r="U831"/>
      <c r="V831"/>
    </row>
    <row r="832" spans="1:22" ht="24" customHeight="1">
      <c r="A832" s="213" t="s">
        <v>2778</v>
      </c>
      <c r="B832" s="130"/>
      <c r="C832" s="118" t="s">
        <v>3817</v>
      </c>
      <c r="D832" s="141"/>
      <c r="E832" s="118"/>
      <c r="F832" s="118"/>
      <c r="G832" s="118" t="s">
        <v>3618</v>
      </c>
      <c r="H832" s="118" t="s">
        <v>3638</v>
      </c>
      <c r="I832" s="118" t="s">
        <v>3844</v>
      </c>
      <c r="J832" s="118" t="s">
        <v>3862</v>
      </c>
      <c r="K832" s="141"/>
      <c r="L832" s="135" t="str">
        <f t="shared" si="47"/>
        <v>Lophuromys sikapusi</v>
      </c>
      <c r="M832" s="133">
        <f>LOG(N832)</f>
        <v>1.8696227998851864</v>
      </c>
      <c r="N832" s="133">
        <f>AVERAGE(76.7, 82.5, 63)</f>
        <v>74.066666666666663</v>
      </c>
      <c r="O832" s="179" t="s">
        <v>1305</v>
      </c>
      <c r="P832" s="108" t="s">
        <v>1551</v>
      </c>
      <c r="R832" s="85" t="s">
        <v>1550</v>
      </c>
      <c r="U832"/>
      <c r="V832"/>
    </row>
    <row r="833" spans="1:22" ht="25.5">
      <c r="A833" s="213" t="s">
        <v>2778</v>
      </c>
      <c r="B833" s="141" t="s">
        <v>2299</v>
      </c>
      <c r="C833" s="118" t="s">
        <v>3817</v>
      </c>
      <c r="D833" s="141"/>
      <c r="E833" s="118"/>
      <c r="F833" s="118"/>
      <c r="G833" s="118" t="s">
        <v>3618</v>
      </c>
      <c r="H833" s="118" t="s">
        <v>3638</v>
      </c>
      <c r="I833" s="118" t="s">
        <v>4059</v>
      </c>
      <c r="J833" s="118" t="s">
        <v>3205</v>
      </c>
      <c r="K833" s="141"/>
      <c r="L833" s="135" t="str">
        <f t="shared" si="47"/>
        <v>Malacomys cansdalei</v>
      </c>
      <c r="M833" s="133">
        <v>-999</v>
      </c>
      <c r="N833" s="133">
        <v>-999</v>
      </c>
      <c r="O833" s="179" t="s">
        <v>3356</v>
      </c>
      <c r="P833" s="108">
        <v>-999</v>
      </c>
      <c r="Q833" s="80"/>
    </row>
    <row r="834" spans="1:22">
      <c r="A834" s="213" t="s">
        <v>2778</v>
      </c>
      <c r="B834" s="141" t="s">
        <v>6064</v>
      </c>
      <c r="C834" s="118" t="s">
        <v>3817</v>
      </c>
      <c r="D834" s="141"/>
      <c r="E834" s="118"/>
      <c r="F834" s="118"/>
      <c r="G834" s="118" t="s">
        <v>3618</v>
      </c>
      <c r="H834" s="118" t="s">
        <v>3638</v>
      </c>
      <c r="I834" s="118" t="s">
        <v>4059</v>
      </c>
      <c r="J834" s="118" t="s">
        <v>3206</v>
      </c>
      <c r="K834" s="141"/>
      <c r="L834" s="135" t="str">
        <f t="shared" si="47"/>
        <v>Malacomys lukolelae</v>
      </c>
      <c r="M834" s="133">
        <v>-999</v>
      </c>
      <c r="N834" s="133">
        <v>-999</v>
      </c>
      <c r="O834" s="179" t="s">
        <v>6641</v>
      </c>
      <c r="P834" s="108">
        <v>-999</v>
      </c>
      <c r="Q834" s="80" t="s">
        <v>6985</v>
      </c>
    </row>
    <row r="835" spans="1:22" ht="15" customHeight="1">
      <c r="A835" s="213" t="s">
        <v>2778</v>
      </c>
      <c r="B835" s="141" t="s">
        <v>6064</v>
      </c>
      <c r="C835" s="118" t="s">
        <v>3817</v>
      </c>
      <c r="D835" s="141"/>
      <c r="E835" s="118"/>
      <c r="F835" s="118"/>
      <c r="G835" s="118" t="s">
        <v>3618</v>
      </c>
      <c r="H835" s="118" t="s">
        <v>3638</v>
      </c>
      <c r="I835" s="118" t="s">
        <v>4059</v>
      </c>
      <c r="J835" s="118" t="s">
        <v>6304</v>
      </c>
      <c r="K835" s="141"/>
      <c r="L835" s="135" t="str">
        <f t="shared" si="47"/>
        <v>Malacomys verschureni</v>
      </c>
      <c r="M835" s="133">
        <f>LOG(N835)</f>
        <v>1.6901960800285136</v>
      </c>
      <c r="N835" s="133">
        <f>AVERAGE(55, 65, 40, 36)</f>
        <v>49</v>
      </c>
      <c r="O835" s="179" t="s">
        <v>6641</v>
      </c>
      <c r="P835" s="108">
        <v>207</v>
      </c>
      <c r="Q835" s="80" t="s">
        <v>6985</v>
      </c>
    </row>
    <row r="836" spans="1:22" ht="24" customHeight="1">
      <c r="A836" s="213" t="s">
        <v>2778</v>
      </c>
      <c r="B836" s="130"/>
      <c r="C836" s="118" t="s">
        <v>3817</v>
      </c>
      <c r="D836" s="141"/>
      <c r="E836" s="118"/>
      <c r="F836" s="118"/>
      <c r="G836" s="118" t="s">
        <v>3618</v>
      </c>
      <c r="H836" s="118" t="s">
        <v>3638</v>
      </c>
      <c r="I836" s="118" t="s">
        <v>4059</v>
      </c>
      <c r="J836" s="118" t="s">
        <v>4060</v>
      </c>
      <c r="K836" s="141"/>
      <c r="L836" s="135" t="str">
        <f t="shared" si="47"/>
        <v>Malacomys edwardsi</v>
      </c>
      <c r="M836" s="133">
        <f>LOG(N836)</f>
        <v>1.8125806751601887</v>
      </c>
      <c r="N836" s="133">
        <f>AVERAGE(60, 69.9004545671819)</f>
        <v>64.950227283590948</v>
      </c>
      <c r="O836" s="179" t="s">
        <v>3356</v>
      </c>
      <c r="P836" s="108" t="s">
        <v>6637</v>
      </c>
      <c r="R836" s="85" t="s">
        <v>1554</v>
      </c>
    </row>
    <row r="837" spans="1:22">
      <c r="A837" s="213" t="s">
        <v>2778</v>
      </c>
      <c r="B837" s="130"/>
      <c r="C837" s="118" t="s">
        <v>3817</v>
      </c>
      <c r="D837" s="141"/>
      <c r="E837" s="118"/>
      <c r="F837" s="118"/>
      <c r="G837" s="118" t="s">
        <v>3618</v>
      </c>
      <c r="H837" s="118" t="s">
        <v>3638</v>
      </c>
      <c r="I837" s="118" t="s">
        <v>4059</v>
      </c>
      <c r="J837" s="118" t="s">
        <v>3808</v>
      </c>
      <c r="K837" s="141"/>
      <c r="L837" s="135" t="str">
        <f t="shared" ref="L837:L900" si="50">I837&amp;" "&amp;J837</f>
        <v>Malacomys longipes</v>
      </c>
      <c r="M837" s="133">
        <f>LOG(N837)</f>
        <v>1.9804578922761</v>
      </c>
      <c r="N837" s="133">
        <v>95.6</v>
      </c>
      <c r="O837" s="179" t="s">
        <v>1303</v>
      </c>
      <c r="P837" s="108">
        <v>135</v>
      </c>
    </row>
    <row r="838" spans="1:22" ht="12" customHeight="1">
      <c r="A838" s="213" t="s">
        <v>2778</v>
      </c>
      <c r="B838" s="130"/>
      <c r="C838" s="118" t="s">
        <v>3817</v>
      </c>
      <c r="D838" s="141"/>
      <c r="E838" s="118"/>
      <c r="F838" s="118"/>
      <c r="G838" s="118" t="s">
        <v>3618</v>
      </c>
      <c r="H838" s="118" t="s">
        <v>3638</v>
      </c>
      <c r="I838" s="118" t="s">
        <v>4061</v>
      </c>
      <c r="J838" s="118" t="s">
        <v>4062</v>
      </c>
      <c r="K838" s="141"/>
      <c r="L838" s="135" t="str">
        <f t="shared" si="50"/>
        <v>Malacothrix typica</v>
      </c>
      <c r="M838" s="133">
        <f>LOG(N838)</f>
        <v>1.1271</v>
      </c>
      <c r="N838" s="133">
        <v>13.399851948997973</v>
      </c>
      <c r="O838" s="179" t="s">
        <v>3356</v>
      </c>
      <c r="P838" s="108">
        <v>60</v>
      </c>
      <c r="R838" s="89"/>
    </row>
    <row r="839" spans="1:22">
      <c r="A839" s="213" t="s">
        <v>2778</v>
      </c>
      <c r="B839" s="141" t="s">
        <v>2535</v>
      </c>
      <c r="C839" s="118" t="s">
        <v>3817</v>
      </c>
      <c r="D839" s="141"/>
      <c r="E839" s="118"/>
      <c r="F839" s="118"/>
      <c r="G839" s="118" t="s">
        <v>3618</v>
      </c>
      <c r="H839" s="118" t="s">
        <v>3638</v>
      </c>
      <c r="I839" s="118" t="s">
        <v>4159</v>
      </c>
      <c r="J839" s="118" t="s">
        <v>4911</v>
      </c>
      <c r="K839" s="141"/>
      <c r="L839" s="135" t="str">
        <f t="shared" si="50"/>
        <v>Mastomys angolensis</v>
      </c>
      <c r="M839" s="133">
        <v>-999</v>
      </c>
      <c r="N839" s="133">
        <v>-999</v>
      </c>
      <c r="O839" s="179" t="s">
        <v>3356</v>
      </c>
      <c r="P839" s="108">
        <v>-999</v>
      </c>
      <c r="Q839" s="80"/>
    </row>
    <row r="840" spans="1:22" ht="25.5">
      <c r="A840" s="213" t="s">
        <v>2778</v>
      </c>
      <c r="B840" s="141" t="s">
        <v>2318</v>
      </c>
      <c r="C840" s="121" t="s">
        <v>3817</v>
      </c>
      <c r="D840" s="156"/>
      <c r="E840" s="121"/>
      <c r="F840" s="121"/>
      <c r="G840" s="121" t="s">
        <v>3618</v>
      </c>
      <c r="H840" s="118" t="s">
        <v>3638</v>
      </c>
      <c r="I840" s="121" t="s">
        <v>4159</v>
      </c>
      <c r="J840" s="121" t="s">
        <v>8173</v>
      </c>
      <c r="K840" s="156"/>
      <c r="L840" s="135" t="str">
        <f t="shared" si="50"/>
        <v>Mastomys pernanus</v>
      </c>
      <c r="M840" s="133">
        <v>-999</v>
      </c>
      <c r="N840" s="143">
        <v>-999</v>
      </c>
      <c r="O840" s="179" t="s">
        <v>3356</v>
      </c>
      <c r="P840" s="108">
        <v>-999</v>
      </c>
      <c r="Q840" s="80" t="s">
        <v>6987</v>
      </c>
    </row>
    <row r="841" spans="1:22">
      <c r="A841" s="213" t="s">
        <v>2778</v>
      </c>
      <c r="B841" s="141" t="s">
        <v>2307</v>
      </c>
      <c r="C841" s="121" t="s">
        <v>3817</v>
      </c>
      <c r="D841" s="156"/>
      <c r="E841" s="121"/>
      <c r="F841" s="121"/>
      <c r="G841" s="121" t="s">
        <v>3618</v>
      </c>
      <c r="H841" s="118" t="s">
        <v>3638</v>
      </c>
      <c r="I841" s="121" t="s">
        <v>4159</v>
      </c>
      <c r="J841" s="121" t="s">
        <v>8023</v>
      </c>
      <c r="K841" s="156"/>
      <c r="L841" s="135" t="str">
        <f t="shared" si="50"/>
        <v>Mastomys verheyeni</v>
      </c>
      <c r="M841" s="133">
        <v>-999</v>
      </c>
      <c r="N841" s="143">
        <v>-999</v>
      </c>
      <c r="O841" s="179" t="s">
        <v>3356</v>
      </c>
      <c r="P841" s="108">
        <v>-999</v>
      </c>
      <c r="Q841" s="80" t="s">
        <v>6642</v>
      </c>
    </row>
    <row r="842" spans="1:22">
      <c r="A842" s="213" t="s">
        <v>2778</v>
      </c>
      <c r="B842" s="130"/>
      <c r="C842" s="118" t="s">
        <v>3817</v>
      </c>
      <c r="D842" s="141"/>
      <c r="E842" s="118"/>
      <c r="F842" s="118"/>
      <c r="G842" s="118" t="s">
        <v>3618</v>
      </c>
      <c r="H842" s="118" t="s">
        <v>3638</v>
      </c>
      <c r="I842" s="118" t="s">
        <v>4159</v>
      </c>
      <c r="J842" s="118" t="s">
        <v>4160</v>
      </c>
      <c r="K842" s="141"/>
      <c r="L842" s="135" t="str">
        <f t="shared" si="50"/>
        <v>Mastomys coucha</v>
      </c>
      <c r="M842" s="133">
        <f t="shared" ref="M842:M850" si="51">LOG(N842)</f>
        <v>1.6384892569546374</v>
      </c>
      <c r="N842" s="133">
        <f>AVERAGE(48, 39)</f>
        <v>43.5</v>
      </c>
      <c r="O842" s="179" t="s">
        <v>3356</v>
      </c>
      <c r="P842" s="108">
        <v>113</v>
      </c>
    </row>
    <row r="843" spans="1:22">
      <c r="A843" s="213" t="s">
        <v>2778</v>
      </c>
      <c r="B843" s="130"/>
      <c r="C843" s="118" t="s">
        <v>3817</v>
      </c>
      <c r="D843" s="141"/>
      <c r="E843" s="118"/>
      <c r="F843" s="118"/>
      <c r="G843" s="118" t="s">
        <v>3618</v>
      </c>
      <c r="H843" s="118" t="s">
        <v>3638</v>
      </c>
      <c r="I843" s="118" t="s">
        <v>4159</v>
      </c>
      <c r="J843" s="118" t="s">
        <v>3430</v>
      </c>
      <c r="K843" s="141"/>
      <c r="L843" s="135" t="str">
        <f t="shared" si="50"/>
        <v>Mastomys shortridgei</v>
      </c>
      <c r="M843" s="133">
        <f t="shared" si="51"/>
        <v>1.6674500000000001</v>
      </c>
      <c r="N843" s="133">
        <v>46.499683834536768</v>
      </c>
      <c r="O843" s="179" t="s">
        <v>3356</v>
      </c>
      <c r="P843" s="108">
        <v>60</v>
      </c>
    </row>
    <row r="844" spans="1:22" ht="15.75">
      <c r="A844" s="213" t="s">
        <v>2778</v>
      </c>
      <c r="B844" s="130"/>
      <c r="C844" s="118" t="s">
        <v>3817</v>
      </c>
      <c r="D844" s="141"/>
      <c r="E844" s="118"/>
      <c r="F844" s="118"/>
      <c r="G844" s="118" t="s">
        <v>3618</v>
      </c>
      <c r="H844" s="118" t="s">
        <v>3638</v>
      </c>
      <c r="I844" s="118" t="s">
        <v>4159</v>
      </c>
      <c r="J844" s="118" t="s">
        <v>3636</v>
      </c>
      <c r="K844" s="141"/>
      <c r="L844" s="135" t="str">
        <f t="shared" si="50"/>
        <v>Mastomys natalensis</v>
      </c>
      <c r="M844" s="133">
        <f t="shared" si="51"/>
        <v>1.736715133605611</v>
      </c>
      <c r="N844" s="133">
        <f>AVERAGE(63.5, 67.4, 50, 53.2, 38.6)</f>
        <v>54.540000000000006</v>
      </c>
      <c r="O844" s="179" t="s">
        <v>3356</v>
      </c>
      <c r="P844" s="108" t="s">
        <v>1844</v>
      </c>
      <c r="R844" s="89"/>
    </row>
    <row r="845" spans="1:22">
      <c r="A845" s="213" t="s">
        <v>2778</v>
      </c>
      <c r="B845" s="130"/>
      <c r="C845" s="118" t="s">
        <v>3817</v>
      </c>
      <c r="D845" s="141"/>
      <c r="E845" s="118"/>
      <c r="F845" s="118"/>
      <c r="G845" s="118" t="s">
        <v>3618</v>
      </c>
      <c r="H845" s="118" t="s">
        <v>3638</v>
      </c>
      <c r="I845" s="118" t="s">
        <v>4159</v>
      </c>
      <c r="J845" s="118" t="s">
        <v>4161</v>
      </c>
      <c r="K845" s="141"/>
      <c r="L845" s="135" t="str">
        <f t="shared" si="50"/>
        <v>Mastomys erythroleucus</v>
      </c>
      <c r="M845" s="133">
        <f t="shared" si="51"/>
        <v>1.7493500000000002</v>
      </c>
      <c r="N845" s="133">
        <v>56.150030952397437</v>
      </c>
      <c r="O845" s="179" t="s">
        <v>3356</v>
      </c>
      <c r="P845" s="108">
        <v>60</v>
      </c>
    </row>
    <row r="846" spans="1:22">
      <c r="A846" s="213" t="s">
        <v>2778</v>
      </c>
      <c r="B846" s="130"/>
      <c r="C846" s="118" t="s">
        <v>3817</v>
      </c>
      <c r="D846" s="141"/>
      <c r="E846" s="118"/>
      <c r="F846" s="118"/>
      <c r="G846" s="118" t="s">
        <v>3618</v>
      </c>
      <c r="H846" s="118" t="s">
        <v>3638</v>
      </c>
      <c r="I846" s="118" t="s">
        <v>4159</v>
      </c>
      <c r="J846" s="118" t="s">
        <v>4162</v>
      </c>
      <c r="K846" s="141"/>
      <c r="L846" s="135" t="str">
        <f t="shared" si="50"/>
        <v>Mastomys hildebrandtii</v>
      </c>
      <c r="M846" s="133">
        <f t="shared" si="51"/>
        <v>1.7930900000000001</v>
      </c>
      <c r="N846" s="133">
        <v>62.099771190317405</v>
      </c>
      <c r="O846" s="179" t="s">
        <v>3356</v>
      </c>
      <c r="P846" s="115">
        <v>-999</v>
      </c>
    </row>
    <row r="847" spans="1:22">
      <c r="A847" s="213" t="s">
        <v>2778</v>
      </c>
      <c r="B847" s="130"/>
      <c r="C847" s="118" t="s">
        <v>3817</v>
      </c>
      <c r="D847" s="141"/>
      <c r="E847" s="118"/>
      <c r="F847" s="118"/>
      <c r="G847" s="118" t="s">
        <v>3618</v>
      </c>
      <c r="H847" s="118" t="s">
        <v>3638</v>
      </c>
      <c r="I847" s="118" t="s">
        <v>3907</v>
      </c>
      <c r="J847" s="118" t="s">
        <v>6814</v>
      </c>
      <c r="K847" s="141"/>
      <c r="L847" s="135" t="str">
        <f t="shared" si="50"/>
        <v>Megadendromus nikolausi</v>
      </c>
      <c r="M847" s="133">
        <f t="shared" si="51"/>
        <v>1.7160000000000002</v>
      </c>
      <c r="N847" s="133">
        <v>51.999599653351616</v>
      </c>
      <c r="O847" s="179" t="s">
        <v>3356</v>
      </c>
      <c r="P847" s="108">
        <v>60</v>
      </c>
      <c r="Q847" s="90" t="s">
        <v>6988</v>
      </c>
      <c r="U847" s="20"/>
      <c r="V847" s="20"/>
    </row>
    <row r="848" spans="1:22" ht="24" customHeight="1">
      <c r="A848" s="213" t="s">
        <v>2778</v>
      </c>
      <c r="B848" s="130"/>
      <c r="C848" s="118" t="s">
        <v>3817</v>
      </c>
      <c r="D848" s="141"/>
      <c r="E848" s="118"/>
      <c r="F848" s="118"/>
      <c r="G848" s="118" t="s">
        <v>3618</v>
      </c>
      <c r="H848" s="118" t="s">
        <v>3638</v>
      </c>
      <c r="I848" s="118" t="s">
        <v>6815</v>
      </c>
      <c r="J848" s="118" t="s">
        <v>6816</v>
      </c>
      <c r="K848" s="141"/>
      <c r="L848" s="135" t="str">
        <f t="shared" si="50"/>
        <v>Meriones crassus</v>
      </c>
      <c r="M848" s="133">
        <f t="shared" si="51"/>
        <v>1.9029270960172628</v>
      </c>
      <c r="N848" s="133">
        <f>AVERAGE(35.25, 83.3, 85.2, 76, 120.1)</f>
        <v>79.97</v>
      </c>
      <c r="O848" s="179" t="s">
        <v>3356</v>
      </c>
      <c r="P848" s="108" t="s">
        <v>6588</v>
      </c>
    </row>
    <row r="849" spans="1:20" ht="24" customHeight="1">
      <c r="A849" s="213" t="s">
        <v>2778</v>
      </c>
      <c r="B849" s="130"/>
      <c r="C849" s="118" t="s">
        <v>3817</v>
      </c>
      <c r="D849" s="141"/>
      <c r="E849" s="118"/>
      <c r="F849" s="118"/>
      <c r="G849" s="118" t="s">
        <v>3618</v>
      </c>
      <c r="H849" s="118" t="s">
        <v>3638</v>
      </c>
      <c r="I849" s="118" t="s">
        <v>6815</v>
      </c>
      <c r="J849" s="118" t="s">
        <v>6818</v>
      </c>
      <c r="K849" s="141"/>
      <c r="L849" s="135" t="str">
        <f t="shared" si="50"/>
        <v>Meriones shawi</v>
      </c>
      <c r="M849" s="133">
        <f t="shared" si="51"/>
        <v>1.9571281976768131</v>
      </c>
      <c r="N849" s="133">
        <v>90.6</v>
      </c>
      <c r="O849" s="179" t="s">
        <v>3356</v>
      </c>
      <c r="P849" s="108">
        <v>128</v>
      </c>
    </row>
    <row r="850" spans="1:20">
      <c r="A850" s="213" t="s">
        <v>2778</v>
      </c>
      <c r="B850" s="130"/>
      <c r="C850" s="118" t="s">
        <v>3817</v>
      </c>
      <c r="D850" s="141"/>
      <c r="E850" s="118"/>
      <c r="F850" s="118"/>
      <c r="G850" s="118" t="s">
        <v>3618</v>
      </c>
      <c r="H850" s="118" t="s">
        <v>3638</v>
      </c>
      <c r="I850" s="118" t="s">
        <v>6815</v>
      </c>
      <c r="J850" s="118" t="s">
        <v>6817</v>
      </c>
      <c r="K850" s="141"/>
      <c r="L850" s="135" t="str">
        <f t="shared" si="50"/>
        <v>Meriones libycus</v>
      </c>
      <c r="M850" s="133">
        <f t="shared" si="51"/>
        <v>1.9606293081007256</v>
      </c>
      <c r="N850" s="133">
        <f>AVERAGE(100, 90, 84)</f>
        <v>91.333333333333329</v>
      </c>
      <c r="O850" s="179" t="s">
        <v>3356</v>
      </c>
      <c r="P850" s="108" t="s">
        <v>6838</v>
      </c>
    </row>
    <row r="851" spans="1:20">
      <c r="A851" s="213" t="s">
        <v>2778</v>
      </c>
      <c r="B851" s="130" t="s">
        <v>2610</v>
      </c>
      <c r="C851" s="121" t="s">
        <v>3817</v>
      </c>
      <c r="D851" s="156"/>
      <c r="E851" s="121"/>
      <c r="F851" s="121"/>
      <c r="G851" s="121" t="s">
        <v>3618</v>
      </c>
      <c r="H851" s="118" t="s">
        <v>3638</v>
      </c>
      <c r="I851" s="121" t="s">
        <v>6076</v>
      </c>
      <c r="J851" s="121" t="s">
        <v>8080</v>
      </c>
      <c r="K851" s="156"/>
      <c r="L851" s="135" t="str">
        <f t="shared" si="50"/>
        <v>Microdillus peeli</v>
      </c>
      <c r="M851" s="133">
        <v>-999</v>
      </c>
      <c r="N851" s="143">
        <v>-999</v>
      </c>
      <c r="O851" s="179" t="s">
        <v>3356</v>
      </c>
      <c r="P851" s="108">
        <v>-999</v>
      </c>
      <c r="Q851" s="80" t="s">
        <v>6642</v>
      </c>
    </row>
    <row r="852" spans="1:20" ht="24" customHeight="1">
      <c r="A852" s="213" t="s">
        <v>2778</v>
      </c>
      <c r="B852" s="141" t="s">
        <v>6141</v>
      </c>
      <c r="C852" s="118" t="s">
        <v>3817</v>
      </c>
      <c r="D852" s="141"/>
      <c r="E852" s="118"/>
      <c r="F852" s="118"/>
      <c r="G852" s="118" t="s">
        <v>3618</v>
      </c>
      <c r="H852" s="118" t="s">
        <v>3638</v>
      </c>
      <c r="I852" s="118" t="s">
        <v>6293</v>
      </c>
      <c r="J852" s="118" t="s">
        <v>3417</v>
      </c>
      <c r="K852" s="141"/>
      <c r="L852" s="135" t="str">
        <f t="shared" si="50"/>
        <v>Muriculus imberbis</v>
      </c>
      <c r="M852" s="133">
        <f>LOG(N852)</f>
        <v>1.2671717284030137</v>
      </c>
      <c r="N852" s="133">
        <f>AVERAGE(12, 25)</f>
        <v>18.5</v>
      </c>
      <c r="O852" s="179" t="s">
        <v>3356</v>
      </c>
      <c r="P852" s="108">
        <v>70</v>
      </c>
      <c r="Q852" s="90" t="s">
        <v>6988</v>
      </c>
      <c r="R852" s="89"/>
    </row>
    <row r="853" spans="1:20" ht="24" customHeight="1">
      <c r="A853" s="213" t="s">
        <v>2778</v>
      </c>
      <c r="B853" s="141" t="s">
        <v>2585</v>
      </c>
      <c r="C853" s="118" t="s">
        <v>3817</v>
      </c>
      <c r="D853" s="141"/>
      <c r="E853" s="118"/>
      <c r="F853" s="118"/>
      <c r="G853" s="118" t="s">
        <v>3618</v>
      </c>
      <c r="H853" s="118" t="s">
        <v>3638</v>
      </c>
      <c r="I853" s="118" t="s">
        <v>6536</v>
      </c>
      <c r="J853" s="118" t="s">
        <v>5859</v>
      </c>
      <c r="K853" s="141"/>
      <c r="L853" s="135" t="str">
        <f t="shared" si="50"/>
        <v>Mus baoulei</v>
      </c>
      <c r="M853" s="133">
        <v>-999</v>
      </c>
      <c r="N853" s="133">
        <v>-999</v>
      </c>
      <c r="O853" s="179" t="s">
        <v>3356</v>
      </c>
      <c r="P853" s="108">
        <v>-999</v>
      </c>
      <c r="Q853" s="80"/>
      <c r="R853" s="89"/>
      <c r="T853" s="82"/>
    </row>
    <row r="854" spans="1:20">
      <c r="A854" s="213" t="s">
        <v>2778</v>
      </c>
      <c r="B854" s="141" t="s">
        <v>2786</v>
      </c>
      <c r="C854" s="121" t="s">
        <v>3817</v>
      </c>
      <c r="D854" s="156"/>
      <c r="E854" s="121"/>
      <c r="F854" s="121"/>
      <c r="G854" s="121" t="s">
        <v>3618</v>
      </c>
      <c r="H854" s="118" t="s">
        <v>3638</v>
      </c>
      <c r="I854" s="121" t="s">
        <v>6536</v>
      </c>
      <c r="J854" s="121" t="s">
        <v>5867</v>
      </c>
      <c r="K854" s="156"/>
      <c r="L854" s="135" t="str">
        <f t="shared" si="50"/>
        <v>Mus callewaerti</v>
      </c>
      <c r="M854" s="133">
        <v>-999</v>
      </c>
      <c r="N854" s="143">
        <v>-999</v>
      </c>
      <c r="O854" s="179" t="s">
        <v>3356</v>
      </c>
      <c r="P854" s="108">
        <v>-999</v>
      </c>
      <c r="Q854" s="80"/>
    </row>
    <row r="855" spans="1:20">
      <c r="A855" s="213" t="s">
        <v>2778</v>
      </c>
      <c r="B855" s="141" t="s">
        <v>2578</v>
      </c>
      <c r="C855" s="118" t="s">
        <v>3817</v>
      </c>
      <c r="D855" s="141"/>
      <c r="E855" s="118"/>
      <c r="F855" s="118"/>
      <c r="G855" s="118" t="s">
        <v>3618</v>
      </c>
      <c r="H855" s="118" t="s">
        <v>3638</v>
      </c>
      <c r="I855" s="118" t="s">
        <v>6536</v>
      </c>
      <c r="J855" s="118" t="s">
        <v>6499</v>
      </c>
      <c r="K855" s="141"/>
      <c r="L855" s="135" t="str">
        <f t="shared" si="50"/>
        <v>Mus goundae</v>
      </c>
      <c r="M855" s="133">
        <v>-999</v>
      </c>
      <c r="N855" s="133">
        <v>-999</v>
      </c>
      <c r="O855" s="179" t="s">
        <v>3356</v>
      </c>
      <c r="P855" s="108">
        <v>-999</v>
      </c>
      <c r="Q855" s="80" t="s">
        <v>6988</v>
      </c>
    </row>
    <row r="856" spans="1:20">
      <c r="A856" s="213" t="s">
        <v>2778</v>
      </c>
      <c r="B856" s="130"/>
      <c r="C856" s="118" t="s">
        <v>3817</v>
      </c>
      <c r="D856" s="141"/>
      <c r="E856" s="118"/>
      <c r="F856" s="118"/>
      <c r="G856" s="118" t="s">
        <v>3618</v>
      </c>
      <c r="H856" s="118" t="s">
        <v>3638</v>
      </c>
      <c r="I856" s="118" t="s">
        <v>6536</v>
      </c>
      <c r="J856" s="118" t="s">
        <v>6500</v>
      </c>
      <c r="K856" s="141"/>
      <c r="L856" s="135" t="str">
        <f t="shared" si="50"/>
        <v>Mus haussa</v>
      </c>
      <c r="M856" s="133">
        <v>-999</v>
      </c>
      <c r="N856" s="133">
        <v>-999</v>
      </c>
      <c r="O856" s="179" t="s">
        <v>3356</v>
      </c>
      <c r="P856" s="108">
        <v>-999</v>
      </c>
      <c r="Q856" s="80"/>
    </row>
    <row r="857" spans="1:20">
      <c r="A857" s="213" t="s">
        <v>2778</v>
      </c>
      <c r="B857" s="141" t="s">
        <v>6064</v>
      </c>
      <c r="C857" s="121" t="s">
        <v>3817</v>
      </c>
      <c r="D857" s="156"/>
      <c r="E857" s="121"/>
      <c r="F857" s="121"/>
      <c r="G857" s="121" t="s">
        <v>3618</v>
      </c>
      <c r="H857" s="118" t="s">
        <v>3638</v>
      </c>
      <c r="I857" s="121" t="s">
        <v>6536</v>
      </c>
      <c r="J857" s="121" t="s">
        <v>6501</v>
      </c>
      <c r="K857" s="156"/>
      <c r="L857" s="135" t="str">
        <f t="shared" si="50"/>
        <v>Mus kasaicus</v>
      </c>
      <c r="M857" s="133">
        <v>-999</v>
      </c>
      <c r="N857" s="143">
        <v>-999</v>
      </c>
      <c r="O857" s="179" t="s">
        <v>3356</v>
      </c>
      <c r="P857" s="108">
        <v>-999</v>
      </c>
      <c r="Q857" s="80" t="s">
        <v>7071</v>
      </c>
    </row>
    <row r="858" spans="1:20" ht="24" customHeight="1">
      <c r="A858" s="213" t="s">
        <v>2778</v>
      </c>
      <c r="B858" s="141" t="s">
        <v>2366</v>
      </c>
      <c r="C858" s="118" t="s">
        <v>3817</v>
      </c>
      <c r="D858" s="141"/>
      <c r="E858" s="118"/>
      <c r="F858" s="118"/>
      <c r="G858" s="118" t="s">
        <v>3618</v>
      </c>
      <c r="H858" s="118" t="s">
        <v>3638</v>
      </c>
      <c r="I858" s="118" t="s">
        <v>6536</v>
      </c>
      <c r="J858" s="118" t="s">
        <v>4954</v>
      </c>
      <c r="K858" s="141"/>
      <c r="L858" s="135" t="str">
        <f t="shared" si="50"/>
        <v>Mus mattheyi</v>
      </c>
      <c r="M858" s="133">
        <v>-999</v>
      </c>
      <c r="N858" s="133">
        <v>-999</v>
      </c>
      <c r="O858" s="179" t="s">
        <v>3356</v>
      </c>
      <c r="P858" s="108">
        <v>-999</v>
      </c>
      <c r="Q858" s="80" t="s">
        <v>6987</v>
      </c>
    </row>
    <row r="859" spans="1:20" ht="38.25">
      <c r="A859" s="213" t="s">
        <v>2778</v>
      </c>
      <c r="B859" s="141" t="s">
        <v>2683</v>
      </c>
      <c r="C859" s="118" t="s">
        <v>3817</v>
      </c>
      <c r="D859" s="141"/>
      <c r="E859" s="118"/>
      <c r="F859" s="118"/>
      <c r="G859" s="118" t="s">
        <v>3618</v>
      </c>
      <c r="H859" s="118" t="s">
        <v>3638</v>
      </c>
      <c r="I859" s="118" t="s">
        <v>6536</v>
      </c>
      <c r="J859" s="118" t="s">
        <v>4793</v>
      </c>
      <c r="K859" s="141"/>
      <c r="L859" s="135" t="str">
        <f t="shared" si="50"/>
        <v>Mus neavei</v>
      </c>
      <c r="M859" s="133">
        <v>-999</v>
      </c>
      <c r="N859" s="133">
        <v>-999</v>
      </c>
      <c r="O859" s="179" t="s">
        <v>3356</v>
      </c>
      <c r="P859" s="108">
        <v>-999</v>
      </c>
      <c r="Q859" s="80"/>
    </row>
    <row r="860" spans="1:20">
      <c r="A860" s="213" t="s">
        <v>2778</v>
      </c>
      <c r="B860" s="141" t="s">
        <v>2576</v>
      </c>
      <c r="C860" s="121" t="s">
        <v>3817</v>
      </c>
      <c r="D860" s="156"/>
      <c r="E860" s="121"/>
      <c r="F860" s="121"/>
      <c r="G860" s="121" t="s">
        <v>3618</v>
      </c>
      <c r="H860" s="118" t="s">
        <v>3638</v>
      </c>
      <c r="I860" s="121" t="s">
        <v>6536</v>
      </c>
      <c r="J860" s="121" t="s">
        <v>4794</v>
      </c>
      <c r="K860" s="156"/>
      <c r="L860" s="135" t="str">
        <f t="shared" si="50"/>
        <v>Mus orangiae</v>
      </c>
      <c r="M860" s="133">
        <v>-999</v>
      </c>
      <c r="N860" s="143">
        <v>-999</v>
      </c>
      <c r="O860" s="179" t="s">
        <v>3356</v>
      </c>
      <c r="P860" s="108">
        <v>-999</v>
      </c>
      <c r="Q860" s="80"/>
    </row>
    <row r="861" spans="1:20" ht="15" customHeight="1">
      <c r="A861" s="213" t="s">
        <v>2778</v>
      </c>
      <c r="B861" s="141" t="s">
        <v>2578</v>
      </c>
      <c r="C861" s="118" t="s">
        <v>3817</v>
      </c>
      <c r="D861" s="141"/>
      <c r="E861" s="118"/>
      <c r="F861" s="118"/>
      <c r="G861" s="118" t="s">
        <v>3618</v>
      </c>
      <c r="H861" s="118" t="s">
        <v>3638</v>
      </c>
      <c r="I861" s="118" t="s">
        <v>6536</v>
      </c>
      <c r="J861" s="118" t="s">
        <v>4795</v>
      </c>
      <c r="K861" s="141"/>
      <c r="L861" s="135" t="str">
        <f t="shared" si="50"/>
        <v>Mus oubanguii</v>
      </c>
      <c r="M861" s="133">
        <v>-999</v>
      </c>
      <c r="N861" s="133">
        <v>-999</v>
      </c>
      <c r="O861" s="179" t="s">
        <v>3356</v>
      </c>
      <c r="P861" s="108">
        <v>-999</v>
      </c>
      <c r="Q861" s="80" t="s">
        <v>6988</v>
      </c>
    </row>
    <row r="862" spans="1:20" ht="25.5">
      <c r="A862" s="213" t="s">
        <v>2778</v>
      </c>
      <c r="B862" s="141" t="s">
        <v>3131</v>
      </c>
      <c r="C862" s="118" t="s">
        <v>3817</v>
      </c>
      <c r="D862" s="141"/>
      <c r="E862" s="118"/>
      <c r="F862" s="118"/>
      <c r="G862" s="118" t="s">
        <v>3618</v>
      </c>
      <c r="H862" s="118" t="s">
        <v>3638</v>
      </c>
      <c r="I862" s="118" t="s">
        <v>6536</v>
      </c>
      <c r="J862" s="118" t="s">
        <v>4799</v>
      </c>
      <c r="K862" s="141"/>
      <c r="L862" s="135" t="str">
        <f t="shared" si="50"/>
        <v>Mus sorella</v>
      </c>
      <c r="M862" s="133">
        <v>-999</v>
      </c>
      <c r="N862" s="133">
        <v>-999</v>
      </c>
      <c r="O862" s="179" t="s">
        <v>3356</v>
      </c>
      <c r="P862" s="108">
        <v>-999</v>
      </c>
      <c r="Q862" s="80"/>
    </row>
    <row r="863" spans="1:20" ht="25.5">
      <c r="A863" s="213" t="s">
        <v>2778</v>
      </c>
      <c r="B863" s="141" t="s">
        <v>6037</v>
      </c>
      <c r="C863" s="118" t="s">
        <v>3817</v>
      </c>
      <c r="D863" s="141"/>
      <c r="E863" s="118"/>
      <c r="F863" s="118"/>
      <c r="G863" s="118" t="s">
        <v>3618</v>
      </c>
      <c r="H863" s="118" t="s">
        <v>3638</v>
      </c>
      <c r="I863" s="118" t="s">
        <v>6536</v>
      </c>
      <c r="J863" s="118" t="s">
        <v>2446</v>
      </c>
      <c r="K863" s="141"/>
      <c r="L863" s="135" t="str">
        <f t="shared" si="50"/>
        <v>Mus tenellus</v>
      </c>
      <c r="M863" s="133">
        <v>-999</v>
      </c>
      <c r="N863" s="133">
        <v>-999</v>
      </c>
      <c r="O863" s="179" t="s">
        <v>3356</v>
      </c>
      <c r="P863" s="108">
        <v>-999</v>
      </c>
      <c r="Q863" s="80"/>
    </row>
    <row r="864" spans="1:20">
      <c r="A864" s="213" t="s">
        <v>2778</v>
      </c>
      <c r="B864" s="130"/>
      <c r="C864" s="118" t="s">
        <v>3817</v>
      </c>
      <c r="D864" s="141"/>
      <c r="E864" s="118"/>
      <c r="F864" s="118"/>
      <c r="G864" s="118" t="s">
        <v>3618</v>
      </c>
      <c r="H864" s="118" t="s">
        <v>3638</v>
      </c>
      <c r="I864" s="118" t="s">
        <v>6536</v>
      </c>
      <c r="J864" s="118" t="s">
        <v>5455</v>
      </c>
      <c r="K864" s="141"/>
      <c r="L864" s="135" t="str">
        <f t="shared" si="50"/>
        <v>Mus musculoides</v>
      </c>
      <c r="M864" s="133">
        <f t="shared" ref="M864:M874" si="52">LOG(N864)</f>
        <v>0.77815125038364363</v>
      </c>
      <c r="N864" s="133">
        <v>6</v>
      </c>
      <c r="O864" s="179" t="s">
        <v>6736</v>
      </c>
      <c r="P864" s="108">
        <v>68</v>
      </c>
    </row>
    <row r="865" spans="1:18">
      <c r="A865" s="213" t="s">
        <v>2778</v>
      </c>
      <c r="B865" s="130"/>
      <c r="C865" s="118" t="s">
        <v>3817</v>
      </c>
      <c r="D865" s="141"/>
      <c r="E865" s="118"/>
      <c r="F865" s="118"/>
      <c r="G865" s="118" t="s">
        <v>3618</v>
      </c>
      <c r="H865" s="118" t="s">
        <v>3638</v>
      </c>
      <c r="I865" s="118" t="s">
        <v>6536</v>
      </c>
      <c r="J865" s="118" t="s">
        <v>4072</v>
      </c>
      <c r="K865" s="141"/>
      <c r="L865" s="135" t="str">
        <f t="shared" si="50"/>
        <v>Mus indutus</v>
      </c>
      <c r="M865" s="133">
        <f t="shared" si="52"/>
        <v>0.78888000000000014</v>
      </c>
      <c r="N865" s="133">
        <v>6.1500691653966353</v>
      </c>
      <c r="O865" s="179" t="s">
        <v>3356</v>
      </c>
      <c r="P865" s="108">
        <v>60</v>
      </c>
    </row>
    <row r="866" spans="1:18">
      <c r="A866" s="213" t="s">
        <v>2778</v>
      </c>
      <c r="B866" s="130"/>
      <c r="C866" s="118" t="s">
        <v>3817</v>
      </c>
      <c r="D866" s="141"/>
      <c r="E866" s="118"/>
      <c r="F866" s="118"/>
      <c r="G866" s="118" t="s">
        <v>3618</v>
      </c>
      <c r="H866" s="118" t="s">
        <v>3638</v>
      </c>
      <c r="I866" s="118" t="s">
        <v>6536</v>
      </c>
      <c r="J866" s="118" t="s">
        <v>3414</v>
      </c>
      <c r="K866" s="141"/>
      <c r="L866" s="135" t="str">
        <f t="shared" si="50"/>
        <v>Mus setzeri</v>
      </c>
      <c r="M866" s="133">
        <f t="shared" si="52"/>
        <v>0.82282000000000011</v>
      </c>
      <c r="N866" s="133">
        <v>6.6499748068525486</v>
      </c>
      <c r="O866" s="179" t="s">
        <v>3356</v>
      </c>
      <c r="P866" s="108">
        <v>60</v>
      </c>
    </row>
    <row r="867" spans="1:18">
      <c r="A867" s="213" t="s">
        <v>2778</v>
      </c>
      <c r="B867" s="130"/>
      <c r="C867" s="118" t="s">
        <v>3817</v>
      </c>
      <c r="D867" s="141"/>
      <c r="E867" s="118"/>
      <c r="F867" s="118"/>
      <c r="G867" s="118" t="s">
        <v>3618</v>
      </c>
      <c r="H867" s="118" t="s">
        <v>3638</v>
      </c>
      <c r="I867" s="118" t="s">
        <v>6536</v>
      </c>
      <c r="J867" s="118" t="s">
        <v>4074</v>
      </c>
      <c r="K867" s="141"/>
      <c r="L867" s="135" t="str">
        <f t="shared" si="50"/>
        <v>Mus minutoides</v>
      </c>
      <c r="M867" s="133">
        <f t="shared" si="52"/>
        <v>0.84578684980480934</v>
      </c>
      <c r="N867" s="133">
        <f>AVERAGE(5.8, 5.5, 6.2, 6.3, 7, 7.1, 8.7, 6.5, 10)</f>
        <v>7.0111111111111102</v>
      </c>
      <c r="O867" s="179" t="s">
        <v>3356</v>
      </c>
      <c r="P867" s="108" t="s">
        <v>1545</v>
      </c>
      <c r="R867" s="85" t="s">
        <v>1546</v>
      </c>
    </row>
    <row r="868" spans="1:18">
      <c r="A868" s="213" t="s">
        <v>2778</v>
      </c>
      <c r="B868" s="130"/>
      <c r="C868" s="118" t="s">
        <v>3817</v>
      </c>
      <c r="D868" s="141"/>
      <c r="E868" s="118"/>
      <c r="F868" s="118"/>
      <c r="G868" s="118" t="s">
        <v>3618</v>
      </c>
      <c r="H868" s="118" t="s">
        <v>3638</v>
      </c>
      <c r="I868" s="118" t="s">
        <v>6536</v>
      </c>
      <c r="J868" s="118" t="s">
        <v>6537</v>
      </c>
      <c r="K868" s="141"/>
      <c r="L868" s="135" t="str">
        <f t="shared" si="50"/>
        <v>Mus bufo</v>
      </c>
      <c r="M868" s="133">
        <f t="shared" si="52"/>
        <v>0.96378782734555524</v>
      </c>
      <c r="N868" s="133">
        <v>9.1999999999999993</v>
      </c>
      <c r="O868" s="179" t="s">
        <v>3356</v>
      </c>
      <c r="P868" s="108">
        <v>135</v>
      </c>
    </row>
    <row r="869" spans="1:18">
      <c r="A869" s="213" t="s">
        <v>2778</v>
      </c>
      <c r="B869" s="130"/>
      <c r="C869" s="118" t="s">
        <v>3817</v>
      </c>
      <c r="D869" s="141"/>
      <c r="E869" s="118"/>
      <c r="F869" s="118"/>
      <c r="G869" s="118" t="s">
        <v>3618</v>
      </c>
      <c r="H869" s="118" t="s">
        <v>3638</v>
      </c>
      <c r="I869" s="118" t="s">
        <v>6536</v>
      </c>
      <c r="J869" s="118" t="s">
        <v>4308</v>
      </c>
      <c r="K869" s="141"/>
      <c r="L869" s="135" t="str">
        <f t="shared" si="50"/>
        <v>Mus setulosus</v>
      </c>
      <c r="M869" s="133">
        <f t="shared" si="52"/>
        <v>0.97313000000000016</v>
      </c>
      <c r="N869" s="133">
        <v>9.4000464574465781</v>
      </c>
      <c r="O869" s="179" t="s">
        <v>3356</v>
      </c>
      <c r="P869" s="108">
        <v>60</v>
      </c>
    </row>
    <row r="870" spans="1:18">
      <c r="A870" s="213" t="s">
        <v>2778</v>
      </c>
      <c r="B870" s="130"/>
      <c r="C870" s="118" t="s">
        <v>3817</v>
      </c>
      <c r="D870" s="141"/>
      <c r="E870" s="118"/>
      <c r="F870" s="118"/>
      <c r="G870" s="118" t="s">
        <v>3618</v>
      </c>
      <c r="H870" s="118" t="s">
        <v>3638</v>
      </c>
      <c r="I870" s="118" t="s">
        <v>6536</v>
      </c>
      <c r="J870" s="118" t="s">
        <v>4073</v>
      </c>
      <c r="K870" s="141"/>
      <c r="L870" s="135" t="str">
        <f t="shared" si="50"/>
        <v>Mus mahomet</v>
      </c>
      <c r="M870" s="133">
        <f t="shared" si="52"/>
        <v>1</v>
      </c>
      <c r="N870" s="133">
        <v>10</v>
      </c>
      <c r="O870" s="179" t="s">
        <v>3356</v>
      </c>
      <c r="P870" s="108">
        <v>60</v>
      </c>
    </row>
    <row r="871" spans="1:18">
      <c r="A871" s="217" t="s">
        <v>2778</v>
      </c>
      <c r="B871" s="130"/>
      <c r="C871" s="131" t="s">
        <v>3817</v>
      </c>
      <c r="D871" s="130"/>
      <c r="E871" s="131"/>
      <c r="F871" s="131"/>
      <c r="G871" s="131" t="s">
        <v>3618</v>
      </c>
      <c r="H871" s="131" t="s">
        <v>3638</v>
      </c>
      <c r="I871" s="131" t="s">
        <v>6536</v>
      </c>
      <c r="J871" s="131" t="s">
        <v>5456</v>
      </c>
      <c r="K871" s="130"/>
      <c r="L871" s="135" t="str">
        <f t="shared" si="50"/>
        <v>Mus spretus</v>
      </c>
      <c r="M871" s="133">
        <f t="shared" si="52"/>
        <v>1.1072099696478683</v>
      </c>
      <c r="N871" s="132">
        <v>12.8</v>
      </c>
      <c r="O871" s="184" t="s">
        <v>6736</v>
      </c>
      <c r="P871" s="117">
        <v>68</v>
      </c>
    </row>
    <row r="872" spans="1:18">
      <c r="A872" s="213" t="s">
        <v>2778</v>
      </c>
      <c r="B872" s="130"/>
      <c r="C872" s="118" t="s">
        <v>3817</v>
      </c>
      <c r="D872" s="141"/>
      <c r="E872" s="118"/>
      <c r="F872" s="118"/>
      <c r="G872" s="118" t="s">
        <v>3618</v>
      </c>
      <c r="H872" s="118" t="s">
        <v>3638</v>
      </c>
      <c r="I872" s="118" t="s">
        <v>6536</v>
      </c>
      <c r="J872" s="118" t="s">
        <v>4316</v>
      </c>
      <c r="K872" s="141"/>
      <c r="L872" s="135" t="str">
        <f t="shared" si="50"/>
        <v>Mus triton</v>
      </c>
      <c r="M872" s="133">
        <f t="shared" si="52"/>
        <v>1.1319392952104246</v>
      </c>
      <c r="N872" s="133">
        <v>13.55</v>
      </c>
      <c r="O872" s="179" t="s">
        <v>1304</v>
      </c>
      <c r="P872" s="108">
        <v>135</v>
      </c>
    </row>
    <row r="873" spans="1:18">
      <c r="A873" s="213" t="s">
        <v>2778</v>
      </c>
      <c r="B873" s="130"/>
      <c r="C873" s="118" t="s">
        <v>3817</v>
      </c>
      <c r="D873" s="141"/>
      <c r="E873" s="118"/>
      <c r="F873" s="118"/>
      <c r="G873" s="118" t="s">
        <v>3618</v>
      </c>
      <c r="H873" s="118" t="s">
        <v>3638</v>
      </c>
      <c r="I873" s="118" t="s">
        <v>6536</v>
      </c>
      <c r="J873" s="118" t="s">
        <v>4307</v>
      </c>
      <c r="K873" s="141"/>
      <c r="L873" s="135" t="str">
        <f t="shared" si="50"/>
        <v>Mus musculus</v>
      </c>
      <c r="M873" s="133">
        <f t="shared" si="52"/>
        <v>1.2367900591726726</v>
      </c>
      <c r="N873" s="133">
        <f>AVERAGE(13, 21.5000762429056)</f>
        <v>17.2500381214528</v>
      </c>
      <c r="O873" s="179" t="s">
        <v>3356</v>
      </c>
      <c r="P873" s="108" t="s">
        <v>1608</v>
      </c>
      <c r="R873" s="85" t="s">
        <v>1921</v>
      </c>
    </row>
    <row r="874" spans="1:18">
      <c r="A874" s="213" t="s">
        <v>2778</v>
      </c>
      <c r="B874" s="130"/>
      <c r="C874" s="121" t="s">
        <v>3817</v>
      </c>
      <c r="D874" s="156"/>
      <c r="E874" s="121"/>
      <c r="F874" s="121"/>
      <c r="G874" s="121" t="s">
        <v>3618</v>
      </c>
      <c r="H874" s="118" t="s">
        <v>3638</v>
      </c>
      <c r="I874" s="121" t="s">
        <v>4309</v>
      </c>
      <c r="J874" s="121" t="s">
        <v>4412</v>
      </c>
      <c r="K874" s="156"/>
      <c r="L874" s="135" t="str">
        <f t="shared" si="50"/>
        <v>Mylomys dybowskii</v>
      </c>
      <c r="M874" s="133">
        <f t="shared" si="52"/>
        <v>2.0584260244570056</v>
      </c>
      <c r="N874" s="143">
        <f>AVERAGE(118, 110.8)</f>
        <v>114.4</v>
      </c>
      <c r="O874" s="179" t="s">
        <v>1516</v>
      </c>
      <c r="P874" s="108">
        <v>135</v>
      </c>
    </row>
    <row r="875" spans="1:18" ht="36" customHeight="1">
      <c r="A875" s="213" t="s">
        <v>2778</v>
      </c>
      <c r="B875" s="141" t="s">
        <v>6141</v>
      </c>
      <c r="C875" s="118" t="s">
        <v>3817</v>
      </c>
      <c r="D875" s="141"/>
      <c r="E875" s="118"/>
      <c r="F875" s="118"/>
      <c r="G875" s="118" t="s">
        <v>3618</v>
      </c>
      <c r="H875" s="118" t="s">
        <v>3638</v>
      </c>
      <c r="I875" s="118" t="s">
        <v>4310</v>
      </c>
      <c r="J875" s="118" t="s">
        <v>4032</v>
      </c>
      <c r="K875" s="141"/>
      <c r="L875" s="135" t="str">
        <f t="shared" si="50"/>
        <v>Myomys albipes</v>
      </c>
      <c r="M875" s="133">
        <v>-999</v>
      </c>
      <c r="N875" s="133">
        <v>-999</v>
      </c>
      <c r="O875" s="179" t="s">
        <v>3356</v>
      </c>
      <c r="P875" s="108">
        <v>-999</v>
      </c>
      <c r="Q875" s="80" t="s">
        <v>6642</v>
      </c>
      <c r="R875" s="89"/>
    </row>
    <row r="876" spans="1:18">
      <c r="A876" s="213" t="s">
        <v>2778</v>
      </c>
      <c r="B876" s="130"/>
      <c r="C876" s="118" t="s">
        <v>3817</v>
      </c>
      <c r="D876" s="141"/>
      <c r="E876" s="118"/>
      <c r="F876" s="118"/>
      <c r="G876" s="118" t="s">
        <v>3618</v>
      </c>
      <c r="H876" s="118" t="s">
        <v>3638</v>
      </c>
      <c r="I876" s="118" t="s">
        <v>4310</v>
      </c>
      <c r="J876" s="118" t="s">
        <v>4163</v>
      </c>
      <c r="K876" s="141"/>
      <c r="L876" s="135" t="str">
        <f t="shared" si="50"/>
        <v>Myomys fumatus</v>
      </c>
      <c r="M876" s="133">
        <f t="shared" ref="M876:M885" si="53">LOG(N876)</f>
        <v>1.4771212547196624</v>
      </c>
      <c r="N876" s="133">
        <v>30</v>
      </c>
      <c r="O876" s="179" t="s">
        <v>1302</v>
      </c>
      <c r="P876" s="115">
        <v>135</v>
      </c>
    </row>
    <row r="877" spans="1:18" ht="24" customHeight="1">
      <c r="A877" s="213" t="s">
        <v>2778</v>
      </c>
      <c r="B877" s="130"/>
      <c r="C877" s="118" t="s">
        <v>3817</v>
      </c>
      <c r="D877" s="141"/>
      <c r="E877" s="118"/>
      <c r="F877" s="118"/>
      <c r="G877" s="118" t="s">
        <v>3618</v>
      </c>
      <c r="H877" s="118" t="s">
        <v>3638</v>
      </c>
      <c r="I877" s="118" t="s">
        <v>4310</v>
      </c>
      <c r="J877" s="118" t="s">
        <v>4312</v>
      </c>
      <c r="K877" s="141"/>
      <c r="L877" s="135" t="str">
        <f t="shared" si="50"/>
        <v>Myomys derooi</v>
      </c>
      <c r="M877" s="133">
        <f t="shared" si="53"/>
        <v>1.5051500000000002</v>
      </c>
      <c r="N877" s="133">
        <v>32.000001597448417</v>
      </c>
      <c r="O877" s="179" t="s">
        <v>3356</v>
      </c>
      <c r="P877" s="115">
        <v>130</v>
      </c>
      <c r="R877" s="85" t="s">
        <v>1562</v>
      </c>
    </row>
    <row r="878" spans="1:18">
      <c r="A878" s="213" t="s">
        <v>2778</v>
      </c>
      <c r="B878" s="130"/>
      <c r="C878" s="118" t="s">
        <v>3817</v>
      </c>
      <c r="D878" s="141"/>
      <c r="E878" s="118"/>
      <c r="F878" s="118"/>
      <c r="G878" s="118" t="s">
        <v>3618</v>
      </c>
      <c r="H878" s="118" t="s">
        <v>3638</v>
      </c>
      <c r="I878" s="118" t="s">
        <v>4310</v>
      </c>
      <c r="J878" s="118" t="s">
        <v>4311</v>
      </c>
      <c r="K878" s="141"/>
      <c r="L878" s="135" t="str">
        <f t="shared" si="50"/>
        <v>Myomys daltoni</v>
      </c>
      <c r="M878" s="133">
        <f t="shared" si="53"/>
        <v>1.5854607295085006</v>
      </c>
      <c r="N878" s="133">
        <f>AVERAGE(40, 37)</f>
        <v>38.5</v>
      </c>
      <c r="O878" s="179" t="s">
        <v>3356</v>
      </c>
      <c r="P878" s="115" t="s">
        <v>1560</v>
      </c>
      <c r="R878" s="85" t="s">
        <v>1561</v>
      </c>
    </row>
    <row r="879" spans="1:18">
      <c r="A879" s="213" t="s">
        <v>2778</v>
      </c>
      <c r="B879" s="130"/>
      <c r="C879" s="118" t="s">
        <v>3817</v>
      </c>
      <c r="D879" s="141"/>
      <c r="E879" s="118"/>
      <c r="F879" s="118"/>
      <c r="G879" s="118" t="s">
        <v>3618</v>
      </c>
      <c r="H879" s="118" t="s">
        <v>3638</v>
      </c>
      <c r="I879" s="118" t="s">
        <v>4310</v>
      </c>
      <c r="J879" s="118" t="s">
        <v>3903</v>
      </c>
      <c r="K879" s="141"/>
      <c r="L879" s="135" t="str">
        <f t="shared" si="50"/>
        <v>Myomys verreauxii</v>
      </c>
      <c r="M879" s="133">
        <f t="shared" si="53"/>
        <v>1.6127838567197355</v>
      </c>
      <c r="N879" s="133">
        <f>AVERAGE(44, 38)</f>
        <v>41</v>
      </c>
      <c r="O879" s="179" t="s">
        <v>3356</v>
      </c>
      <c r="P879" s="115">
        <v>129</v>
      </c>
    </row>
    <row r="880" spans="1:18">
      <c r="A880" s="213" t="s">
        <v>2778</v>
      </c>
      <c r="B880" s="130"/>
      <c r="C880" s="118" t="s">
        <v>3817</v>
      </c>
      <c r="D880" s="141"/>
      <c r="E880" s="118"/>
      <c r="F880" s="118"/>
      <c r="G880" s="118" t="s">
        <v>3618</v>
      </c>
      <c r="H880" s="118" t="s">
        <v>3638</v>
      </c>
      <c r="I880" s="118" t="s">
        <v>4310</v>
      </c>
      <c r="J880" s="118" t="s">
        <v>3902</v>
      </c>
      <c r="K880" s="141"/>
      <c r="L880" s="135" t="str">
        <f t="shared" si="50"/>
        <v>Myomys ruppi</v>
      </c>
      <c r="M880" s="133">
        <f t="shared" si="53"/>
        <v>1.6901999999999999</v>
      </c>
      <c r="N880" s="133">
        <v>49.000442279323579</v>
      </c>
      <c r="O880" s="179" t="s">
        <v>3356</v>
      </c>
      <c r="P880" s="115">
        <v>-999</v>
      </c>
      <c r="Q880" s="90" t="s">
        <v>6988</v>
      </c>
    </row>
    <row r="881" spans="1:17">
      <c r="A881" s="213" t="s">
        <v>2778</v>
      </c>
      <c r="B881" s="130"/>
      <c r="C881" s="118" t="s">
        <v>3817</v>
      </c>
      <c r="D881" s="141"/>
      <c r="E881" s="118"/>
      <c r="F881" s="118"/>
      <c r="G881" s="118" t="s">
        <v>3618</v>
      </c>
      <c r="H881" s="118" t="s">
        <v>3638</v>
      </c>
      <c r="I881" s="118" t="s">
        <v>3904</v>
      </c>
      <c r="J881" s="118" t="s">
        <v>3431</v>
      </c>
      <c r="K881" s="141"/>
      <c r="L881" s="135" t="str">
        <f t="shared" si="50"/>
        <v>Mystromys albicaudatus</v>
      </c>
      <c r="M881" s="133">
        <f t="shared" si="53"/>
        <v>1.9387698227831174</v>
      </c>
      <c r="N881" s="133">
        <f>AVERAGE(95.7, 78)</f>
        <v>86.85</v>
      </c>
      <c r="O881" s="179" t="s">
        <v>3356</v>
      </c>
      <c r="P881" s="108">
        <v>129</v>
      </c>
      <c r="Q881" s="90" t="s">
        <v>6988</v>
      </c>
    </row>
    <row r="882" spans="1:17">
      <c r="A882" s="213" t="s">
        <v>2778</v>
      </c>
      <c r="B882" s="130"/>
      <c r="C882" s="118" t="s">
        <v>3817</v>
      </c>
      <c r="D882" s="141"/>
      <c r="E882" s="118"/>
      <c r="F882" s="118"/>
      <c r="G882" s="118" t="s">
        <v>3618</v>
      </c>
      <c r="H882" s="118" t="s">
        <v>3638</v>
      </c>
      <c r="I882" s="118" t="s">
        <v>3432</v>
      </c>
      <c r="J882" s="118" t="s">
        <v>4336</v>
      </c>
      <c r="K882" s="141"/>
      <c r="L882" s="135" t="str">
        <f t="shared" si="50"/>
        <v>Nannospalax ehrenbergi</v>
      </c>
      <c r="M882" s="133">
        <f t="shared" si="53"/>
        <v>2.2455099999999999</v>
      </c>
      <c r="N882" s="133">
        <v>175.99891885836047</v>
      </c>
      <c r="O882" s="179" t="s">
        <v>3356</v>
      </c>
      <c r="P882" s="108">
        <v>60</v>
      </c>
    </row>
    <row r="883" spans="1:17">
      <c r="A883" s="213" t="s">
        <v>2778</v>
      </c>
      <c r="B883" s="130"/>
      <c r="C883" s="118" t="s">
        <v>3817</v>
      </c>
      <c r="D883" s="141"/>
      <c r="E883" s="118"/>
      <c r="F883" s="118"/>
      <c r="G883" s="118" t="s">
        <v>3618</v>
      </c>
      <c r="H883" s="118" t="s">
        <v>3638</v>
      </c>
      <c r="I883" s="118" t="s">
        <v>4337</v>
      </c>
      <c r="J883" s="118" t="s">
        <v>4108</v>
      </c>
      <c r="K883" s="141"/>
      <c r="L883" s="135" t="str">
        <f t="shared" si="50"/>
        <v>Nesokia indica</v>
      </c>
      <c r="M883" s="133">
        <f t="shared" si="53"/>
        <v>2.2516400000000005</v>
      </c>
      <c r="N883" s="133">
        <v>178.50073141764005</v>
      </c>
      <c r="O883" s="179" t="s">
        <v>3356</v>
      </c>
      <c r="P883" s="108">
        <v>64</v>
      </c>
    </row>
    <row r="884" spans="1:17">
      <c r="A884" s="213" t="s">
        <v>2778</v>
      </c>
      <c r="B884" s="141" t="s">
        <v>2404</v>
      </c>
      <c r="C884" s="118" t="s">
        <v>3817</v>
      </c>
      <c r="D884" s="141"/>
      <c r="E884" s="118"/>
      <c r="F884" s="118"/>
      <c r="G884" s="118" t="s">
        <v>3618</v>
      </c>
      <c r="H884" s="118" t="s">
        <v>3638</v>
      </c>
      <c r="I884" s="118" t="s">
        <v>4321</v>
      </c>
      <c r="J884" s="118" t="s">
        <v>4907</v>
      </c>
      <c r="K884" s="141"/>
      <c r="L884" s="135" t="str">
        <f t="shared" si="50"/>
        <v>Oenomys ornatus</v>
      </c>
      <c r="M884" s="133">
        <f t="shared" si="53"/>
        <v>1.9319661147281726</v>
      </c>
      <c r="N884" s="133">
        <f>AVERAGE(50, 121)</f>
        <v>85.5</v>
      </c>
      <c r="O884" s="179" t="s">
        <v>3356</v>
      </c>
      <c r="P884" s="108">
        <v>70</v>
      </c>
    </row>
    <row r="885" spans="1:17">
      <c r="A885" s="213" t="s">
        <v>2778</v>
      </c>
      <c r="B885" s="130"/>
      <c r="C885" s="118" t="s">
        <v>3817</v>
      </c>
      <c r="D885" s="141"/>
      <c r="E885" s="118"/>
      <c r="F885" s="118"/>
      <c r="G885" s="118" t="s">
        <v>3618</v>
      </c>
      <c r="H885" s="118" t="s">
        <v>3638</v>
      </c>
      <c r="I885" s="118" t="s">
        <v>4321</v>
      </c>
      <c r="J885" s="118" t="s">
        <v>4322</v>
      </c>
      <c r="K885" s="141"/>
      <c r="L885" s="135" t="str">
        <f t="shared" si="50"/>
        <v>Oenomys hypoxanthus</v>
      </c>
      <c r="M885" s="133">
        <f t="shared" si="53"/>
        <v>1.9542400000000002</v>
      </c>
      <c r="N885" s="133">
        <v>89.999479963720162</v>
      </c>
      <c r="O885" s="179" t="s">
        <v>3356</v>
      </c>
      <c r="P885" s="108" t="s">
        <v>2835</v>
      </c>
      <c r="Q885" s="90" t="s">
        <v>6987</v>
      </c>
    </row>
    <row r="886" spans="1:17" ht="25.5">
      <c r="A886" s="213" t="s">
        <v>2778</v>
      </c>
      <c r="B886" s="141" t="s">
        <v>5762</v>
      </c>
      <c r="C886" s="118" t="s">
        <v>3817</v>
      </c>
      <c r="D886" s="141"/>
      <c r="E886" s="118"/>
      <c r="F886" s="118"/>
      <c r="G886" s="118" t="s">
        <v>3618</v>
      </c>
      <c r="H886" s="118" t="s">
        <v>3638</v>
      </c>
      <c r="I886" s="118" t="s">
        <v>4323</v>
      </c>
      <c r="J886" s="118" t="s">
        <v>5596</v>
      </c>
      <c r="K886" s="141"/>
      <c r="L886" s="135" t="str">
        <f t="shared" si="50"/>
        <v>Otomys anchietae</v>
      </c>
      <c r="M886" s="133">
        <v>-999</v>
      </c>
      <c r="N886" s="133">
        <v>-999</v>
      </c>
      <c r="O886" s="179" t="s">
        <v>3356</v>
      </c>
      <c r="P886" s="108">
        <v>-999</v>
      </c>
      <c r="Q886" s="80" t="s">
        <v>6642</v>
      </c>
    </row>
    <row r="887" spans="1:17">
      <c r="A887" s="213" t="s">
        <v>2778</v>
      </c>
      <c r="B887" s="141" t="s">
        <v>7666</v>
      </c>
      <c r="C887" s="118" t="s">
        <v>3817</v>
      </c>
      <c r="D887" s="141"/>
      <c r="E887" s="118"/>
      <c r="F887" s="118"/>
      <c r="G887" s="118" t="s">
        <v>3618</v>
      </c>
      <c r="H887" s="118" t="s">
        <v>3638</v>
      </c>
      <c r="I887" s="118" t="s">
        <v>4323</v>
      </c>
      <c r="J887" s="118" t="s">
        <v>4843</v>
      </c>
      <c r="K887" s="141"/>
      <c r="L887" s="135" t="str">
        <f t="shared" si="50"/>
        <v>Otomys occidentalis</v>
      </c>
      <c r="M887" s="133">
        <v>-999</v>
      </c>
      <c r="N887" s="133">
        <v>-999</v>
      </c>
      <c r="O887" s="179" t="s">
        <v>3356</v>
      </c>
      <c r="P887" s="108">
        <v>-999</v>
      </c>
      <c r="Q887" s="80" t="s">
        <v>6640</v>
      </c>
    </row>
    <row r="888" spans="1:17" ht="51">
      <c r="A888" s="213" t="s">
        <v>2778</v>
      </c>
      <c r="B888" s="141" t="s">
        <v>7769</v>
      </c>
      <c r="C888" s="118" t="s">
        <v>3817</v>
      </c>
      <c r="D888" s="141"/>
      <c r="E888" s="118"/>
      <c r="F888" s="118"/>
      <c r="G888" s="118" t="s">
        <v>3618</v>
      </c>
      <c r="H888" s="118" t="s">
        <v>3638</v>
      </c>
      <c r="I888" s="118" t="s">
        <v>4323</v>
      </c>
      <c r="J888" s="118" t="s">
        <v>3509</v>
      </c>
      <c r="K888" s="141"/>
      <c r="L888" s="135" t="str">
        <f t="shared" si="50"/>
        <v>Otomys typus</v>
      </c>
      <c r="M888" s="133">
        <v>-999</v>
      </c>
      <c r="N888" s="133">
        <v>-999</v>
      </c>
      <c r="O888" s="179" t="s">
        <v>3356</v>
      </c>
      <c r="P888" s="108">
        <v>-999</v>
      </c>
      <c r="Q888" s="80" t="s">
        <v>6642</v>
      </c>
    </row>
    <row r="889" spans="1:17">
      <c r="A889" s="213" t="s">
        <v>2778</v>
      </c>
      <c r="B889" s="130"/>
      <c r="C889" s="118" t="s">
        <v>3817</v>
      </c>
      <c r="D889" s="141"/>
      <c r="E889" s="118"/>
      <c r="F889" s="118"/>
      <c r="G889" s="118" t="s">
        <v>3618</v>
      </c>
      <c r="H889" s="118" t="s">
        <v>3638</v>
      </c>
      <c r="I889" s="118" t="s">
        <v>4323</v>
      </c>
      <c r="J889" s="118" t="s">
        <v>3069</v>
      </c>
      <c r="K889" s="141"/>
      <c r="L889" s="135" t="str">
        <f t="shared" si="50"/>
        <v>Otomys saundersiae</v>
      </c>
      <c r="M889" s="133">
        <f t="shared" ref="M889:M900" si="54">LOG(N889)</f>
        <v>2.0128400000000002</v>
      </c>
      <c r="N889" s="133">
        <v>103.00065820841056</v>
      </c>
      <c r="O889" s="179" t="s">
        <v>3356</v>
      </c>
      <c r="P889" s="108">
        <v>60</v>
      </c>
      <c r="Q889" s="90" t="s">
        <v>6642</v>
      </c>
    </row>
    <row r="890" spans="1:17">
      <c r="A890" s="213" t="s">
        <v>2778</v>
      </c>
      <c r="B890" s="130"/>
      <c r="C890" s="118" t="s">
        <v>3817</v>
      </c>
      <c r="D890" s="141"/>
      <c r="E890" s="118"/>
      <c r="F890" s="118"/>
      <c r="G890" s="118" t="s">
        <v>3618</v>
      </c>
      <c r="H890" s="118" t="s">
        <v>3638</v>
      </c>
      <c r="I890" s="118" t="s">
        <v>4323</v>
      </c>
      <c r="J890" s="118" t="s">
        <v>4113</v>
      </c>
      <c r="K890" s="141"/>
      <c r="L890" s="135" t="str">
        <f t="shared" si="50"/>
        <v>Otomys sloggetti</v>
      </c>
      <c r="M890" s="133">
        <f t="shared" si="54"/>
        <v>2.0263289387223491</v>
      </c>
      <c r="N890" s="133">
        <f>AVERAGE(84, 83, 137, 121)</f>
        <v>106.25</v>
      </c>
      <c r="O890" s="179" t="s">
        <v>3356</v>
      </c>
      <c r="P890" s="108" t="s">
        <v>7146</v>
      </c>
      <c r="Q890" s="90" t="s">
        <v>6642</v>
      </c>
    </row>
    <row r="891" spans="1:17" ht="76.5">
      <c r="A891" s="213" t="s">
        <v>2778</v>
      </c>
      <c r="B891" s="141" t="s">
        <v>7663</v>
      </c>
      <c r="C891" s="118" t="s">
        <v>3817</v>
      </c>
      <c r="D891" s="141"/>
      <c r="E891" s="118"/>
      <c r="F891" s="118"/>
      <c r="G891" s="118" t="s">
        <v>3618</v>
      </c>
      <c r="H891" s="118" t="s">
        <v>3638</v>
      </c>
      <c r="I891" s="118" t="s">
        <v>4323</v>
      </c>
      <c r="J891" s="118" t="s">
        <v>4081</v>
      </c>
      <c r="K891" s="141"/>
      <c r="L891" s="135" t="str">
        <f t="shared" si="50"/>
        <v>Otomys tropicalis</v>
      </c>
      <c r="M891" s="133">
        <f t="shared" si="54"/>
        <v>2.0367619308914304</v>
      </c>
      <c r="N891" s="133">
        <f>AVERAGE(101.4, 130.1, 95)</f>
        <v>108.83333333333333</v>
      </c>
      <c r="O891" s="179" t="s">
        <v>3356</v>
      </c>
      <c r="P891" s="108" t="s">
        <v>1277</v>
      </c>
      <c r="Q891" s="90" t="s">
        <v>202</v>
      </c>
    </row>
    <row r="892" spans="1:17">
      <c r="A892" s="213" t="s">
        <v>2778</v>
      </c>
      <c r="B892" s="130"/>
      <c r="C892" s="118" t="s">
        <v>3817</v>
      </c>
      <c r="D892" s="141"/>
      <c r="E892" s="118"/>
      <c r="F892" s="118"/>
      <c r="G892" s="118" t="s">
        <v>3618</v>
      </c>
      <c r="H892" s="118" t="s">
        <v>3638</v>
      </c>
      <c r="I892" s="118" t="s">
        <v>4323</v>
      </c>
      <c r="J892" s="118" t="s">
        <v>6075</v>
      </c>
      <c r="K892" s="141"/>
      <c r="L892" s="135" t="str">
        <f t="shared" si="50"/>
        <v>Otomys irroratus</v>
      </c>
      <c r="M892" s="133">
        <f t="shared" si="54"/>
        <v>2.0719433440030572</v>
      </c>
      <c r="N892" s="133">
        <f>AVERAGE(94, 77, 122, 114, 162.8, 138.3)</f>
        <v>118.01666666666665</v>
      </c>
      <c r="O892" s="179" t="s">
        <v>3356</v>
      </c>
      <c r="P892" s="108" t="s">
        <v>1856</v>
      </c>
    </row>
    <row r="893" spans="1:17" ht="38.25">
      <c r="A893" s="213" t="s">
        <v>2778</v>
      </c>
      <c r="B893" s="141" t="s">
        <v>4966</v>
      </c>
      <c r="C893" s="118" t="s">
        <v>3817</v>
      </c>
      <c r="D893" s="141"/>
      <c r="E893" s="118"/>
      <c r="F893" s="118"/>
      <c r="G893" s="118" t="s">
        <v>3618</v>
      </c>
      <c r="H893" s="118" t="s">
        <v>3638</v>
      </c>
      <c r="I893" s="118" t="s">
        <v>4323</v>
      </c>
      <c r="J893" s="118" t="s">
        <v>2126</v>
      </c>
      <c r="K893" s="141"/>
      <c r="L893" s="135" t="str">
        <f t="shared" si="50"/>
        <v>Otomys denti</v>
      </c>
      <c r="M893" s="133">
        <f t="shared" si="54"/>
        <v>2.0791812460476247</v>
      </c>
      <c r="N893" s="133">
        <v>120</v>
      </c>
      <c r="O893" s="179" t="s">
        <v>3356</v>
      </c>
      <c r="P893" s="108">
        <v>135</v>
      </c>
      <c r="Q893" s="80" t="s">
        <v>6642</v>
      </c>
    </row>
    <row r="894" spans="1:17">
      <c r="A894" s="213" t="s">
        <v>2778</v>
      </c>
      <c r="B894" s="130"/>
      <c r="C894" s="118" t="s">
        <v>3817</v>
      </c>
      <c r="D894" s="141"/>
      <c r="E894" s="118"/>
      <c r="F894" s="118"/>
      <c r="G894" s="118" t="s">
        <v>3618</v>
      </c>
      <c r="H894" s="118" t="s">
        <v>3638</v>
      </c>
      <c r="I894" s="118" t="s">
        <v>4323</v>
      </c>
      <c r="J894" s="118" t="s">
        <v>4105</v>
      </c>
      <c r="K894" s="141"/>
      <c r="L894" s="135" t="str">
        <f t="shared" si="50"/>
        <v>Otomys angoniensis</v>
      </c>
      <c r="M894" s="133">
        <f t="shared" si="54"/>
        <v>2.0860037056183818</v>
      </c>
      <c r="N894" s="133">
        <f>AVERAGE(121.2, 122.6)</f>
        <v>121.9</v>
      </c>
      <c r="O894" s="179" t="s">
        <v>3356</v>
      </c>
      <c r="P894" s="108">
        <v>260</v>
      </c>
    </row>
    <row r="895" spans="1:17">
      <c r="A895" s="213" t="s">
        <v>2778</v>
      </c>
      <c r="B895" s="130"/>
      <c r="C895" s="118" t="s">
        <v>3817</v>
      </c>
      <c r="D895" s="141"/>
      <c r="E895" s="118"/>
      <c r="F895" s="118"/>
      <c r="G895" s="118" t="s">
        <v>3618</v>
      </c>
      <c r="H895" s="118" t="s">
        <v>3638</v>
      </c>
      <c r="I895" s="118" t="s">
        <v>4323</v>
      </c>
      <c r="J895" s="118" t="s">
        <v>3249</v>
      </c>
      <c r="K895" s="141"/>
      <c r="L895" s="135" t="str">
        <f t="shared" si="50"/>
        <v>Otomys unisulcatus</v>
      </c>
      <c r="M895" s="133">
        <f t="shared" si="54"/>
        <v>2.0951700000000004</v>
      </c>
      <c r="N895" s="133">
        <v>124.50018592639366</v>
      </c>
      <c r="O895" s="179" t="s">
        <v>3356</v>
      </c>
      <c r="P895" s="108">
        <v>60</v>
      </c>
    </row>
    <row r="896" spans="1:17">
      <c r="A896" s="213" t="s">
        <v>2778</v>
      </c>
      <c r="B896" s="130"/>
      <c r="C896" s="118" t="s">
        <v>3817</v>
      </c>
      <c r="D896" s="141"/>
      <c r="E896" s="118"/>
      <c r="F896" s="118"/>
      <c r="G896" s="118" t="s">
        <v>3618</v>
      </c>
      <c r="H896" s="118" t="s">
        <v>3638</v>
      </c>
      <c r="I896" s="118" t="s">
        <v>4323</v>
      </c>
      <c r="J896" s="118" t="s">
        <v>2939</v>
      </c>
      <c r="K896" s="141"/>
      <c r="L896" s="135" t="str">
        <f t="shared" si="50"/>
        <v>Otomys laminatus</v>
      </c>
      <c r="M896" s="133">
        <f t="shared" si="54"/>
        <v>2.1613680022349748</v>
      </c>
      <c r="N896" s="133">
        <f>AVERAGE(150, 140)</f>
        <v>145</v>
      </c>
      <c r="O896" s="179" t="s">
        <v>3356</v>
      </c>
      <c r="P896" s="108" t="s">
        <v>1851</v>
      </c>
    </row>
    <row r="897" spans="1:18">
      <c r="A897" s="213" t="s">
        <v>2778</v>
      </c>
      <c r="B897" s="130"/>
      <c r="C897" s="118" t="s">
        <v>3817</v>
      </c>
      <c r="D897" s="141"/>
      <c r="E897" s="118"/>
      <c r="F897" s="118"/>
      <c r="G897" s="118" t="s">
        <v>3618</v>
      </c>
      <c r="H897" s="118" t="s">
        <v>3638</v>
      </c>
      <c r="I897" s="118" t="s">
        <v>4323</v>
      </c>
      <c r="J897" s="118" t="s">
        <v>3429</v>
      </c>
      <c r="K897" s="141"/>
      <c r="L897" s="135" t="str">
        <f t="shared" si="50"/>
        <v>Otomys maximus</v>
      </c>
      <c r="M897" s="133">
        <f t="shared" si="54"/>
        <v>2.2833000000000006</v>
      </c>
      <c r="N897" s="133">
        <v>191.99945679542901</v>
      </c>
      <c r="O897" s="179" t="s">
        <v>3356</v>
      </c>
      <c r="P897" s="108">
        <v>60</v>
      </c>
    </row>
    <row r="898" spans="1:18" ht="12" customHeight="1">
      <c r="A898" s="213" t="s">
        <v>2778</v>
      </c>
      <c r="B898" s="141" t="s">
        <v>7396</v>
      </c>
      <c r="C898" s="118" t="s">
        <v>3817</v>
      </c>
      <c r="D898" s="141"/>
      <c r="E898" s="118"/>
      <c r="F898" s="118"/>
      <c r="G898" s="118" t="s">
        <v>3618</v>
      </c>
      <c r="H898" s="118" t="s">
        <v>3638</v>
      </c>
      <c r="I898" s="118" t="s">
        <v>4101</v>
      </c>
      <c r="J898" s="118" t="s">
        <v>4102</v>
      </c>
      <c r="K898" s="141"/>
      <c r="L898" s="135" t="str">
        <f t="shared" si="50"/>
        <v>Pachyuromys duprasi</v>
      </c>
      <c r="M898" s="133">
        <f t="shared" si="54"/>
        <v>1.6766936096248666</v>
      </c>
      <c r="N898" s="133">
        <f>AVERAGE(30, 65)</f>
        <v>47.5</v>
      </c>
      <c r="O898" s="179" t="s">
        <v>3356</v>
      </c>
      <c r="P898" s="108">
        <v>70</v>
      </c>
      <c r="R898" s="89"/>
    </row>
    <row r="899" spans="1:18">
      <c r="A899" s="213" t="s">
        <v>2778</v>
      </c>
      <c r="B899" s="130"/>
      <c r="C899" s="118" t="s">
        <v>3817</v>
      </c>
      <c r="D899" s="141"/>
      <c r="E899" s="118"/>
      <c r="F899" s="118"/>
      <c r="G899" s="118" t="s">
        <v>3618</v>
      </c>
      <c r="H899" s="118" t="s">
        <v>3638</v>
      </c>
      <c r="I899" s="118" t="s">
        <v>6388</v>
      </c>
      <c r="J899" s="118" t="s">
        <v>4386</v>
      </c>
      <c r="K899" s="141"/>
      <c r="L899" s="135" t="str">
        <f t="shared" si="50"/>
        <v>Parotomys littledalei</v>
      </c>
      <c r="M899" s="133">
        <f t="shared" si="54"/>
        <v>2.1038000000000001</v>
      </c>
      <c r="N899" s="133">
        <v>126.99891189181123</v>
      </c>
      <c r="O899" s="179" t="s">
        <v>3356</v>
      </c>
      <c r="P899" s="108">
        <v>60</v>
      </c>
    </row>
    <row r="900" spans="1:18" ht="12" customHeight="1">
      <c r="A900" s="213" t="s">
        <v>2778</v>
      </c>
      <c r="B900" s="130"/>
      <c r="C900" s="118" t="s">
        <v>3817</v>
      </c>
      <c r="D900" s="141"/>
      <c r="E900" s="118"/>
      <c r="F900" s="118"/>
      <c r="G900" s="118" t="s">
        <v>3618</v>
      </c>
      <c r="H900" s="118" t="s">
        <v>3638</v>
      </c>
      <c r="I900" s="118" t="s">
        <v>6388</v>
      </c>
      <c r="J900" s="118" t="s">
        <v>3505</v>
      </c>
      <c r="K900" s="141"/>
      <c r="L900" s="135" t="str">
        <f t="shared" si="50"/>
        <v>Parotomys brantsii</v>
      </c>
      <c r="M900" s="133">
        <f t="shared" si="54"/>
        <v>2.1122700000000005</v>
      </c>
      <c r="N900" s="133">
        <v>129.50006905446133</v>
      </c>
      <c r="O900" s="179" t="s">
        <v>3356</v>
      </c>
      <c r="P900" s="108">
        <v>60</v>
      </c>
      <c r="Q900" s="88"/>
    </row>
    <row r="901" spans="1:18">
      <c r="A901" s="213" t="s">
        <v>2778</v>
      </c>
      <c r="B901" s="141" t="s">
        <v>2786</v>
      </c>
      <c r="C901" s="121" t="s">
        <v>3817</v>
      </c>
      <c r="D901" s="156"/>
      <c r="E901" s="121"/>
      <c r="F901" s="121"/>
      <c r="G901" s="121" t="s">
        <v>3618</v>
      </c>
      <c r="H901" s="118" t="s">
        <v>3638</v>
      </c>
      <c r="I901" s="121" t="s">
        <v>3507</v>
      </c>
      <c r="J901" s="121" t="s">
        <v>5084</v>
      </c>
      <c r="K901" s="156"/>
      <c r="L901" s="135" t="str">
        <f t="shared" ref="L901:L964" si="55">I901&amp;" "&amp;J901</f>
        <v>Pelomys campanae</v>
      </c>
      <c r="M901" s="133">
        <v>-999</v>
      </c>
      <c r="N901" s="143">
        <v>-999</v>
      </c>
      <c r="O901" s="179" t="s">
        <v>3356</v>
      </c>
      <c r="P901" s="108">
        <v>-999</v>
      </c>
      <c r="Q901" s="80"/>
    </row>
    <row r="902" spans="1:18">
      <c r="A902" s="213" t="s">
        <v>2778</v>
      </c>
      <c r="B902" s="141" t="s">
        <v>4789</v>
      </c>
      <c r="C902" s="118" t="s">
        <v>3817</v>
      </c>
      <c r="D902" s="141"/>
      <c r="E902" s="118"/>
      <c r="F902" s="118"/>
      <c r="G902" s="118" t="s">
        <v>3618</v>
      </c>
      <c r="H902" s="118" t="s">
        <v>3638</v>
      </c>
      <c r="I902" s="118" t="s">
        <v>3507</v>
      </c>
      <c r="J902" s="118" t="s">
        <v>5458</v>
      </c>
      <c r="K902" s="141"/>
      <c r="L902" s="135" t="str">
        <f t="shared" si="55"/>
        <v>Pelomys hopkinsi</v>
      </c>
      <c r="M902" s="133">
        <v>-999</v>
      </c>
      <c r="N902" s="133">
        <v>-999</v>
      </c>
      <c r="O902" s="179" t="s">
        <v>3356</v>
      </c>
      <c r="P902" s="108">
        <v>-999</v>
      </c>
      <c r="Q902" s="80" t="s">
        <v>6988</v>
      </c>
    </row>
    <row r="903" spans="1:18" ht="15" customHeight="1">
      <c r="A903" s="213" t="s">
        <v>2778</v>
      </c>
      <c r="B903" s="130"/>
      <c r="C903" s="118" t="s">
        <v>3817</v>
      </c>
      <c r="D903" s="141"/>
      <c r="E903" s="118"/>
      <c r="F903" s="118"/>
      <c r="G903" s="118" t="s">
        <v>3618</v>
      </c>
      <c r="H903" s="118" t="s">
        <v>3638</v>
      </c>
      <c r="I903" s="118" t="s">
        <v>3507</v>
      </c>
      <c r="J903" s="118" t="s">
        <v>3078</v>
      </c>
      <c r="K903" s="141"/>
      <c r="L903" s="135" t="str">
        <f t="shared" si="55"/>
        <v>Pelomys minor</v>
      </c>
      <c r="M903" s="133">
        <f>LOG(N903)</f>
        <v>1.6989700000000001</v>
      </c>
      <c r="N903" s="133">
        <v>49.999999500797408</v>
      </c>
      <c r="O903" s="179" t="s">
        <v>3356</v>
      </c>
      <c r="P903" s="108" t="s">
        <v>2835</v>
      </c>
    </row>
    <row r="904" spans="1:18">
      <c r="A904" s="213" t="s">
        <v>2778</v>
      </c>
      <c r="B904" s="130"/>
      <c r="C904" s="118" t="s">
        <v>3817</v>
      </c>
      <c r="D904" s="141"/>
      <c r="E904" s="118"/>
      <c r="F904" s="118"/>
      <c r="G904" s="118" t="s">
        <v>3618</v>
      </c>
      <c r="H904" s="118" t="s">
        <v>3638</v>
      </c>
      <c r="I904" s="118" t="s">
        <v>3507</v>
      </c>
      <c r="J904" s="118" t="s">
        <v>3077</v>
      </c>
      <c r="K904" s="141"/>
      <c r="L904" s="135" t="str">
        <f t="shared" si="55"/>
        <v>Pelomys isseli</v>
      </c>
      <c r="M904" s="133">
        <f>LOG(N904)</f>
        <v>1.7781500000000001</v>
      </c>
      <c r="N904" s="133">
        <v>59.999827253364401</v>
      </c>
      <c r="O904" s="179" t="s">
        <v>3356</v>
      </c>
      <c r="P904" s="108" t="s">
        <v>2835</v>
      </c>
      <c r="Q904" s="90" t="s">
        <v>6988</v>
      </c>
    </row>
    <row r="905" spans="1:18">
      <c r="A905" s="213" t="s">
        <v>2778</v>
      </c>
      <c r="B905" s="130"/>
      <c r="C905" s="118" t="s">
        <v>3817</v>
      </c>
      <c r="D905" s="141"/>
      <c r="E905" s="118"/>
      <c r="F905" s="118"/>
      <c r="G905" s="118" t="s">
        <v>3618</v>
      </c>
      <c r="H905" s="118" t="s">
        <v>3638</v>
      </c>
      <c r="I905" s="118" t="s">
        <v>3507</v>
      </c>
      <c r="J905" s="118" t="s">
        <v>3782</v>
      </c>
      <c r="K905" s="141"/>
      <c r="L905" s="135" t="str">
        <f t="shared" si="55"/>
        <v>Pelomys fallax</v>
      </c>
      <c r="M905" s="133">
        <f>LOG(N905)</f>
        <v>2.1139400000000004</v>
      </c>
      <c r="N905" s="133">
        <v>129.99899653754548</v>
      </c>
      <c r="O905" s="179" t="s">
        <v>3356</v>
      </c>
      <c r="P905" s="108" t="s">
        <v>2835</v>
      </c>
    </row>
    <row r="906" spans="1:18">
      <c r="A906" s="213" t="s">
        <v>2778</v>
      </c>
      <c r="B906" s="141" t="s">
        <v>2576</v>
      </c>
      <c r="C906" s="118" t="s">
        <v>3817</v>
      </c>
      <c r="D906" s="141"/>
      <c r="E906" s="118"/>
      <c r="F906" s="118"/>
      <c r="G906" s="118" t="s">
        <v>3618</v>
      </c>
      <c r="H906" s="118" t="s">
        <v>3638</v>
      </c>
      <c r="I906" s="118" t="s">
        <v>3079</v>
      </c>
      <c r="J906" s="118" t="s">
        <v>8243</v>
      </c>
      <c r="K906" s="141"/>
      <c r="L906" s="135" t="str">
        <f t="shared" si="55"/>
        <v>Petromyscus barbouri</v>
      </c>
      <c r="M906" s="133">
        <v>-999</v>
      </c>
      <c r="N906" s="133">
        <v>-999</v>
      </c>
      <c r="O906" s="179" t="s">
        <v>3356</v>
      </c>
      <c r="P906" s="108">
        <v>-999</v>
      </c>
      <c r="Q906" s="80" t="s">
        <v>6640</v>
      </c>
    </row>
    <row r="907" spans="1:18" ht="12" customHeight="1">
      <c r="A907" s="213" t="s">
        <v>2778</v>
      </c>
      <c r="B907" s="130"/>
      <c r="C907" s="118" t="s">
        <v>3817</v>
      </c>
      <c r="D907" s="141"/>
      <c r="E907" s="118"/>
      <c r="F907" s="118"/>
      <c r="G907" s="118" t="s">
        <v>3618</v>
      </c>
      <c r="H907" s="118" t="s">
        <v>3638</v>
      </c>
      <c r="I907" s="118" t="s">
        <v>3079</v>
      </c>
      <c r="J907" s="118" t="s">
        <v>3713</v>
      </c>
      <c r="K907" s="141"/>
      <c r="L907" s="135" t="str">
        <f t="shared" si="55"/>
        <v>Petromyscus collinus</v>
      </c>
      <c r="M907" s="133">
        <f>LOG(N907)</f>
        <v>1.3010300000000001</v>
      </c>
      <c r="N907" s="133">
        <v>20.000000199681054</v>
      </c>
      <c r="O907" s="179" t="s">
        <v>3356</v>
      </c>
      <c r="P907" s="108">
        <v>56</v>
      </c>
      <c r="R907" s="89"/>
    </row>
    <row r="908" spans="1:18">
      <c r="A908" s="213" t="s">
        <v>2778</v>
      </c>
      <c r="B908" s="130"/>
      <c r="C908" s="118" t="s">
        <v>3817</v>
      </c>
      <c r="D908" s="141"/>
      <c r="E908" s="118"/>
      <c r="F908" s="118"/>
      <c r="G908" s="118" t="s">
        <v>3618</v>
      </c>
      <c r="H908" s="118" t="s">
        <v>3638</v>
      </c>
      <c r="I908" s="118" t="s">
        <v>3079</v>
      </c>
      <c r="J908" s="118" t="s">
        <v>4712</v>
      </c>
      <c r="K908" s="141"/>
      <c r="L908" s="135" t="str">
        <f t="shared" si="55"/>
        <v>Petromyscus monticularis</v>
      </c>
      <c r="M908" s="133">
        <f>LOG(N908)</f>
        <v>1.3166691313653749</v>
      </c>
      <c r="N908" s="133">
        <f>AVERAGE(20.0000001996811, 20.2, 22)</f>
        <v>20.733333399893699</v>
      </c>
      <c r="O908" s="179" t="s">
        <v>3356</v>
      </c>
      <c r="P908" s="108" t="s">
        <v>6635</v>
      </c>
      <c r="Q908" s="90" t="s">
        <v>6642</v>
      </c>
    </row>
    <row r="909" spans="1:18">
      <c r="A909" s="213" t="s">
        <v>2778</v>
      </c>
      <c r="B909" s="141" t="s">
        <v>5489</v>
      </c>
      <c r="C909" s="118" t="s">
        <v>3817</v>
      </c>
      <c r="D909" s="141"/>
      <c r="E909" s="118"/>
      <c r="F909" s="118"/>
      <c r="G909" s="118" t="s">
        <v>3618</v>
      </c>
      <c r="H909" s="118" t="s">
        <v>3638</v>
      </c>
      <c r="I909" s="118" t="s">
        <v>3079</v>
      </c>
      <c r="J909" s="118" t="s">
        <v>3430</v>
      </c>
      <c r="K909" s="141"/>
      <c r="L909" s="135" t="str">
        <f t="shared" si="55"/>
        <v>Petromyscus shortridgei</v>
      </c>
      <c r="M909" s="133">
        <f>LOG(N909)</f>
        <v>1.667452952889954</v>
      </c>
      <c r="N909" s="133">
        <f>AVERAGE(45, 48)</f>
        <v>46.5</v>
      </c>
      <c r="O909" s="179" t="s">
        <v>6913</v>
      </c>
      <c r="P909" s="108">
        <v>162</v>
      </c>
      <c r="Q909" s="80"/>
    </row>
    <row r="910" spans="1:18" ht="25.5">
      <c r="A910" s="213" t="s">
        <v>2778</v>
      </c>
      <c r="B910" s="141" t="s">
        <v>7502</v>
      </c>
      <c r="C910" s="118" t="s">
        <v>3817</v>
      </c>
      <c r="D910" s="141"/>
      <c r="E910" s="118"/>
      <c r="F910" s="118"/>
      <c r="G910" s="118" t="s">
        <v>3618</v>
      </c>
      <c r="H910" s="118" t="s">
        <v>3638</v>
      </c>
      <c r="I910" s="118" t="s">
        <v>3714</v>
      </c>
      <c r="J910" s="118" t="s">
        <v>7631</v>
      </c>
      <c r="K910" s="141"/>
      <c r="L910" s="135" t="str">
        <f t="shared" si="55"/>
        <v>Praomys hartwigi</v>
      </c>
      <c r="M910" s="133">
        <v>-999</v>
      </c>
      <c r="N910" s="133">
        <v>-999</v>
      </c>
      <c r="O910" s="179" t="s">
        <v>6641</v>
      </c>
      <c r="P910" s="108">
        <v>-999</v>
      </c>
      <c r="Q910" s="80" t="s">
        <v>6640</v>
      </c>
    </row>
    <row r="911" spans="1:18" ht="12" customHeight="1">
      <c r="A911" s="213" t="s">
        <v>2778</v>
      </c>
      <c r="B911" s="141" t="s">
        <v>6064</v>
      </c>
      <c r="C911" s="118" t="s">
        <v>3817</v>
      </c>
      <c r="D911" s="141"/>
      <c r="E911" s="118"/>
      <c r="F911" s="118"/>
      <c r="G911" s="118" t="s">
        <v>3618</v>
      </c>
      <c r="H911" s="118" t="s">
        <v>3638</v>
      </c>
      <c r="I911" s="118" t="s">
        <v>3714</v>
      </c>
      <c r="J911" s="118" t="s">
        <v>3078</v>
      </c>
      <c r="K911" s="141"/>
      <c r="L911" s="135" t="str">
        <f t="shared" si="55"/>
        <v>Praomys minor</v>
      </c>
      <c r="M911" s="133">
        <v>-999</v>
      </c>
      <c r="N911" s="133">
        <v>-999</v>
      </c>
      <c r="O911" s="179" t="s">
        <v>3356</v>
      </c>
      <c r="P911" s="108">
        <v>-999</v>
      </c>
      <c r="Q911" s="80" t="s">
        <v>6988</v>
      </c>
      <c r="R911" s="89"/>
    </row>
    <row r="912" spans="1:18">
      <c r="A912" s="213" t="s">
        <v>2778</v>
      </c>
      <c r="B912" s="141" t="s">
        <v>6064</v>
      </c>
      <c r="C912" s="118" t="s">
        <v>3817</v>
      </c>
      <c r="D912" s="141"/>
      <c r="E912" s="118"/>
      <c r="F912" s="118"/>
      <c r="G912" s="118" t="s">
        <v>3618</v>
      </c>
      <c r="H912" s="118" t="s">
        <v>3638</v>
      </c>
      <c r="I912" s="118" t="s">
        <v>3714</v>
      </c>
      <c r="J912" s="118" t="s">
        <v>5150</v>
      </c>
      <c r="K912" s="141"/>
      <c r="L912" s="135" t="str">
        <f t="shared" si="55"/>
        <v>Praomys misonnei</v>
      </c>
      <c r="M912" s="133">
        <v>-999</v>
      </c>
      <c r="N912" s="133">
        <v>-999</v>
      </c>
      <c r="O912" s="179" t="s">
        <v>3356</v>
      </c>
      <c r="P912" s="108">
        <v>-999</v>
      </c>
      <c r="Q912" s="80"/>
    </row>
    <row r="913" spans="1:18">
      <c r="A913" s="213" t="s">
        <v>2778</v>
      </c>
      <c r="B913" s="141" t="s">
        <v>6064</v>
      </c>
      <c r="C913" s="118" t="s">
        <v>3817</v>
      </c>
      <c r="D913" s="141"/>
      <c r="E913" s="118"/>
      <c r="F913" s="118"/>
      <c r="G913" s="118" t="s">
        <v>3618</v>
      </c>
      <c r="H913" s="118" t="s">
        <v>3638</v>
      </c>
      <c r="I913" s="118" t="s">
        <v>3714</v>
      </c>
      <c r="J913" s="118" t="s">
        <v>5151</v>
      </c>
      <c r="K913" s="141"/>
      <c r="L913" s="135" t="str">
        <f t="shared" si="55"/>
        <v>Praomys mutoni</v>
      </c>
      <c r="M913" s="133">
        <v>-999</v>
      </c>
      <c r="N913" s="133">
        <v>-999</v>
      </c>
      <c r="O913" s="179" t="s">
        <v>3356</v>
      </c>
      <c r="P913" s="108">
        <v>-999</v>
      </c>
      <c r="Q913" s="80" t="s">
        <v>6642</v>
      </c>
    </row>
    <row r="914" spans="1:18">
      <c r="A914" s="213" t="s">
        <v>2778</v>
      </c>
      <c r="B914" s="141" t="s">
        <v>7503</v>
      </c>
      <c r="C914" s="118" t="s">
        <v>3817</v>
      </c>
      <c r="D914" s="141"/>
      <c r="E914" s="118"/>
      <c r="F914" s="118"/>
      <c r="G914" s="118" t="s">
        <v>3618</v>
      </c>
      <c r="H914" s="118" t="s">
        <v>3638</v>
      </c>
      <c r="I914" s="118" t="s">
        <v>3714</v>
      </c>
      <c r="J914" s="118" t="s">
        <v>4048</v>
      </c>
      <c r="K914" s="141"/>
      <c r="L914" s="135" t="str">
        <f t="shared" si="55"/>
        <v>Praomys rostratus</v>
      </c>
      <c r="M914" s="133">
        <v>-999</v>
      </c>
      <c r="N914" s="133">
        <v>-999</v>
      </c>
      <c r="O914" s="179" t="s">
        <v>3356</v>
      </c>
      <c r="P914" s="108">
        <v>-999</v>
      </c>
      <c r="Q914" s="80"/>
    </row>
    <row r="915" spans="1:18">
      <c r="A915" s="213" t="s">
        <v>2778</v>
      </c>
      <c r="B915" s="130"/>
      <c r="C915" s="118" t="s">
        <v>3817</v>
      </c>
      <c r="D915" s="141"/>
      <c r="E915" s="118"/>
      <c r="F915" s="118"/>
      <c r="G915" s="118" t="s">
        <v>3618</v>
      </c>
      <c r="H915" s="118" t="s">
        <v>3638</v>
      </c>
      <c r="I915" s="118" t="s">
        <v>3714</v>
      </c>
      <c r="J915" s="118" t="s">
        <v>3716</v>
      </c>
      <c r="K915" s="141"/>
      <c r="L915" s="135" t="str">
        <f t="shared" si="55"/>
        <v>Praomys morio</v>
      </c>
      <c r="M915" s="133">
        <f>LOG(N915)</f>
        <v>1.4771212547196624</v>
      </c>
      <c r="N915" s="133">
        <v>30</v>
      </c>
      <c r="O915" s="179" t="s">
        <v>3356</v>
      </c>
      <c r="P915" s="108">
        <v>75</v>
      </c>
      <c r="Q915" s="90" t="s">
        <v>6988</v>
      </c>
    </row>
    <row r="916" spans="1:18">
      <c r="A916" s="213" t="s">
        <v>2778</v>
      </c>
      <c r="B916" s="130"/>
      <c r="C916" s="118" t="s">
        <v>3817</v>
      </c>
      <c r="D916" s="141"/>
      <c r="E916" s="118"/>
      <c r="F916" s="118"/>
      <c r="G916" s="118" t="s">
        <v>3618</v>
      </c>
      <c r="H916" s="118" t="s">
        <v>3638</v>
      </c>
      <c r="I916" s="118" t="s">
        <v>3714</v>
      </c>
      <c r="J916" s="118" t="s">
        <v>3717</v>
      </c>
      <c r="K916" s="141"/>
      <c r="L916" s="135" t="str">
        <f t="shared" si="55"/>
        <v>Praomys tullbergi</v>
      </c>
      <c r="M916" s="133">
        <f>LOG(N916)</f>
        <v>1.5541885150980748</v>
      </c>
      <c r="N916" s="133">
        <f>AVERAGE(38,33.6503820999465)</f>
        <v>35.825191049973249</v>
      </c>
      <c r="O916" s="179" t="s">
        <v>3356</v>
      </c>
      <c r="P916" s="108" t="s">
        <v>6637</v>
      </c>
      <c r="R916" s="85" t="s">
        <v>1920</v>
      </c>
    </row>
    <row r="917" spans="1:18" ht="12" customHeight="1">
      <c r="A917" s="213" t="s">
        <v>2778</v>
      </c>
      <c r="B917" s="130"/>
      <c r="C917" s="118" t="s">
        <v>3817</v>
      </c>
      <c r="D917" s="141"/>
      <c r="E917" s="118"/>
      <c r="F917" s="118"/>
      <c r="G917" s="118" t="s">
        <v>3618</v>
      </c>
      <c r="H917" s="118" t="s">
        <v>3638</v>
      </c>
      <c r="I917" s="118" t="s">
        <v>3714</v>
      </c>
      <c r="J917" s="118" t="s">
        <v>3715</v>
      </c>
      <c r="K917" s="141"/>
      <c r="L917" s="135" t="str">
        <f t="shared" si="55"/>
        <v>Praomys delectorum</v>
      </c>
      <c r="M917" s="133">
        <f>LOG(N917)</f>
        <v>1.5563025007672873</v>
      </c>
      <c r="N917" s="133">
        <v>36</v>
      </c>
      <c r="O917" s="179" t="s">
        <v>3356</v>
      </c>
      <c r="P917" s="108">
        <v>125</v>
      </c>
      <c r="R917" s="89"/>
    </row>
    <row r="918" spans="1:18" ht="12" customHeight="1">
      <c r="A918" s="213" t="s">
        <v>2778</v>
      </c>
      <c r="B918" s="130"/>
      <c r="C918" s="118" t="s">
        <v>3817</v>
      </c>
      <c r="D918" s="141"/>
      <c r="E918" s="118"/>
      <c r="F918" s="118"/>
      <c r="G918" s="118" t="s">
        <v>3618</v>
      </c>
      <c r="H918" s="118" t="s">
        <v>3638</v>
      </c>
      <c r="I918" s="118" t="s">
        <v>3714</v>
      </c>
      <c r="J918" s="118" t="s">
        <v>4056</v>
      </c>
      <c r="K918" s="141"/>
      <c r="L918" s="135" t="str">
        <f t="shared" si="55"/>
        <v>Praomys jacksoni</v>
      </c>
      <c r="M918" s="133">
        <f>LOG(N918)</f>
        <v>1.6232492931509284</v>
      </c>
      <c r="N918" s="133">
        <f>AVERAGE(40.0000007987242, 42, 44)</f>
        <v>42.0000002662414</v>
      </c>
      <c r="O918" s="179" t="s">
        <v>3356</v>
      </c>
      <c r="P918" s="108" t="s">
        <v>1559</v>
      </c>
      <c r="Q918" s="90" t="s">
        <v>6987</v>
      </c>
      <c r="R918" s="89" t="s">
        <v>1558</v>
      </c>
    </row>
    <row r="919" spans="1:18" ht="12" customHeight="1">
      <c r="A919" s="213" t="s">
        <v>2778</v>
      </c>
      <c r="B919" s="141" t="s">
        <v>2615</v>
      </c>
      <c r="C919" s="118" t="s">
        <v>3817</v>
      </c>
      <c r="D919" s="141"/>
      <c r="E919" s="118"/>
      <c r="F919" s="118"/>
      <c r="G919" s="118" t="s">
        <v>3618</v>
      </c>
      <c r="H919" s="118" t="s">
        <v>3638</v>
      </c>
      <c r="I919" s="118" t="s">
        <v>8257</v>
      </c>
      <c r="J919" s="118" t="s">
        <v>7222</v>
      </c>
      <c r="K919" s="141"/>
      <c r="L919" s="135" t="str">
        <f t="shared" si="55"/>
        <v>Prionomys batesi</v>
      </c>
      <c r="M919" s="133">
        <f>LOG(N919)</f>
        <v>1.0969100130080565</v>
      </c>
      <c r="N919" s="133">
        <f>AVERAGE(10, 15)</f>
        <v>12.5</v>
      </c>
      <c r="O919" s="179" t="s">
        <v>3356</v>
      </c>
      <c r="P919" s="108">
        <v>70</v>
      </c>
      <c r="Q919" s="90" t="s">
        <v>6642</v>
      </c>
      <c r="R919" s="89"/>
    </row>
    <row r="920" spans="1:18">
      <c r="A920" s="213" t="s">
        <v>2778</v>
      </c>
      <c r="B920" s="141" t="s">
        <v>7628</v>
      </c>
      <c r="C920" s="118" t="s">
        <v>3817</v>
      </c>
      <c r="D920" s="141"/>
      <c r="E920" s="118"/>
      <c r="F920" s="118"/>
      <c r="G920" s="118" t="s">
        <v>3618</v>
      </c>
      <c r="H920" s="118" t="s">
        <v>3638</v>
      </c>
      <c r="I920" s="118" t="s">
        <v>6400</v>
      </c>
      <c r="J920" s="118" t="s">
        <v>3667</v>
      </c>
      <c r="K920" s="141"/>
      <c r="L920" s="135" t="str">
        <f t="shared" si="55"/>
        <v>Psammomys vexillaris</v>
      </c>
      <c r="M920" s="133">
        <v>-999</v>
      </c>
      <c r="N920" s="133">
        <v>-999</v>
      </c>
      <c r="O920" s="179" t="s">
        <v>3356</v>
      </c>
      <c r="P920" s="108">
        <v>-999</v>
      </c>
      <c r="Q920" s="80"/>
    </row>
    <row r="921" spans="1:18">
      <c r="A921" s="213" t="s">
        <v>2778</v>
      </c>
      <c r="B921" s="130"/>
      <c r="C921" s="118" t="s">
        <v>3817</v>
      </c>
      <c r="D921" s="141"/>
      <c r="E921" s="118"/>
      <c r="F921" s="118"/>
      <c r="G921" s="118" t="s">
        <v>3618</v>
      </c>
      <c r="H921" s="118" t="s">
        <v>3638</v>
      </c>
      <c r="I921" s="118" t="s">
        <v>6400</v>
      </c>
      <c r="J921" s="118" t="s">
        <v>6401</v>
      </c>
      <c r="K921" s="141"/>
      <c r="L921" s="135" t="str">
        <f t="shared" si="55"/>
        <v>Psammomys obesus</v>
      </c>
      <c r="M921" s="133">
        <f>LOG(N921)</f>
        <v>2.174859011514084</v>
      </c>
      <c r="N921" s="133">
        <f>AVERAGE(212, 141.8, 130, 114.5)</f>
        <v>149.57499999999999</v>
      </c>
      <c r="O921" s="179" t="s">
        <v>3356</v>
      </c>
      <c r="P921" s="108" t="s">
        <v>7104</v>
      </c>
    </row>
    <row r="922" spans="1:18">
      <c r="A922" s="213" t="s">
        <v>2778</v>
      </c>
      <c r="B922" s="130"/>
      <c r="C922" s="118" t="s">
        <v>3817</v>
      </c>
      <c r="D922" s="141"/>
      <c r="E922" s="118"/>
      <c r="F922" s="118"/>
      <c r="G922" s="118" t="s">
        <v>3618</v>
      </c>
      <c r="H922" s="118" t="s">
        <v>3638</v>
      </c>
      <c r="I922" s="118" t="s">
        <v>3084</v>
      </c>
      <c r="J922" s="118" t="s">
        <v>3514</v>
      </c>
      <c r="K922" s="141"/>
      <c r="L922" s="135" t="str">
        <f t="shared" si="55"/>
        <v>Rhabdomys pumilio</v>
      </c>
      <c r="M922" s="133">
        <f>LOG(N922)</f>
        <v>1.6140178991060925</v>
      </c>
      <c r="N922" s="133">
        <f>AVERAGE(39, 36, 42.2, 45.7, 42.9, 40.9)</f>
        <v>41.116666666666667</v>
      </c>
      <c r="O922" s="179" t="s">
        <v>3356</v>
      </c>
      <c r="P922" s="108" t="s">
        <v>1856</v>
      </c>
      <c r="Q922" s="90" t="s">
        <v>6987</v>
      </c>
    </row>
    <row r="923" spans="1:18">
      <c r="A923" s="213" t="s">
        <v>2778</v>
      </c>
      <c r="B923" s="130"/>
      <c r="C923" s="118" t="s">
        <v>3817</v>
      </c>
      <c r="D923" s="141"/>
      <c r="E923" s="118"/>
      <c r="F923" s="118"/>
      <c r="G923" s="118" t="s">
        <v>3618</v>
      </c>
      <c r="H923" s="118" t="s">
        <v>3638</v>
      </c>
      <c r="I923" s="118" t="s">
        <v>3515</v>
      </c>
      <c r="J923" s="118" t="s">
        <v>3310</v>
      </c>
      <c r="K923" s="141"/>
      <c r="L923" s="135" t="str">
        <f t="shared" si="55"/>
        <v>Saccostomus mearnsi</v>
      </c>
      <c r="M923" s="133">
        <f>LOG(N923)</f>
        <v>1.6580100000000002</v>
      </c>
      <c r="N923" s="133">
        <v>45.499853675791265</v>
      </c>
      <c r="O923" s="179" t="s">
        <v>3356</v>
      </c>
      <c r="P923" s="108">
        <v>60</v>
      </c>
    </row>
    <row r="924" spans="1:18">
      <c r="A924" s="213" t="s">
        <v>2778</v>
      </c>
      <c r="B924" s="130"/>
      <c r="C924" s="118" t="s">
        <v>3817</v>
      </c>
      <c r="D924" s="141"/>
      <c r="E924" s="118"/>
      <c r="F924" s="118"/>
      <c r="G924" s="118" t="s">
        <v>3618</v>
      </c>
      <c r="H924" s="118" t="s">
        <v>3638</v>
      </c>
      <c r="I924" s="118" t="s">
        <v>3515</v>
      </c>
      <c r="J924" s="118" t="s">
        <v>3628</v>
      </c>
      <c r="K924" s="141"/>
      <c r="L924" s="135" t="str">
        <f t="shared" si="55"/>
        <v>Saccostomus campestris</v>
      </c>
      <c r="M924" s="133">
        <f>LOG(N924)</f>
        <v>1.7094819670732326</v>
      </c>
      <c r="N924" s="133">
        <f>AVERAGE(48.5, 42.2, 49, 65.2)</f>
        <v>51.224999999999994</v>
      </c>
      <c r="O924" s="179" t="s">
        <v>3356</v>
      </c>
      <c r="P924" s="108" t="s">
        <v>1095</v>
      </c>
    </row>
    <row r="925" spans="1:18">
      <c r="A925" s="213" t="s">
        <v>2778</v>
      </c>
      <c r="B925" s="130"/>
      <c r="C925" s="118" t="s">
        <v>3817</v>
      </c>
      <c r="D925" s="141"/>
      <c r="E925" s="118"/>
      <c r="F925" s="118"/>
      <c r="G925" s="118" t="s">
        <v>3618</v>
      </c>
      <c r="H925" s="118" t="s">
        <v>3638</v>
      </c>
      <c r="I925" s="118" t="s">
        <v>3311</v>
      </c>
      <c r="J925" s="118" t="s">
        <v>3312</v>
      </c>
      <c r="K925" s="141"/>
      <c r="L925" s="135" t="str">
        <f t="shared" si="55"/>
        <v>Sekeetamys calurus</v>
      </c>
      <c r="M925" s="133">
        <f>LOG(N925)</f>
        <v>1.7423300000000002</v>
      </c>
      <c r="N925" s="133">
        <v>55.249709644247517</v>
      </c>
      <c r="O925" s="179" t="s">
        <v>3356</v>
      </c>
      <c r="P925" s="108">
        <v>64</v>
      </c>
    </row>
    <row r="926" spans="1:18">
      <c r="A926" s="213" t="s">
        <v>2778</v>
      </c>
      <c r="B926" s="141" t="s">
        <v>7649</v>
      </c>
      <c r="C926" s="118" t="s">
        <v>3817</v>
      </c>
      <c r="D926" s="141"/>
      <c r="E926" s="118"/>
      <c r="F926" s="118"/>
      <c r="G926" s="118" t="s">
        <v>3618</v>
      </c>
      <c r="H926" s="118" t="s">
        <v>3638</v>
      </c>
      <c r="I926" s="118" t="s">
        <v>3313</v>
      </c>
      <c r="J926" s="118" t="s">
        <v>5914</v>
      </c>
      <c r="K926" s="141"/>
      <c r="L926" s="135" t="str">
        <f t="shared" si="55"/>
        <v>Steatomys cuppedius</v>
      </c>
      <c r="M926" s="133">
        <v>-999</v>
      </c>
      <c r="N926" s="133">
        <v>-999</v>
      </c>
      <c r="O926" s="179" t="s">
        <v>3356</v>
      </c>
      <c r="P926" s="108">
        <v>-999</v>
      </c>
      <c r="Q926" s="80" t="s">
        <v>6642</v>
      </c>
    </row>
    <row r="927" spans="1:18">
      <c r="A927" s="213" t="s">
        <v>2778</v>
      </c>
      <c r="B927" s="141" t="s">
        <v>5028</v>
      </c>
      <c r="C927" s="118" t="s">
        <v>3817</v>
      </c>
      <c r="D927" s="141"/>
      <c r="E927" s="118"/>
      <c r="F927" s="118"/>
      <c r="G927" s="118" t="s">
        <v>3618</v>
      </c>
      <c r="H927" s="118" t="s">
        <v>3638</v>
      </c>
      <c r="I927" s="118" t="s">
        <v>3313</v>
      </c>
      <c r="J927" s="118" t="s">
        <v>4056</v>
      </c>
      <c r="K927" s="141"/>
      <c r="L927" s="135" t="str">
        <f t="shared" si="55"/>
        <v>Steatomys jacksoni</v>
      </c>
      <c r="M927" s="133">
        <v>-999</v>
      </c>
      <c r="N927" s="133">
        <v>-999</v>
      </c>
      <c r="O927" s="179" t="s">
        <v>3356</v>
      </c>
      <c r="P927" s="108">
        <v>-999</v>
      </c>
      <c r="Q927" s="80" t="s">
        <v>6988</v>
      </c>
    </row>
    <row r="928" spans="1:18" ht="12" customHeight="1">
      <c r="A928" s="213" t="s">
        <v>2778</v>
      </c>
      <c r="B928" s="130"/>
      <c r="C928" s="118" t="s">
        <v>3817</v>
      </c>
      <c r="D928" s="141"/>
      <c r="E928" s="118"/>
      <c r="F928" s="118"/>
      <c r="G928" s="118" t="s">
        <v>3618</v>
      </c>
      <c r="H928" s="118" t="s">
        <v>3638</v>
      </c>
      <c r="I928" s="118" t="s">
        <v>3313</v>
      </c>
      <c r="J928" s="118" t="s">
        <v>7332</v>
      </c>
      <c r="K928" s="141"/>
      <c r="L928" s="135" t="str">
        <f t="shared" si="55"/>
        <v>Steatomys parvus</v>
      </c>
      <c r="M928" s="133">
        <f t="shared" ref="M928:M934" si="56">LOG(N928)</f>
        <v>0.94694327069782547</v>
      </c>
      <c r="N928" s="133">
        <f>AVERAGE(12.7,5)</f>
        <v>8.85</v>
      </c>
      <c r="O928" s="179" t="s">
        <v>3356</v>
      </c>
      <c r="P928" s="108" t="s">
        <v>1301</v>
      </c>
      <c r="R928" s="89" t="s">
        <v>1665</v>
      </c>
    </row>
    <row r="929" spans="1:18">
      <c r="A929" s="213" t="s">
        <v>2778</v>
      </c>
      <c r="B929" s="130"/>
      <c r="C929" s="121" t="s">
        <v>3817</v>
      </c>
      <c r="D929" s="156"/>
      <c r="E929" s="121"/>
      <c r="F929" s="121"/>
      <c r="G929" s="121" t="s">
        <v>3618</v>
      </c>
      <c r="H929" s="121" t="s">
        <v>3638</v>
      </c>
      <c r="I929" s="121" t="s">
        <v>3313</v>
      </c>
      <c r="J929" s="121" t="s">
        <v>3314</v>
      </c>
      <c r="K929" s="141"/>
      <c r="L929" s="135" t="str">
        <f t="shared" si="55"/>
        <v>Steatomys krebsii</v>
      </c>
      <c r="M929" s="133">
        <f t="shared" si="56"/>
        <v>1.3152704347785915</v>
      </c>
      <c r="N929" s="143">
        <f>AVERAGE(20, 18, 24)</f>
        <v>20.666666666666668</v>
      </c>
      <c r="O929" s="179" t="s">
        <v>3356</v>
      </c>
      <c r="P929" s="108" t="s">
        <v>7146</v>
      </c>
    </row>
    <row r="930" spans="1:18" ht="25.5">
      <c r="A930" s="213" t="s">
        <v>2778</v>
      </c>
      <c r="B930" s="141" t="s">
        <v>7648</v>
      </c>
      <c r="C930" s="118" t="s">
        <v>3817</v>
      </c>
      <c r="D930" s="141"/>
      <c r="E930" s="118"/>
      <c r="F930" s="118"/>
      <c r="G930" s="118" t="s">
        <v>3618</v>
      </c>
      <c r="H930" s="118" t="s">
        <v>3638</v>
      </c>
      <c r="I930" s="118" t="s">
        <v>3313</v>
      </c>
      <c r="J930" s="118" t="s">
        <v>8261</v>
      </c>
      <c r="K930" s="141"/>
      <c r="L930" s="135" t="str">
        <f t="shared" si="55"/>
        <v>Steatomys caurinus</v>
      </c>
      <c r="M930" s="133">
        <f t="shared" si="56"/>
        <v>1.6507930396519308</v>
      </c>
      <c r="N930" s="133">
        <f>AVERAGE(44.4, 45.1)</f>
        <v>44.75</v>
      </c>
      <c r="O930" s="179" t="s">
        <v>3356</v>
      </c>
      <c r="P930" s="108">
        <v>201</v>
      </c>
      <c r="Q930" s="80"/>
    </row>
    <row r="931" spans="1:18" ht="12" customHeight="1">
      <c r="A931" s="213" t="s">
        <v>2778</v>
      </c>
      <c r="B931" s="130"/>
      <c r="C931" s="118" t="s">
        <v>3817</v>
      </c>
      <c r="D931" s="141"/>
      <c r="E931" s="118"/>
      <c r="F931" s="118"/>
      <c r="G931" s="118" t="s">
        <v>3618</v>
      </c>
      <c r="H931" s="118" t="s">
        <v>3638</v>
      </c>
      <c r="I931" s="118" t="s">
        <v>3313</v>
      </c>
      <c r="J931" s="118" t="s">
        <v>3523</v>
      </c>
      <c r="K931" s="141"/>
      <c r="L931" s="135" t="str">
        <f t="shared" si="55"/>
        <v>Steatomys pratensis</v>
      </c>
      <c r="M931" s="133">
        <f t="shared" si="56"/>
        <v>1.6812412373755872</v>
      </c>
      <c r="N931" s="133">
        <v>48</v>
      </c>
      <c r="O931" s="179" t="s">
        <v>3356</v>
      </c>
      <c r="P931" s="108">
        <v>130</v>
      </c>
      <c r="R931" s="89" t="s">
        <v>1666</v>
      </c>
    </row>
    <row r="932" spans="1:18">
      <c r="A932" s="213" t="s">
        <v>2778</v>
      </c>
      <c r="B932" s="130"/>
      <c r="C932" s="118" t="s">
        <v>3817</v>
      </c>
      <c r="D932" s="141"/>
      <c r="E932" s="118"/>
      <c r="F932" s="118"/>
      <c r="G932" s="118" t="s">
        <v>3618</v>
      </c>
      <c r="H932" s="118" t="s">
        <v>3638</v>
      </c>
      <c r="I932" s="118" t="s">
        <v>3524</v>
      </c>
      <c r="J932" s="118" t="s">
        <v>3496</v>
      </c>
      <c r="K932" s="141"/>
      <c r="L932" s="135" t="str">
        <f t="shared" si="55"/>
        <v>Stenocephalemys griseicauda</v>
      </c>
      <c r="M932" s="133">
        <f t="shared" si="56"/>
        <v>1.9332300000000002</v>
      </c>
      <c r="N932" s="133">
        <v>85.749184802877636</v>
      </c>
      <c r="O932" s="179" t="s">
        <v>3356</v>
      </c>
      <c r="P932" s="108">
        <v>60</v>
      </c>
      <c r="Q932" s="90" t="s">
        <v>6642</v>
      </c>
    </row>
    <row r="933" spans="1:18">
      <c r="A933" s="213" t="s">
        <v>2778</v>
      </c>
      <c r="B933" s="130"/>
      <c r="C933" s="118" t="s">
        <v>3817</v>
      </c>
      <c r="D933" s="141"/>
      <c r="E933" s="118"/>
      <c r="F933" s="118"/>
      <c r="G933" s="118" t="s">
        <v>3618</v>
      </c>
      <c r="H933" s="118" t="s">
        <v>3638</v>
      </c>
      <c r="I933" s="118" t="s">
        <v>3524</v>
      </c>
      <c r="J933" s="118" t="s">
        <v>3488</v>
      </c>
      <c r="K933" s="141"/>
      <c r="L933" s="135" t="str">
        <f t="shared" si="55"/>
        <v>Stenocephalemys albocaudata</v>
      </c>
      <c r="M933" s="133">
        <f t="shared" si="56"/>
        <v>2.1583600000000001</v>
      </c>
      <c r="N933" s="133">
        <v>143.99917369273325</v>
      </c>
      <c r="O933" s="179" t="s">
        <v>3356</v>
      </c>
      <c r="P933" s="108">
        <v>60</v>
      </c>
      <c r="Q933" s="90" t="s">
        <v>6642</v>
      </c>
    </row>
    <row r="934" spans="1:18">
      <c r="A934" s="213" t="s">
        <v>2778</v>
      </c>
      <c r="B934" s="130"/>
      <c r="C934" s="118" t="s">
        <v>3817</v>
      </c>
      <c r="D934" s="141"/>
      <c r="E934" s="118"/>
      <c r="F934" s="118"/>
      <c r="G934" s="118" t="s">
        <v>3618</v>
      </c>
      <c r="H934" s="118" t="s">
        <v>3638</v>
      </c>
      <c r="I934" s="118" t="s">
        <v>3497</v>
      </c>
      <c r="J934" s="118" t="s">
        <v>3295</v>
      </c>
      <c r="K934" s="141"/>
      <c r="L934" s="135" t="str">
        <f t="shared" si="55"/>
        <v>Stochomys longicaudatus</v>
      </c>
      <c r="M934" s="133">
        <f t="shared" si="56"/>
        <v>1.8509523997934929</v>
      </c>
      <c r="N934" s="133">
        <f>AVERAGE(57, 84.9)</f>
        <v>70.95</v>
      </c>
      <c r="O934" s="179" t="s">
        <v>3356</v>
      </c>
      <c r="P934" s="108" t="s">
        <v>1301</v>
      </c>
      <c r="R934" s="85" t="s">
        <v>1563</v>
      </c>
    </row>
    <row r="935" spans="1:18">
      <c r="A935" s="213" t="s">
        <v>2778</v>
      </c>
      <c r="B935" s="130" t="s">
        <v>6876</v>
      </c>
      <c r="C935" s="118" t="s">
        <v>3817</v>
      </c>
      <c r="D935" s="141"/>
      <c r="E935" s="118"/>
      <c r="F935" s="118"/>
      <c r="G935" s="118" t="s">
        <v>3618</v>
      </c>
      <c r="H935" s="118" t="s">
        <v>3638</v>
      </c>
      <c r="I935" s="118" t="s">
        <v>3498</v>
      </c>
      <c r="J935" s="118" t="s">
        <v>4968</v>
      </c>
      <c r="K935" s="141"/>
      <c r="L935" s="135" t="str">
        <f t="shared" si="55"/>
        <v>Tachyoryctes ankoliae</v>
      </c>
      <c r="M935" s="133">
        <v>-999</v>
      </c>
      <c r="N935" s="133">
        <v>-999</v>
      </c>
      <c r="O935" s="179" t="s">
        <v>3356</v>
      </c>
      <c r="P935" s="108">
        <v>-999</v>
      </c>
      <c r="Q935" s="80" t="s">
        <v>6988</v>
      </c>
    </row>
    <row r="936" spans="1:18">
      <c r="A936" s="213" t="s">
        <v>2778</v>
      </c>
      <c r="B936" s="130" t="s">
        <v>2376</v>
      </c>
      <c r="C936" s="118" t="s">
        <v>3817</v>
      </c>
      <c r="D936" s="141"/>
      <c r="E936" s="118"/>
      <c r="F936" s="118"/>
      <c r="G936" s="118" t="s">
        <v>3618</v>
      </c>
      <c r="H936" s="118" t="s">
        <v>3638</v>
      </c>
      <c r="I936" s="118" t="s">
        <v>3498</v>
      </c>
      <c r="J936" s="118" t="s">
        <v>4969</v>
      </c>
      <c r="K936" s="141"/>
      <c r="L936" s="135" t="str">
        <f t="shared" si="55"/>
        <v>Tachyoryctes annectens</v>
      </c>
      <c r="M936" s="133">
        <v>-999</v>
      </c>
      <c r="N936" s="133">
        <v>-999</v>
      </c>
      <c r="O936" s="179" t="s">
        <v>3356</v>
      </c>
      <c r="P936" s="108">
        <v>-999</v>
      </c>
      <c r="Q936" s="80" t="s">
        <v>6640</v>
      </c>
    </row>
    <row r="937" spans="1:18">
      <c r="A937" s="213" t="s">
        <v>2778</v>
      </c>
      <c r="B937" s="141" t="s">
        <v>2300</v>
      </c>
      <c r="C937" s="118" t="s">
        <v>3817</v>
      </c>
      <c r="D937" s="141"/>
      <c r="E937" s="118"/>
      <c r="F937" s="118"/>
      <c r="G937" s="118" t="s">
        <v>3618</v>
      </c>
      <c r="H937" s="118" t="s">
        <v>3638</v>
      </c>
      <c r="I937" s="118" t="s">
        <v>3498</v>
      </c>
      <c r="J937" s="118" t="s">
        <v>4971</v>
      </c>
      <c r="K937" s="141"/>
      <c r="L937" s="135" t="str">
        <f t="shared" si="55"/>
        <v>Tachyoryctes daemon</v>
      </c>
      <c r="M937" s="133">
        <v>-999</v>
      </c>
      <c r="N937" s="133">
        <v>-999</v>
      </c>
      <c r="O937" s="179" t="s">
        <v>3356</v>
      </c>
      <c r="P937" s="108">
        <v>-999</v>
      </c>
      <c r="Q937" s="80" t="s">
        <v>6642</v>
      </c>
    </row>
    <row r="938" spans="1:18" ht="12" customHeight="1">
      <c r="A938" s="213" t="s">
        <v>2778</v>
      </c>
      <c r="B938" s="141" t="s">
        <v>2376</v>
      </c>
      <c r="C938" s="118" t="s">
        <v>3817</v>
      </c>
      <c r="D938" s="141"/>
      <c r="E938" s="118"/>
      <c r="F938" s="118"/>
      <c r="G938" s="118" t="s">
        <v>3618</v>
      </c>
      <c r="H938" s="118" t="s">
        <v>3638</v>
      </c>
      <c r="I938" s="118" t="s">
        <v>3498</v>
      </c>
      <c r="J938" s="118" t="s">
        <v>5416</v>
      </c>
      <c r="K938" s="141"/>
      <c r="L938" s="135" t="str">
        <f t="shared" si="55"/>
        <v>Tachyoryctes naivashae</v>
      </c>
      <c r="M938" s="133">
        <v>-999</v>
      </c>
      <c r="N938" s="133">
        <v>-999</v>
      </c>
      <c r="O938" s="179" t="s">
        <v>3356</v>
      </c>
      <c r="P938" s="108">
        <v>-999</v>
      </c>
      <c r="Q938" s="80" t="s">
        <v>6640</v>
      </c>
      <c r="R938" s="89"/>
    </row>
    <row r="939" spans="1:18">
      <c r="A939" s="213" t="s">
        <v>2778</v>
      </c>
      <c r="B939" s="141" t="s">
        <v>2376</v>
      </c>
      <c r="C939" s="118" t="s">
        <v>3817</v>
      </c>
      <c r="D939" s="141"/>
      <c r="E939" s="118"/>
      <c r="F939" s="118"/>
      <c r="G939" s="118" t="s">
        <v>3618</v>
      </c>
      <c r="H939" s="118" t="s">
        <v>3638</v>
      </c>
      <c r="I939" s="118" t="s">
        <v>3498</v>
      </c>
      <c r="J939" s="118" t="s">
        <v>2050</v>
      </c>
      <c r="K939" s="141"/>
      <c r="L939" s="135" t="str">
        <f t="shared" si="55"/>
        <v>Tachyoryctes rex</v>
      </c>
      <c r="M939" s="133">
        <v>-999</v>
      </c>
      <c r="N939" s="133">
        <v>-999</v>
      </c>
      <c r="O939" s="179" t="s">
        <v>3356</v>
      </c>
      <c r="P939" s="108">
        <v>-999</v>
      </c>
      <c r="Q939" s="80" t="s">
        <v>6640</v>
      </c>
    </row>
    <row r="940" spans="1:18">
      <c r="A940" s="213" t="s">
        <v>2778</v>
      </c>
      <c r="B940" s="141" t="s">
        <v>2195</v>
      </c>
      <c r="C940" s="118" t="s">
        <v>3817</v>
      </c>
      <c r="D940" s="141"/>
      <c r="E940" s="118"/>
      <c r="F940" s="118"/>
      <c r="G940" s="118" t="s">
        <v>3618</v>
      </c>
      <c r="H940" s="118" t="s">
        <v>3638</v>
      </c>
      <c r="I940" s="118" t="s">
        <v>3498</v>
      </c>
      <c r="J940" s="118" t="s">
        <v>5417</v>
      </c>
      <c r="K940" s="141"/>
      <c r="L940" s="135" t="str">
        <f t="shared" si="55"/>
        <v>Tachyoryctes ruandae</v>
      </c>
      <c r="M940" s="133">
        <v>-999</v>
      </c>
      <c r="N940" s="133">
        <v>-999</v>
      </c>
      <c r="O940" s="179" t="s">
        <v>3356</v>
      </c>
      <c r="P940" s="108">
        <v>-999</v>
      </c>
      <c r="Q940" s="80"/>
    </row>
    <row r="941" spans="1:18">
      <c r="A941" s="213" t="s">
        <v>2778</v>
      </c>
      <c r="B941" s="141" t="s">
        <v>6877</v>
      </c>
      <c r="C941" s="118" t="s">
        <v>3817</v>
      </c>
      <c r="D941" s="141"/>
      <c r="E941" s="118"/>
      <c r="F941" s="118"/>
      <c r="G941" s="118" t="s">
        <v>3618</v>
      </c>
      <c r="H941" s="118" t="s">
        <v>3638</v>
      </c>
      <c r="I941" s="118" t="s">
        <v>3498</v>
      </c>
      <c r="J941" s="118" t="s">
        <v>7411</v>
      </c>
      <c r="K941" s="141"/>
      <c r="L941" s="135" t="str">
        <f t="shared" si="55"/>
        <v>Tachyoryctes ruddi</v>
      </c>
      <c r="M941" s="133">
        <v>-999</v>
      </c>
      <c r="N941" s="133">
        <v>-999</v>
      </c>
      <c r="O941" s="179" t="s">
        <v>3356</v>
      </c>
      <c r="P941" s="108">
        <v>-999</v>
      </c>
      <c r="Q941" s="80"/>
    </row>
    <row r="942" spans="1:18">
      <c r="A942" s="213" t="s">
        <v>2778</v>
      </c>
      <c r="B942" s="141" t="s">
        <v>2376</v>
      </c>
      <c r="C942" s="118" t="s">
        <v>3817</v>
      </c>
      <c r="D942" s="141"/>
      <c r="E942" s="118"/>
      <c r="F942" s="118"/>
      <c r="G942" s="118" t="s">
        <v>3618</v>
      </c>
      <c r="H942" s="118" t="s">
        <v>3638</v>
      </c>
      <c r="I942" s="118" t="s">
        <v>3498</v>
      </c>
      <c r="J942" s="118" t="s">
        <v>5418</v>
      </c>
      <c r="K942" s="141"/>
      <c r="L942" s="135" t="str">
        <f t="shared" si="55"/>
        <v>Tachyoryctes spalacinus</v>
      </c>
      <c r="M942" s="133">
        <v>-999</v>
      </c>
      <c r="N942" s="133">
        <v>-999</v>
      </c>
      <c r="O942" s="179" t="s">
        <v>3356</v>
      </c>
      <c r="P942" s="108">
        <v>-999</v>
      </c>
      <c r="Q942" s="80" t="s">
        <v>6642</v>
      </c>
    </row>
    <row r="943" spans="1:18">
      <c r="A943" s="213" t="s">
        <v>2778</v>
      </c>
      <c r="B943" s="130"/>
      <c r="C943" s="118" t="s">
        <v>3817</v>
      </c>
      <c r="D943" s="141"/>
      <c r="E943" s="118"/>
      <c r="F943" s="118"/>
      <c r="G943" s="118" t="s">
        <v>3618</v>
      </c>
      <c r="H943" s="118" t="s">
        <v>3638</v>
      </c>
      <c r="I943" s="118" t="s">
        <v>3498</v>
      </c>
      <c r="J943" s="118" t="s">
        <v>3520</v>
      </c>
      <c r="K943" s="141"/>
      <c r="L943" s="135" t="str">
        <f t="shared" si="55"/>
        <v>Tachyoryctes splendens</v>
      </c>
      <c r="M943" s="133">
        <f>LOG(N943)</f>
        <v>2.3268500000000003</v>
      </c>
      <c r="N943" s="133">
        <v>212.25112459723837</v>
      </c>
      <c r="O943" s="179" t="s">
        <v>3356</v>
      </c>
      <c r="P943" s="108" t="s">
        <v>2835</v>
      </c>
    </row>
    <row r="944" spans="1:18" ht="25.5">
      <c r="A944" s="213" t="s">
        <v>2778</v>
      </c>
      <c r="B944" s="130" t="s">
        <v>2376</v>
      </c>
      <c r="C944" s="118" t="s">
        <v>3817</v>
      </c>
      <c r="D944" s="141"/>
      <c r="E944" s="118"/>
      <c r="F944" s="118"/>
      <c r="G944" s="118" t="s">
        <v>3618</v>
      </c>
      <c r="H944" s="118" t="s">
        <v>3638</v>
      </c>
      <c r="I944" s="118" t="s">
        <v>3498</v>
      </c>
      <c r="J944" s="118" t="s">
        <v>4970</v>
      </c>
      <c r="K944" s="141"/>
      <c r="L944" s="135" t="str">
        <f t="shared" si="55"/>
        <v>Tachyoryctes audax</v>
      </c>
      <c r="M944" s="133">
        <f>LOG(N944)</f>
        <v>2.3710678622717363</v>
      </c>
      <c r="N944" s="133">
        <v>235</v>
      </c>
      <c r="O944" s="179" t="s">
        <v>3356</v>
      </c>
      <c r="P944" s="108" t="s">
        <v>1277</v>
      </c>
      <c r="Q944" s="80" t="s">
        <v>6988</v>
      </c>
      <c r="R944" s="85" t="s">
        <v>149</v>
      </c>
    </row>
    <row r="945" spans="1:18">
      <c r="A945" s="213" t="s">
        <v>2778</v>
      </c>
      <c r="B945" s="130"/>
      <c r="C945" s="118" t="s">
        <v>3817</v>
      </c>
      <c r="D945" s="141"/>
      <c r="E945" s="118"/>
      <c r="F945" s="118"/>
      <c r="G945" s="118" t="s">
        <v>3618</v>
      </c>
      <c r="H945" s="118" t="s">
        <v>3638</v>
      </c>
      <c r="I945" s="118" t="s">
        <v>3498</v>
      </c>
      <c r="J945" s="118" t="s">
        <v>3965</v>
      </c>
      <c r="K945" s="141"/>
      <c r="L945" s="135" t="str">
        <f t="shared" si="55"/>
        <v>Tachyoryctes macrocephalus</v>
      </c>
      <c r="M945" s="133">
        <f>LOG(N945)</f>
        <v>2.7759700000000005</v>
      </c>
      <c r="N945" s="133">
        <v>596.99404627171725</v>
      </c>
      <c r="O945" s="179" t="s">
        <v>3356</v>
      </c>
      <c r="P945" s="108">
        <v>60</v>
      </c>
    </row>
    <row r="946" spans="1:18" ht="38.25">
      <c r="A946" s="213" t="s">
        <v>2778</v>
      </c>
      <c r="B946" s="141" t="s">
        <v>8095</v>
      </c>
      <c r="C946" s="118" t="s">
        <v>3817</v>
      </c>
      <c r="D946" s="141"/>
      <c r="E946" s="118"/>
      <c r="F946" s="118"/>
      <c r="G946" s="118" t="s">
        <v>3618</v>
      </c>
      <c r="H946" s="118" t="s">
        <v>3638</v>
      </c>
      <c r="I946" s="118" t="s">
        <v>3489</v>
      </c>
      <c r="J946" s="118" t="s">
        <v>2931</v>
      </c>
      <c r="K946" s="141"/>
      <c r="L946" s="135" t="str">
        <f t="shared" si="55"/>
        <v>Tatera boehmi</v>
      </c>
      <c r="M946" s="133">
        <v>-999</v>
      </c>
      <c r="N946" s="133">
        <v>-999</v>
      </c>
      <c r="O946" s="179" t="s">
        <v>3356</v>
      </c>
      <c r="P946" s="108">
        <v>-999</v>
      </c>
      <c r="Q946" s="80"/>
    </row>
    <row r="947" spans="1:18" ht="25.5">
      <c r="A947" s="213" t="s">
        <v>2778</v>
      </c>
      <c r="B947" s="141" t="s">
        <v>8096</v>
      </c>
      <c r="C947" s="118" t="s">
        <v>3817</v>
      </c>
      <c r="D947" s="141"/>
      <c r="E947" s="118"/>
      <c r="F947" s="118"/>
      <c r="G947" s="118" t="s">
        <v>3618</v>
      </c>
      <c r="H947" s="118" t="s">
        <v>3638</v>
      </c>
      <c r="I947" s="118" t="s">
        <v>3489</v>
      </c>
      <c r="J947" s="118" t="s">
        <v>6393</v>
      </c>
      <c r="K947" s="141"/>
      <c r="L947" s="135" t="str">
        <f t="shared" si="55"/>
        <v>Tatera phillipsi</v>
      </c>
      <c r="M947" s="133">
        <v>-999</v>
      </c>
      <c r="N947" s="133">
        <v>-999</v>
      </c>
      <c r="O947" s="179" t="s">
        <v>1711</v>
      </c>
      <c r="P947" s="108">
        <v>-999</v>
      </c>
      <c r="Q947" s="80"/>
    </row>
    <row r="948" spans="1:18">
      <c r="A948" s="213" t="s">
        <v>2778</v>
      </c>
      <c r="B948" s="130"/>
      <c r="C948" s="118" t="s">
        <v>3817</v>
      </c>
      <c r="D948" s="141"/>
      <c r="E948" s="118"/>
      <c r="F948" s="118"/>
      <c r="G948" s="118" t="s">
        <v>3618</v>
      </c>
      <c r="H948" s="118" t="s">
        <v>3638</v>
      </c>
      <c r="I948" s="118" t="s">
        <v>3489</v>
      </c>
      <c r="J948" s="118" t="s">
        <v>4045</v>
      </c>
      <c r="K948" s="141"/>
      <c r="L948" s="135" t="str">
        <f t="shared" si="55"/>
        <v>Tatera leucogaster</v>
      </c>
      <c r="M948" s="133">
        <f t="shared" ref="M948:M956" si="57">LOG(N948)</f>
        <v>1.8623301865867781</v>
      </c>
      <c r="N948" s="133">
        <f>AVERAGE(71.2, 68.5, 78.8)</f>
        <v>72.833333333333329</v>
      </c>
      <c r="O948" s="179" t="s">
        <v>3356</v>
      </c>
      <c r="P948" s="108" t="s">
        <v>1854</v>
      </c>
    </row>
    <row r="949" spans="1:18">
      <c r="A949" s="213" t="s">
        <v>2778</v>
      </c>
      <c r="B949" s="130"/>
      <c r="C949" s="118" t="s">
        <v>3817</v>
      </c>
      <c r="D949" s="141"/>
      <c r="E949" s="118"/>
      <c r="F949" s="118"/>
      <c r="G949" s="118" t="s">
        <v>3618</v>
      </c>
      <c r="H949" s="118" t="s">
        <v>3638</v>
      </c>
      <c r="I949" s="118" t="s">
        <v>3489</v>
      </c>
      <c r="J949" s="118" t="s">
        <v>4701</v>
      </c>
      <c r="K949" s="141"/>
      <c r="L949" s="135" t="str">
        <f t="shared" si="55"/>
        <v>Tatera robusta</v>
      </c>
      <c r="M949" s="133">
        <f t="shared" si="57"/>
        <v>1.9822700000000002</v>
      </c>
      <c r="N949" s="133">
        <v>95.999727439248147</v>
      </c>
      <c r="O949" s="179" t="s">
        <v>3356</v>
      </c>
      <c r="P949" s="108">
        <v>60</v>
      </c>
    </row>
    <row r="950" spans="1:18">
      <c r="A950" s="213" t="s">
        <v>2778</v>
      </c>
      <c r="B950" s="130"/>
      <c r="C950" s="118" t="s">
        <v>3817</v>
      </c>
      <c r="D950" s="141"/>
      <c r="E950" s="118"/>
      <c r="F950" s="118"/>
      <c r="G950" s="118" t="s">
        <v>3618</v>
      </c>
      <c r="H950" s="118" t="s">
        <v>3638</v>
      </c>
      <c r="I950" s="118" t="s">
        <v>3489</v>
      </c>
      <c r="J950" s="118" t="s">
        <v>3490</v>
      </c>
      <c r="K950" s="141"/>
      <c r="L950" s="135" t="str">
        <f t="shared" si="55"/>
        <v>Tatera afra</v>
      </c>
      <c r="M950" s="133">
        <f t="shared" si="57"/>
        <v>1.9867699999999999</v>
      </c>
      <c r="N950" s="133">
        <v>96.999612651099937</v>
      </c>
      <c r="O950" s="179" t="s">
        <v>3356</v>
      </c>
      <c r="P950" s="108">
        <v>60</v>
      </c>
    </row>
    <row r="951" spans="1:18">
      <c r="A951" s="213" t="s">
        <v>2778</v>
      </c>
      <c r="B951" s="130"/>
      <c r="C951" s="118" t="s">
        <v>3817</v>
      </c>
      <c r="D951" s="141"/>
      <c r="E951" s="118"/>
      <c r="F951" s="118"/>
      <c r="G951" s="118" t="s">
        <v>3618</v>
      </c>
      <c r="H951" s="118" t="s">
        <v>3638</v>
      </c>
      <c r="I951" s="118" t="s">
        <v>3489</v>
      </c>
      <c r="J951" s="118" t="s">
        <v>3617</v>
      </c>
      <c r="K951" s="141"/>
      <c r="L951" s="135" t="str">
        <f t="shared" si="55"/>
        <v>Tatera kempi</v>
      </c>
      <c r="M951" s="133">
        <f t="shared" si="57"/>
        <v>2.0043213737826426</v>
      </c>
      <c r="N951" s="133">
        <v>101</v>
      </c>
      <c r="O951" s="179" t="s">
        <v>6736</v>
      </c>
      <c r="P951" s="108">
        <v>-999</v>
      </c>
    </row>
    <row r="952" spans="1:18">
      <c r="A952" s="213" t="s">
        <v>2778</v>
      </c>
      <c r="B952" s="130"/>
      <c r="C952" s="121" t="s">
        <v>3817</v>
      </c>
      <c r="D952" s="156"/>
      <c r="E952" s="121"/>
      <c r="F952" s="121"/>
      <c r="G952" s="121" t="s">
        <v>3618</v>
      </c>
      <c r="H952" s="118" t="s">
        <v>3638</v>
      </c>
      <c r="I952" s="121" t="s">
        <v>3489</v>
      </c>
      <c r="J952" s="121" t="s">
        <v>3491</v>
      </c>
      <c r="K952" s="141"/>
      <c r="L952" s="135" t="str">
        <f t="shared" si="55"/>
        <v>Tatera guineae</v>
      </c>
      <c r="M952" s="133">
        <f t="shared" si="57"/>
        <v>2.0107200000000005</v>
      </c>
      <c r="N952" s="133">
        <v>102.49908771372873</v>
      </c>
      <c r="O952" s="179" t="s">
        <v>3356</v>
      </c>
      <c r="P952" s="108">
        <v>60</v>
      </c>
    </row>
    <row r="953" spans="1:18">
      <c r="A953" s="213" t="s">
        <v>2778</v>
      </c>
      <c r="B953" s="130"/>
      <c r="C953" s="118" t="s">
        <v>3817</v>
      </c>
      <c r="D953" s="141"/>
      <c r="E953" s="118"/>
      <c r="F953" s="118"/>
      <c r="G953" s="118" t="s">
        <v>3618</v>
      </c>
      <c r="H953" s="121" t="s">
        <v>3638</v>
      </c>
      <c r="I953" s="118" t="s">
        <v>3489</v>
      </c>
      <c r="J953" s="118" t="s">
        <v>3970</v>
      </c>
      <c r="K953" s="141"/>
      <c r="L953" s="135" t="str">
        <f t="shared" si="55"/>
        <v>Tatera valida</v>
      </c>
      <c r="M953" s="133">
        <f t="shared" si="57"/>
        <v>2.0320830019568796</v>
      </c>
      <c r="N953" s="133">
        <f>AVERAGE(121.001289895955, 97, 105)</f>
        <v>107.66709663198499</v>
      </c>
      <c r="O953" s="179" t="s">
        <v>3356</v>
      </c>
      <c r="P953" s="108" t="s">
        <v>6637</v>
      </c>
      <c r="R953" s="85" t="s">
        <v>1910</v>
      </c>
    </row>
    <row r="954" spans="1:18">
      <c r="A954" s="213" t="s">
        <v>2778</v>
      </c>
      <c r="B954" s="130"/>
      <c r="C954" s="121" t="s">
        <v>3817</v>
      </c>
      <c r="D954" s="156"/>
      <c r="E954" s="121"/>
      <c r="F954" s="121"/>
      <c r="G954" s="121" t="s">
        <v>3618</v>
      </c>
      <c r="H954" s="118" t="s">
        <v>3638</v>
      </c>
      <c r="I954" s="121" t="s">
        <v>3489</v>
      </c>
      <c r="J954" s="121" t="s">
        <v>3505</v>
      </c>
      <c r="K954" s="141"/>
      <c r="L954" s="135" t="str">
        <f t="shared" si="55"/>
        <v>Tatera brantsii</v>
      </c>
      <c r="M954" s="133">
        <f t="shared" si="57"/>
        <v>2.0585192042610596</v>
      </c>
      <c r="N954" s="143">
        <f>+AVERAGE(79.8490953196976, 149)</f>
        <v>114.4245476598488</v>
      </c>
      <c r="O954" s="179" t="s">
        <v>7773</v>
      </c>
      <c r="P954" s="108" t="s">
        <v>7690</v>
      </c>
    </row>
    <row r="955" spans="1:18">
      <c r="A955" s="213" t="s">
        <v>2778</v>
      </c>
      <c r="B955" s="130"/>
      <c r="C955" s="118" t="s">
        <v>3817</v>
      </c>
      <c r="D955" s="141"/>
      <c r="E955" s="118"/>
      <c r="F955" s="118"/>
      <c r="G955" s="118" t="s">
        <v>3618</v>
      </c>
      <c r="H955" s="118" t="s">
        <v>3638</v>
      </c>
      <c r="I955" s="118" t="s">
        <v>3489</v>
      </c>
      <c r="J955" s="118" t="s">
        <v>3492</v>
      </c>
      <c r="K955" s="141"/>
      <c r="L955" s="135" t="str">
        <f t="shared" si="55"/>
        <v>Tatera inclusa</v>
      </c>
      <c r="M955" s="133">
        <f t="shared" si="57"/>
        <v>2.0737199999999998</v>
      </c>
      <c r="N955" s="133">
        <v>118.50045011936339</v>
      </c>
      <c r="O955" s="179" t="s">
        <v>3356</v>
      </c>
      <c r="P955" s="108">
        <v>60</v>
      </c>
    </row>
    <row r="956" spans="1:18">
      <c r="A956" s="213" t="s">
        <v>2778</v>
      </c>
      <c r="B956" s="130"/>
      <c r="C956" s="118" t="s">
        <v>3817</v>
      </c>
      <c r="D956" s="141"/>
      <c r="E956" s="118"/>
      <c r="F956" s="118"/>
      <c r="G956" s="118" t="s">
        <v>3618</v>
      </c>
      <c r="H956" s="118" t="s">
        <v>3638</v>
      </c>
      <c r="I956" s="118" t="s">
        <v>3489</v>
      </c>
      <c r="J956" s="118" t="s">
        <v>4700</v>
      </c>
      <c r="K956" s="141"/>
      <c r="L956" s="135" t="str">
        <f t="shared" si="55"/>
        <v>Tatera nigricauda</v>
      </c>
      <c r="M956" s="133">
        <f t="shared" si="57"/>
        <v>2.0899100000000002</v>
      </c>
      <c r="N956" s="133">
        <v>123.00138453598495</v>
      </c>
      <c r="O956" s="179" t="s">
        <v>3356</v>
      </c>
      <c r="P956" s="108">
        <v>60</v>
      </c>
    </row>
    <row r="957" spans="1:18" ht="38.25">
      <c r="A957" s="213" t="s">
        <v>2778</v>
      </c>
      <c r="B957" s="141" t="s">
        <v>8303</v>
      </c>
      <c r="C957" s="118" t="s">
        <v>3817</v>
      </c>
      <c r="D957" s="141"/>
      <c r="E957" s="118"/>
      <c r="F957" s="118"/>
      <c r="G957" s="118" t="s">
        <v>3618</v>
      </c>
      <c r="H957" s="118" t="s">
        <v>3638</v>
      </c>
      <c r="I957" s="118" t="s">
        <v>3727</v>
      </c>
      <c r="J957" s="118" t="s">
        <v>4260</v>
      </c>
      <c r="K957" s="141"/>
      <c r="L957" s="135" t="str">
        <f t="shared" si="55"/>
        <v>Taterillus congicus</v>
      </c>
      <c r="M957" s="133">
        <v>-999</v>
      </c>
      <c r="N957" s="133">
        <v>-999</v>
      </c>
      <c r="O957" s="179" t="s">
        <v>3356</v>
      </c>
      <c r="P957" s="108">
        <v>-999</v>
      </c>
      <c r="Q957" s="80"/>
    </row>
    <row r="958" spans="1:18" ht="38.25">
      <c r="A958" s="213" t="s">
        <v>2778</v>
      </c>
      <c r="B958" s="141" t="s">
        <v>7577</v>
      </c>
      <c r="C958" s="118" t="s">
        <v>3817</v>
      </c>
      <c r="D958" s="141"/>
      <c r="E958" s="118"/>
      <c r="F958" s="118"/>
      <c r="G958" s="118" t="s">
        <v>3618</v>
      </c>
      <c r="H958" s="118" t="s">
        <v>3638</v>
      </c>
      <c r="I958" s="118" t="s">
        <v>3727</v>
      </c>
      <c r="J958" s="118" t="s">
        <v>6392</v>
      </c>
      <c r="K958" s="141"/>
      <c r="L958" s="135" t="str">
        <f t="shared" si="55"/>
        <v>Taterillus harringtoni</v>
      </c>
      <c r="M958" s="133">
        <v>-999</v>
      </c>
      <c r="N958" s="133">
        <v>-999</v>
      </c>
      <c r="O958" s="179" t="s">
        <v>3356</v>
      </c>
      <c r="P958" s="108">
        <v>-999</v>
      </c>
      <c r="Q958" s="80"/>
    </row>
    <row r="959" spans="1:18">
      <c r="A959" s="213" t="s">
        <v>2778</v>
      </c>
      <c r="B959" s="141" t="s">
        <v>4977</v>
      </c>
      <c r="C959" s="118" t="s">
        <v>3817</v>
      </c>
      <c r="D959" s="141"/>
      <c r="E959" s="118"/>
      <c r="F959" s="118"/>
      <c r="G959" s="118" t="s">
        <v>3618</v>
      </c>
      <c r="H959" s="118" t="s">
        <v>3638</v>
      </c>
      <c r="I959" s="118" t="s">
        <v>3727</v>
      </c>
      <c r="J959" s="118" t="s">
        <v>3070</v>
      </c>
      <c r="K959" s="141"/>
      <c r="L959" s="135" t="str">
        <f t="shared" si="55"/>
        <v>Taterillus lacustris</v>
      </c>
      <c r="M959" s="133">
        <v>-999</v>
      </c>
      <c r="N959" s="133">
        <v>-999</v>
      </c>
      <c r="O959" s="179" t="s">
        <v>3356</v>
      </c>
      <c r="P959" s="108">
        <v>-999</v>
      </c>
      <c r="Q959" s="80"/>
    </row>
    <row r="960" spans="1:18">
      <c r="A960" s="213" t="s">
        <v>2778</v>
      </c>
      <c r="B960" s="130"/>
      <c r="C960" s="118" t="s">
        <v>3817</v>
      </c>
      <c r="D960" s="141"/>
      <c r="E960" s="118"/>
      <c r="F960" s="118"/>
      <c r="G960" s="118" t="s">
        <v>3618</v>
      </c>
      <c r="H960" s="118" t="s">
        <v>3638</v>
      </c>
      <c r="I960" s="118" t="s">
        <v>3727</v>
      </c>
      <c r="J960" s="118" t="s">
        <v>5526</v>
      </c>
      <c r="K960" s="141"/>
      <c r="L960" s="135" t="str">
        <f t="shared" si="55"/>
        <v>Taterillus arenarius</v>
      </c>
      <c r="M960" s="133">
        <f>LOG(N960)</f>
        <v>1.6721000000000001</v>
      </c>
      <c r="N960" s="133">
        <v>47.000231817980108</v>
      </c>
      <c r="O960" s="179" t="s">
        <v>3356</v>
      </c>
      <c r="P960" s="108">
        <v>56</v>
      </c>
    </row>
    <row r="961" spans="1:18">
      <c r="A961" s="213" t="s">
        <v>2778</v>
      </c>
      <c r="B961" s="130"/>
      <c r="C961" s="118" t="s">
        <v>3817</v>
      </c>
      <c r="D961" s="141"/>
      <c r="E961" s="118"/>
      <c r="F961" s="118"/>
      <c r="G961" s="118" t="s">
        <v>3618</v>
      </c>
      <c r="H961" s="118" t="s">
        <v>3638</v>
      </c>
      <c r="I961" s="118" t="s">
        <v>3727</v>
      </c>
      <c r="J961" s="118" t="s">
        <v>3786</v>
      </c>
      <c r="K961" s="141"/>
      <c r="L961" s="135" t="str">
        <f t="shared" si="55"/>
        <v>Taterillus gracilis</v>
      </c>
      <c r="M961" s="133">
        <f>LOG(N961)</f>
        <v>1.6812432381987876</v>
      </c>
      <c r="N961" s="133">
        <f>AVERAGE(47,49.0004422793236)</f>
        <v>48.000221139661804</v>
      </c>
      <c r="O961" s="179" t="s">
        <v>3356</v>
      </c>
      <c r="P961" s="108" t="s">
        <v>6637</v>
      </c>
      <c r="R961" s="85" t="s">
        <v>1664</v>
      </c>
    </row>
    <row r="962" spans="1:18" ht="24" customHeight="1">
      <c r="A962" s="213" t="s">
        <v>2778</v>
      </c>
      <c r="B962" s="130"/>
      <c r="C962" s="118" t="s">
        <v>3817</v>
      </c>
      <c r="D962" s="141"/>
      <c r="E962" s="118"/>
      <c r="F962" s="118"/>
      <c r="G962" s="118" t="s">
        <v>3618</v>
      </c>
      <c r="H962" s="118" t="s">
        <v>3638</v>
      </c>
      <c r="I962" s="118" t="s">
        <v>3727</v>
      </c>
      <c r="J962" s="118" t="s">
        <v>3073</v>
      </c>
      <c r="K962" s="141"/>
      <c r="L962" s="135" t="str">
        <f t="shared" si="55"/>
        <v>Taterillus petteri</v>
      </c>
      <c r="M962" s="133">
        <f>LOG(N962)</f>
        <v>1.7058637122839193</v>
      </c>
      <c r="N962" s="133">
        <v>50.8</v>
      </c>
      <c r="O962" s="179" t="s">
        <v>3356</v>
      </c>
      <c r="P962" s="108">
        <v>214</v>
      </c>
      <c r="Q962" s="88"/>
    </row>
    <row r="963" spans="1:18" ht="25.5">
      <c r="A963" s="213" t="s">
        <v>2778</v>
      </c>
      <c r="B963" s="141" t="s">
        <v>8304</v>
      </c>
      <c r="C963" s="118" t="s">
        <v>3817</v>
      </c>
      <c r="D963" s="141"/>
      <c r="E963" s="118"/>
      <c r="F963" s="118"/>
      <c r="G963" s="118" t="s">
        <v>3618</v>
      </c>
      <c r="H963" s="118" t="s">
        <v>3638</v>
      </c>
      <c r="I963" s="118" t="s">
        <v>3727</v>
      </c>
      <c r="J963" s="118" t="s">
        <v>4899</v>
      </c>
      <c r="K963" s="141"/>
      <c r="L963" s="135" t="str">
        <f t="shared" si="55"/>
        <v>Taterillus emini</v>
      </c>
      <c r="M963" s="133">
        <f>LOG(N963)</f>
        <v>1.7160033436347992</v>
      </c>
      <c r="N963" s="133">
        <v>52</v>
      </c>
      <c r="O963" s="179" t="s">
        <v>3356</v>
      </c>
      <c r="P963" s="108">
        <v>135</v>
      </c>
      <c r="Q963" s="80"/>
    </row>
    <row r="964" spans="1:18">
      <c r="A964" s="213" t="s">
        <v>2778</v>
      </c>
      <c r="B964" s="130"/>
      <c r="C964" s="118" t="s">
        <v>3817</v>
      </c>
      <c r="D964" s="141"/>
      <c r="E964" s="118"/>
      <c r="F964" s="118"/>
      <c r="G964" s="118" t="s">
        <v>3618</v>
      </c>
      <c r="H964" s="118" t="s">
        <v>3638</v>
      </c>
      <c r="I964" s="118" t="s">
        <v>3727</v>
      </c>
      <c r="J964" s="118" t="s">
        <v>1998</v>
      </c>
      <c r="K964" s="141"/>
      <c r="L964" s="135" t="str">
        <f t="shared" si="55"/>
        <v>Taterillus pygargus</v>
      </c>
      <c r="M964" s="133">
        <f>LOG(N964)</f>
        <v>1.7796000000000003</v>
      </c>
      <c r="N964" s="133">
        <v>60.200486368445944</v>
      </c>
      <c r="O964" s="179" t="s">
        <v>3356</v>
      </c>
      <c r="P964" s="108">
        <v>60</v>
      </c>
    </row>
    <row r="965" spans="1:18">
      <c r="A965" s="213" t="s">
        <v>2778</v>
      </c>
      <c r="B965" s="130" t="s">
        <v>5221</v>
      </c>
      <c r="C965" s="118" t="s">
        <v>3817</v>
      </c>
      <c r="D965" s="141"/>
      <c r="E965" s="118"/>
      <c r="F965" s="118"/>
      <c r="G965" s="118" t="s">
        <v>3618</v>
      </c>
      <c r="H965" s="118" t="s">
        <v>3638</v>
      </c>
      <c r="I965" s="118" t="s">
        <v>7407</v>
      </c>
      <c r="J965" s="118" t="s">
        <v>5631</v>
      </c>
      <c r="K965" s="141"/>
      <c r="L965" s="135" t="str">
        <f t="shared" ref="L965:L1028" si="58">I965&amp;" "&amp;J965</f>
        <v>Thallomys loringi</v>
      </c>
      <c r="M965" s="133">
        <v>-999</v>
      </c>
      <c r="N965" s="133">
        <v>-999</v>
      </c>
      <c r="O965" s="179" t="s">
        <v>3356</v>
      </c>
      <c r="P965" s="108">
        <v>-999</v>
      </c>
      <c r="Q965" s="80"/>
    </row>
    <row r="966" spans="1:18" ht="12" customHeight="1">
      <c r="A966" s="213" t="s">
        <v>2778</v>
      </c>
      <c r="B966" s="130" t="s">
        <v>2576</v>
      </c>
      <c r="C966" s="118" t="s">
        <v>3817</v>
      </c>
      <c r="D966" s="141"/>
      <c r="E966" s="118"/>
      <c r="F966" s="118"/>
      <c r="G966" s="118" t="s">
        <v>3618</v>
      </c>
      <c r="H966" s="118" t="s">
        <v>3638</v>
      </c>
      <c r="I966" s="118" t="s">
        <v>7407</v>
      </c>
      <c r="J966" s="118" t="s">
        <v>3430</v>
      </c>
      <c r="K966" s="141"/>
      <c r="L966" s="135" t="str">
        <f t="shared" si="58"/>
        <v>Thallomys shortridgei</v>
      </c>
      <c r="M966" s="133">
        <v>-999</v>
      </c>
      <c r="N966" s="133">
        <v>-999</v>
      </c>
      <c r="O966" s="179" t="s">
        <v>3356</v>
      </c>
      <c r="P966" s="108">
        <v>-999</v>
      </c>
      <c r="Q966" s="80" t="s">
        <v>6642</v>
      </c>
      <c r="R966" s="89"/>
    </row>
    <row r="967" spans="1:18">
      <c r="A967" s="213" t="s">
        <v>2778</v>
      </c>
      <c r="B967" s="130"/>
      <c r="C967" s="118" t="s">
        <v>3817</v>
      </c>
      <c r="D967" s="141"/>
      <c r="E967" s="118"/>
      <c r="F967" s="118"/>
      <c r="G967" s="118" t="s">
        <v>3618</v>
      </c>
      <c r="H967" s="118" t="s">
        <v>3638</v>
      </c>
      <c r="I967" s="118" t="s">
        <v>7407</v>
      </c>
      <c r="J967" s="118" t="s">
        <v>7408</v>
      </c>
      <c r="K967" s="141"/>
      <c r="L967" s="135" t="str">
        <f t="shared" si="58"/>
        <v>Thallomys paedulcus</v>
      </c>
      <c r="M967" s="133">
        <f t="shared" ref="M967:M974" si="59">LOG(N967)</f>
        <v>1.9058000000000002</v>
      </c>
      <c r="N967" s="133">
        <v>80.500763610806274</v>
      </c>
      <c r="O967" s="179" t="s">
        <v>3356</v>
      </c>
      <c r="P967" s="108">
        <v>60</v>
      </c>
    </row>
    <row r="968" spans="1:18" ht="12" customHeight="1">
      <c r="A968" s="213" t="s">
        <v>2778</v>
      </c>
      <c r="B968" s="130"/>
      <c r="C968" s="118" t="s">
        <v>3817</v>
      </c>
      <c r="D968" s="141"/>
      <c r="E968" s="118"/>
      <c r="F968" s="118"/>
      <c r="G968" s="118" t="s">
        <v>3618</v>
      </c>
      <c r="H968" s="118" t="s">
        <v>3638</v>
      </c>
      <c r="I968" s="118" t="s">
        <v>7407</v>
      </c>
      <c r="J968" s="118" t="s">
        <v>4700</v>
      </c>
      <c r="K968" s="141"/>
      <c r="L968" s="135" t="str">
        <f t="shared" si="58"/>
        <v>Thallomys nigricauda</v>
      </c>
      <c r="M968" s="133">
        <f t="shared" si="59"/>
        <v>2.0958664534785427</v>
      </c>
      <c r="N968" s="133">
        <v>124.7</v>
      </c>
      <c r="O968" s="179" t="s">
        <v>6736</v>
      </c>
      <c r="P968" s="108">
        <v>-999</v>
      </c>
      <c r="Q968" s="88"/>
    </row>
    <row r="969" spans="1:18" ht="15" customHeight="1">
      <c r="A969" s="213" t="s">
        <v>2778</v>
      </c>
      <c r="B969" s="130"/>
      <c r="C969" s="118" t="s">
        <v>3817</v>
      </c>
      <c r="D969" s="141"/>
      <c r="E969" s="118"/>
      <c r="F969" s="118"/>
      <c r="G969" s="118" t="s">
        <v>3618</v>
      </c>
      <c r="H969" s="118" t="s">
        <v>3638</v>
      </c>
      <c r="I969" s="118" t="s">
        <v>7409</v>
      </c>
      <c r="J969" s="118" t="s">
        <v>6382</v>
      </c>
      <c r="K969" s="141"/>
      <c r="L969" s="135" t="str">
        <f t="shared" si="58"/>
        <v>Thamnomys venustus</v>
      </c>
      <c r="M969" s="133">
        <f t="shared" si="59"/>
        <v>1.7915152119416251</v>
      </c>
      <c r="N969" s="133">
        <f>AVERAGE(52, 81, 54, 60.5)</f>
        <v>61.875</v>
      </c>
      <c r="O969" s="179">
        <f>AVERAGE(52, 81, 54, 60.5)</f>
        <v>61.875</v>
      </c>
      <c r="P969" s="108">
        <v>135</v>
      </c>
    </row>
    <row r="970" spans="1:18">
      <c r="A970" s="213" t="s">
        <v>2778</v>
      </c>
      <c r="B970" s="130" t="s">
        <v>7144</v>
      </c>
      <c r="C970" s="118" t="s">
        <v>3817</v>
      </c>
      <c r="D970" s="141"/>
      <c r="E970" s="118"/>
      <c r="F970" s="118"/>
      <c r="G970" s="118" t="s">
        <v>3618</v>
      </c>
      <c r="H970" s="118" t="s">
        <v>3638</v>
      </c>
      <c r="I970" s="118" t="s">
        <v>7409</v>
      </c>
      <c r="J970" s="118" t="s">
        <v>3617</v>
      </c>
      <c r="K970" s="141"/>
      <c r="L970" s="135" t="str">
        <f t="shared" si="58"/>
        <v>Thamnomys kempi</v>
      </c>
      <c r="M970" s="133">
        <f t="shared" si="59"/>
        <v>1.8750612633917001</v>
      </c>
      <c r="N970" s="133">
        <v>75</v>
      </c>
      <c r="O970" s="179" t="s">
        <v>3356</v>
      </c>
      <c r="P970" s="108">
        <v>70</v>
      </c>
    </row>
    <row r="971" spans="1:18" ht="12" customHeight="1">
      <c r="A971" s="213" t="s">
        <v>2778</v>
      </c>
      <c r="B971" s="130"/>
      <c r="C971" s="118" t="s">
        <v>3817</v>
      </c>
      <c r="D971" s="141"/>
      <c r="E971" s="118"/>
      <c r="F971" s="118"/>
      <c r="G971" s="118" t="s">
        <v>3618</v>
      </c>
      <c r="H971" s="121" t="s">
        <v>3638</v>
      </c>
      <c r="I971" s="118" t="s">
        <v>7410</v>
      </c>
      <c r="J971" s="118" t="s">
        <v>7411</v>
      </c>
      <c r="K971" s="141"/>
      <c r="L971" s="135" t="str">
        <f t="shared" si="58"/>
        <v>Uranomys ruddi</v>
      </c>
      <c r="M971" s="133">
        <f t="shared" si="59"/>
        <v>1.6066883955100335</v>
      </c>
      <c r="N971" s="133">
        <f>AVERAGE(41, 55, 53, 31, 50, 22, 31)</f>
        <v>40.428571428571431</v>
      </c>
      <c r="O971" s="179" t="s">
        <v>1307</v>
      </c>
      <c r="P971" s="108" t="s">
        <v>1551</v>
      </c>
      <c r="R971" s="89" t="s">
        <v>1557</v>
      </c>
    </row>
    <row r="972" spans="1:18" ht="24" customHeight="1">
      <c r="A972" s="213" t="s">
        <v>2778</v>
      </c>
      <c r="B972" s="130"/>
      <c r="C972" s="118" t="s">
        <v>3817</v>
      </c>
      <c r="D972" s="141"/>
      <c r="E972" s="118"/>
      <c r="F972" s="118"/>
      <c r="G972" s="118" t="s">
        <v>3618</v>
      </c>
      <c r="H972" s="118" t="s">
        <v>3638</v>
      </c>
      <c r="I972" s="118" t="s">
        <v>7412</v>
      </c>
      <c r="J972" s="118" t="s">
        <v>7413</v>
      </c>
      <c r="K972" s="141"/>
      <c r="L972" s="135" t="str">
        <f t="shared" si="58"/>
        <v>Zelotomys woosnami</v>
      </c>
      <c r="M972" s="133">
        <f t="shared" si="59"/>
        <v>1.7332000000000003</v>
      </c>
      <c r="N972" s="133">
        <v>54.100340686346797</v>
      </c>
      <c r="O972" s="179" t="s">
        <v>3356</v>
      </c>
      <c r="P972" s="108">
        <v>60</v>
      </c>
      <c r="R972" s="89"/>
    </row>
    <row r="973" spans="1:18">
      <c r="A973" s="213" t="s">
        <v>2778</v>
      </c>
      <c r="B973" s="130"/>
      <c r="C973" s="118" t="s">
        <v>3817</v>
      </c>
      <c r="D973" s="141"/>
      <c r="E973" s="118"/>
      <c r="F973" s="118"/>
      <c r="G973" s="118" t="s">
        <v>3618</v>
      </c>
      <c r="H973" s="118" t="s">
        <v>3638</v>
      </c>
      <c r="I973" s="118" t="s">
        <v>7412</v>
      </c>
      <c r="J973" s="118" t="s">
        <v>6683</v>
      </c>
      <c r="K973" s="141"/>
      <c r="L973" s="135" t="str">
        <f t="shared" si="58"/>
        <v>Zelotomys hildegardeae</v>
      </c>
      <c r="M973" s="133">
        <f t="shared" si="59"/>
        <v>1.7781500000000001</v>
      </c>
      <c r="N973" s="133">
        <v>59.999827253364401</v>
      </c>
      <c r="O973" s="179" t="s">
        <v>3356</v>
      </c>
      <c r="P973" s="108" t="s">
        <v>1519</v>
      </c>
    </row>
    <row r="974" spans="1:18">
      <c r="A974" s="213" t="s">
        <v>2778</v>
      </c>
      <c r="B974" s="141" t="s">
        <v>2290</v>
      </c>
      <c r="C974" s="118" t="s">
        <v>3817</v>
      </c>
      <c r="D974" s="141"/>
      <c r="E974" s="118"/>
      <c r="F974" s="118"/>
      <c r="G974" s="118" t="s">
        <v>3618</v>
      </c>
      <c r="H974" s="118" t="s">
        <v>8036</v>
      </c>
      <c r="I974" s="118" t="s">
        <v>5888</v>
      </c>
      <c r="J974" s="118" t="s">
        <v>3607</v>
      </c>
      <c r="K974" s="141"/>
      <c r="L974" s="135" t="str">
        <f t="shared" si="58"/>
        <v>Eliomys melanurus</v>
      </c>
      <c r="M974" s="133">
        <f t="shared" si="59"/>
        <v>2.0881360887005513</v>
      </c>
      <c r="N974" s="133">
        <f>AVERAGE(45, 200)</f>
        <v>122.5</v>
      </c>
      <c r="O974" s="179" t="s">
        <v>3356</v>
      </c>
      <c r="P974" s="108">
        <v>70</v>
      </c>
      <c r="Q974" s="90" t="s">
        <v>6642</v>
      </c>
    </row>
    <row r="975" spans="1:18">
      <c r="A975" s="213" t="s">
        <v>2778</v>
      </c>
      <c r="B975" s="141" t="s">
        <v>2291</v>
      </c>
      <c r="C975" s="118" t="s">
        <v>3817</v>
      </c>
      <c r="D975" s="141"/>
      <c r="E975" s="118"/>
      <c r="F975" s="118"/>
      <c r="G975" s="118" t="s">
        <v>3618</v>
      </c>
      <c r="H975" s="118" t="s">
        <v>8036</v>
      </c>
      <c r="I975" s="118" t="s">
        <v>8042</v>
      </c>
      <c r="J975" s="118" t="s">
        <v>5136</v>
      </c>
      <c r="K975" s="141"/>
      <c r="L975" s="135" t="str">
        <f t="shared" si="58"/>
        <v>Graphiurus christyi</v>
      </c>
      <c r="M975" s="133">
        <v>-999</v>
      </c>
      <c r="N975" s="133">
        <v>-999</v>
      </c>
      <c r="O975" s="179" t="s">
        <v>3356</v>
      </c>
      <c r="P975" s="108">
        <v>-999</v>
      </c>
      <c r="Q975" s="80"/>
    </row>
    <row r="976" spans="1:18">
      <c r="A976" s="213" t="s">
        <v>2778</v>
      </c>
      <c r="B976" s="130"/>
      <c r="C976" s="118" t="s">
        <v>3817</v>
      </c>
      <c r="D976" s="141"/>
      <c r="E976" s="118"/>
      <c r="F976" s="118"/>
      <c r="G976" s="118" t="s">
        <v>3618</v>
      </c>
      <c r="H976" s="118" t="s">
        <v>8036</v>
      </c>
      <c r="I976" s="118" t="s">
        <v>8042</v>
      </c>
      <c r="J976" s="118" t="s">
        <v>4214</v>
      </c>
      <c r="K976" s="141"/>
      <c r="L976" s="135" t="str">
        <f t="shared" si="58"/>
        <v>Graphiurus crassicaudatus</v>
      </c>
      <c r="M976" s="133">
        <v>-999</v>
      </c>
      <c r="N976" s="133">
        <v>-999</v>
      </c>
      <c r="O976" s="179" t="s">
        <v>3356</v>
      </c>
      <c r="P976" s="108">
        <v>-999</v>
      </c>
      <c r="Q976" s="80"/>
    </row>
    <row r="977" spans="1:18" ht="12" customHeight="1">
      <c r="A977" s="213" t="s">
        <v>2778</v>
      </c>
      <c r="B977" s="130" t="s">
        <v>2964</v>
      </c>
      <c r="C977" s="118" t="s">
        <v>3817</v>
      </c>
      <c r="D977" s="141"/>
      <c r="E977" s="118"/>
      <c r="F977" s="118"/>
      <c r="G977" s="118" t="s">
        <v>3618</v>
      </c>
      <c r="H977" s="118" t="s">
        <v>8036</v>
      </c>
      <c r="I977" s="118" t="s">
        <v>8042</v>
      </c>
      <c r="J977" s="118" t="s">
        <v>5279</v>
      </c>
      <c r="K977" s="141"/>
      <c r="L977" s="135" t="str">
        <f t="shared" si="58"/>
        <v>Graphiurus kelleni</v>
      </c>
      <c r="M977" s="133">
        <v>-999</v>
      </c>
      <c r="N977" s="133">
        <v>-999</v>
      </c>
      <c r="O977" s="179" t="s">
        <v>3356</v>
      </c>
      <c r="P977" s="108">
        <v>-999</v>
      </c>
      <c r="Q977" s="80"/>
      <c r="R977" s="89"/>
    </row>
    <row r="978" spans="1:18" ht="12" customHeight="1">
      <c r="A978" s="213" t="s">
        <v>2778</v>
      </c>
      <c r="B978" s="130" t="s">
        <v>2722</v>
      </c>
      <c r="C978" s="121" t="s">
        <v>3817</v>
      </c>
      <c r="D978" s="156"/>
      <c r="E978" s="121"/>
      <c r="F978" s="121"/>
      <c r="G978" s="121" t="s">
        <v>3618</v>
      </c>
      <c r="H978" s="118" t="s">
        <v>8036</v>
      </c>
      <c r="I978" s="121" t="s">
        <v>8042</v>
      </c>
      <c r="J978" s="121" t="s">
        <v>2311</v>
      </c>
      <c r="K978" s="141"/>
      <c r="L978" s="135" t="str">
        <f t="shared" si="58"/>
        <v>Graphiurus microtis</v>
      </c>
      <c r="M978" s="133">
        <v>-999</v>
      </c>
      <c r="N978" s="143">
        <v>-999</v>
      </c>
      <c r="O978" s="179" t="s">
        <v>3356</v>
      </c>
      <c r="P978" s="108">
        <v>-999</v>
      </c>
      <c r="Q978" s="80"/>
      <c r="R978" s="89"/>
    </row>
    <row r="979" spans="1:18" ht="12" customHeight="1">
      <c r="A979" s="213" t="s">
        <v>2778</v>
      </c>
      <c r="B979" s="141" t="s">
        <v>2723</v>
      </c>
      <c r="C979" s="118" t="s">
        <v>3817</v>
      </c>
      <c r="D979" s="141"/>
      <c r="E979" s="118"/>
      <c r="F979" s="118"/>
      <c r="G979" s="118" t="s">
        <v>3618</v>
      </c>
      <c r="H979" s="118" t="s">
        <v>8036</v>
      </c>
      <c r="I979" s="118" t="s">
        <v>8042</v>
      </c>
      <c r="J979" s="118" t="s">
        <v>5277</v>
      </c>
      <c r="K979" s="141"/>
      <c r="L979" s="135" t="str">
        <f t="shared" si="58"/>
        <v>Graphiurus monardi</v>
      </c>
      <c r="M979" s="133">
        <v>-999</v>
      </c>
      <c r="N979" s="133">
        <v>-999</v>
      </c>
      <c r="O979" s="179" t="s">
        <v>3356</v>
      </c>
      <c r="P979" s="108">
        <v>-999</v>
      </c>
      <c r="Q979" s="80"/>
      <c r="R979" s="89"/>
    </row>
    <row r="980" spans="1:18" ht="25.5">
      <c r="A980" s="213" t="s">
        <v>2778</v>
      </c>
      <c r="B980" s="141" t="s">
        <v>2273</v>
      </c>
      <c r="C980" s="121" t="s">
        <v>3817</v>
      </c>
      <c r="D980" s="156"/>
      <c r="E980" s="121"/>
      <c r="F980" s="121"/>
      <c r="G980" s="121" t="s">
        <v>3618</v>
      </c>
      <c r="H980" s="118" t="s">
        <v>8036</v>
      </c>
      <c r="I980" s="118" t="s">
        <v>8042</v>
      </c>
      <c r="J980" s="118" t="s">
        <v>5278</v>
      </c>
      <c r="K980" s="141"/>
      <c r="L980" s="135" t="str">
        <f t="shared" si="58"/>
        <v>Graphiurus olga</v>
      </c>
      <c r="M980" s="133">
        <v>-999</v>
      </c>
      <c r="N980" s="133">
        <v>-999</v>
      </c>
      <c r="O980" s="179" t="s">
        <v>3356</v>
      </c>
      <c r="P980" s="108">
        <v>-999</v>
      </c>
      <c r="Q980" s="80"/>
    </row>
    <row r="981" spans="1:18">
      <c r="A981" s="213" t="s">
        <v>2778</v>
      </c>
      <c r="B981" s="130"/>
      <c r="C981" s="118" t="s">
        <v>3817</v>
      </c>
      <c r="D981" s="141"/>
      <c r="E981" s="118"/>
      <c r="F981" s="118"/>
      <c r="G981" s="118" t="s">
        <v>3618</v>
      </c>
      <c r="H981" s="118" t="s">
        <v>8036</v>
      </c>
      <c r="I981" s="118" t="s">
        <v>8042</v>
      </c>
      <c r="J981" s="118" t="s">
        <v>5283</v>
      </c>
      <c r="K981" s="141"/>
      <c r="L981" s="135" t="str">
        <f t="shared" si="58"/>
        <v>Graphiurus rupicola</v>
      </c>
      <c r="M981" s="133">
        <v>-999</v>
      </c>
      <c r="N981" s="133">
        <v>-999</v>
      </c>
      <c r="O981" s="179" t="s">
        <v>3356</v>
      </c>
      <c r="P981" s="108">
        <v>-999</v>
      </c>
      <c r="Q981" s="80"/>
    </row>
    <row r="982" spans="1:18">
      <c r="A982" s="213" t="s">
        <v>2778</v>
      </c>
      <c r="B982" s="130"/>
      <c r="C982" s="118" t="s">
        <v>3817</v>
      </c>
      <c r="D982" s="141"/>
      <c r="E982" s="118"/>
      <c r="F982" s="118"/>
      <c r="G982" s="118" t="s">
        <v>3618</v>
      </c>
      <c r="H982" s="118" t="s">
        <v>8036</v>
      </c>
      <c r="I982" s="118" t="s">
        <v>8042</v>
      </c>
      <c r="J982" s="118" t="s">
        <v>7332</v>
      </c>
      <c r="K982" s="141"/>
      <c r="L982" s="135" t="str">
        <f t="shared" si="58"/>
        <v>Graphiurus parvus</v>
      </c>
      <c r="M982" s="133">
        <f t="shared" ref="M982:M1009" si="60">LOG(N982)</f>
        <v>1.0211892990699381</v>
      </c>
      <c r="N982" s="133">
        <v>10.5</v>
      </c>
      <c r="O982" s="179" t="s">
        <v>3356</v>
      </c>
      <c r="P982" s="108">
        <v>127</v>
      </c>
      <c r="Q982" s="80"/>
    </row>
    <row r="983" spans="1:18">
      <c r="A983" s="213" t="s">
        <v>2778</v>
      </c>
      <c r="B983" s="130"/>
      <c r="C983" s="118" t="s">
        <v>3817</v>
      </c>
      <c r="D983" s="141"/>
      <c r="E983" s="118"/>
      <c r="F983" s="118"/>
      <c r="G983" s="118" t="s">
        <v>3618</v>
      </c>
      <c r="H983" s="118" t="s">
        <v>8036</v>
      </c>
      <c r="I983" s="118" t="s">
        <v>8042</v>
      </c>
      <c r="J983" s="118" t="s">
        <v>4557</v>
      </c>
      <c r="K983" s="141"/>
      <c r="L983" s="135" t="str">
        <f t="shared" si="58"/>
        <v>Graphiurus murinus</v>
      </c>
      <c r="M983" s="133">
        <f t="shared" si="60"/>
        <v>1.2804671608642451</v>
      </c>
      <c r="N983" s="133">
        <f>AVERAGE(20.1502296447649, 18)</f>
        <v>19.075114822382449</v>
      </c>
      <c r="O983" s="179" t="s">
        <v>3356</v>
      </c>
      <c r="P983" s="108" t="s">
        <v>1608</v>
      </c>
      <c r="R983" s="85" t="s">
        <v>1670</v>
      </c>
    </row>
    <row r="984" spans="1:18" ht="25.5">
      <c r="A984" s="213" t="s">
        <v>2778</v>
      </c>
      <c r="B984" s="141" t="s">
        <v>2800</v>
      </c>
      <c r="C984" s="118" t="s">
        <v>3817</v>
      </c>
      <c r="D984" s="141"/>
      <c r="E984" s="118"/>
      <c r="F984" s="118"/>
      <c r="G984" s="118" t="s">
        <v>3618</v>
      </c>
      <c r="H984" s="118" t="s">
        <v>8036</v>
      </c>
      <c r="I984" s="118" t="s">
        <v>8042</v>
      </c>
      <c r="J984" s="118" t="s">
        <v>3857</v>
      </c>
      <c r="K984" s="141"/>
      <c r="L984" s="135" t="str">
        <f t="shared" si="58"/>
        <v>Graphiurus surdus</v>
      </c>
      <c r="M984" s="133">
        <f t="shared" si="60"/>
        <v>1.3011462677821426</v>
      </c>
      <c r="N984" s="133">
        <v>20.005355245758651</v>
      </c>
      <c r="O984" s="179" t="s">
        <v>3356</v>
      </c>
      <c r="P984" s="108" t="s">
        <v>8130</v>
      </c>
      <c r="Q984" s="80" t="s">
        <v>6987</v>
      </c>
    </row>
    <row r="985" spans="1:18" ht="12" customHeight="1">
      <c r="A985" s="213" t="s">
        <v>2778</v>
      </c>
      <c r="B985" s="130"/>
      <c r="C985" s="118" t="s">
        <v>3817</v>
      </c>
      <c r="D985" s="141"/>
      <c r="E985" s="118"/>
      <c r="F985" s="118"/>
      <c r="G985" s="118" t="s">
        <v>3618</v>
      </c>
      <c r="H985" s="118" t="s">
        <v>8036</v>
      </c>
      <c r="I985" s="118" t="s">
        <v>8042</v>
      </c>
      <c r="J985" s="118" t="s">
        <v>5276</v>
      </c>
      <c r="K985" s="141"/>
      <c r="L985" s="135" t="str">
        <f t="shared" si="58"/>
        <v>Graphiurus lorraineus</v>
      </c>
      <c r="M985" s="133">
        <f t="shared" si="60"/>
        <v>1.4314346123531179</v>
      </c>
      <c r="N985" s="260">
        <v>27.004404977174104</v>
      </c>
      <c r="O985" s="179" t="s">
        <v>3356</v>
      </c>
      <c r="P985" s="108" t="s">
        <v>8130</v>
      </c>
      <c r="Q985" s="80"/>
      <c r="R985" s="89"/>
    </row>
    <row r="986" spans="1:18">
      <c r="A986" s="213" t="s">
        <v>2778</v>
      </c>
      <c r="B986" s="130"/>
      <c r="C986" s="118" t="s">
        <v>3817</v>
      </c>
      <c r="D986" s="141"/>
      <c r="E986" s="118"/>
      <c r="F986" s="118"/>
      <c r="G986" s="118" t="s">
        <v>3618</v>
      </c>
      <c r="H986" s="118" t="s">
        <v>8036</v>
      </c>
      <c r="I986" s="118" t="s">
        <v>8042</v>
      </c>
      <c r="J986" s="118" t="s">
        <v>8044</v>
      </c>
      <c r="K986" s="141"/>
      <c r="L986" s="135" t="str">
        <f t="shared" si="58"/>
        <v>Graphiurus ocularis</v>
      </c>
      <c r="M986" s="133">
        <f t="shared" si="60"/>
        <v>1.481442628502305</v>
      </c>
      <c r="N986" s="133">
        <f>AVERAGE(34, 26.6)</f>
        <v>30.3</v>
      </c>
      <c r="O986" s="179" t="s">
        <v>3356</v>
      </c>
      <c r="P986" s="108">
        <v>260</v>
      </c>
      <c r="Q986" s="90" t="s">
        <v>6988</v>
      </c>
    </row>
    <row r="987" spans="1:18">
      <c r="A987" s="213" t="s">
        <v>2778</v>
      </c>
      <c r="B987" s="130"/>
      <c r="C987" s="118" t="s">
        <v>3817</v>
      </c>
      <c r="D987" s="141"/>
      <c r="E987" s="118"/>
      <c r="F987" s="118"/>
      <c r="G987" s="118" t="s">
        <v>3618</v>
      </c>
      <c r="H987" s="118" t="s">
        <v>8036</v>
      </c>
      <c r="I987" s="118" t="s">
        <v>8042</v>
      </c>
      <c r="J987" s="118" t="s">
        <v>8043</v>
      </c>
      <c r="K987" s="141"/>
      <c r="L987" s="135" t="str">
        <f t="shared" si="58"/>
        <v>Graphiurus hueti</v>
      </c>
      <c r="M987" s="133">
        <f t="shared" si="60"/>
        <v>1.6532125137753437</v>
      </c>
      <c r="N987" s="133">
        <f>AVERAGE(30, 60)</f>
        <v>45</v>
      </c>
      <c r="O987" s="179" t="s">
        <v>3356</v>
      </c>
      <c r="P987" s="108" t="s">
        <v>7829</v>
      </c>
      <c r="R987" s="85" t="s">
        <v>1923</v>
      </c>
    </row>
    <row r="988" spans="1:18">
      <c r="A988" s="213" t="s">
        <v>2778</v>
      </c>
      <c r="B988" s="130"/>
      <c r="C988" s="118" t="s">
        <v>3817</v>
      </c>
      <c r="D988" s="141"/>
      <c r="E988" s="118"/>
      <c r="F988" s="118"/>
      <c r="G988" s="118" t="s">
        <v>3618</v>
      </c>
      <c r="H988" s="118" t="s">
        <v>8036</v>
      </c>
      <c r="I988" s="118" t="s">
        <v>8042</v>
      </c>
      <c r="J988" s="118" t="s">
        <v>8045</v>
      </c>
      <c r="K988" s="141"/>
      <c r="L988" s="135" t="str">
        <f t="shared" si="58"/>
        <v>Graphiurus platyops</v>
      </c>
      <c r="M988" s="133">
        <f t="shared" si="60"/>
        <v>1.6637009253896482</v>
      </c>
      <c r="N988" s="133">
        <f>AVERAGE(43.6, 48.6)</f>
        <v>46.1</v>
      </c>
      <c r="O988" s="179" t="s">
        <v>3356</v>
      </c>
      <c r="P988" s="108">
        <v>129</v>
      </c>
    </row>
    <row r="989" spans="1:18">
      <c r="A989" s="213" t="s">
        <v>2778</v>
      </c>
      <c r="B989" s="130"/>
      <c r="C989" s="118" t="s">
        <v>3817</v>
      </c>
      <c r="D989" s="141"/>
      <c r="E989" s="118"/>
      <c r="F989" s="118"/>
      <c r="G989" s="118" t="s">
        <v>3618</v>
      </c>
      <c r="H989" s="121" t="s">
        <v>3032</v>
      </c>
      <c r="I989" s="118" t="s">
        <v>3033</v>
      </c>
      <c r="J989" s="118" t="s">
        <v>4259</v>
      </c>
      <c r="K989" s="141"/>
      <c r="L989" s="135" t="str">
        <f t="shared" si="58"/>
        <v>Pedetes capensis</v>
      </c>
      <c r="M989" s="133">
        <f t="shared" si="60"/>
        <v>3.4990000000000006</v>
      </c>
      <c r="N989" s="133">
        <v>3155.0046233746311</v>
      </c>
      <c r="O989" s="179" t="s">
        <v>3356</v>
      </c>
      <c r="P989" s="108">
        <v>60</v>
      </c>
      <c r="Q989" s="90" t="s">
        <v>6988</v>
      </c>
    </row>
    <row r="990" spans="1:18">
      <c r="A990" s="213" t="s">
        <v>2778</v>
      </c>
      <c r="B990" s="130"/>
      <c r="C990" s="118" t="s">
        <v>3817</v>
      </c>
      <c r="D990" s="141"/>
      <c r="E990" s="118"/>
      <c r="F990" s="118"/>
      <c r="G990" s="118" t="s">
        <v>3618</v>
      </c>
      <c r="H990" s="118" t="s">
        <v>3435</v>
      </c>
      <c r="I990" s="118" t="s">
        <v>3436</v>
      </c>
      <c r="J990" s="118" t="s">
        <v>3437</v>
      </c>
      <c r="K990" s="141"/>
      <c r="L990" s="135" t="str">
        <f t="shared" si="58"/>
        <v>Petromus typicus</v>
      </c>
      <c r="M990" s="133">
        <f t="shared" si="60"/>
        <v>2.3502500000000004</v>
      </c>
      <c r="N990" s="133">
        <v>224.00102210407647</v>
      </c>
      <c r="O990" s="179" t="s">
        <v>3356</v>
      </c>
      <c r="P990" s="108">
        <v>60</v>
      </c>
    </row>
    <row r="991" spans="1:18">
      <c r="A991" s="213" t="s">
        <v>2778</v>
      </c>
      <c r="B991" s="130"/>
      <c r="C991" s="118" t="s">
        <v>3817</v>
      </c>
      <c r="D991" s="141"/>
      <c r="E991" s="118"/>
      <c r="F991" s="118"/>
      <c r="G991" s="118" t="s">
        <v>3618</v>
      </c>
      <c r="H991" s="118" t="s">
        <v>3438</v>
      </c>
      <c r="I991" s="118" t="s">
        <v>3439</v>
      </c>
      <c r="J991" s="118" t="s">
        <v>3440</v>
      </c>
      <c r="K991" s="141"/>
      <c r="L991" s="135" t="str">
        <f t="shared" si="58"/>
        <v>Atlantoxerus getulus</v>
      </c>
      <c r="M991" s="133">
        <f t="shared" si="60"/>
        <v>2.3996700000000004</v>
      </c>
      <c r="N991" s="133">
        <v>250.99784918349809</v>
      </c>
      <c r="O991" s="179" t="s">
        <v>3356</v>
      </c>
      <c r="P991" s="108">
        <v>60</v>
      </c>
    </row>
    <row r="992" spans="1:18">
      <c r="A992" s="213" t="s">
        <v>2778</v>
      </c>
      <c r="B992" s="130"/>
      <c r="C992" s="118" t="s">
        <v>3817</v>
      </c>
      <c r="D992" s="141"/>
      <c r="E992" s="118"/>
      <c r="F992" s="118"/>
      <c r="G992" s="118" t="s">
        <v>3618</v>
      </c>
      <c r="H992" s="118" t="s">
        <v>3438</v>
      </c>
      <c r="I992" s="118" t="s">
        <v>3441</v>
      </c>
      <c r="J992" s="118" t="s">
        <v>3185</v>
      </c>
      <c r="K992" s="141"/>
      <c r="L992" s="135" t="str">
        <f t="shared" si="58"/>
        <v>Epixerus wilsoni</v>
      </c>
      <c r="M992" s="133">
        <f t="shared" si="60"/>
        <v>2.5888317255942073</v>
      </c>
      <c r="N992" s="133">
        <v>388</v>
      </c>
      <c r="O992" s="179" t="s">
        <v>6882</v>
      </c>
      <c r="P992" s="108">
        <v>68</v>
      </c>
      <c r="Q992" s="90" t="s">
        <v>6642</v>
      </c>
    </row>
    <row r="993" spans="1:17">
      <c r="A993" s="213" t="s">
        <v>2778</v>
      </c>
      <c r="B993" s="130"/>
      <c r="C993" s="118" t="s">
        <v>3817</v>
      </c>
      <c r="D993" s="141"/>
      <c r="E993" s="118"/>
      <c r="F993" s="118"/>
      <c r="G993" s="118" t="s">
        <v>3618</v>
      </c>
      <c r="H993" s="118" t="s">
        <v>3438</v>
      </c>
      <c r="I993" s="118" t="s">
        <v>3441</v>
      </c>
      <c r="J993" s="118" t="s">
        <v>3027</v>
      </c>
      <c r="K993" s="141"/>
      <c r="L993" s="135" t="str">
        <f t="shared" si="58"/>
        <v>Epixerus ebii</v>
      </c>
      <c r="M993" s="133">
        <f t="shared" si="60"/>
        <v>2.7723200000000006</v>
      </c>
      <c r="N993" s="133">
        <v>591.99767351871822</v>
      </c>
      <c r="O993" s="179" t="s">
        <v>6882</v>
      </c>
      <c r="P993" s="108">
        <v>60</v>
      </c>
      <c r="Q993" s="90" t="s">
        <v>6642</v>
      </c>
    </row>
    <row r="994" spans="1:17">
      <c r="A994" s="213" t="s">
        <v>2778</v>
      </c>
      <c r="B994" s="130"/>
      <c r="C994" s="118" t="s">
        <v>3817</v>
      </c>
      <c r="D994" s="141"/>
      <c r="E994" s="118"/>
      <c r="F994" s="118"/>
      <c r="G994" s="118" t="s">
        <v>3618</v>
      </c>
      <c r="H994" s="118" t="s">
        <v>3438</v>
      </c>
      <c r="I994" s="118" t="s">
        <v>3028</v>
      </c>
      <c r="J994" s="118" t="s">
        <v>8255</v>
      </c>
      <c r="K994" s="141"/>
      <c r="L994" s="135" t="str">
        <f t="shared" si="58"/>
        <v>Funisciurus isabella</v>
      </c>
      <c r="M994" s="133">
        <f t="shared" si="60"/>
        <v>2.0374300000000005</v>
      </c>
      <c r="N994" s="133">
        <v>109.00087895662287</v>
      </c>
      <c r="O994" s="179" t="s">
        <v>6882</v>
      </c>
      <c r="P994" s="108">
        <v>60</v>
      </c>
      <c r="Q994" s="90" t="s">
        <v>6642</v>
      </c>
    </row>
    <row r="995" spans="1:17">
      <c r="A995" s="213" t="s">
        <v>2778</v>
      </c>
      <c r="B995" s="130"/>
      <c r="C995" s="118" t="s">
        <v>3817</v>
      </c>
      <c r="D995" s="141"/>
      <c r="E995" s="118"/>
      <c r="F995" s="118"/>
      <c r="G995" s="118" t="s">
        <v>3618</v>
      </c>
      <c r="H995" s="118" t="s">
        <v>3438</v>
      </c>
      <c r="I995" s="118" t="s">
        <v>3028</v>
      </c>
      <c r="J995" s="118" t="s">
        <v>4260</v>
      </c>
      <c r="K995" s="141"/>
      <c r="L995" s="135" t="str">
        <f t="shared" si="58"/>
        <v>Funisciurus congicus</v>
      </c>
      <c r="M995" s="133">
        <f t="shared" si="60"/>
        <v>2.04922</v>
      </c>
      <c r="N995" s="133">
        <v>112.00050993381923</v>
      </c>
      <c r="O995" s="179" t="s">
        <v>3356</v>
      </c>
      <c r="P995" s="108">
        <v>60</v>
      </c>
    </row>
    <row r="996" spans="1:17">
      <c r="A996" s="213" t="s">
        <v>2778</v>
      </c>
      <c r="B996" s="141" t="s">
        <v>2724</v>
      </c>
      <c r="C996" s="118" t="s">
        <v>3817</v>
      </c>
      <c r="D996" s="141"/>
      <c r="E996" s="118"/>
      <c r="F996" s="118"/>
      <c r="G996" s="118" t="s">
        <v>3618</v>
      </c>
      <c r="H996" s="118" t="s">
        <v>3438</v>
      </c>
      <c r="I996" s="118" t="s">
        <v>3028</v>
      </c>
      <c r="J996" s="118" t="s">
        <v>8276</v>
      </c>
      <c r="K996" s="141"/>
      <c r="L996" s="135" t="str">
        <f t="shared" si="58"/>
        <v>Funisciurus bayonii</v>
      </c>
      <c r="M996" s="133">
        <f t="shared" si="60"/>
        <v>2.1303337684950061</v>
      </c>
      <c r="N996" s="133">
        <f>AVERAGE(110, 160)</f>
        <v>135</v>
      </c>
      <c r="O996" s="179" t="s">
        <v>3356</v>
      </c>
      <c r="P996" s="108">
        <v>70</v>
      </c>
    </row>
    <row r="997" spans="1:17">
      <c r="A997" s="213" t="s">
        <v>2778</v>
      </c>
      <c r="B997" s="130"/>
      <c r="C997" s="118" t="s">
        <v>3817</v>
      </c>
      <c r="D997" s="141"/>
      <c r="E997" s="118"/>
      <c r="F997" s="118"/>
      <c r="G997" s="118" t="s">
        <v>3618</v>
      </c>
      <c r="H997" s="118" t="s">
        <v>3438</v>
      </c>
      <c r="I997" s="118" t="s">
        <v>3028</v>
      </c>
      <c r="J997" s="118" t="s">
        <v>3615</v>
      </c>
      <c r="K997" s="141"/>
      <c r="L997" s="135" t="str">
        <f t="shared" si="58"/>
        <v>Funisciurus lemniscatus</v>
      </c>
      <c r="M997" s="133">
        <f t="shared" si="60"/>
        <v>2.1492200000000006</v>
      </c>
      <c r="N997" s="133">
        <v>141.00028808959021</v>
      </c>
      <c r="O997" s="179" t="s">
        <v>3356</v>
      </c>
      <c r="P997" s="108">
        <v>60</v>
      </c>
    </row>
    <row r="998" spans="1:17">
      <c r="A998" s="213" t="s">
        <v>2778</v>
      </c>
      <c r="B998" s="130"/>
      <c r="C998" s="118" t="s">
        <v>3817</v>
      </c>
      <c r="D998" s="141"/>
      <c r="E998" s="118"/>
      <c r="F998" s="118"/>
      <c r="G998" s="118" t="s">
        <v>3618</v>
      </c>
      <c r="H998" s="118" t="s">
        <v>3438</v>
      </c>
      <c r="I998" s="118" t="s">
        <v>3028</v>
      </c>
      <c r="J998" s="118" t="s">
        <v>3036</v>
      </c>
      <c r="K998" s="141"/>
      <c r="L998" s="135" t="str">
        <f t="shared" si="58"/>
        <v>Funisciurus substriatus</v>
      </c>
      <c r="M998" s="133">
        <f t="shared" si="60"/>
        <v>2.2695099999999999</v>
      </c>
      <c r="N998" s="133">
        <v>185.99873905218925</v>
      </c>
      <c r="O998" s="179" t="s">
        <v>3356</v>
      </c>
      <c r="P998" s="108">
        <v>60</v>
      </c>
    </row>
    <row r="999" spans="1:17">
      <c r="A999" s="213" t="s">
        <v>2778</v>
      </c>
      <c r="B999" s="130"/>
      <c r="C999" s="118" t="s">
        <v>3817</v>
      </c>
      <c r="D999" s="141"/>
      <c r="E999" s="118"/>
      <c r="F999" s="118"/>
      <c r="G999" s="118" t="s">
        <v>3618</v>
      </c>
      <c r="H999" s="118" t="s">
        <v>3438</v>
      </c>
      <c r="I999" s="118" t="s">
        <v>3028</v>
      </c>
      <c r="J999" s="118" t="s">
        <v>3029</v>
      </c>
      <c r="K999" s="141"/>
      <c r="L999" s="135" t="str">
        <f t="shared" si="58"/>
        <v>Funisciurus anerythrus</v>
      </c>
      <c r="M999" s="133">
        <f t="shared" si="60"/>
        <v>2.3384600000000004</v>
      </c>
      <c r="N999" s="133">
        <v>218.00176008978661</v>
      </c>
      <c r="O999" s="179" t="s">
        <v>3356</v>
      </c>
      <c r="P999" s="108">
        <v>60</v>
      </c>
    </row>
    <row r="1000" spans="1:17">
      <c r="A1000" s="213" t="s">
        <v>2778</v>
      </c>
      <c r="B1000" s="130"/>
      <c r="C1000" s="118" t="s">
        <v>3817</v>
      </c>
      <c r="D1000" s="141"/>
      <c r="E1000" s="118"/>
      <c r="F1000" s="118"/>
      <c r="G1000" s="118" t="s">
        <v>3618</v>
      </c>
      <c r="H1000" s="118" t="s">
        <v>3438</v>
      </c>
      <c r="I1000" s="118" t="s">
        <v>3028</v>
      </c>
      <c r="J1000" s="118" t="s">
        <v>3616</v>
      </c>
      <c r="K1000" s="141"/>
      <c r="L1000" s="135" t="str">
        <f t="shared" si="58"/>
        <v>Funisciurus leucogenys</v>
      </c>
      <c r="M1000" s="133">
        <f t="shared" si="60"/>
        <v>2.3979400000000002</v>
      </c>
      <c r="N1000" s="133">
        <v>249.99999500797404</v>
      </c>
      <c r="O1000" s="179" t="s">
        <v>3356</v>
      </c>
      <c r="P1000" s="108">
        <v>65</v>
      </c>
    </row>
    <row r="1001" spans="1:17">
      <c r="A1001" s="213" t="s">
        <v>2778</v>
      </c>
      <c r="B1001" s="130"/>
      <c r="C1001" s="118" t="s">
        <v>3817</v>
      </c>
      <c r="D1001" s="141"/>
      <c r="E1001" s="118"/>
      <c r="F1001" s="118"/>
      <c r="G1001" s="118" t="s">
        <v>3618</v>
      </c>
      <c r="H1001" s="118" t="s">
        <v>3438</v>
      </c>
      <c r="I1001" s="118" t="s">
        <v>3028</v>
      </c>
      <c r="J1001" s="118" t="s">
        <v>3030</v>
      </c>
      <c r="K1001" s="141"/>
      <c r="L1001" s="135" t="str">
        <f t="shared" si="58"/>
        <v>Funisciurus carruthersi</v>
      </c>
      <c r="M1001" s="133">
        <f t="shared" si="60"/>
        <v>2.4563700000000002</v>
      </c>
      <c r="N1001" s="133">
        <v>286.00261235249923</v>
      </c>
      <c r="O1001" s="179" t="s">
        <v>7080</v>
      </c>
      <c r="P1001" s="108" t="s">
        <v>2835</v>
      </c>
      <c r="Q1001" s="90" t="s">
        <v>6988</v>
      </c>
    </row>
    <row r="1002" spans="1:17">
      <c r="A1002" s="213" t="s">
        <v>2778</v>
      </c>
      <c r="B1002" s="130"/>
      <c r="C1002" s="118" t="s">
        <v>3817</v>
      </c>
      <c r="D1002" s="141"/>
      <c r="E1002" s="118"/>
      <c r="F1002" s="118"/>
      <c r="G1002" s="118" t="s">
        <v>3618</v>
      </c>
      <c r="H1002" s="118" t="s">
        <v>3438</v>
      </c>
      <c r="I1002" s="118" t="s">
        <v>3028</v>
      </c>
      <c r="J1002" s="118" t="s">
        <v>3425</v>
      </c>
      <c r="K1002" s="141"/>
      <c r="L1002" s="135" t="str">
        <f t="shared" si="58"/>
        <v>Funisciurus pyrropus</v>
      </c>
      <c r="M1002" s="133">
        <f t="shared" si="60"/>
        <v>2.4727600000000001</v>
      </c>
      <c r="N1002" s="133">
        <v>297.00242820745564</v>
      </c>
      <c r="O1002" s="179" t="s">
        <v>3356</v>
      </c>
      <c r="P1002" s="108">
        <v>60</v>
      </c>
    </row>
    <row r="1003" spans="1:17">
      <c r="A1003" s="213" t="s">
        <v>2778</v>
      </c>
      <c r="B1003" s="130"/>
      <c r="C1003" s="118" t="s">
        <v>3817</v>
      </c>
      <c r="D1003" s="141"/>
      <c r="E1003" s="118"/>
      <c r="F1003" s="118"/>
      <c r="G1003" s="118" t="s">
        <v>3618</v>
      </c>
      <c r="H1003" s="118" t="s">
        <v>3438</v>
      </c>
      <c r="I1003" s="118" t="s">
        <v>3037</v>
      </c>
      <c r="J1003" s="118" t="s">
        <v>3038</v>
      </c>
      <c r="K1003" s="141"/>
      <c r="L1003" s="135" t="str">
        <f t="shared" si="58"/>
        <v>Heliosciurus punctatus</v>
      </c>
      <c r="M1003" s="133">
        <f t="shared" si="60"/>
        <v>2.2405500000000003</v>
      </c>
      <c r="N1003" s="133">
        <v>174.00030117569145</v>
      </c>
      <c r="O1003" s="179" t="s">
        <v>3356</v>
      </c>
      <c r="P1003" s="108">
        <v>60</v>
      </c>
    </row>
    <row r="1004" spans="1:17" ht="15" customHeight="1">
      <c r="A1004" s="213" t="s">
        <v>2778</v>
      </c>
      <c r="B1004" s="130"/>
      <c r="C1004" s="118" t="s">
        <v>3817</v>
      </c>
      <c r="D1004" s="141"/>
      <c r="E1004" s="118"/>
      <c r="F1004" s="118"/>
      <c r="G1004" s="118" t="s">
        <v>3618</v>
      </c>
      <c r="H1004" s="118" t="s">
        <v>3438</v>
      </c>
      <c r="I1004" s="118" t="s">
        <v>3037</v>
      </c>
      <c r="J1004" s="118" t="s">
        <v>7426</v>
      </c>
      <c r="K1004" s="141"/>
      <c r="L1004" s="135" t="str">
        <f t="shared" si="58"/>
        <v>Heliosciurus ruwenzorii</v>
      </c>
      <c r="M1004" s="133">
        <f t="shared" si="60"/>
        <v>2.4638900000000001</v>
      </c>
      <c r="N1004" s="133">
        <v>290.99799723012364</v>
      </c>
      <c r="O1004" s="179" t="s">
        <v>3356</v>
      </c>
      <c r="P1004" s="108" t="s">
        <v>2835</v>
      </c>
    </row>
    <row r="1005" spans="1:17">
      <c r="A1005" s="213" t="s">
        <v>2778</v>
      </c>
      <c r="B1005" s="130"/>
      <c r="C1005" s="118" t="s">
        <v>3817</v>
      </c>
      <c r="D1005" s="141"/>
      <c r="E1005" s="118"/>
      <c r="F1005" s="118"/>
      <c r="G1005" s="118" t="s">
        <v>3618</v>
      </c>
      <c r="H1005" s="118" t="s">
        <v>3438</v>
      </c>
      <c r="I1005" s="118" t="s">
        <v>3037</v>
      </c>
      <c r="J1005" s="118" t="s">
        <v>4900</v>
      </c>
      <c r="K1005" s="141"/>
      <c r="L1005" s="135" t="str">
        <f t="shared" si="58"/>
        <v>Heliosciurus gambianus</v>
      </c>
      <c r="M1005" s="133">
        <f t="shared" si="60"/>
        <v>2.4698199999999999</v>
      </c>
      <c r="N1005" s="133">
        <v>294.99863062460491</v>
      </c>
      <c r="O1005" s="179" t="s">
        <v>3356</v>
      </c>
      <c r="P1005" s="108" t="s">
        <v>2835</v>
      </c>
    </row>
    <row r="1006" spans="1:17">
      <c r="A1006" s="213" t="s">
        <v>2778</v>
      </c>
      <c r="B1006" s="141" t="s">
        <v>2628</v>
      </c>
      <c r="C1006" s="118" t="s">
        <v>3817</v>
      </c>
      <c r="D1006" s="141"/>
      <c r="E1006" s="118"/>
      <c r="F1006" s="118"/>
      <c r="G1006" s="118" t="s">
        <v>3618</v>
      </c>
      <c r="H1006" s="118" t="s">
        <v>3438</v>
      </c>
      <c r="I1006" s="118" t="s">
        <v>3037</v>
      </c>
      <c r="J1006" s="118" t="s">
        <v>5518</v>
      </c>
      <c r="K1006" s="141"/>
      <c r="L1006" s="135" t="str">
        <f t="shared" si="58"/>
        <v>Heliosciurus undulatus</v>
      </c>
      <c r="M1006" s="133">
        <f t="shared" si="60"/>
        <v>2.5407464642438433</v>
      </c>
      <c r="N1006" s="133">
        <f>AVERAGE(250, 380, 412)</f>
        <v>347.33333333333331</v>
      </c>
      <c r="O1006" s="179" t="s">
        <v>3356</v>
      </c>
      <c r="P1006" s="108" t="s">
        <v>7947</v>
      </c>
    </row>
    <row r="1007" spans="1:17">
      <c r="A1007" s="213" t="s">
        <v>2778</v>
      </c>
      <c r="B1007" s="130"/>
      <c r="C1007" s="118" t="s">
        <v>3817</v>
      </c>
      <c r="D1007" s="141"/>
      <c r="E1007" s="118"/>
      <c r="F1007" s="118"/>
      <c r="G1007" s="118" t="s">
        <v>3618</v>
      </c>
      <c r="H1007" s="118" t="s">
        <v>3438</v>
      </c>
      <c r="I1007" s="118" t="s">
        <v>3037</v>
      </c>
      <c r="J1007" s="118" t="s">
        <v>5715</v>
      </c>
      <c r="K1007" s="141"/>
      <c r="L1007" s="135" t="str">
        <f t="shared" si="58"/>
        <v>Heliosciurus rufobrachium</v>
      </c>
      <c r="M1007" s="133">
        <f t="shared" si="60"/>
        <v>2.56996</v>
      </c>
      <c r="N1007" s="133">
        <v>371.50101101379613</v>
      </c>
      <c r="O1007" s="179" t="s">
        <v>3356</v>
      </c>
      <c r="P1007" s="108">
        <v>60</v>
      </c>
    </row>
    <row r="1008" spans="1:17" ht="38.25">
      <c r="A1008" s="213" t="s">
        <v>2778</v>
      </c>
      <c r="B1008" s="141" t="s">
        <v>2629</v>
      </c>
      <c r="C1008" s="118" t="s">
        <v>3817</v>
      </c>
      <c r="D1008" s="141"/>
      <c r="E1008" s="118"/>
      <c r="F1008" s="118"/>
      <c r="G1008" s="118" t="s">
        <v>3618</v>
      </c>
      <c r="H1008" s="118" t="s">
        <v>3438</v>
      </c>
      <c r="I1008" s="118" t="s">
        <v>3037</v>
      </c>
      <c r="J1008" s="118" t="s">
        <v>8214</v>
      </c>
      <c r="K1008" s="141"/>
      <c r="L1008" s="135" t="str">
        <f t="shared" si="58"/>
        <v>Heliosciurus mutabilis</v>
      </c>
      <c r="M1008" s="133">
        <f t="shared" si="60"/>
        <v>2.5910646070264991</v>
      </c>
      <c r="N1008" s="133">
        <f>AVERAGE(300, 480)</f>
        <v>390</v>
      </c>
      <c r="O1008" s="179" t="s">
        <v>3356</v>
      </c>
      <c r="P1008" s="108">
        <v>106</v>
      </c>
    </row>
    <row r="1009" spans="1:18">
      <c r="A1009" s="213" t="s">
        <v>2778</v>
      </c>
      <c r="B1009" s="130"/>
      <c r="C1009" s="118" t="s">
        <v>3817</v>
      </c>
      <c r="D1009" s="141"/>
      <c r="E1009" s="118"/>
      <c r="F1009" s="118"/>
      <c r="G1009" s="118" t="s">
        <v>3618</v>
      </c>
      <c r="H1009" s="118" t="s">
        <v>3438</v>
      </c>
      <c r="I1009" s="118" t="s">
        <v>5711</v>
      </c>
      <c r="J1009" s="118" t="s">
        <v>3514</v>
      </c>
      <c r="K1009" s="141"/>
      <c r="L1009" s="135" t="str">
        <f t="shared" si="58"/>
        <v>Myosciurus pumilio</v>
      </c>
      <c r="M1009" s="133">
        <f t="shared" si="60"/>
        <v>2.2174800000000006</v>
      </c>
      <c r="N1009" s="133">
        <v>164.998501495261</v>
      </c>
      <c r="O1009" s="179" t="s">
        <v>6641</v>
      </c>
      <c r="P1009" s="108">
        <v>60</v>
      </c>
      <c r="Q1009" s="90" t="s">
        <v>6988</v>
      </c>
    </row>
    <row r="1010" spans="1:18">
      <c r="A1010" s="213" t="s">
        <v>2778</v>
      </c>
      <c r="B1010" s="141" t="s">
        <v>4965</v>
      </c>
      <c r="C1010" s="118" t="s">
        <v>3817</v>
      </c>
      <c r="D1010" s="141"/>
      <c r="E1010" s="118"/>
      <c r="F1010" s="118"/>
      <c r="G1010" s="118" t="s">
        <v>3618</v>
      </c>
      <c r="H1010" s="118" t="s">
        <v>3438</v>
      </c>
      <c r="I1010" s="118" t="s">
        <v>8260</v>
      </c>
      <c r="J1010" s="118" t="s">
        <v>4097</v>
      </c>
      <c r="K1010" s="141"/>
      <c r="L1010" s="135" t="str">
        <f t="shared" si="58"/>
        <v>Paraxerus vincenti</v>
      </c>
      <c r="M1010" s="133">
        <v>-999</v>
      </c>
      <c r="N1010" s="133">
        <v>-999</v>
      </c>
      <c r="O1010" s="179" t="s">
        <v>6882</v>
      </c>
      <c r="P1010" s="108">
        <v>-999</v>
      </c>
      <c r="Q1010" s="80" t="s">
        <v>6988</v>
      </c>
    </row>
    <row r="1011" spans="1:18">
      <c r="A1011" s="213" t="s">
        <v>2778</v>
      </c>
      <c r="B1011" s="141" t="s">
        <v>8102</v>
      </c>
      <c r="C1011" s="118" t="s">
        <v>3817</v>
      </c>
      <c r="D1011" s="141"/>
      <c r="E1011" s="118"/>
      <c r="F1011" s="118"/>
      <c r="G1011" s="118" t="s">
        <v>3618</v>
      </c>
      <c r="H1011" s="118" t="s">
        <v>3438</v>
      </c>
      <c r="I1011" s="118" t="s">
        <v>8260</v>
      </c>
      <c r="J1011" s="118" t="s">
        <v>3547</v>
      </c>
      <c r="K1011" s="141"/>
      <c r="L1011" s="135" t="str">
        <f t="shared" si="58"/>
        <v>Paraxerus alexandri</v>
      </c>
      <c r="M1011" s="133">
        <f t="shared" ref="M1011:M1042" si="61">LOG(N1011)</f>
        <v>1.7160033436347992</v>
      </c>
      <c r="N1011" s="133">
        <f>AVERAGE(32, 72)</f>
        <v>52</v>
      </c>
      <c r="O1011" s="179" t="s">
        <v>6882</v>
      </c>
      <c r="P1011" s="108">
        <v>70</v>
      </c>
      <c r="Q1011" s="90" t="s">
        <v>6642</v>
      </c>
    </row>
    <row r="1012" spans="1:18" ht="25.5">
      <c r="A1012" s="213" t="s">
        <v>2778</v>
      </c>
      <c r="B1012" s="141" t="s">
        <v>5364</v>
      </c>
      <c r="C1012" s="118" t="s">
        <v>3817</v>
      </c>
      <c r="D1012" s="141"/>
      <c r="E1012" s="118"/>
      <c r="F1012" s="118"/>
      <c r="G1012" s="118" t="s">
        <v>3618</v>
      </c>
      <c r="H1012" s="118" t="s">
        <v>3438</v>
      </c>
      <c r="I1012" s="118" t="s">
        <v>8260</v>
      </c>
      <c r="J1012" s="118" t="s">
        <v>2931</v>
      </c>
      <c r="K1012" s="141"/>
      <c r="L1012" s="135" t="str">
        <f t="shared" si="58"/>
        <v>Paraxerus boehmi</v>
      </c>
      <c r="M1012" s="133">
        <f t="shared" si="61"/>
        <v>1.8450980400142569</v>
      </c>
      <c r="N1012" s="133">
        <f>AVERAGE(40, 100)</f>
        <v>70</v>
      </c>
      <c r="O1012" s="179" t="s">
        <v>3356</v>
      </c>
      <c r="P1012" s="108">
        <v>70</v>
      </c>
    </row>
    <row r="1013" spans="1:18">
      <c r="A1013" s="213" t="s">
        <v>2778</v>
      </c>
      <c r="B1013" s="141" t="s">
        <v>4964</v>
      </c>
      <c r="C1013" s="118" t="s">
        <v>3817</v>
      </c>
      <c r="D1013" s="141"/>
      <c r="E1013" s="118"/>
      <c r="F1013" s="118"/>
      <c r="G1013" s="118" t="s">
        <v>3618</v>
      </c>
      <c r="H1013" s="118" t="s">
        <v>3438</v>
      </c>
      <c r="I1013" s="118" t="s">
        <v>8260</v>
      </c>
      <c r="J1013" s="118" t="s">
        <v>6573</v>
      </c>
      <c r="K1013" s="141"/>
      <c r="L1013" s="135" t="str">
        <f t="shared" si="58"/>
        <v>Paraxerus ochraceus</v>
      </c>
      <c r="M1013" s="133">
        <f t="shared" si="61"/>
        <v>2.0182843084265309</v>
      </c>
      <c r="N1013" s="133">
        <f>AVERAGE(90, 118.6)</f>
        <v>104.3</v>
      </c>
      <c r="O1013" s="179" t="s">
        <v>3356</v>
      </c>
      <c r="P1013" s="108" t="s">
        <v>7947</v>
      </c>
    </row>
    <row r="1014" spans="1:18">
      <c r="A1014" s="213" t="s">
        <v>2778</v>
      </c>
      <c r="B1014" s="130"/>
      <c r="C1014" s="118" t="s">
        <v>3817</v>
      </c>
      <c r="D1014" s="141"/>
      <c r="E1014" s="118"/>
      <c r="F1014" s="118"/>
      <c r="G1014" s="118" t="s">
        <v>3618</v>
      </c>
      <c r="H1014" s="118" t="s">
        <v>3438</v>
      </c>
      <c r="I1014" s="118" t="s">
        <v>8260</v>
      </c>
      <c r="J1014" s="118" t="s">
        <v>4392</v>
      </c>
      <c r="K1014" s="141"/>
      <c r="L1014" s="135" t="str">
        <f t="shared" si="58"/>
        <v>Paraxerus poensis</v>
      </c>
      <c r="M1014" s="133">
        <f t="shared" si="61"/>
        <v>2.0951700000000004</v>
      </c>
      <c r="N1014" s="133">
        <v>124.50018592639366</v>
      </c>
      <c r="O1014" s="179" t="s">
        <v>3356</v>
      </c>
      <c r="P1014" s="108">
        <v>60</v>
      </c>
    </row>
    <row r="1015" spans="1:18" ht="25.5">
      <c r="A1015" s="213" t="s">
        <v>2778</v>
      </c>
      <c r="B1015" s="141" t="s">
        <v>7399</v>
      </c>
      <c r="C1015" s="118" t="s">
        <v>3817</v>
      </c>
      <c r="D1015" s="141"/>
      <c r="E1015" s="118"/>
      <c r="F1015" s="118"/>
      <c r="G1015" s="118" t="s">
        <v>3618</v>
      </c>
      <c r="H1015" s="118" t="s">
        <v>3438</v>
      </c>
      <c r="I1015" s="118" t="s">
        <v>8260</v>
      </c>
      <c r="J1015" s="118" t="s">
        <v>3880</v>
      </c>
      <c r="K1015" s="141"/>
      <c r="L1015" s="135" t="str">
        <f t="shared" si="58"/>
        <v>Paraxerus flavovittis</v>
      </c>
      <c r="M1015" s="133">
        <f t="shared" si="61"/>
        <v>2.2041199826559246</v>
      </c>
      <c r="N1015" s="133">
        <f>AVERAGE(120, 200)</f>
        <v>160</v>
      </c>
      <c r="O1015" s="179" t="s">
        <v>3356</v>
      </c>
      <c r="P1015" s="108">
        <v>70</v>
      </c>
    </row>
    <row r="1016" spans="1:18">
      <c r="A1016" s="213" t="s">
        <v>2778</v>
      </c>
      <c r="B1016" s="130"/>
      <c r="C1016" s="118" t="s">
        <v>3817</v>
      </c>
      <c r="D1016" s="141"/>
      <c r="E1016" s="118"/>
      <c r="F1016" s="118"/>
      <c r="G1016" s="118" t="s">
        <v>3618</v>
      </c>
      <c r="H1016" s="118" t="s">
        <v>3438</v>
      </c>
      <c r="I1016" s="118" t="s">
        <v>8260</v>
      </c>
      <c r="J1016" s="118" t="s">
        <v>8267</v>
      </c>
      <c r="K1016" s="141"/>
      <c r="L1016" s="135" t="str">
        <f t="shared" si="58"/>
        <v>Paraxerus cepapi</v>
      </c>
      <c r="M1016" s="133">
        <f t="shared" si="61"/>
        <v>2.255272505103306</v>
      </c>
      <c r="N1016" s="133">
        <f>AVERAGE(100, 260)</f>
        <v>180</v>
      </c>
      <c r="O1016" s="179" t="s">
        <v>3356</v>
      </c>
      <c r="P1016" s="108">
        <v>70</v>
      </c>
    </row>
    <row r="1017" spans="1:18">
      <c r="A1017" s="213" t="s">
        <v>2778</v>
      </c>
      <c r="B1017" s="141" t="s">
        <v>2615</v>
      </c>
      <c r="C1017" s="118" t="s">
        <v>3817</v>
      </c>
      <c r="D1017" s="141"/>
      <c r="E1017" s="118"/>
      <c r="F1017" s="118"/>
      <c r="G1017" s="118" t="s">
        <v>3618</v>
      </c>
      <c r="H1017" s="118" t="s">
        <v>3438</v>
      </c>
      <c r="I1017" s="118" t="s">
        <v>8260</v>
      </c>
      <c r="J1017" s="118" t="s">
        <v>4610</v>
      </c>
      <c r="K1017" s="141"/>
      <c r="L1017" s="135" t="str">
        <f t="shared" si="58"/>
        <v>Paraxerus cooperi</v>
      </c>
      <c r="M1017" s="133">
        <f t="shared" si="61"/>
        <v>2.3979400086720375</v>
      </c>
      <c r="N1017" s="133">
        <v>250</v>
      </c>
      <c r="O1017" s="179" t="s">
        <v>6882</v>
      </c>
      <c r="P1017" s="108">
        <v>70</v>
      </c>
      <c r="Q1017" s="90" t="s">
        <v>6988</v>
      </c>
    </row>
    <row r="1018" spans="1:18" ht="12" customHeight="1">
      <c r="A1018" s="213" t="s">
        <v>2778</v>
      </c>
      <c r="B1018" s="130"/>
      <c r="C1018" s="121" t="s">
        <v>3817</v>
      </c>
      <c r="D1018" s="156"/>
      <c r="E1018" s="121"/>
      <c r="F1018" s="121"/>
      <c r="G1018" s="121" t="s">
        <v>3618</v>
      </c>
      <c r="H1018" s="118" t="s">
        <v>3438</v>
      </c>
      <c r="I1018" s="121" t="s">
        <v>8260</v>
      </c>
      <c r="J1018" s="121" t="s">
        <v>8268</v>
      </c>
      <c r="K1018" s="141"/>
      <c r="L1018" s="135" t="str">
        <f t="shared" si="58"/>
        <v>Paraxerus palliatus</v>
      </c>
      <c r="M1018" s="133">
        <f t="shared" si="61"/>
        <v>2.4903974711552315</v>
      </c>
      <c r="N1018" s="143">
        <f>AVERAGE(200, 550, 275.1, 360.9, 291.5, 207.5, 378.9, 210.6)</f>
        <v>309.3125</v>
      </c>
      <c r="O1018" s="179" t="s">
        <v>6641</v>
      </c>
      <c r="P1018" s="108" t="s">
        <v>6772</v>
      </c>
      <c r="Q1018" s="88" t="s">
        <v>6988</v>
      </c>
    </row>
    <row r="1019" spans="1:18">
      <c r="A1019" s="213" t="s">
        <v>2778</v>
      </c>
      <c r="B1019" s="141" t="s">
        <v>2300</v>
      </c>
      <c r="C1019" s="118" t="s">
        <v>3817</v>
      </c>
      <c r="D1019" s="141"/>
      <c r="E1019" s="118"/>
      <c r="F1019" s="118"/>
      <c r="G1019" s="118" t="s">
        <v>3618</v>
      </c>
      <c r="H1019" s="118" t="s">
        <v>3438</v>
      </c>
      <c r="I1019" s="118" t="s">
        <v>8260</v>
      </c>
      <c r="J1019" s="118" t="s">
        <v>3881</v>
      </c>
      <c r="K1019" s="141"/>
      <c r="L1019" s="135" t="str">
        <f t="shared" si="58"/>
        <v>Paraxerus vexillarius</v>
      </c>
      <c r="M1019" s="133">
        <f t="shared" si="61"/>
        <v>2.8293037728310249</v>
      </c>
      <c r="N1019" s="133">
        <v>675</v>
      </c>
      <c r="O1019" s="179" t="s">
        <v>6641</v>
      </c>
      <c r="P1019" s="108">
        <v>70</v>
      </c>
      <c r="Q1019" s="90" t="s">
        <v>6988</v>
      </c>
    </row>
    <row r="1020" spans="1:18">
      <c r="A1020" s="254" t="s">
        <v>2778</v>
      </c>
      <c r="B1020" s="141" t="s">
        <v>7674</v>
      </c>
      <c r="C1020" s="118" t="s">
        <v>3817</v>
      </c>
      <c r="D1020" s="141"/>
      <c r="E1020" s="118"/>
      <c r="F1020" s="118"/>
      <c r="G1020" s="118" t="s">
        <v>3618</v>
      </c>
      <c r="H1020" s="118" t="s">
        <v>3438</v>
      </c>
      <c r="I1020" s="118" t="s">
        <v>8260</v>
      </c>
      <c r="J1020" s="118" t="s">
        <v>6572</v>
      </c>
      <c r="K1020" s="141"/>
      <c r="L1020" s="135" t="str">
        <f t="shared" si="58"/>
        <v>Paraxerus lucifer</v>
      </c>
      <c r="M1020" s="133">
        <f t="shared" si="61"/>
        <v>2.8450980400142569</v>
      </c>
      <c r="N1020" s="133">
        <v>700</v>
      </c>
      <c r="O1020" s="179" t="s">
        <v>3356</v>
      </c>
      <c r="P1020" s="108">
        <v>70</v>
      </c>
    </row>
    <row r="1021" spans="1:18">
      <c r="A1021" s="213" t="s">
        <v>2778</v>
      </c>
      <c r="B1021" s="130"/>
      <c r="C1021" s="118" t="s">
        <v>3817</v>
      </c>
      <c r="D1021" s="141"/>
      <c r="E1021" s="118"/>
      <c r="F1021" s="118"/>
      <c r="G1021" s="118" t="s">
        <v>3618</v>
      </c>
      <c r="H1021" s="118" t="s">
        <v>3438</v>
      </c>
      <c r="I1021" s="118" t="s">
        <v>6790</v>
      </c>
      <c r="J1021" s="118" t="s">
        <v>3042</v>
      </c>
      <c r="K1021" s="141"/>
      <c r="L1021" s="135" t="str">
        <f t="shared" si="58"/>
        <v>Protoxerus aubinnii</v>
      </c>
      <c r="M1021" s="133">
        <f t="shared" si="61"/>
        <v>2.5440680443502757</v>
      </c>
      <c r="N1021" s="133">
        <v>350</v>
      </c>
      <c r="O1021" s="179" t="s">
        <v>3356</v>
      </c>
      <c r="P1021" s="108">
        <v>70</v>
      </c>
    </row>
    <row r="1022" spans="1:18">
      <c r="A1022" s="213" t="s">
        <v>2778</v>
      </c>
      <c r="B1022" s="130"/>
      <c r="C1022" s="118" t="s">
        <v>3817</v>
      </c>
      <c r="D1022" s="141"/>
      <c r="E1022" s="118"/>
      <c r="F1022" s="118"/>
      <c r="G1022" s="118" t="s">
        <v>3618</v>
      </c>
      <c r="H1022" s="118" t="s">
        <v>3438</v>
      </c>
      <c r="I1022" s="118" t="s">
        <v>6790</v>
      </c>
      <c r="J1022" s="118" t="s">
        <v>3043</v>
      </c>
      <c r="K1022" s="141"/>
      <c r="L1022" s="135" t="str">
        <f t="shared" si="58"/>
        <v>Protoxerus stangeri</v>
      </c>
      <c r="M1022" s="133">
        <f t="shared" si="61"/>
        <v>2.7934400000000004</v>
      </c>
      <c r="N1022" s="133">
        <v>621.4983786469121</v>
      </c>
      <c r="O1022" s="179" t="s">
        <v>3356</v>
      </c>
      <c r="P1022" s="108">
        <v>60</v>
      </c>
    </row>
    <row r="1023" spans="1:18">
      <c r="A1023" s="213" t="s">
        <v>2778</v>
      </c>
      <c r="B1023" s="130"/>
      <c r="C1023" s="118" t="s">
        <v>3817</v>
      </c>
      <c r="D1023" s="141"/>
      <c r="E1023" s="118"/>
      <c r="F1023" s="118"/>
      <c r="G1023" s="118" t="s">
        <v>3618</v>
      </c>
      <c r="H1023" s="118" t="s">
        <v>3438</v>
      </c>
      <c r="I1023" s="118" t="s">
        <v>3044</v>
      </c>
      <c r="J1023" s="118" t="s">
        <v>4407</v>
      </c>
      <c r="K1023" s="141"/>
      <c r="L1023" s="135" t="str">
        <f t="shared" si="58"/>
        <v>Xerus rutilus</v>
      </c>
      <c r="M1023" s="133">
        <f t="shared" si="61"/>
        <v>2.5017400000000003</v>
      </c>
      <c r="N1023" s="133">
        <v>317.49727338970928</v>
      </c>
      <c r="O1023" s="179" t="s">
        <v>3356</v>
      </c>
      <c r="P1023" s="108" t="s">
        <v>2835</v>
      </c>
    </row>
    <row r="1024" spans="1:18">
      <c r="A1024" s="213" t="s">
        <v>2778</v>
      </c>
      <c r="B1024" s="130"/>
      <c r="C1024" s="118" t="s">
        <v>3817</v>
      </c>
      <c r="D1024" s="141"/>
      <c r="E1024" s="118"/>
      <c r="F1024" s="118"/>
      <c r="G1024" s="118" t="s">
        <v>3618</v>
      </c>
      <c r="H1024" s="118" t="s">
        <v>3438</v>
      </c>
      <c r="I1024" s="118" t="s">
        <v>3044</v>
      </c>
      <c r="J1024" s="118" t="s">
        <v>3445</v>
      </c>
      <c r="K1024" s="141"/>
      <c r="L1024" s="135" t="str">
        <f t="shared" si="58"/>
        <v>Xerus erythropus</v>
      </c>
      <c r="M1024" s="133">
        <f t="shared" si="61"/>
        <v>2.7010496307291398</v>
      </c>
      <c r="N1024" s="133">
        <v>502.4</v>
      </c>
      <c r="O1024" s="179" t="s">
        <v>8212</v>
      </c>
      <c r="P1024" s="108">
        <v>221</v>
      </c>
      <c r="R1024" s="85" t="s">
        <v>1663</v>
      </c>
    </row>
    <row r="1025" spans="1:18">
      <c r="A1025" s="213" t="s">
        <v>2778</v>
      </c>
      <c r="B1025" s="130"/>
      <c r="C1025" s="118" t="s">
        <v>3817</v>
      </c>
      <c r="D1025" s="141"/>
      <c r="E1025" s="118"/>
      <c r="F1025" s="118"/>
      <c r="G1025" s="118" t="s">
        <v>3618</v>
      </c>
      <c r="H1025" s="118" t="s">
        <v>3438</v>
      </c>
      <c r="I1025" s="118" t="s">
        <v>3044</v>
      </c>
      <c r="J1025" s="118" t="s">
        <v>3446</v>
      </c>
      <c r="K1025" s="141"/>
      <c r="L1025" s="135" t="str">
        <f t="shared" si="58"/>
        <v>Xerus inauris</v>
      </c>
      <c r="M1025" s="133">
        <f t="shared" si="61"/>
        <v>2.7234556720351857</v>
      </c>
      <c r="N1025" s="133">
        <f>AVERAGE(423, 649, 444, 600)</f>
        <v>529</v>
      </c>
      <c r="O1025" s="179" t="s">
        <v>3356</v>
      </c>
      <c r="P1025" s="108">
        <v>274</v>
      </c>
    </row>
    <row r="1026" spans="1:18">
      <c r="A1026" s="213" t="s">
        <v>2778</v>
      </c>
      <c r="B1026" s="130"/>
      <c r="C1026" s="118" t="s">
        <v>3817</v>
      </c>
      <c r="D1026" s="141"/>
      <c r="E1026" s="118"/>
      <c r="F1026" s="118"/>
      <c r="G1026" s="118" t="s">
        <v>3618</v>
      </c>
      <c r="H1026" s="118" t="s">
        <v>3438</v>
      </c>
      <c r="I1026" s="118" t="s">
        <v>3044</v>
      </c>
      <c r="J1026" s="118" t="s">
        <v>3790</v>
      </c>
      <c r="K1026" s="141"/>
      <c r="L1026" s="135" t="str">
        <f t="shared" si="58"/>
        <v>Xerus princeps</v>
      </c>
      <c r="M1026" s="133">
        <f t="shared" si="61"/>
        <v>2.8034571156484138</v>
      </c>
      <c r="N1026" s="133">
        <v>636</v>
      </c>
      <c r="O1026" s="179" t="s">
        <v>3356</v>
      </c>
      <c r="P1026" s="108">
        <v>234</v>
      </c>
    </row>
    <row r="1027" spans="1:18">
      <c r="A1027" s="213" t="s">
        <v>2778</v>
      </c>
      <c r="B1027" s="130"/>
      <c r="C1027" s="118" t="s">
        <v>3817</v>
      </c>
      <c r="D1027" s="141"/>
      <c r="E1027" s="118"/>
      <c r="F1027" s="118"/>
      <c r="G1027" s="118" t="s">
        <v>3618</v>
      </c>
      <c r="H1027" s="118" t="s">
        <v>6468</v>
      </c>
      <c r="I1027" s="118" t="s">
        <v>6469</v>
      </c>
      <c r="J1027" s="118" t="s">
        <v>6418</v>
      </c>
      <c r="K1027" s="141"/>
      <c r="L1027" s="135" t="str">
        <f t="shared" si="58"/>
        <v>Thryonomys gregorianus</v>
      </c>
      <c r="M1027" s="133">
        <f t="shared" si="61"/>
        <v>3.4325111742898344</v>
      </c>
      <c r="N1027" s="133">
        <f>AVERAGE(1870, 1880, 2700, 2200, 3600, 4100, 2600)</f>
        <v>2707.1428571428573</v>
      </c>
      <c r="O1027" s="179" t="s">
        <v>3356</v>
      </c>
      <c r="P1027" s="108" t="s">
        <v>1095</v>
      </c>
    </row>
    <row r="1028" spans="1:18">
      <c r="A1028" s="213" t="s">
        <v>2778</v>
      </c>
      <c r="B1028" s="130"/>
      <c r="C1028" s="118" t="s">
        <v>3817</v>
      </c>
      <c r="D1028" s="141"/>
      <c r="E1028" s="118"/>
      <c r="F1028" s="118"/>
      <c r="G1028" s="118" t="s">
        <v>3618</v>
      </c>
      <c r="H1028" s="118" t="s">
        <v>6468</v>
      </c>
      <c r="I1028" s="118" t="s">
        <v>6469</v>
      </c>
      <c r="J1028" s="118" t="s">
        <v>3327</v>
      </c>
      <c r="K1028" s="141"/>
      <c r="L1028" s="135" t="str">
        <f t="shared" si="58"/>
        <v>Thryonomys swinderianus</v>
      </c>
      <c r="M1028" s="133">
        <f t="shared" si="61"/>
        <v>3.5024296520132356</v>
      </c>
      <c r="N1028" s="133">
        <f>AVERAGE(4060.03708025499, 2300)</f>
        <v>3180.0185401274948</v>
      </c>
      <c r="O1028" s="179" t="s">
        <v>3356</v>
      </c>
      <c r="P1028" s="108" t="s">
        <v>1851</v>
      </c>
      <c r="R1028" s="85" t="s">
        <v>1654</v>
      </c>
    </row>
    <row r="1029" spans="1:18">
      <c r="A1029" s="213" t="s">
        <v>2778</v>
      </c>
      <c r="B1029" s="130"/>
      <c r="C1029" s="118" t="s">
        <v>3817</v>
      </c>
      <c r="D1029" s="141"/>
      <c r="E1029" s="118"/>
      <c r="F1029" s="118"/>
      <c r="G1029" s="118" t="s">
        <v>7361</v>
      </c>
      <c r="H1029" s="118" t="s">
        <v>3584</v>
      </c>
      <c r="I1029" s="118" t="s">
        <v>3556</v>
      </c>
      <c r="J1029" s="118" t="s">
        <v>6318</v>
      </c>
      <c r="K1029" s="141"/>
      <c r="L1029" s="135" t="str">
        <f t="shared" ref="L1029:L1092" si="62">I1029&amp;" "&amp;J1029</f>
        <v>Trichechus senegalensis</v>
      </c>
      <c r="M1029" s="133">
        <f t="shared" si="61"/>
        <v>5.6570558528571038</v>
      </c>
      <c r="N1029" s="133">
        <f>1000*454</f>
        <v>454000</v>
      </c>
      <c r="O1029" s="179" t="s">
        <v>3356</v>
      </c>
      <c r="P1029" s="108">
        <v>107</v>
      </c>
    </row>
    <row r="1030" spans="1:18">
      <c r="A1030" s="213" t="s">
        <v>2778</v>
      </c>
      <c r="B1030" s="130"/>
      <c r="C1030" s="118" t="s">
        <v>3817</v>
      </c>
      <c r="D1030" s="141"/>
      <c r="E1030" s="118"/>
      <c r="F1030" s="118"/>
      <c r="G1030" s="118" t="s">
        <v>7996</v>
      </c>
      <c r="H1030" s="118" t="s">
        <v>6238</v>
      </c>
      <c r="I1030" s="118" t="s">
        <v>6413</v>
      </c>
      <c r="J1030" s="118" t="s">
        <v>6414</v>
      </c>
      <c r="K1030" s="141"/>
      <c r="L1030" s="135" t="str">
        <f t="shared" si="62"/>
        <v>Orycteropus afer</v>
      </c>
      <c r="M1030" s="133">
        <f t="shared" si="61"/>
        <v>4.7189199999999998</v>
      </c>
      <c r="N1030" s="133">
        <v>52350.399470385135</v>
      </c>
      <c r="O1030" s="179" t="s">
        <v>7081</v>
      </c>
      <c r="P1030" s="108">
        <v>60</v>
      </c>
      <c r="Q1030" s="90" t="s">
        <v>7008</v>
      </c>
    </row>
    <row r="1031" spans="1:18">
      <c r="A1031" s="216" t="s">
        <v>2653</v>
      </c>
      <c r="B1031" s="138"/>
      <c r="C1031" s="118" t="s">
        <v>4955</v>
      </c>
      <c r="D1031" s="141"/>
      <c r="E1031" s="118"/>
      <c r="F1031" s="118"/>
      <c r="G1031" s="139" t="s">
        <v>3001</v>
      </c>
      <c r="H1031" s="139" t="s">
        <v>3358</v>
      </c>
      <c r="I1031" s="139" t="s">
        <v>4067</v>
      </c>
      <c r="J1031" s="139" t="s">
        <v>7469</v>
      </c>
      <c r="K1031" s="222"/>
      <c r="L1031" s="135" t="str">
        <f t="shared" si="62"/>
        <v>Bos javanicus</v>
      </c>
      <c r="M1031" s="133">
        <f t="shared" si="61"/>
        <v>5.6766936096248664</v>
      </c>
      <c r="N1031" s="140">
        <v>475000</v>
      </c>
      <c r="O1031" s="181" t="s">
        <v>3527</v>
      </c>
      <c r="P1031" s="113">
        <v>59</v>
      </c>
    </row>
    <row r="1032" spans="1:18" ht="12" customHeight="1">
      <c r="A1032" s="216" t="s">
        <v>2653</v>
      </c>
      <c r="B1032" s="138"/>
      <c r="C1032" s="118" t="s">
        <v>4955</v>
      </c>
      <c r="D1032" s="141"/>
      <c r="E1032" s="118"/>
      <c r="F1032" s="118"/>
      <c r="G1032" s="139" t="s">
        <v>3001</v>
      </c>
      <c r="H1032" s="139" t="s">
        <v>3358</v>
      </c>
      <c r="I1032" s="139" t="s">
        <v>7456</v>
      </c>
      <c r="J1032" s="139" t="s">
        <v>7457</v>
      </c>
      <c r="K1032" s="222"/>
      <c r="L1032" s="135" t="str">
        <f t="shared" si="62"/>
        <v>Bubalus bubalis</v>
      </c>
      <c r="M1032" s="133">
        <f t="shared" si="61"/>
        <v>5.9164539485499255</v>
      </c>
      <c r="N1032" s="140">
        <v>825000</v>
      </c>
      <c r="O1032" s="181" t="s">
        <v>3527</v>
      </c>
      <c r="P1032" s="112">
        <v>59</v>
      </c>
      <c r="Q1032" s="88"/>
    </row>
    <row r="1033" spans="1:18" ht="12" customHeight="1">
      <c r="A1033" s="216" t="s">
        <v>2653</v>
      </c>
      <c r="B1033" s="138"/>
      <c r="C1033" s="118" t="s">
        <v>4955</v>
      </c>
      <c r="D1033" s="141"/>
      <c r="E1033" s="118"/>
      <c r="F1033" s="118"/>
      <c r="G1033" s="139" t="s">
        <v>3001</v>
      </c>
      <c r="H1033" s="139" t="s">
        <v>3358</v>
      </c>
      <c r="I1033" s="139" t="s">
        <v>3171</v>
      </c>
      <c r="J1033" s="139" t="s">
        <v>4066</v>
      </c>
      <c r="K1033" s="222"/>
      <c r="L1033" s="135" t="str">
        <f t="shared" si="62"/>
        <v>Capra hircus</v>
      </c>
      <c r="M1033" s="133">
        <f t="shared" si="61"/>
        <v>4.5250448070368456</v>
      </c>
      <c r="N1033" s="140">
        <v>33500</v>
      </c>
      <c r="O1033" s="181" t="s">
        <v>3527</v>
      </c>
      <c r="P1033" s="112">
        <v>59</v>
      </c>
      <c r="Q1033" s="88"/>
    </row>
    <row r="1034" spans="1:18">
      <c r="A1034" s="216" t="s">
        <v>2653</v>
      </c>
      <c r="B1034" s="138"/>
      <c r="C1034" s="118" t="s">
        <v>4955</v>
      </c>
      <c r="D1034" s="141"/>
      <c r="E1034" s="118"/>
      <c r="F1034" s="118"/>
      <c r="G1034" s="139" t="s">
        <v>3001</v>
      </c>
      <c r="H1034" s="139" t="s">
        <v>7465</v>
      </c>
      <c r="I1034" s="139" t="s">
        <v>7466</v>
      </c>
      <c r="J1034" s="139" t="s">
        <v>7467</v>
      </c>
      <c r="K1034" s="222"/>
      <c r="L1034" s="135" t="str">
        <f t="shared" si="62"/>
        <v>Camelus dromedarius</v>
      </c>
      <c r="M1034" s="133">
        <f t="shared" si="61"/>
        <v>5.9030899869919438</v>
      </c>
      <c r="N1034" s="140">
        <v>800000</v>
      </c>
      <c r="O1034" s="181" t="s">
        <v>3527</v>
      </c>
      <c r="P1034" s="112">
        <v>59</v>
      </c>
    </row>
    <row r="1035" spans="1:18" ht="12" customHeight="1">
      <c r="A1035" s="216" t="s">
        <v>2653</v>
      </c>
      <c r="B1035" s="138"/>
      <c r="C1035" s="118" t="s">
        <v>4955</v>
      </c>
      <c r="D1035" s="141"/>
      <c r="E1035" s="118"/>
      <c r="F1035" s="118"/>
      <c r="G1035" s="139" t="s">
        <v>3001</v>
      </c>
      <c r="H1035" s="139" t="s">
        <v>3905</v>
      </c>
      <c r="I1035" s="139" t="s">
        <v>3864</v>
      </c>
      <c r="J1035" s="139" t="s">
        <v>3865</v>
      </c>
      <c r="K1035" s="222"/>
      <c r="L1035" s="135" t="str">
        <f t="shared" si="62"/>
        <v>Axis porcinus</v>
      </c>
      <c r="M1035" s="133">
        <f t="shared" si="61"/>
        <v>4.5440680443502757</v>
      </c>
      <c r="N1035" s="140">
        <v>35000</v>
      </c>
      <c r="O1035" s="181" t="s">
        <v>3527</v>
      </c>
      <c r="P1035" s="113">
        <v>59</v>
      </c>
      <c r="Q1035" s="88"/>
    </row>
    <row r="1036" spans="1:18">
      <c r="A1036" s="216" t="s">
        <v>2653</v>
      </c>
      <c r="B1036" s="138"/>
      <c r="C1036" s="121" t="s">
        <v>4955</v>
      </c>
      <c r="D1036" s="156"/>
      <c r="E1036" s="121"/>
      <c r="F1036" s="121"/>
      <c r="G1036" s="211" t="s">
        <v>3001</v>
      </c>
      <c r="H1036" s="139" t="s">
        <v>3905</v>
      </c>
      <c r="I1036" s="211" t="s">
        <v>3864</v>
      </c>
      <c r="J1036" s="211" t="s">
        <v>3908</v>
      </c>
      <c r="K1036" s="244"/>
      <c r="L1036" s="135" t="str">
        <f t="shared" si="62"/>
        <v>Axis axis</v>
      </c>
      <c r="M1036" s="133">
        <f t="shared" si="61"/>
        <v>4.8419848045901137</v>
      </c>
      <c r="N1036" s="140">
        <v>69500</v>
      </c>
      <c r="O1036" s="181" t="s">
        <v>3527</v>
      </c>
      <c r="P1036" s="113">
        <v>59</v>
      </c>
    </row>
    <row r="1037" spans="1:18">
      <c r="A1037" s="216" t="s">
        <v>2653</v>
      </c>
      <c r="B1037" s="138"/>
      <c r="C1037" s="118" t="s">
        <v>4955</v>
      </c>
      <c r="D1037" s="141"/>
      <c r="E1037" s="118"/>
      <c r="F1037" s="118"/>
      <c r="G1037" s="139" t="s">
        <v>3001</v>
      </c>
      <c r="H1037" s="139" t="s">
        <v>3905</v>
      </c>
      <c r="I1037" s="139" t="s">
        <v>3906</v>
      </c>
      <c r="J1037" s="139" t="s">
        <v>3909</v>
      </c>
      <c r="K1037" s="222"/>
      <c r="L1037" s="135" t="str">
        <f t="shared" si="62"/>
        <v>Cervus timorensis</v>
      </c>
      <c r="M1037" s="133">
        <f t="shared" si="61"/>
        <v>4.7993405494535821</v>
      </c>
      <c r="N1037" s="140">
        <v>63000</v>
      </c>
      <c r="O1037" s="181" t="s">
        <v>3527</v>
      </c>
      <c r="P1037" s="113">
        <v>59</v>
      </c>
    </row>
    <row r="1038" spans="1:18">
      <c r="A1038" s="216" t="s">
        <v>2653</v>
      </c>
      <c r="B1038" s="138"/>
      <c r="C1038" s="118" t="s">
        <v>4955</v>
      </c>
      <c r="D1038" s="141"/>
      <c r="E1038" s="118"/>
      <c r="F1038" s="118"/>
      <c r="G1038" s="139" t="s">
        <v>3001</v>
      </c>
      <c r="H1038" s="139" t="s">
        <v>3905</v>
      </c>
      <c r="I1038" s="139" t="s">
        <v>3906</v>
      </c>
      <c r="J1038" s="139" t="s">
        <v>3863</v>
      </c>
      <c r="K1038" s="222"/>
      <c r="L1038" s="135" t="str">
        <f t="shared" si="62"/>
        <v>Cervus elaphus</v>
      </c>
      <c r="M1038" s="133">
        <f t="shared" si="61"/>
        <v>5.0773679052841567</v>
      </c>
      <c r="N1038" s="140">
        <v>119500</v>
      </c>
      <c r="O1038" s="181" t="s">
        <v>3527</v>
      </c>
      <c r="P1038" s="112">
        <v>59</v>
      </c>
    </row>
    <row r="1039" spans="1:18">
      <c r="A1039" s="216" t="s">
        <v>2653</v>
      </c>
      <c r="B1039" s="138"/>
      <c r="C1039" s="118" t="s">
        <v>4955</v>
      </c>
      <c r="D1039" s="141"/>
      <c r="E1039" s="118"/>
      <c r="F1039" s="118"/>
      <c r="G1039" s="139" t="s">
        <v>3001</v>
      </c>
      <c r="H1039" s="139" t="s">
        <v>3905</v>
      </c>
      <c r="I1039" s="139" t="s">
        <v>3906</v>
      </c>
      <c r="J1039" s="139" t="s">
        <v>3652</v>
      </c>
      <c r="K1039" s="222"/>
      <c r="L1039" s="135" t="str">
        <f t="shared" si="62"/>
        <v>Cervus unicolor</v>
      </c>
      <c r="M1039" s="133">
        <f t="shared" si="61"/>
        <v>5.2278867046136739</v>
      </c>
      <c r="N1039" s="140">
        <v>169000</v>
      </c>
      <c r="O1039" s="181" t="s">
        <v>3527</v>
      </c>
      <c r="P1039" s="112">
        <v>59</v>
      </c>
    </row>
    <row r="1040" spans="1:18">
      <c r="A1040" s="216" t="s">
        <v>2653</v>
      </c>
      <c r="B1040" s="138"/>
      <c r="C1040" s="118" t="s">
        <v>4955</v>
      </c>
      <c r="D1040" s="141"/>
      <c r="E1040" s="118"/>
      <c r="F1040" s="118"/>
      <c r="G1040" s="139" t="s">
        <v>3001</v>
      </c>
      <c r="H1040" s="139" t="s">
        <v>3905</v>
      </c>
      <c r="I1040" s="139" t="s">
        <v>3866</v>
      </c>
      <c r="J1040" s="139" t="s">
        <v>4891</v>
      </c>
      <c r="K1040" s="222"/>
      <c r="L1040" s="135" t="str">
        <f t="shared" si="62"/>
        <v>Dama dama</v>
      </c>
      <c r="M1040" s="133">
        <f t="shared" si="61"/>
        <v>4.685741738602264</v>
      </c>
      <c r="N1040" s="140">
        <v>48500</v>
      </c>
      <c r="O1040" s="181" t="s">
        <v>3527</v>
      </c>
      <c r="P1040" s="112">
        <v>59</v>
      </c>
    </row>
    <row r="1041" spans="1:17">
      <c r="A1041" s="216" t="s">
        <v>2653</v>
      </c>
      <c r="B1041" s="138"/>
      <c r="C1041" s="118" t="s">
        <v>4955</v>
      </c>
      <c r="D1041" s="141"/>
      <c r="E1041" s="118"/>
      <c r="F1041" s="118"/>
      <c r="G1041" s="139" t="s">
        <v>3001</v>
      </c>
      <c r="H1041" s="139" t="s">
        <v>3267</v>
      </c>
      <c r="I1041" s="139" t="s">
        <v>3484</v>
      </c>
      <c r="J1041" s="139" t="s">
        <v>3485</v>
      </c>
      <c r="K1041" s="222"/>
      <c r="L1041" s="135" t="str">
        <f t="shared" si="62"/>
        <v>Sus scrofa</v>
      </c>
      <c r="M1041" s="133">
        <f t="shared" si="61"/>
        <v>4.9357591037453119</v>
      </c>
      <c r="N1041" s="140">
        <v>86250</v>
      </c>
      <c r="O1041" s="181" t="s">
        <v>3527</v>
      </c>
      <c r="P1041" s="112">
        <v>59</v>
      </c>
    </row>
    <row r="1042" spans="1:17">
      <c r="A1042" s="213" t="s">
        <v>2653</v>
      </c>
      <c r="B1042" s="130"/>
      <c r="C1042" s="118" t="s">
        <v>4955</v>
      </c>
      <c r="D1042" s="141"/>
      <c r="E1042" s="118"/>
      <c r="F1042" s="118"/>
      <c r="G1042" s="118" t="s">
        <v>3954</v>
      </c>
      <c r="H1042" s="118" t="s">
        <v>7321</v>
      </c>
      <c r="I1042" s="118" t="s">
        <v>4839</v>
      </c>
      <c r="J1042" s="118" t="s">
        <v>4857</v>
      </c>
      <c r="K1042" s="141"/>
      <c r="L1042" s="135" t="str">
        <f t="shared" si="62"/>
        <v>Felis silvestris</v>
      </c>
      <c r="M1042" s="133">
        <f t="shared" si="61"/>
        <v>3.6283889300503116</v>
      </c>
      <c r="N1042" s="133">
        <v>4250</v>
      </c>
      <c r="O1042" s="179" t="s">
        <v>4955</v>
      </c>
      <c r="P1042" s="111">
        <v>59</v>
      </c>
    </row>
    <row r="1043" spans="1:17">
      <c r="A1043" s="213" t="s">
        <v>2653</v>
      </c>
      <c r="B1043" s="130"/>
      <c r="C1043" s="118" t="s">
        <v>5904</v>
      </c>
      <c r="D1043" s="141"/>
      <c r="E1043" s="118"/>
      <c r="F1043" s="118"/>
      <c r="G1043" s="118" t="s">
        <v>3954</v>
      </c>
      <c r="H1043" s="118" t="s">
        <v>3955</v>
      </c>
      <c r="I1043" s="118" t="s">
        <v>4544</v>
      </c>
      <c r="J1043" s="118" t="s">
        <v>4676</v>
      </c>
      <c r="K1043" s="285" t="s">
        <v>8472</v>
      </c>
      <c r="L1043" s="135" t="str">
        <f t="shared" si="62"/>
        <v>Vulpes vulpes</v>
      </c>
      <c r="M1043" s="133">
        <f t="shared" ref="M1043:M1074" si="63">LOG(N1043)</f>
        <v>3.7745169657285498</v>
      </c>
      <c r="N1043" s="143">
        <v>5950</v>
      </c>
      <c r="O1043" s="179" t="s">
        <v>3356</v>
      </c>
      <c r="P1043" s="111">
        <v>59</v>
      </c>
    </row>
    <row r="1044" spans="1:17">
      <c r="A1044" s="213" t="s">
        <v>2653</v>
      </c>
      <c r="B1044" s="130"/>
      <c r="C1044" s="118" t="s">
        <v>3817</v>
      </c>
      <c r="D1044" s="141"/>
      <c r="E1044" s="118"/>
      <c r="F1044" s="118"/>
      <c r="G1044" s="118" t="s">
        <v>3954</v>
      </c>
      <c r="H1044" s="118" t="s">
        <v>3955</v>
      </c>
      <c r="I1044" s="118" t="s">
        <v>3956</v>
      </c>
      <c r="J1044" s="118" t="s">
        <v>4674</v>
      </c>
      <c r="K1044" s="141"/>
      <c r="L1044" s="135" t="str">
        <f t="shared" si="62"/>
        <v>Canis lupus</v>
      </c>
      <c r="M1044" s="133">
        <f t="shared" si="63"/>
        <v>4.2253092817258633</v>
      </c>
      <c r="N1044" s="133">
        <v>16800</v>
      </c>
      <c r="O1044" s="179" t="s">
        <v>3356</v>
      </c>
      <c r="P1044" s="108">
        <v>59</v>
      </c>
    </row>
    <row r="1045" spans="1:17">
      <c r="A1045" s="213" t="s">
        <v>2653</v>
      </c>
      <c r="B1045" s="130"/>
      <c r="C1045" s="118" t="s">
        <v>3817</v>
      </c>
      <c r="D1045" s="141"/>
      <c r="E1045" s="118"/>
      <c r="F1045" s="118"/>
      <c r="G1045" s="118" t="s">
        <v>3954</v>
      </c>
      <c r="H1045" s="118" t="s">
        <v>4468</v>
      </c>
      <c r="I1045" s="118" t="s">
        <v>4080</v>
      </c>
      <c r="J1045" s="118" t="s">
        <v>4081</v>
      </c>
      <c r="K1045" s="141"/>
      <c r="L1045" s="135" t="str">
        <f t="shared" si="62"/>
        <v>Arctocephalus tropicalis</v>
      </c>
      <c r="M1045" s="133">
        <f t="shared" si="63"/>
        <v>4.924279286061882</v>
      </c>
      <c r="N1045" s="133">
        <v>84000</v>
      </c>
      <c r="O1045" s="179" t="s">
        <v>3356</v>
      </c>
      <c r="P1045" s="108">
        <v>59</v>
      </c>
    </row>
    <row r="1046" spans="1:17">
      <c r="A1046" s="213" t="s">
        <v>2653</v>
      </c>
      <c r="B1046" s="130"/>
      <c r="C1046" s="118" t="s">
        <v>3817</v>
      </c>
      <c r="D1046" s="141"/>
      <c r="E1046" s="118"/>
      <c r="F1046" s="118"/>
      <c r="G1046" s="118" t="s">
        <v>3954</v>
      </c>
      <c r="H1046" s="118" t="s">
        <v>4468</v>
      </c>
      <c r="I1046" s="118" t="s">
        <v>4080</v>
      </c>
      <c r="J1046" s="118" t="s">
        <v>7280</v>
      </c>
      <c r="K1046" s="141"/>
      <c r="L1046" s="135" t="str">
        <f t="shared" si="62"/>
        <v>Arctocephalus gazella</v>
      </c>
      <c r="M1046" s="133">
        <f t="shared" si="63"/>
        <v>4.989004615698537</v>
      </c>
      <c r="N1046" s="133">
        <v>97500</v>
      </c>
      <c r="O1046" s="179" t="s">
        <v>3356</v>
      </c>
      <c r="P1046" s="108">
        <v>59</v>
      </c>
    </row>
    <row r="1047" spans="1:17">
      <c r="A1047" s="213" t="s">
        <v>2653</v>
      </c>
      <c r="B1047" s="130"/>
      <c r="C1047" s="118" t="s">
        <v>3817</v>
      </c>
      <c r="D1047" s="141"/>
      <c r="E1047" s="118"/>
      <c r="F1047" s="118"/>
      <c r="G1047" s="118" t="s">
        <v>3954</v>
      </c>
      <c r="H1047" s="118" t="s">
        <v>4468</v>
      </c>
      <c r="I1047" s="118" t="s">
        <v>4080</v>
      </c>
      <c r="J1047" s="118" t="s">
        <v>4082</v>
      </c>
      <c r="K1047" s="141"/>
      <c r="L1047" s="135" t="str">
        <f t="shared" si="62"/>
        <v>Arctocephalus forsteri</v>
      </c>
      <c r="M1047" s="133">
        <f t="shared" si="63"/>
        <v>5.0053950318867058</v>
      </c>
      <c r="N1047" s="133">
        <v>101250</v>
      </c>
      <c r="O1047" s="179" t="s">
        <v>3356</v>
      </c>
      <c r="P1047" s="108">
        <v>59</v>
      </c>
    </row>
    <row r="1048" spans="1:17">
      <c r="A1048" s="213" t="s">
        <v>2653</v>
      </c>
      <c r="B1048" s="130"/>
      <c r="C1048" s="118" t="s">
        <v>3817</v>
      </c>
      <c r="D1048" s="141"/>
      <c r="E1048" s="118"/>
      <c r="F1048" s="118"/>
      <c r="G1048" s="118" t="s">
        <v>3954</v>
      </c>
      <c r="H1048" s="118" t="s">
        <v>4468</v>
      </c>
      <c r="I1048" s="118" t="s">
        <v>4080</v>
      </c>
      <c r="J1048" s="118" t="s">
        <v>4473</v>
      </c>
      <c r="K1048" s="141"/>
      <c r="L1048" s="135" t="str">
        <f t="shared" si="62"/>
        <v>Arctocephalus pusillus</v>
      </c>
      <c r="M1048" s="133">
        <f t="shared" si="63"/>
        <v>5.2516382204482124</v>
      </c>
      <c r="N1048" s="133">
        <v>178500</v>
      </c>
      <c r="O1048" s="179" t="s">
        <v>3356</v>
      </c>
      <c r="P1048" s="108">
        <v>59</v>
      </c>
    </row>
    <row r="1049" spans="1:17">
      <c r="A1049" s="213" t="s">
        <v>2653</v>
      </c>
      <c r="B1049" s="130"/>
      <c r="C1049" s="118" t="s">
        <v>3817</v>
      </c>
      <c r="D1049" s="141"/>
      <c r="E1049" s="118"/>
      <c r="F1049" s="118"/>
      <c r="G1049" s="118" t="s">
        <v>3954</v>
      </c>
      <c r="H1049" s="118" t="s">
        <v>4468</v>
      </c>
      <c r="I1049" s="118" t="s">
        <v>4474</v>
      </c>
      <c r="J1049" s="118" t="s">
        <v>4612</v>
      </c>
      <c r="K1049" s="141"/>
      <c r="L1049" s="135" t="str">
        <f t="shared" si="62"/>
        <v>Neophoca cinerea</v>
      </c>
      <c r="M1049" s="133">
        <f t="shared" si="63"/>
        <v>5.2787536009528289</v>
      </c>
      <c r="N1049" s="133">
        <v>190000</v>
      </c>
      <c r="O1049" s="179" t="s">
        <v>3356</v>
      </c>
      <c r="P1049" s="108">
        <v>59</v>
      </c>
    </row>
    <row r="1050" spans="1:17">
      <c r="A1050" s="213" t="s">
        <v>2653</v>
      </c>
      <c r="B1050" s="130"/>
      <c r="C1050" s="118" t="s">
        <v>3817</v>
      </c>
      <c r="D1050" s="141"/>
      <c r="E1050" s="118"/>
      <c r="F1050" s="118"/>
      <c r="G1050" s="118" t="s">
        <v>3954</v>
      </c>
      <c r="H1050" s="118" t="s">
        <v>4613</v>
      </c>
      <c r="I1050" s="118" t="s">
        <v>2720</v>
      </c>
      <c r="J1050" s="118" t="s">
        <v>2408</v>
      </c>
      <c r="K1050" s="141"/>
      <c r="L1050" s="135" t="str">
        <f t="shared" si="62"/>
        <v>Hydrurga leptonyx</v>
      </c>
      <c r="M1050" s="133">
        <f t="shared" si="63"/>
        <v>5.5563025007672868</v>
      </c>
      <c r="N1050" s="133">
        <v>360000</v>
      </c>
      <c r="O1050" s="179" t="s">
        <v>3356</v>
      </c>
      <c r="P1050" s="108">
        <v>59</v>
      </c>
    </row>
    <row r="1051" spans="1:17">
      <c r="A1051" s="213" t="s">
        <v>2653</v>
      </c>
      <c r="B1051" s="130"/>
      <c r="C1051" s="118" t="s">
        <v>3817</v>
      </c>
      <c r="D1051" s="141"/>
      <c r="E1051" s="118"/>
      <c r="F1051" s="118"/>
      <c r="G1051" s="118" t="s">
        <v>3954</v>
      </c>
      <c r="H1051" s="118" t="s">
        <v>4613</v>
      </c>
      <c r="I1051" s="118" t="s">
        <v>2360</v>
      </c>
      <c r="J1051" s="118" t="s">
        <v>2361</v>
      </c>
      <c r="K1051" s="141"/>
      <c r="L1051" s="135" t="str">
        <f t="shared" si="62"/>
        <v>Leptonychotes weddellii</v>
      </c>
      <c r="M1051" s="133">
        <f t="shared" si="63"/>
        <v>5.6020599913279625</v>
      </c>
      <c r="N1051" s="133">
        <v>400000</v>
      </c>
      <c r="O1051" s="179" t="s">
        <v>3356</v>
      </c>
      <c r="P1051" s="108">
        <v>59</v>
      </c>
    </row>
    <row r="1052" spans="1:17">
      <c r="A1052" s="213" t="s">
        <v>2653</v>
      </c>
      <c r="B1052" s="130"/>
      <c r="C1052" s="118" t="s">
        <v>3817</v>
      </c>
      <c r="D1052" s="141"/>
      <c r="E1052" s="118"/>
      <c r="F1052" s="118"/>
      <c r="G1052" s="118" t="s">
        <v>3954</v>
      </c>
      <c r="H1052" s="118" t="s">
        <v>4613</v>
      </c>
      <c r="I1052" s="118" t="s">
        <v>4614</v>
      </c>
      <c r="J1052" s="118" t="s">
        <v>1993</v>
      </c>
      <c r="K1052" s="141"/>
      <c r="L1052" s="135" t="str">
        <f t="shared" si="62"/>
        <v>Lobodon carcinophagus</v>
      </c>
      <c r="M1052" s="133">
        <f t="shared" si="63"/>
        <v>5.3678216524185371</v>
      </c>
      <c r="N1052" s="133">
        <f>AVERAGE(235600, 230900)</f>
        <v>233250</v>
      </c>
      <c r="O1052" s="179" t="s">
        <v>3356</v>
      </c>
      <c r="P1052" s="108">
        <v>267</v>
      </c>
    </row>
    <row r="1053" spans="1:17">
      <c r="A1053" s="213" t="s">
        <v>2653</v>
      </c>
      <c r="B1053" s="130"/>
      <c r="C1053" s="118" t="s">
        <v>3817</v>
      </c>
      <c r="D1053" s="141"/>
      <c r="E1053" s="118"/>
      <c r="F1053" s="118"/>
      <c r="G1053" s="118" t="s">
        <v>3954</v>
      </c>
      <c r="H1053" s="118" t="s">
        <v>4613</v>
      </c>
      <c r="I1053" s="118" t="s">
        <v>2517</v>
      </c>
      <c r="J1053" s="118" t="s">
        <v>2518</v>
      </c>
      <c r="K1053" s="141"/>
      <c r="L1053" s="135" t="str">
        <f t="shared" si="62"/>
        <v>Mirounga leonina</v>
      </c>
      <c r="M1053" s="133">
        <f t="shared" si="63"/>
        <v>6.204119982655925</v>
      </c>
      <c r="N1053" s="133">
        <v>1600000</v>
      </c>
      <c r="O1053" s="179" t="s">
        <v>3356</v>
      </c>
      <c r="P1053" s="108">
        <v>59</v>
      </c>
    </row>
    <row r="1054" spans="1:17">
      <c r="A1054" s="213" t="s">
        <v>2653</v>
      </c>
      <c r="B1054" s="130"/>
      <c r="C1054" s="118" t="s">
        <v>3817</v>
      </c>
      <c r="D1054" s="141"/>
      <c r="E1054" s="118"/>
      <c r="F1054" s="118"/>
      <c r="G1054" s="118" t="s">
        <v>3954</v>
      </c>
      <c r="H1054" s="118" t="s">
        <v>4613</v>
      </c>
      <c r="I1054" s="118" t="s">
        <v>7279</v>
      </c>
      <c r="J1054" s="118" t="s">
        <v>2516</v>
      </c>
      <c r="K1054" s="141"/>
      <c r="L1054" s="135" t="str">
        <f t="shared" si="62"/>
        <v>Ommatophoca rossii</v>
      </c>
      <c r="M1054" s="133">
        <f t="shared" si="63"/>
        <v>5.3979400086720375</v>
      </c>
      <c r="N1054" s="133">
        <v>250000</v>
      </c>
      <c r="O1054" s="179" t="s">
        <v>3356</v>
      </c>
      <c r="P1054" s="108">
        <v>59</v>
      </c>
    </row>
    <row r="1055" spans="1:17" ht="25.5">
      <c r="A1055" s="212" t="s">
        <v>2653</v>
      </c>
      <c r="B1055" s="141" t="s">
        <v>2814</v>
      </c>
      <c r="C1055" s="150" t="s">
        <v>3931</v>
      </c>
      <c r="D1055" s="221">
        <v>1859</v>
      </c>
      <c r="E1055" s="150"/>
      <c r="F1055" s="150"/>
      <c r="G1055" s="110" t="s">
        <v>2663</v>
      </c>
      <c r="H1055" s="150" t="s">
        <v>6203</v>
      </c>
      <c r="I1055" s="150" t="s">
        <v>6204</v>
      </c>
      <c r="J1055" s="150" t="s">
        <v>4781</v>
      </c>
      <c r="K1055" s="221" t="s">
        <v>38</v>
      </c>
      <c r="L1055" s="135" t="str">
        <f t="shared" si="62"/>
        <v>Pteropus brunneus</v>
      </c>
      <c r="M1055" s="133">
        <f t="shared" si="63"/>
        <v>2.3010299956639813</v>
      </c>
      <c r="N1055" s="152">
        <v>200</v>
      </c>
      <c r="O1055" s="192"/>
      <c r="P1055" s="109">
        <v>153</v>
      </c>
    </row>
    <row r="1056" spans="1:17" ht="25.5">
      <c r="A1056" s="212" t="s">
        <v>2653</v>
      </c>
      <c r="B1056" s="141" t="s">
        <v>521</v>
      </c>
      <c r="C1056" s="148" t="s">
        <v>3817</v>
      </c>
      <c r="D1056" s="223"/>
      <c r="E1056" s="148"/>
      <c r="F1056" s="148"/>
      <c r="G1056" s="109" t="s">
        <v>2663</v>
      </c>
      <c r="H1056" s="148" t="s">
        <v>2839</v>
      </c>
      <c r="I1056" s="148" t="s">
        <v>3133</v>
      </c>
      <c r="J1056" s="148" t="s">
        <v>3100</v>
      </c>
      <c r="K1056" s="223"/>
      <c r="L1056" s="135" t="str">
        <f t="shared" si="62"/>
        <v>Saccolaimus mixtus</v>
      </c>
      <c r="M1056" s="151">
        <f t="shared" si="63"/>
        <v>1.3623567926545359</v>
      </c>
      <c r="N1056" s="109">
        <f>AVERAGE(21.3, 26.5, 21.3)</f>
        <v>23.033333333333331</v>
      </c>
      <c r="O1056" s="193" t="s">
        <v>1780</v>
      </c>
      <c r="P1056" s="109">
        <v>259</v>
      </c>
      <c r="Q1056" s="82"/>
    </row>
    <row r="1057" spans="1:19" ht="15" customHeight="1">
      <c r="A1057" s="212" t="s">
        <v>2653</v>
      </c>
      <c r="B1057" s="141" t="s">
        <v>4864</v>
      </c>
      <c r="C1057" s="150" t="s">
        <v>3817</v>
      </c>
      <c r="D1057" s="221"/>
      <c r="E1057" s="150"/>
      <c r="F1057" s="150"/>
      <c r="G1057" s="110" t="s">
        <v>2663</v>
      </c>
      <c r="H1057" s="150" t="s">
        <v>2839</v>
      </c>
      <c r="I1057" s="150" t="s">
        <v>3133</v>
      </c>
      <c r="J1057" s="150" t="s">
        <v>3102</v>
      </c>
      <c r="K1057" s="221"/>
      <c r="L1057" s="135" t="str">
        <f t="shared" si="62"/>
        <v>Saccolaimus saccolaimus</v>
      </c>
      <c r="M1057" s="133">
        <f t="shared" si="63"/>
        <v>1.6404814369704219</v>
      </c>
      <c r="N1057" s="152">
        <v>43.7</v>
      </c>
      <c r="O1057" s="191"/>
      <c r="P1057" s="109">
        <v>153</v>
      </c>
      <c r="Q1057" s="91"/>
    </row>
    <row r="1058" spans="1:19" ht="38.25">
      <c r="A1058" s="212" t="s">
        <v>2653</v>
      </c>
      <c r="B1058" s="141" t="s">
        <v>4865</v>
      </c>
      <c r="C1058" s="150" t="s">
        <v>3817</v>
      </c>
      <c r="D1058" s="221"/>
      <c r="E1058" s="150"/>
      <c r="F1058" s="150"/>
      <c r="G1058" s="110" t="s">
        <v>2663</v>
      </c>
      <c r="H1058" s="150" t="s">
        <v>2839</v>
      </c>
      <c r="I1058" s="150" t="s">
        <v>3133</v>
      </c>
      <c r="J1058" s="150" t="s">
        <v>3693</v>
      </c>
      <c r="K1058" s="221"/>
      <c r="L1058" s="135" t="str">
        <f t="shared" si="62"/>
        <v>Saccolaimus flaviventris</v>
      </c>
      <c r="M1058" s="133">
        <f t="shared" si="63"/>
        <v>1.6532125137753437</v>
      </c>
      <c r="N1058" s="152">
        <v>45</v>
      </c>
      <c r="O1058" s="191"/>
      <c r="P1058" s="109">
        <v>153</v>
      </c>
      <c r="Q1058" s="91"/>
      <c r="S1058" s="92"/>
    </row>
    <row r="1059" spans="1:19" ht="38.25">
      <c r="A1059" s="212" t="s">
        <v>2653</v>
      </c>
      <c r="B1059" s="141" t="s">
        <v>1364</v>
      </c>
      <c r="C1059" s="150" t="s">
        <v>3817</v>
      </c>
      <c r="D1059" s="221"/>
      <c r="E1059" s="150"/>
      <c r="F1059" s="150"/>
      <c r="G1059" s="110" t="s">
        <v>2663</v>
      </c>
      <c r="H1059" s="150" t="s">
        <v>2839</v>
      </c>
      <c r="I1059" s="150" t="s">
        <v>6197</v>
      </c>
      <c r="J1059" s="150" t="s">
        <v>1134</v>
      </c>
      <c r="K1059" s="221"/>
      <c r="L1059" s="135" t="str">
        <f t="shared" si="62"/>
        <v>Taphozous hilli</v>
      </c>
      <c r="M1059" s="133">
        <f t="shared" si="63"/>
        <v>1.3424226808222062</v>
      </c>
      <c r="N1059" s="152">
        <v>22</v>
      </c>
      <c r="O1059" s="191"/>
      <c r="P1059" s="109">
        <v>153</v>
      </c>
      <c r="Q1059" s="82"/>
    </row>
    <row r="1060" spans="1:19" ht="38.25">
      <c r="A1060" s="212" t="s">
        <v>2653</v>
      </c>
      <c r="B1060" s="141" t="s">
        <v>1135</v>
      </c>
      <c r="C1060" s="150" t="s">
        <v>3817</v>
      </c>
      <c r="D1060" s="221"/>
      <c r="E1060" s="150"/>
      <c r="F1060" s="150"/>
      <c r="G1060" s="110" t="s">
        <v>2663</v>
      </c>
      <c r="H1060" s="150" t="s">
        <v>2839</v>
      </c>
      <c r="I1060" s="150" t="s">
        <v>6197</v>
      </c>
      <c r="J1060" s="150" t="s">
        <v>3789</v>
      </c>
      <c r="K1060" s="221"/>
      <c r="L1060" s="135" t="str">
        <f t="shared" si="62"/>
        <v>Taphozous australis</v>
      </c>
      <c r="M1060" s="133">
        <f t="shared" si="63"/>
        <v>1.3598354823398879</v>
      </c>
      <c r="N1060" s="152">
        <v>22.9</v>
      </c>
      <c r="O1060" s="191"/>
      <c r="P1060" s="109">
        <v>153</v>
      </c>
      <c r="Q1060" s="82"/>
    </row>
    <row r="1061" spans="1:19" ht="25.5">
      <c r="A1061" s="212" t="s">
        <v>2653</v>
      </c>
      <c r="B1061" s="141" t="s">
        <v>1246</v>
      </c>
      <c r="C1061" s="150" t="s">
        <v>3817</v>
      </c>
      <c r="D1061" s="221"/>
      <c r="E1061" s="150"/>
      <c r="F1061" s="150"/>
      <c r="G1061" s="110" t="s">
        <v>2663</v>
      </c>
      <c r="H1061" s="150" t="s">
        <v>2839</v>
      </c>
      <c r="I1061" s="150" t="s">
        <v>6197</v>
      </c>
      <c r="J1061" s="150" t="s">
        <v>1132</v>
      </c>
      <c r="K1061" s="221"/>
      <c r="L1061" s="135" t="str">
        <f t="shared" si="62"/>
        <v>Taphozous kapalgensis</v>
      </c>
      <c r="M1061" s="133">
        <f t="shared" si="63"/>
        <v>1.414973347970818</v>
      </c>
      <c r="N1061" s="152">
        <v>26</v>
      </c>
      <c r="O1061" s="191"/>
      <c r="P1061" s="109">
        <v>153</v>
      </c>
      <c r="Q1061" s="82"/>
    </row>
    <row r="1062" spans="1:19">
      <c r="A1062" s="212" t="s">
        <v>2653</v>
      </c>
      <c r="B1062" s="141" t="s">
        <v>2137</v>
      </c>
      <c r="C1062" s="150" t="s">
        <v>3817</v>
      </c>
      <c r="D1062" s="221"/>
      <c r="E1062" s="150"/>
      <c r="F1062" s="150"/>
      <c r="G1062" s="110" t="s">
        <v>2663</v>
      </c>
      <c r="H1062" s="150" t="s">
        <v>2839</v>
      </c>
      <c r="I1062" s="150" t="s">
        <v>6197</v>
      </c>
      <c r="J1062" s="150" t="s">
        <v>2138</v>
      </c>
      <c r="K1062" s="221"/>
      <c r="L1062" s="135" t="str">
        <f t="shared" si="62"/>
        <v>Taphozous georgianus</v>
      </c>
      <c r="M1062" s="133">
        <f t="shared" si="63"/>
        <v>1.4418914269353145</v>
      </c>
      <c r="N1062" s="152">
        <v>27.662500000000001</v>
      </c>
      <c r="O1062" s="191"/>
      <c r="P1062" s="109">
        <v>153</v>
      </c>
    </row>
    <row r="1063" spans="1:19">
      <c r="A1063" s="212" t="s">
        <v>2653</v>
      </c>
      <c r="B1063" s="141" t="s">
        <v>4762</v>
      </c>
      <c r="C1063" s="150" t="s">
        <v>3817</v>
      </c>
      <c r="D1063" s="221"/>
      <c r="E1063" s="150"/>
      <c r="F1063" s="150"/>
      <c r="G1063" s="110" t="s">
        <v>2663</v>
      </c>
      <c r="H1063" s="150" t="s">
        <v>1392</v>
      </c>
      <c r="I1063" s="150" t="s">
        <v>4763</v>
      </c>
      <c r="J1063" s="150" t="s">
        <v>7405</v>
      </c>
      <c r="K1063" s="221"/>
      <c r="L1063" s="135" t="str">
        <f t="shared" si="62"/>
        <v>Macroderma gigas</v>
      </c>
      <c r="M1063" s="133">
        <f t="shared" si="63"/>
        <v>2.1018501379381256</v>
      </c>
      <c r="N1063" s="152">
        <v>126.43</v>
      </c>
      <c r="O1063" s="191"/>
      <c r="P1063" s="109">
        <v>153</v>
      </c>
      <c r="Q1063" s="91"/>
      <c r="R1063" s="92"/>
    </row>
    <row r="1064" spans="1:19" ht="15" customHeight="1">
      <c r="A1064" s="212" t="s">
        <v>2653</v>
      </c>
      <c r="B1064" s="141" t="s">
        <v>1542</v>
      </c>
      <c r="C1064" s="150" t="s">
        <v>3817</v>
      </c>
      <c r="D1064" s="221"/>
      <c r="E1064" s="150"/>
      <c r="F1064" s="150"/>
      <c r="G1064" s="110" t="s">
        <v>2663</v>
      </c>
      <c r="H1064" s="148" t="s">
        <v>2533</v>
      </c>
      <c r="I1064" s="150" t="s">
        <v>6040</v>
      </c>
      <c r="J1064" s="150" t="s">
        <v>6041</v>
      </c>
      <c r="K1064" s="221"/>
      <c r="L1064" s="135" t="str">
        <f t="shared" si="62"/>
        <v>Chaerephon jobensis</v>
      </c>
      <c r="M1064" s="133">
        <f t="shared" si="63"/>
        <v>1.3273589343863303</v>
      </c>
      <c r="N1064" s="152">
        <v>21.25</v>
      </c>
      <c r="O1064" s="191"/>
      <c r="P1064" s="109">
        <v>153</v>
      </c>
    </row>
    <row r="1065" spans="1:19" ht="38.25">
      <c r="A1065" s="212" t="s">
        <v>2653</v>
      </c>
      <c r="B1065" s="141" t="s">
        <v>660</v>
      </c>
      <c r="C1065" s="148" t="s">
        <v>3817</v>
      </c>
      <c r="D1065" s="223"/>
      <c r="E1065" s="148"/>
      <c r="F1065" s="148"/>
      <c r="G1065" s="109" t="s">
        <v>2663</v>
      </c>
      <c r="H1065" s="148" t="s">
        <v>2533</v>
      </c>
      <c r="I1065" s="148" t="s">
        <v>2496</v>
      </c>
      <c r="J1065" s="148" t="s">
        <v>661</v>
      </c>
      <c r="K1065" s="223"/>
      <c r="L1065" s="135" t="str">
        <f t="shared" si="62"/>
        <v>Mormopterus norfolkensis</v>
      </c>
      <c r="M1065" s="133">
        <f t="shared" si="63"/>
        <v>0.90308998699194354</v>
      </c>
      <c r="N1065" s="149">
        <v>8</v>
      </c>
      <c r="O1065" s="191"/>
      <c r="P1065" s="109">
        <v>153</v>
      </c>
    </row>
    <row r="1066" spans="1:19">
      <c r="A1066" s="212" t="s">
        <v>2653</v>
      </c>
      <c r="B1066" s="141" t="s">
        <v>580</v>
      </c>
      <c r="C1066" s="148" t="s">
        <v>3817</v>
      </c>
      <c r="D1066" s="223"/>
      <c r="E1066" s="148"/>
      <c r="F1066" s="148"/>
      <c r="G1066" s="109" t="s">
        <v>2663</v>
      </c>
      <c r="H1066" s="148" t="s">
        <v>2533</v>
      </c>
      <c r="I1066" s="148" t="s">
        <v>2496</v>
      </c>
      <c r="J1066" s="148" t="s">
        <v>7296</v>
      </c>
      <c r="K1066" s="223"/>
      <c r="L1066" s="135" t="str">
        <f t="shared" si="62"/>
        <v>Mormopterus planiceps</v>
      </c>
      <c r="M1066" s="133">
        <f t="shared" si="63"/>
        <v>0.94448267215016868</v>
      </c>
      <c r="N1066" s="149">
        <v>8.8000000000000007</v>
      </c>
      <c r="O1066" s="191"/>
      <c r="P1066" s="109">
        <v>153</v>
      </c>
    </row>
    <row r="1067" spans="1:19" ht="38.25">
      <c r="A1067" s="212" t="s">
        <v>2653</v>
      </c>
      <c r="B1067" s="141" t="s">
        <v>4345</v>
      </c>
      <c r="C1067" s="150" t="s">
        <v>3817</v>
      </c>
      <c r="D1067" s="221"/>
      <c r="E1067" s="150"/>
      <c r="F1067" s="150"/>
      <c r="G1067" s="110" t="s">
        <v>2663</v>
      </c>
      <c r="H1067" s="148" t="s">
        <v>2533</v>
      </c>
      <c r="I1067" s="150" t="s">
        <v>2496</v>
      </c>
      <c r="J1067" s="150" t="s">
        <v>8172</v>
      </c>
      <c r="K1067" s="221"/>
      <c r="L1067" s="135" t="str">
        <f t="shared" si="62"/>
        <v>Mormopterus beccarii</v>
      </c>
      <c r="M1067" s="133">
        <f t="shared" si="63"/>
        <v>1.1717264536532312</v>
      </c>
      <c r="N1067" s="152">
        <v>14.85</v>
      </c>
      <c r="O1067" s="191"/>
      <c r="P1067" s="109">
        <v>153</v>
      </c>
    </row>
    <row r="1068" spans="1:19" ht="25.5">
      <c r="A1068" s="212" t="s">
        <v>2653</v>
      </c>
      <c r="B1068" s="141" t="s">
        <v>1970</v>
      </c>
      <c r="C1068" s="150" t="s">
        <v>3817</v>
      </c>
      <c r="D1068" s="221"/>
      <c r="E1068" s="150"/>
      <c r="F1068" s="150"/>
      <c r="G1068" s="110" t="s">
        <v>2663</v>
      </c>
      <c r="H1068" s="150" t="s">
        <v>2533</v>
      </c>
      <c r="I1068" s="150" t="s">
        <v>2501</v>
      </c>
      <c r="J1068" s="150" t="s">
        <v>3789</v>
      </c>
      <c r="K1068" s="221"/>
      <c r="L1068" s="135" t="str">
        <f t="shared" si="62"/>
        <v>Tadarida australis</v>
      </c>
      <c r="M1068" s="133">
        <f t="shared" si="63"/>
        <v>1.5024271199844328</v>
      </c>
      <c r="N1068" s="152">
        <v>31.8</v>
      </c>
      <c r="O1068" s="191"/>
      <c r="P1068" s="109">
        <v>153</v>
      </c>
    </row>
    <row r="1069" spans="1:19" ht="76.5">
      <c r="A1069" s="212" t="s">
        <v>2653</v>
      </c>
      <c r="B1069" s="141" t="s">
        <v>615</v>
      </c>
      <c r="C1069" s="150" t="s">
        <v>3817</v>
      </c>
      <c r="D1069" s="221"/>
      <c r="E1069" s="150"/>
      <c r="F1069" s="150"/>
      <c r="G1069" s="110" t="s">
        <v>2663</v>
      </c>
      <c r="H1069" s="150" t="s">
        <v>6203</v>
      </c>
      <c r="I1069" s="150" t="s">
        <v>1574</v>
      </c>
      <c r="J1069" s="150" t="s">
        <v>788</v>
      </c>
      <c r="K1069" s="221"/>
      <c r="L1069" s="135" t="str">
        <f t="shared" si="62"/>
        <v>Dobsonia moluccensis</v>
      </c>
      <c r="M1069" s="133">
        <f t="shared" si="63"/>
        <v>2.5814220934656538</v>
      </c>
      <c r="N1069" s="152">
        <v>381.43636363636</v>
      </c>
      <c r="O1069" s="191"/>
      <c r="P1069" s="109">
        <v>153</v>
      </c>
    </row>
    <row r="1070" spans="1:19" ht="63.75">
      <c r="A1070" s="212" t="s">
        <v>2653</v>
      </c>
      <c r="B1070" s="130" t="s">
        <v>2881</v>
      </c>
      <c r="C1070" s="155" t="s">
        <v>3817</v>
      </c>
      <c r="D1070" s="225"/>
      <c r="E1070" s="155"/>
      <c r="F1070" s="155"/>
      <c r="G1070" s="110" t="s">
        <v>2663</v>
      </c>
      <c r="H1070" s="153" t="s">
        <v>6203</v>
      </c>
      <c r="I1070" s="155" t="s">
        <v>1525</v>
      </c>
      <c r="J1070" s="155" t="s">
        <v>4171</v>
      </c>
      <c r="K1070" s="225"/>
      <c r="L1070" s="135" t="str">
        <f t="shared" si="62"/>
        <v>Macroglossus minimus</v>
      </c>
      <c r="M1070" s="133">
        <f t="shared" si="63"/>
        <v>1.2000292665537702</v>
      </c>
      <c r="N1070" s="152">
        <v>15.85</v>
      </c>
      <c r="O1070" s="192"/>
      <c r="P1070" s="109">
        <v>153</v>
      </c>
    </row>
    <row r="1071" spans="1:19" ht="76.5">
      <c r="A1071" s="212" t="s">
        <v>2653</v>
      </c>
      <c r="B1071" s="141" t="s">
        <v>615</v>
      </c>
      <c r="C1071" s="150" t="s">
        <v>3817</v>
      </c>
      <c r="D1071" s="221"/>
      <c r="E1071" s="150"/>
      <c r="F1071" s="150"/>
      <c r="G1071" s="110" t="s">
        <v>2663</v>
      </c>
      <c r="H1071" s="150" t="s">
        <v>6203</v>
      </c>
      <c r="I1071" s="150" t="s">
        <v>2763</v>
      </c>
      <c r="J1071" s="150" t="s">
        <v>3533</v>
      </c>
      <c r="K1071" s="221"/>
      <c r="L1071" s="135" t="str">
        <f t="shared" si="62"/>
        <v>Melonycteris melanops</v>
      </c>
      <c r="M1071" s="133">
        <f t="shared" si="63"/>
        <v>1.6905652211318316</v>
      </c>
      <c r="N1071" s="152">
        <v>49.041666666666998</v>
      </c>
      <c r="O1071" s="192"/>
      <c r="P1071" s="109">
        <v>153</v>
      </c>
    </row>
    <row r="1072" spans="1:19" ht="51">
      <c r="A1072" s="212" t="s">
        <v>2653</v>
      </c>
      <c r="B1072" s="141" t="s">
        <v>485</v>
      </c>
      <c r="C1072" s="150" t="s">
        <v>3817</v>
      </c>
      <c r="D1072" s="221"/>
      <c r="E1072" s="150"/>
      <c r="F1072" s="150"/>
      <c r="G1072" s="110" t="s">
        <v>2663</v>
      </c>
      <c r="H1072" s="150" t="s">
        <v>6203</v>
      </c>
      <c r="I1072" s="150" t="s">
        <v>1629</v>
      </c>
      <c r="J1072" s="150" t="s">
        <v>4303</v>
      </c>
      <c r="K1072" s="221"/>
      <c r="L1072" s="135" t="str">
        <f t="shared" si="62"/>
        <v>Nyctimene albiventer</v>
      </c>
      <c r="M1072" s="133">
        <f t="shared" si="63"/>
        <v>1.4753079139561942</v>
      </c>
      <c r="N1072" s="152">
        <v>29.875</v>
      </c>
      <c r="O1072" s="192"/>
      <c r="P1072" s="109">
        <v>153</v>
      </c>
    </row>
    <row r="1073" spans="1:16">
      <c r="A1073" s="212" t="s">
        <v>2653</v>
      </c>
      <c r="B1073" s="141" t="s">
        <v>4348</v>
      </c>
      <c r="C1073" s="150" t="s">
        <v>3817</v>
      </c>
      <c r="D1073" s="221"/>
      <c r="E1073" s="150"/>
      <c r="F1073" s="150"/>
      <c r="G1073" s="110" t="s">
        <v>2663</v>
      </c>
      <c r="H1073" s="150" t="s">
        <v>6203</v>
      </c>
      <c r="I1073" s="150" t="s">
        <v>1629</v>
      </c>
      <c r="J1073" s="150" t="s">
        <v>4542</v>
      </c>
      <c r="K1073" s="221"/>
      <c r="L1073" s="135" t="str">
        <f t="shared" si="62"/>
        <v>Nyctimene robinsoni</v>
      </c>
      <c r="M1073" s="133">
        <f t="shared" si="63"/>
        <v>1.6944101856919001</v>
      </c>
      <c r="N1073" s="152">
        <v>49.477777777778002</v>
      </c>
      <c r="O1073" s="192"/>
      <c r="P1073" s="109">
        <v>153</v>
      </c>
    </row>
    <row r="1074" spans="1:16">
      <c r="A1074" s="212" t="s">
        <v>2653</v>
      </c>
      <c r="B1074" s="141" t="s">
        <v>1271</v>
      </c>
      <c r="C1074" s="150" t="s">
        <v>3817</v>
      </c>
      <c r="D1074" s="221"/>
      <c r="E1074" s="150"/>
      <c r="F1074" s="150"/>
      <c r="G1074" s="110" t="s">
        <v>2663</v>
      </c>
      <c r="H1074" s="150" t="s">
        <v>6203</v>
      </c>
      <c r="I1074" s="150" t="s">
        <v>6204</v>
      </c>
      <c r="J1074" s="150" t="s">
        <v>3110</v>
      </c>
      <c r="K1074" s="221"/>
      <c r="L1074" s="135" t="str">
        <f t="shared" si="62"/>
        <v>Pteropus scapulatus</v>
      </c>
      <c r="M1074" s="133">
        <f t="shared" si="63"/>
        <v>2.6468236725718928</v>
      </c>
      <c r="N1074" s="152">
        <v>443.42857142857002</v>
      </c>
      <c r="O1074" s="192"/>
      <c r="P1074" s="109">
        <v>153</v>
      </c>
    </row>
    <row r="1075" spans="1:16" ht="76.5">
      <c r="A1075" s="212" t="s">
        <v>2653</v>
      </c>
      <c r="B1075" s="141" t="s">
        <v>708</v>
      </c>
      <c r="C1075" s="150" t="s">
        <v>3817</v>
      </c>
      <c r="D1075" s="221"/>
      <c r="E1075" s="150"/>
      <c r="F1075" s="150"/>
      <c r="G1075" s="110" t="s">
        <v>2663</v>
      </c>
      <c r="H1075" s="150" t="s">
        <v>6203</v>
      </c>
      <c r="I1075" s="150" t="s">
        <v>6204</v>
      </c>
      <c r="J1075" s="150" t="s">
        <v>6087</v>
      </c>
      <c r="K1075" s="221"/>
      <c r="L1075" s="135" t="str">
        <f t="shared" si="62"/>
        <v>Pteropus alecto</v>
      </c>
      <c r="M1075" s="133">
        <f t="shared" ref="M1075:M1091" si="64">LOG(N1075)</f>
        <v>2.8274615877490143</v>
      </c>
      <c r="N1075" s="152">
        <v>672.14285714284995</v>
      </c>
      <c r="O1075" s="192"/>
      <c r="P1075" s="109">
        <v>153</v>
      </c>
    </row>
    <row r="1076" spans="1:16" ht="25.5">
      <c r="A1076" s="212" t="s">
        <v>2653</v>
      </c>
      <c r="B1076" s="141" t="s">
        <v>717</v>
      </c>
      <c r="C1076" s="150" t="s">
        <v>3817</v>
      </c>
      <c r="D1076" s="221"/>
      <c r="E1076" s="150"/>
      <c r="F1076" s="150"/>
      <c r="G1076" s="110" t="s">
        <v>2663</v>
      </c>
      <c r="H1076" s="150" t="s">
        <v>6203</v>
      </c>
      <c r="I1076" s="150" t="s">
        <v>6204</v>
      </c>
      <c r="J1076" s="150" t="s">
        <v>718</v>
      </c>
      <c r="K1076" s="221"/>
      <c r="L1076" s="135" t="str">
        <f t="shared" si="62"/>
        <v>Pteropus poliocephalus</v>
      </c>
      <c r="M1076" s="133">
        <f t="shared" si="64"/>
        <v>2.87500861844565</v>
      </c>
      <c r="N1076" s="152">
        <v>749.90909090908997</v>
      </c>
      <c r="O1076" s="192"/>
      <c r="P1076" s="109">
        <v>153</v>
      </c>
    </row>
    <row r="1077" spans="1:16" ht="51">
      <c r="A1077" s="212" t="s">
        <v>2653</v>
      </c>
      <c r="B1077" s="141" t="s">
        <v>808</v>
      </c>
      <c r="C1077" s="150" t="s">
        <v>3817</v>
      </c>
      <c r="D1077" s="221"/>
      <c r="E1077" s="150"/>
      <c r="F1077" s="150"/>
      <c r="G1077" s="110" t="s">
        <v>2663</v>
      </c>
      <c r="H1077" s="150" t="s">
        <v>6203</v>
      </c>
      <c r="I1077" s="150" t="s">
        <v>6204</v>
      </c>
      <c r="J1077" s="150" t="s">
        <v>4179</v>
      </c>
      <c r="K1077" s="221"/>
      <c r="L1077" s="135" t="str">
        <f t="shared" si="62"/>
        <v>Pteropus conspicillatus</v>
      </c>
      <c r="M1077" s="133">
        <f t="shared" si="64"/>
        <v>2.8896937914441851</v>
      </c>
      <c r="N1077" s="152">
        <v>775.7</v>
      </c>
      <c r="O1077" s="192"/>
      <c r="P1077" s="109">
        <v>153</v>
      </c>
    </row>
    <row r="1078" spans="1:16" ht="114.75">
      <c r="A1078" s="212" t="s">
        <v>2653</v>
      </c>
      <c r="B1078" s="141" t="s">
        <v>752</v>
      </c>
      <c r="C1078" s="150" t="s">
        <v>3817</v>
      </c>
      <c r="D1078" s="221"/>
      <c r="E1078" s="150"/>
      <c r="F1078" s="150"/>
      <c r="G1078" s="110" t="s">
        <v>2663</v>
      </c>
      <c r="H1078" s="150" t="s">
        <v>6203</v>
      </c>
      <c r="I1078" s="150" t="s">
        <v>1727</v>
      </c>
      <c r="J1078" s="150" t="s">
        <v>3789</v>
      </c>
      <c r="K1078" s="221"/>
      <c r="L1078" s="135" t="str">
        <f t="shared" si="62"/>
        <v>Syconycteris australis</v>
      </c>
      <c r="M1078" s="133">
        <f t="shared" si="64"/>
        <v>1.2329110761968058</v>
      </c>
      <c r="N1078" s="152">
        <v>17.096652173913</v>
      </c>
      <c r="O1078" s="192"/>
      <c r="P1078" s="109">
        <v>153</v>
      </c>
    </row>
    <row r="1079" spans="1:16" ht="89.25">
      <c r="A1079" s="212" t="s">
        <v>2653</v>
      </c>
      <c r="B1079" s="141" t="s">
        <v>714</v>
      </c>
      <c r="C1079" s="150" t="s">
        <v>3817</v>
      </c>
      <c r="D1079" s="221"/>
      <c r="E1079" s="150"/>
      <c r="F1079" s="150"/>
      <c r="G1079" s="110" t="s">
        <v>2663</v>
      </c>
      <c r="H1079" s="150" t="s">
        <v>1684</v>
      </c>
      <c r="I1079" s="150" t="s">
        <v>1724</v>
      </c>
      <c r="J1079" s="150" t="s">
        <v>5946</v>
      </c>
      <c r="K1079" s="221"/>
      <c r="L1079" s="135" t="str">
        <f t="shared" si="62"/>
        <v>Hipposideros ater</v>
      </c>
      <c r="M1079" s="133">
        <f t="shared" si="64"/>
        <v>0.7652959296980566</v>
      </c>
      <c r="N1079" s="152">
        <v>5.8250000000000002</v>
      </c>
      <c r="O1079" s="192"/>
      <c r="P1079" s="109">
        <v>153</v>
      </c>
    </row>
    <row r="1080" spans="1:16" ht="51">
      <c r="A1080" s="212" t="s">
        <v>2653</v>
      </c>
      <c r="B1080" s="141" t="s">
        <v>704</v>
      </c>
      <c r="C1080" s="150" t="s">
        <v>3817</v>
      </c>
      <c r="D1080" s="221"/>
      <c r="E1080" s="150"/>
      <c r="F1080" s="150"/>
      <c r="G1080" s="110" t="s">
        <v>2663</v>
      </c>
      <c r="H1080" s="150" t="s">
        <v>1684</v>
      </c>
      <c r="I1080" s="150" t="s">
        <v>1724</v>
      </c>
      <c r="J1080" s="150" t="s">
        <v>4846</v>
      </c>
      <c r="K1080" s="221"/>
      <c r="L1080" s="135" t="str">
        <f t="shared" si="62"/>
        <v>Hipposideros cervinus</v>
      </c>
      <c r="M1080" s="133">
        <f t="shared" si="64"/>
        <v>0.96848294855393513</v>
      </c>
      <c r="N1080" s="152">
        <v>9.3000000000000007</v>
      </c>
      <c r="O1080" s="192"/>
      <c r="P1080" s="109">
        <v>153</v>
      </c>
    </row>
    <row r="1081" spans="1:16" ht="38.25">
      <c r="A1081" s="212" t="s">
        <v>2653</v>
      </c>
      <c r="B1081" s="141" t="s">
        <v>712</v>
      </c>
      <c r="C1081" s="150" t="s">
        <v>3817</v>
      </c>
      <c r="D1081" s="221"/>
      <c r="E1081" s="150"/>
      <c r="F1081" s="150"/>
      <c r="G1081" s="110" t="s">
        <v>2663</v>
      </c>
      <c r="H1081" s="150" t="s">
        <v>1684</v>
      </c>
      <c r="I1081" s="150" t="s">
        <v>1724</v>
      </c>
      <c r="J1081" s="150" t="s">
        <v>713</v>
      </c>
      <c r="K1081" s="221"/>
      <c r="L1081" s="135" t="str">
        <f t="shared" si="62"/>
        <v>Hipposideros stenotis</v>
      </c>
      <c r="M1081" s="133">
        <f t="shared" si="64"/>
        <v>1.0791812460476249</v>
      </c>
      <c r="N1081" s="152">
        <v>12</v>
      </c>
      <c r="O1081" s="192"/>
      <c r="P1081" s="109">
        <v>153</v>
      </c>
    </row>
    <row r="1082" spans="1:16" ht="25.5">
      <c r="A1082" s="212" t="s">
        <v>2653</v>
      </c>
      <c r="B1082" s="141" t="s">
        <v>1183</v>
      </c>
      <c r="C1082" s="150" t="s">
        <v>3817</v>
      </c>
      <c r="D1082" s="221"/>
      <c r="E1082" s="150"/>
      <c r="F1082" s="150"/>
      <c r="G1082" s="110" t="s">
        <v>2663</v>
      </c>
      <c r="H1082" s="150" t="s">
        <v>1684</v>
      </c>
      <c r="I1082" s="150" t="s">
        <v>1724</v>
      </c>
      <c r="J1082" s="150" t="s">
        <v>1522</v>
      </c>
      <c r="K1082" s="221"/>
      <c r="L1082" s="135" t="str">
        <f t="shared" si="62"/>
        <v>Hipposideros semoni</v>
      </c>
      <c r="M1082" s="133">
        <f t="shared" si="64"/>
        <v>1.146128035678238</v>
      </c>
      <c r="N1082" s="152">
        <v>14</v>
      </c>
      <c r="O1082" s="192"/>
      <c r="P1082" s="109">
        <v>153</v>
      </c>
    </row>
    <row r="1083" spans="1:16" ht="89.25">
      <c r="A1083" s="212" t="s">
        <v>2653</v>
      </c>
      <c r="B1083" s="141" t="s">
        <v>822</v>
      </c>
      <c r="C1083" s="150" t="s">
        <v>3817</v>
      </c>
      <c r="D1083" s="221"/>
      <c r="E1083" s="150"/>
      <c r="F1083" s="150"/>
      <c r="G1083" s="110" t="s">
        <v>2663</v>
      </c>
      <c r="H1083" s="150" t="s">
        <v>1684</v>
      </c>
      <c r="I1083" s="150" t="s">
        <v>1724</v>
      </c>
      <c r="J1083" s="150" t="s">
        <v>5519</v>
      </c>
      <c r="K1083" s="221"/>
      <c r="L1083" s="135" t="str">
        <f t="shared" si="62"/>
        <v>Hipposideros diadema</v>
      </c>
      <c r="M1083" s="133">
        <f t="shared" si="64"/>
        <v>1.6411134007807826</v>
      </c>
      <c r="N1083" s="152">
        <v>43.763636363636003</v>
      </c>
      <c r="O1083" s="192"/>
      <c r="P1083" s="109">
        <v>153</v>
      </c>
    </row>
    <row r="1084" spans="1:16" ht="114.75">
      <c r="A1084" s="212" t="s">
        <v>2653</v>
      </c>
      <c r="B1084" s="141" t="s">
        <v>1098</v>
      </c>
      <c r="C1084" s="150" t="s">
        <v>3817</v>
      </c>
      <c r="D1084" s="221"/>
      <c r="E1084" s="150"/>
      <c r="F1084" s="150"/>
      <c r="G1084" s="110" t="s">
        <v>2663</v>
      </c>
      <c r="H1084" s="150" t="s">
        <v>1684</v>
      </c>
      <c r="I1084" s="150" t="s">
        <v>1332</v>
      </c>
      <c r="J1084" s="150" t="s">
        <v>1377</v>
      </c>
      <c r="K1084" s="221"/>
      <c r="L1084" s="135" t="str">
        <f t="shared" si="62"/>
        <v>Rhinolophus megaphyllus</v>
      </c>
      <c r="M1084" s="133">
        <f t="shared" si="64"/>
        <v>1.002705893375925</v>
      </c>
      <c r="N1084" s="152">
        <v>10.0625</v>
      </c>
      <c r="O1084" s="192"/>
      <c r="P1084" s="109">
        <v>153</v>
      </c>
    </row>
    <row r="1085" spans="1:16" ht="15" customHeight="1">
      <c r="A1085" s="212" t="s">
        <v>2653</v>
      </c>
      <c r="B1085" s="141" t="s">
        <v>177</v>
      </c>
      <c r="C1085" s="150" t="s">
        <v>3817</v>
      </c>
      <c r="D1085" s="221"/>
      <c r="E1085" s="150"/>
      <c r="F1085" s="150"/>
      <c r="G1085" s="110" t="s">
        <v>2663</v>
      </c>
      <c r="H1085" s="150" t="s">
        <v>1684</v>
      </c>
      <c r="I1085" s="150" t="s">
        <v>1332</v>
      </c>
      <c r="J1085" s="150" t="s">
        <v>6253</v>
      </c>
      <c r="K1085" s="221"/>
      <c r="L1085" s="135" t="str">
        <f t="shared" si="62"/>
        <v>Rhinolophus philippinensis</v>
      </c>
      <c r="M1085" s="133">
        <f t="shared" si="64"/>
        <v>1.0273496077747566</v>
      </c>
      <c r="N1085" s="152">
        <v>10.65</v>
      </c>
      <c r="O1085" s="192"/>
      <c r="P1085" s="109">
        <v>153</v>
      </c>
    </row>
    <row r="1086" spans="1:16" ht="38.25">
      <c r="A1086" s="212" t="s">
        <v>2653</v>
      </c>
      <c r="B1086" s="141" t="s">
        <v>1001</v>
      </c>
      <c r="C1086" s="150" t="s">
        <v>3817</v>
      </c>
      <c r="D1086" s="221"/>
      <c r="E1086" s="150"/>
      <c r="F1086" s="150"/>
      <c r="G1086" s="110" t="s">
        <v>2663</v>
      </c>
      <c r="H1086" s="150" t="s">
        <v>1684</v>
      </c>
      <c r="I1086" s="150" t="s">
        <v>1002</v>
      </c>
      <c r="J1086" s="150" t="s">
        <v>703</v>
      </c>
      <c r="K1086" s="221"/>
      <c r="L1086" s="135" t="str">
        <f t="shared" si="62"/>
        <v>Rhinonicteris aurantia</v>
      </c>
      <c r="M1086" s="133">
        <f t="shared" si="64"/>
        <v>0.94283449377011197</v>
      </c>
      <c r="N1086" s="152">
        <v>8.7666666666669997</v>
      </c>
      <c r="O1086" s="192"/>
      <c r="P1086" s="109">
        <v>153</v>
      </c>
    </row>
    <row r="1087" spans="1:16" ht="38.25">
      <c r="A1087" s="212" t="s">
        <v>2653</v>
      </c>
      <c r="B1087" s="141" t="s">
        <v>984</v>
      </c>
      <c r="C1087" s="150" t="s">
        <v>3817</v>
      </c>
      <c r="D1087" s="221"/>
      <c r="E1087" s="150"/>
      <c r="F1087" s="150"/>
      <c r="G1087" s="110" t="s">
        <v>2663</v>
      </c>
      <c r="H1087" s="150" t="s">
        <v>6205</v>
      </c>
      <c r="I1087" s="150" t="s">
        <v>1342</v>
      </c>
      <c r="J1087" s="150" t="s">
        <v>912</v>
      </c>
      <c r="K1087" s="221"/>
      <c r="L1087" s="135" t="str">
        <f t="shared" si="62"/>
        <v>Chalinolobus picatus</v>
      </c>
      <c r="M1087" s="146">
        <f t="shared" si="64"/>
        <v>0.70757017609793638</v>
      </c>
      <c r="N1087" s="146">
        <f>AVERAGE(5, 5.2)</f>
        <v>5.0999999999999996</v>
      </c>
      <c r="O1087" s="183"/>
      <c r="P1087" s="109">
        <v>256</v>
      </c>
    </row>
    <row r="1088" spans="1:16" ht="25.5">
      <c r="A1088" s="212" t="s">
        <v>2653</v>
      </c>
      <c r="B1088" s="141" t="s">
        <v>2890</v>
      </c>
      <c r="C1088" s="150" t="s">
        <v>3817</v>
      </c>
      <c r="D1088" s="221"/>
      <c r="E1088" s="150"/>
      <c r="F1088" s="150"/>
      <c r="G1088" s="110" t="s">
        <v>2663</v>
      </c>
      <c r="H1088" s="150" t="s">
        <v>6205</v>
      </c>
      <c r="I1088" s="150" t="s">
        <v>1342</v>
      </c>
      <c r="J1088" s="150" t="s">
        <v>3716</v>
      </c>
      <c r="K1088" s="221"/>
      <c r="L1088" s="135" t="str">
        <f t="shared" si="62"/>
        <v>Chalinolobus morio</v>
      </c>
      <c r="M1088" s="133">
        <f t="shared" si="64"/>
        <v>0.94283449377011197</v>
      </c>
      <c r="N1088" s="152">
        <v>8.7666666666669997</v>
      </c>
      <c r="O1088" s="192"/>
      <c r="P1088" s="109">
        <v>153</v>
      </c>
    </row>
    <row r="1089" spans="1:22" ht="38.25">
      <c r="A1089" s="212" t="s">
        <v>2653</v>
      </c>
      <c r="B1089" s="141" t="s">
        <v>953</v>
      </c>
      <c r="C1089" s="150" t="s">
        <v>3817</v>
      </c>
      <c r="D1089" s="221"/>
      <c r="E1089" s="150"/>
      <c r="F1089" s="150"/>
      <c r="G1089" s="110" t="s">
        <v>2663</v>
      </c>
      <c r="H1089" s="150" t="s">
        <v>6205</v>
      </c>
      <c r="I1089" s="150" t="s">
        <v>1342</v>
      </c>
      <c r="J1089" s="150" t="s">
        <v>1343</v>
      </c>
      <c r="K1089" s="221"/>
      <c r="L1089" s="135" t="str">
        <f t="shared" si="62"/>
        <v>Chalinolobus nigrogriseus</v>
      </c>
      <c r="M1089" s="133">
        <f t="shared" si="64"/>
        <v>0.94448267215016868</v>
      </c>
      <c r="N1089" s="152">
        <v>8.8000000000000007</v>
      </c>
      <c r="O1089" s="192"/>
      <c r="P1089" s="109">
        <v>153</v>
      </c>
    </row>
    <row r="1090" spans="1:22" ht="15" customHeight="1">
      <c r="A1090" s="212" t="s">
        <v>2653</v>
      </c>
      <c r="B1090" s="141" t="s">
        <v>744</v>
      </c>
      <c r="C1090" s="150" t="s">
        <v>3817</v>
      </c>
      <c r="D1090" s="221"/>
      <c r="E1090" s="150"/>
      <c r="F1090" s="150"/>
      <c r="G1090" s="110" t="s">
        <v>2663</v>
      </c>
      <c r="H1090" s="150" t="s">
        <v>6205</v>
      </c>
      <c r="I1090" s="150" t="s">
        <v>1342</v>
      </c>
      <c r="J1090" s="150" t="s">
        <v>2888</v>
      </c>
      <c r="K1090" s="221"/>
      <c r="L1090" s="135" t="str">
        <f t="shared" si="62"/>
        <v>Chalinolobus dwyeri</v>
      </c>
      <c r="M1090" s="133">
        <f t="shared" si="64"/>
        <v>0.95578392891691144</v>
      </c>
      <c r="N1090" s="152">
        <v>9.032</v>
      </c>
      <c r="O1090" s="192"/>
      <c r="P1090" s="109">
        <v>153</v>
      </c>
    </row>
    <row r="1091" spans="1:22" ht="63.75">
      <c r="A1091" s="212" t="s">
        <v>2653</v>
      </c>
      <c r="B1091" s="141" t="s">
        <v>588</v>
      </c>
      <c r="C1091" s="150" t="s">
        <v>3817</v>
      </c>
      <c r="D1091" s="221"/>
      <c r="E1091" s="150"/>
      <c r="F1091" s="150"/>
      <c r="G1091" s="110" t="s">
        <v>2663</v>
      </c>
      <c r="H1091" s="150" t="s">
        <v>6205</v>
      </c>
      <c r="I1091" s="150" t="s">
        <v>1342</v>
      </c>
      <c r="J1091" s="150" t="s">
        <v>6742</v>
      </c>
      <c r="K1091" s="221"/>
      <c r="L1091" s="135" t="str">
        <f t="shared" si="62"/>
        <v>Chalinolobus gouldii</v>
      </c>
      <c r="M1091" s="133">
        <f t="shared" si="64"/>
        <v>1.1603684747928582</v>
      </c>
      <c r="N1091" s="152">
        <v>14.466666666667001</v>
      </c>
      <c r="O1091" s="192"/>
      <c r="P1091" s="109">
        <v>153</v>
      </c>
    </row>
    <row r="1092" spans="1:22">
      <c r="A1092" s="212" t="s">
        <v>2653</v>
      </c>
      <c r="B1092" s="141" t="s">
        <v>1015</v>
      </c>
      <c r="C1092" s="150" t="s">
        <v>3817</v>
      </c>
      <c r="D1092" s="221"/>
      <c r="E1092" s="150"/>
      <c r="F1092" s="150"/>
      <c r="G1092" s="110" t="s">
        <v>2663</v>
      </c>
      <c r="H1092" s="150" t="s">
        <v>6205</v>
      </c>
      <c r="I1092" s="150" t="s">
        <v>6273</v>
      </c>
      <c r="J1092" s="150" t="s">
        <v>1013</v>
      </c>
      <c r="K1092" s="221"/>
      <c r="L1092" s="135" t="str">
        <f t="shared" si="62"/>
        <v>Eptesicus baverstocki</v>
      </c>
      <c r="M1092" s="146">
        <v>-999</v>
      </c>
      <c r="N1092" s="146">
        <v>-999</v>
      </c>
      <c r="O1092" s="183"/>
      <c r="P1092" s="109">
        <v>-999</v>
      </c>
    </row>
    <row r="1093" spans="1:22" ht="15" customHeight="1">
      <c r="A1093" s="212" t="s">
        <v>2653</v>
      </c>
      <c r="B1093" s="141" t="s">
        <v>913</v>
      </c>
      <c r="C1093" s="150" t="s">
        <v>3817</v>
      </c>
      <c r="D1093" s="221"/>
      <c r="E1093" s="150"/>
      <c r="F1093" s="150"/>
      <c r="G1093" s="110" t="s">
        <v>2663</v>
      </c>
      <c r="H1093" s="150" t="s">
        <v>6205</v>
      </c>
      <c r="I1093" s="150" t="s">
        <v>6273</v>
      </c>
      <c r="J1093" s="150" t="s">
        <v>908</v>
      </c>
      <c r="K1093" s="221"/>
      <c r="L1093" s="135" t="str">
        <f t="shared" ref="L1093:L1156" si="65">I1093&amp;" "&amp;J1093</f>
        <v>Eptesicus vulturnus</v>
      </c>
      <c r="M1093" s="133">
        <f t="shared" ref="M1093:M1101" si="66">LOG(N1093)</f>
        <v>0.58149454229089925</v>
      </c>
      <c r="N1093" s="152">
        <v>3.8149999999999999</v>
      </c>
      <c r="O1093" s="192"/>
      <c r="P1093" s="109">
        <v>153</v>
      </c>
    </row>
    <row r="1094" spans="1:22" ht="25.5">
      <c r="A1094" s="212" t="s">
        <v>2653</v>
      </c>
      <c r="B1094" s="141" t="s">
        <v>909</v>
      </c>
      <c r="C1094" s="150" t="s">
        <v>3817</v>
      </c>
      <c r="D1094" s="221"/>
      <c r="E1094" s="150"/>
      <c r="F1094" s="150"/>
      <c r="G1094" s="110" t="s">
        <v>2663</v>
      </c>
      <c r="H1094" s="150" t="s">
        <v>6205</v>
      </c>
      <c r="I1094" s="150" t="s">
        <v>6273</v>
      </c>
      <c r="J1094" s="150" t="s">
        <v>910</v>
      </c>
      <c r="K1094" s="221"/>
      <c r="L1094" s="135" t="str">
        <f t="shared" si="65"/>
        <v>Eptesicus douglasorum</v>
      </c>
      <c r="M1094" s="133">
        <f t="shared" si="66"/>
        <v>0.69897000433601886</v>
      </c>
      <c r="N1094" s="152">
        <v>5</v>
      </c>
      <c r="O1094" s="192"/>
      <c r="P1094" s="109">
        <v>153</v>
      </c>
    </row>
    <row r="1095" spans="1:22" ht="63.75">
      <c r="A1095" s="212" t="s">
        <v>2653</v>
      </c>
      <c r="B1095" s="141" t="s">
        <v>813</v>
      </c>
      <c r="C1095" s="150" t="s">
        <v>3817</v>
      </c>
      <c r="D1095" s="221"/>
      <c r="E1095" s="150"/>
      <c r="F1095" s="150"/>
      <c r="G1095" s="110" t="s">
        <v>2663</v>
      </c>
      <c r="H1095" s="150" t="s">
        <v>6205</v>
      </c>
      <c r="I1095" s="150" t="s">
        <v>6273</v>
      </c>
      <c r="J1095" s="150" t="s">
        <v>5776</v>
      </c>
      <c r="K1095" s="221"/>
      <c r="L1095" s="135" t="str">
        <f t="shared" si="65"/>
        <v>Eptesicus pumilus</v>
      </c>
      <c r="M1095" s="133">
        <f t="shared" si="66"/>
        <v>0.70876072369031662</v>
      </c>
      <c r="N1095" s="152">
        <v>5.1139999999999999</v>
      </c>
      <c r="O1095" s="192"/>
      <c r="P1095" s="109">
        <v>153</v>
      </c>
    </row>
    <row r="1096" spans="1:22" ht="25.5">
      <c r="A1096" s="212" t="s">
        <v>2653</v>
      </c>
      <c r="B1096" s="141" t="s">
        <v>2871</v>
      </c>
      <c r="C1096" s="150" t="s">
        <v>3817</v>
      </c>
      <c r="D1096" s="221"/>
      <c r="E1096" s="150"/>
      <c r="F1096" s="150"/>
      <c r="G1096" s="110" t="s">
        <v>2663</v>
      </c>
      <c r="H1096" s="150" t="s">
        <v>6205</v>
      </c>
      <c r="I1096" s="150" t="s">
        <v>6273</v>
      </c>
      <c r="J1096" s="150" t="s">
        <v>3545</v>
      </c>
      <c r="K1096" s="221"/>
      <c r="L1096" s="135" t="str">
        <f t="shared" si="65"/>
        <v>Eptesicus regulus</v>
      </c>
      <c r="M1096" s="133">
        <f t="shared" si="66"/>
        <v>0.7103994661167724</v>
      </c>
      <c r="N1096" s="152">
        <v>5.1333333333329998</v>
      </c>
      <c r="O1096" s="192"/>
      <c r="P1096" s="109">
        <v>153</v>
      </c>
      <c r="U1096"/>
      <c r="V1096"/>
    </row>
    <row r="1097" spans="1:22" ht="38.25">
      <c r="A1097" s="212" t="s">
        <v>2653</v>
      </c>
      <c r="B1097" s="141" t="s">
        <v>824</v>
      </c>
      <c r="C1097" s="150" t="s">
        <v>3817</v>
      </c>
      <c r="D1097" s="221"/>
      <c r="E1097" s="150"/>
      <c r="F1097" s="150"/>
      <c r="G1097" s="110" t="s">
        <v>2663</v>
      </c>
      <c r="H1097" s="150" t="s">
        <v>6205</v>
      </c>
      <c r="I1097" s="150" t="s">
        <v>6273</v>
      </c>
      <c r="J1097" s="150" t="s">
        <v>1951</v>
      </c>
      <c r="K1097" s="221"/>
      <c r="L1097" s="135" t="str">
        <f t="shared" si="65"/>
        <v>Eptesicus sagittula</v>
      </c>
      <c r="M1097" s="133">
        <f t="shared" si="66"/>
        <v>0.80955971463526777</v>
      </c>
      <c r="N1097" s="152">
        <v>6.45</v>
      </c>
      <c r="O1097" s="192"/>
      <c r="P1097" s="109">
        <v>153</v>
      </c>
    </row>
    <row r="1098" spans="1:22" ht="38.25">
      <c r="A1098" s="212" t="s">
        <v>2653</v>
      </c>
      <c r="B1098" s="141" t="s">
        <v>2832</v>
      </c>
      <c r="C1098" s="150" t="s">
        <v>3817</v>
      </c>
      <c r="D1098" s="221"/>
      <c r="E1098" s="150"/>
      <c r="F1098" s="150"/>
      <c r="G1098" s="110" t="s">
        <v>2663</v>
      </c>
      <c r="H1098" s="150" t="s">
        <v>6205</v>
      </c>
      <c r="I1098" s="150" t="s">
        <v>1138</v>
      </c>
      <c r="J1098" s="150" t="s">
        <v>5532</v>
      </c>
      <c r="K1098" s="221"/>
      <c r="L1098" s="135" t="str">
        <f t="shared" si="65"/>
        <v>Kerivoula papuensis</v>
      </c>
      <c r="M1098" s="133">
        <f t="shared" si="66"/>
        <v>0.79239168949825389</v>
      </c>
      <c r="N1098" s="152">
        <v>6.2</v>
      </c>
      <c r="O1098" s="192"/>
      <c r="P1098" s="109">
        <v>153</v>
      </c>
    </row>
    <row r="1099" spans="1:22" ht="51">
      <c r="A1099" s="212" t="s">
        <v>2653</v>
      </c>
      <c r="B1099" s="141" t="s">
        <v>2770</v>
      </c>
      <c r="C1099" s="150" t="s">
        <v>3817</v>
      </c>
      <c r="D1099" s="221"/>
      <c r="E1099" s="150"/>
      <c r="F1099" s="150"/>
      <c r="G1099" s="110" t="s">
        <v>2663</v>
      </c>
      <c r="H1099" s="150" t="s">
        <v>6205</v>
      </c>
      <c r="I1099" s="150" t="s">
        <v>2729</v>
      </c>
      <c r="J1099" s="150" t="s">
        <v>3789</v>
      </c>
      <c r="K1099" s="221"/>
      <c r="L1099" s="135" t="str">
        <f t="shared" si="65"/>
        <v>Miniopterus australis</v>
      </c>
      <c r="M1099" s="133">
        <f t="shared" si="66"/>
        <v>0.86332286012045589</v>
      </c>
      <c r="N1099" s="152">
        <v>7.3</v>
      </c>
      <c r="O1099" s="192"/>
      <c r="P1099" s="109">
        <v>153</v>
      </c>
    </row>
    <row r="1100" spans="1:22" ht="15" customHeight="1">
      <c r="A1100" s="212" t="s">
        <v>2653</v>
      </c>
      <c r="B1100" s="141" t="s">
        <v>1004</v>
      </c>
      <c r="C1100" s="150" t="s">
        <v>3817</v>
      </c>
      <c r="D1100" s="221"/>
      <c r="E1100" s="150"/>
      <c r="F1100" s="150"/>
      <c r="G1100" s="110" t="s">
        <v>2663</v>
      </c>
      <c r="H1100" s="148" t="s">
        <v>6205</v>
      </c>
      <c r="I1100" s="150" t="s">
        <v>2729</v>
      </c>
      <c r="J1100" s="150" t="s">
        <v>1005</v>
      </c>
      <c r="K1100" s="221"/>
      <c r="L1100" s="135" t="str">
        <f t="shared" si="65"/>
        <v>Miniopterus schreibersi</v>
      </c>
      <c r="M1100" s="133">
        <f t="shared" si="66"/>
        <v>1.0594624367970615</v>
      </c>
      <c r="N1100" s="152">
        <v>11.467333333333</v>
      </c>
      <c r="O1100" s="192"/>
      <c r="P1100" s="109">
        <v>153</v>
      </c>
    </row>
    <row r="1101" spans="1:22" ht="15" customHeight="1">
      <c r="A1101" s="212" t="s">
        <v>2653</v>
      </c>
      <c r="B1101" s="141" t="s">
        <v>1072</v>
      </c>
      <c r="C1101" s="150" t="s">
        <v>3817</v>
      </c>
      <c r="D1101" s="221"/>
      <c r="E1101" s="150"/>
      <c r="F1101" s="150"/>
      <c r="G1101" s="110" t="s">
        <v>2663</v>
      </c>
      <c r="H1101" s="150" t="s">
        <v>6205</v>
      </c>
      <c r="I1101" s="150" t="s">
        <v>1485</v>
      </c>
      <c r="J1101" s="150" t="s">
        <v>1486</v>
      </c>
      <c r="K1101" s="221"/>
      <c r="L1101" s="135" t="str">
        <f t="shared" si="65"/>
        <v>Murina florium</v>
      </c>
      <c r="M1101" s="133">
        <f t="shared" si="66"/>
        <v>0.62838893005031149</v>
      </c>
      <c r="N1101" s="152">
        <v>4.25</v>
      </c>
      <c r="O1101" s="192"/>
      <c r="P1101" s="110">
        <v>153</v>
      </c>
    </row>
    <row r="1102" spans="1:22" ht="15" customHeight="1">
      <c r="A1102" s="212" t="s">
        <v>2653</v>
      </c>
      <c r="B1102" s="141" t="s">
        <v>794</v>
      </c>
      <c r="C1102" s="150" t="s">
        <v>3817</v>
      </c>
      <c r="D1102" s="221"/>
      <c r="E1102" s="150"/>
      <c r="F1102" s="150"/>
      <c r="G1102" s="110" t="s">
        <v>2663</v>
      </c>
      <c r="H1102" s="150" t="s">
        <v>6205</v>
      </c>
      <c r="I1102" s="150" t="s">
        <v>6206</v>
      </c>
      <c r="J1102" s="150" t="s">
        <v>3789</v>
      </c>
      <c r="K1102" s="221"/>
      <c r="L1102" s="135" t="str">
        <f t="shared" si="65"/>
        <v>Myotis australis</v>
      </c>
      <c r="M1102" s="146">
        <v>-999</v>
      </c>
      <c r="N1102" s="146">
        <v>-999</v>
      </c>
      <c r="O1102" s="183"/>
      <c r="P1102" s="110">
        <v>-999</v>
      </c>
    </row>
    <row r="1103" spans="1:22" ht="15" customHeight="1">
      <c r="A1103" s="212" t="s">
        <v>2653</v>
      </c>
      <c r="B1103" s="141" t="s">
        <v>1177</v>
      </c>
      <c r="C1103" s="150" t="s">
        <v>3817</v>
      </c>
      <c r="D1103" s="221"/>
      <c r="E1103" s="150"/>
      <c r="F1103" s="150"/>
      <c r="G1103" s="110" t="s">
        <v>2663</v>
      </c>
      <c r="H1103" s="150" t="s">
        <v>6205</v>
      </c>
      <c r="I1103" s="150" t="s">
        <v>6206</v>
      </c>
      <c r="J1103" s="150" t="s">
        <v>6266</v>
      </c>
      <c r="K1103" s="221"/>
      <c r="L1103" s="135" t="str">
        <f t="shared" si="65"/>
        <v>Myotis adversus</v>
      </c>
      <c r="M1103" s="133">
        <f t="shared" ref="M1103:M1147" si="67">LOG(N1103)</f>
        <v>1.0233553608264458</v>
      </c>
      <c r="N1103" s="152">
        <v>10.5525</v>
      </c>
      <c r="O1103" s="192"/>
      <c r="P1103" s="110">
        <v>153</v>
      </c>
    </row>
    <row r="1104" spans="1:22" ht="15" customHeight="1">
      <c r="A1104" s="212" t="s">
        <v>2653</v>
      </c>
      <c r="B1104" s="141" t="s">
        <v>1039</v>
      </c>
      <c r="C1104" s="150" t="s">
        <v>3817</v>
      </c>
      <c r="D1104" s="221"/>
      <c r="E1104" s="150"/>
      <c r="F1104" s="150"/>
      <c r="G1104" s="110" t="s">
        <v>2663</v>
      </c>
      <c r="H1104" s="150" t="s">
        <v>6205</v>
      </c>
      <c r="I1104" s="150" t="s">
        <v>2902</v>
      </c>
      <c r="J1104" s="150" t="s">
        <v>4300</v>
      </c>
      <c r="K1104" s="221"/>
      <c r="L1104" s="135" t="str">
        <f t="shared" si="65"/>
        <v>Nycticeius sanborni</v>
      </c>
      <c r="M1104" s="133">
        <f t="shared" si="67"/>
        <v>0.90489578785518787</v>
      </c>
      <c r="N1104" s="152">
        <v>8.0333333333329993</v>
      </c>
      <c r="O1104" s="192"/>
      <c r="P1104" s="110">
        <v>153</v>
      </c>
    </row>
    <row r="1105" spans="1:17" ht="76.5">
      <c r="A1105" s="212" t="s">
        <v>2653</v>
      </c>
      <c r="B1105" s="141" t="s">
        <v>1272</v>
      </c>
      <c r="C1105" s="150" t="s">
        <v>3817</v>
      </c>
      <c r="D1105" s="221"/>
      <c r="E1105" s="150"/>
      <c r="F1105" s="150"/>
      <c r="G1105" s="110" t="s">
        <v>2663</v>
      </c>
      <c r="H1105" s="150" t="s">
        <v>6205</v>
      </c>
      <c r="I1105" s="150" t="s">
        <v>2902</v>
      </c>
      <c r="J1105" s="150" t="s">
        <v>1273</v>
      </c>
      <c r="K1105" s="221"/>
      <c r="L1105" s="135" t="str">
        <f t="shared" si="65"/>
        <v>Nycticeius greyii</v>
      </c>
      <c r="M1105" s="133">
        <f t="shared" si="67"/>
        <v>1</v>
      </c>
      <c r="N1105" s="152">
        <v>10</v>
      </c>
      <c r="O1105" s="192"/>
      <c r="P1105" s="110">
        <v>153</v>
      </c>
    </row>
    <row r="1106" spans="1:17">
      <c r="A1106" s="212" t="s">
        <v>2653</v>
      </c>
      <c r="B1106" s="141" t="s">
        <v>146</v>
      </c>
      <c r="C1106" s="150" t="s">
        <v>3817</v>
      </c>
      <c r="D1106" s="221"/>
      <c r="E1106" s="150"/>
      <c r="F1106" s="150"/>
      <c r="G1106" s="110" t="s">
        <v>2663</v>
      </c>
      <c r="H1106" s="150" t="s">
        <v>6205</v>
      </c>
      <c r="I1106" s="150" t="s">
        <v>2902</v>
      </c>
      <c r="J1106" s="150" t="s">
        <v>147</v>
      </c>
      <c r="K1106" s="221"/>
      <c r="L1106" s="135" t="str">
        <f t="shared" si="65"/>
        <v>Nycticeius balstoni</v>
      </c>
      <c r="M1106" s="133">
        <f t="shared" si="67"/>
        <v>1.0689276116820718</v>
      </c>
      <c r="N1106" s="152">
        <v>11.72</v>
      </c>
      <c r="O1106" s="192"/>
      <c r="P1106" s="110">
        <v>153</v>
      </c>
    </row>
    <row r="1107" spans="1:17" ht="25.5">
      <c r="A1107" s="212" t="s">
        <v>2653</v>
      </c>
      <c r="B1107" s="141" t="s">
        <v>1174</v>
      </c>
      <c r="C1107" s="150" t="s">
        <v>3817</v>
      </c>
      <c r="D1107" s="221"/>
      <c r="E1107" s="150"/>
      <c r="F1107" s="150"/>
      <c r="G1107" s="110" t="s">
        <v>2663</v>
      </c>
      <c r="H1107" s="150" t="s">
        <v>6205</v>
      </c>
      <c r="I1107" s="150" t="s">
        <v>2902</v>
      </c>
      <c r="J1107" s="150" t="s">
        <v>1073</v>
      </c>
      <c r="K1107" s="221"/>
      <c r="L1107" s="135" t="str">
        <f t="shared" si="65"/>
        <v>Nycticeius rueppellii</v>
      </c>
      <c r="M1107" s="133">
        <f t="shared" si="67"/>
        <v>1.4232458739368079</v>
      </c>
      <c r="N1107" s="152">
        <v>26.5</v>
      </c>
      <c r="O1107" s="192"/>
      <c r="P1107" s="110">
        <v>153</v>
      </c>
    </row>
    <row r="1108" spans="1:17" ht="25.5">
      <c r="A1108" s="212" t="s">
        <v>2653</v>
      </c>
      <c r="B1108" s="141" t="s">
        <v>203</v>
      </c>
      <c r="C1108" s="150" t="s">
        <v>3817</v>
      </c>
      <c r="D1108" s="221"/>
      <c r="E1108" s="150"/>
      <c r="F1108" s="150"/>
      <c r="G1108" s="110" t="s">
        <v>2663</v>
      </c>
      <c r="H1108" s="150" t="s">
        <v>6205</v>
      </c>
      <c r="I1108" s="150" t="s">
        <v>3104</v>
      </c>
      <c r="J1108" s="150" t="s">
        <v>204</v>
      </c>
      <c r="K1108" s="221"/>
      <c r="L1108" s="135" t="str">
        <f t="shared" si="65"/>
        <v>Nyctophilus walkeri</v>
      </c>
      <c r="M1108" s="133">
        <f t="shared" si="67"/>
        <v>0.63698910181222912</v>
      </c>
      <c r="N1108" s="152">
        <v>4.335</v>
      </c>
      <c r="O1108" s="192"/>
      <c r="P1108" s="110">
        <v>153</v>
      </c>
    </row>
    <row r="1109" spans="1:17">
      <c r="A1109" s="110" t="s">
        <v>2653</v>
      </c>
      <c r="B1109" s="141" t="s">
        <v>205</v>
      </c>
      <c r="C1109" s="150" t="s">
        <v>3817</v>
      </c>
      <c r="D1109" s="221"/>
      <c r="E1109" s="150"/>
      <c r="F1109" s="150"/>
      <c r="G1109" s="110" t="s">
        <v>2663</v>
      </c>
      <c r="H1109" s="150" t="s">
        <v>6205</v>
      </c>
      <c r="I1109" s="150" t="s">
        <v>3104</v>
      </c>
      <c r="J1109" s="150" t="s">
        <v>5493</v>
      </c>
      <c r="K1109" s="221"/>
      <c r="L1109" s="135" t="str">
        <f t="shared" si="65"/>
        <v>Nyctophilus arnhemensis</v>
      </c>
      <c r="M1109" s="133">
        <f t="shared" si="67"/>
        <v>0.82282164530310464</v>
      </c>
      <c r="N1109" s="152">
        <v>6.65</v>
      </c>
      <c r="O1109" s="192"/>
      <c r="P1109" s="110">
        <v>153</v>
      </c>
    </row>
    <row r="1110" spans="1:17" ht="25.5">
      <c r="A1110" s="110" t="s">
        <v>2653</v>
      </c>
      <c r="B1110" s="141" t="s">
        <v>162</v>
      </c>
      <c r="C1110" s="150" t="s">
        <v>3817</v>
      </c>
      <c r="D1110" s="221"/>
      <c r="E1110" s="150"/>
      <c r="F1110" s="150"/>
      <c r="G1110" s="110" t="s">
        <v>2663</v>
      </c>
      <c r="H1110" s="150" t="s">
        <v>6205</v>
      </c>
      <c r="I1110" s="150" t="s">
        <v>3104</v>
      </c>
      <c r="J1110" s="150" t="s">
        <v>3777</v>
      </c>
      <c r="K1110" s="221"/>
      <c r="L1110" s="135" t="str">
        <f t="shared" si="65"/>
        <v>Nyctophilus geoffroyi</v>
      </c>
      <c r="M1110" s="133">
        <f t="shared" si="67"/>
        <v>0.86226392760701887</v>
      </c>
      <c r="N1110" s="152">
        <v>7.2822222222219999</v>
      </c>
      <c r="O1110" s="192"/>
      <c r="P1110" s="110">
        <v>153</v>
      </c>
    </row>
    <row r="1111" spans="1:17" ht="63.75">
      <c r="A1111" s="110" t="s">
        <v>2653</v>
      </c>
      <c r="B1111" s="141" t="s">
        <v>1336</v>
      </c>
      <c r="C1111" s="150" t="s">
        <v>3817</v>
      </c>
      <c r="D1111" s="221"/>
      <c r="E1111" s="150"/>
      <c r="F1111" s="150"/>
      <c r="G1111" s="110" t="s">
        <v>2663</v>
      </c>
      <c r="H1111" s="150" t="s">
        <v>6205</v>
      </c>
      <c r="I1111" s="150" t="s">
        <v>3104</v>
      </c>
      <c r="J1111" s="150" t="s">
        <v>1337</v>
      </c>
      <c r="K1111" s="221"/>
      <c r="L1111" s="135" t="str">
        <f t="shared" si="65"/>
        <v>Nyctophilus gouldi</v>
      </c>
      <c r="M1111" s="133">
        <f t="shared" si="67"/>
        <v>1</v>
      </c>
      <c r="N1111" s="152">
        <v>10</v>
      </c>
      <c r="O1111" s="192"/>
      <c r="P1111" s="110">
        <v>153</v>
      </c>
    </row>
    <row r="1112" spans="1:17" ht="38.25">
      <c r="A1112" s="110" t="s">
        <v>2653</v>
      </c>
      <c r="B1112" s="141" t="s">
        <v>1117</v>
      </c>
      <c r="C1112" s="150" t="s">
        <v>3817</v>
      </c>
      <c r="D1112" s="221"/>
      <c r="E1112" s="150"/>
      <c r="F1112" s="150"/>
      <c r="G1112" s="110" t="s">
        <v>2663</v>
      </c>
      <c r="H1112" s="150" t="s">
        <v>6205</v>
      </c>
      <c r="I1112" s="150" t="s">
        <v>3104</v>
      </c>
      <c r="J1112" s="150" t="s">
        <v>6297</v>
      </c>
      <c r="K1112" s="221"/>
      <c r="L1112" s="135" t="str">
        <f t="shared" si="65"/>
        <v>Nyctophilus timoriensis</v>
      </c>
      <c r="M1112" s="133">
        <f t="shared" si="67"/>
        <v>1.0691128513871209</v>
      </c>
      <c r="N1112" s="152">
        <v>11.725</v>
      </c>
      <c r="O1112" s="192"/>
      <c r="P1112" s="110">
        <v>153</v>
      </c>
    </row>
    <row r="1113" spans="1:17" ht="89.25">
      <c r="A1113" s="110" t="s">
        <v>2653</v>
      </c>
      <c r="B1113" s="141" t="s">
        <v>266</v>
      </c>
      <c r="C1113" s="150" t="s">
        <v>3817</v>
      </c>
      <c r="D1113" s="221"/>
      <c r="E1113" s="150"/>
      <c r="F1113" s="150"/>
      <c r="G1113" s="110" t="s">
        <v>2663</v>
      </c>
      <c r="H1113" s="150" t="s">
        <v>6205</v>
      </c>
      <c r="I1113" s="150" t="s">
        <v>2710</v>
      </c>
      <c r="J1113" s="150" t="s">
        <v>5266</v>
      </c>
      <c r="K1113" s="221"/>
      <c r="L1113" s="135" t="str">
        <f t="shared" si="65"/>
        <v>Pipistrellus tenuis</v>
      </c>
      <c r="M1113" s="133">
        <f t="shared" si="67"/>
        <v>0.67209785793571752</v>
      </c>
      <c r="N1113" s="152">
        <v>4.7</v>
      </c>
      <c r="O1113" s="192"/>
      <c r="P1113" s="110">
        <v>153</v>
      </c>
    </row>
    <row r="1114" spans="1:17" ht="76.5">
      <c r="A1114" s="110" t="s">
        <v>2653</v>
      </c>
      <c r="B1114" s="141" t="s">
        <v>206</v>
      </c>
      <c r="C1114" s="150" t="s">
        <v>3817</v>
      </c>
      <c r="D1114" s="221"/>
      <c r="E1114" s="150"/>
      <c r="F1114" s="150"/>
      <c r="G1114" s="110" t="s">
        <v>2663</v>
      </c>
      <c r="H1114" s="150" t="s">
        <v>6205</v>
      </c>
      <c r="I1114" s="150" t="s">
        <v>2710</v>
      </c>
      <c r="J1114" s="150" t="s">
        <v>7469</v>
      </c>
      <c r="K1114" s="221"/>
      <c r="L1114" s="135" t="str">
        <f t="shared" si="65"/>
        <v>Pipistrellus javanicus</v>
      </c>
      <c r="M1114" s="133">
        <f t="shared" si="67"/>
        <v>0.72378393696532939</v>
      </c>
      <c r="N1114" s="152">
        <v>5.2939999999999996</v>
      </c>
      <c r="O1114" s="192"/>
      <c r="P1114" s="110">
        <v>153</v>
      </c>
    </row>
    <row r="1115" spans="1:17" ht="38.25">
      <c r="A1115" s="110" t="s">
        <v>2653</v>
      </c>
      <c r="B1115" s="141" t="s">
        <v>247</v>
      </c>
      <c r="C1115" s="150" t="s">
        <v>3817</v>
      </c>
      <c r="D1115" s="221"/>
      <c r="E1115" s="150"/>
      <c r="F1115" s="150"/>
      <c r="G1115" s="110" t="s">
        <v>2663</v>
      </c>
      <c r="H1115" s="150" t="s">
        <v>6205</v>
      </c>
      <c r="I1115" s="150" t="s">
        <v>2710</v>
      </c>
      <c r="J1115" s="150" t="s">
        <v>1418</v>
      </c>
      <c r="K1115" s="221"/>
      <c r="L1115" s="135" t="str">
        <f t="shared" si="65"/>
        <v>Pipistrellus tasmaniensis</v>
      </c>
      <c r="M1115" s="133">
        <f t="shared" si="67"/>
        <v>1.3550682063488506</v>
      </c>
      <c r="N1115" s="152">
        <v>22.65</v>
      </c>
      <c r="O1115" s="192"/>
      <c r="P1115" s="110">
        <v>153</v>
      </c>
    </row>
    <row r="1116" spans="1:17">
      <c r="A1116" s="134" t="s">
        <v>2653</v>
      </c>
      <c r="B1116" s="135"/>
      <c r="C1116" s="136" t="s">
        <v>3931</v>
      </c>
      <c r="D1116" s="220">
        <v>-1000</v>
      </c>
      <c r="E1116" s="136"/>
      <c r="F1116" s="136"/>
      <c r="G1116" s="134" t="s">
        <v>3423</v>
      </c>
      <c r="H1116" s="134" t="s">
        <v>3424</v>
      </c>
      <c r="I1116" s="134" t="s">
        <v>3934</v>
      </c>
      <c r="J1116" s="134" t="s">
        <v>6789</v>
      </c>
      <c r="K1116" s="135" t="s">
        <v>4</v>
      </c>
      <c r="L1116" s="135" t="str">
        <f t="shared" si="65"/>
        <v>Sarcophilus harrisii</v>
      </c>
      <c r="M1116" s="133">
        <f t="shared" si="67"/>
        <v>4</v>
      </c>
      <c r="N1116" s="137">
        <v>10000</v>
      </c>
      <c r="O1116" s="180" t="s">
        <v>5</v>
      </c>
      <c r="P1116" s="116" t="s">
        <v>6975</v>
      </c>
    </row>
    <row r="1117" spans="1:17" ht="25.5">
      <c r="A1117" s="134" t="s">
        <v>2653</v>
      </c>
      <c r="B1117" s="135"/>
      <c r="C1117" s="136" t="s">
        <v>3931</v>
      </c>
      <c r="D1117" s="220">
        <v>0</v>
      </c>
      <c r="E1117" s="136"/>
      <c r="F1117" s="136"/>
      <c r="G1117" s="134" t="s">
        <v>3423</v>
      </c>
      <c r="H1117" s="134" t="s">
        <v>3475</v>
      </c>
      <c r="I1117" s="134" t="s">
        <v>5112</v>
      </c>
      <c r="J1117" s="134" t="s">
        <v>5289</v>
      </c>
      <c r="K1117" s="135" t="s">
        <v>6</v>
      </c>
      <c r="L1117" s="135" t="str">
        <f t="shared" si="65"/>
        <v>Thylacinus cynocephalus</v>
      </c>
      <c r="M1117" s="133">
        <f t="shared" si="67"/>
        <v>4.4771212547196626</v>
      </c>
      <c r="N1117" s="137">
        <v>30000</v>
      </c>
      <c r="O1117" s="180" t="s">
        <v>6773</v>
      </c>
      <c r="P1117" s="116" t="s">
        <v>5012</v>
      </c>
      <c r="Q1117" s="90" t="s">
        <v>6907</v>
      </c>
    </row>
    <row r="1118" spans="1:17">
      <c r="A1118" s="134" t="s">
        <v>2653</v>
      </c>
      <c r="B1118" s="135"/>
      <c r="C1118" s="136" t="s">
        <v>5092</v>
      </c>
      <c r="D1118" s="220"/>
      <c r="E1118" s="136"/>
      <c r="F1118" s="136"/>
      <c r="G1118" s="134" t="s">
        <v>3423</v>
      </c>
      <c r="H1118" s="134" t="s">
        <v>3424</v>
      </c>
      <c r="I1118" s="134" t="s">
        <v>3934</v>
      </c>
      <c r="J1118" s="134" t="s">
        <v>4140</v>
      </c>
      <c r="K1118" s="135"/>
      <c r="L1118" s="135" t="str">
        <f t="shared" si="65"/>
        <v>Sarcophilus laniarius</v>
      </c>
      <c r="M1118" s="133">
        <f t="shared" si="67"/>
        <v>4.0791812460476251</v>
      </c>
      <c r="N1118" s="137">
        <v>12000</v>
      </c>
      <c r="O1118" s="183"/>
      <c r="P1118" s="109" t="s">
        <v>2587</v>
      </c>
    </row>
    <row r="1119" spans="1:17">
      <c r="A1119" s="134" t="s">
        <v>2653</v>
      </c>
      <c r="B1119" s="135"/>
      <c r="C1119" s="136" t="s">
        <v>5092</v>
      </c>
      <c r="D1119" s="220"/>
      <c r="E1119" s="136"/>
      <c r="F1119" s="136"/>
      <c r="G1119" s="134" t="s">
        <v>3423</v>
      </c>
      <c r="H1119" s="134" t="s">
        <v>7207</v>
      </c>
      <c r="I1119" s="134" t="s">
        <v>4484</v>
      </c>
      <c r="J1119" s="134" t="s">
        <v>4952</v>
      </c>
      <c r="K1119" s="135"/>
      <c r="L1119" s="135" t="str">
        <f t="shared" si="65"/>
        <v>Phascolarctos stirtoni</v>
      </c>
      <c r="M1119" s="133">
        <f t="shared" si="67"/>
        <v>4.1461280356782382</v>
      </c>
      <c r="N1119" s="137">
        <v>14000</v>
      </c>
      <c r="O1119" s="180"/>
      <c r="P1119" s="109">
        <v>13</v>
      </c>
    </row>
    <row r="1120" spans="1:17">
      <c r="A1120" s="118" t="s">
        <v>2653</v>
      </c>
      <c r="B1120" s="130"/>
      <c r="C1120" s="118" t="s">
        <v>3817</v>
      </c>
      <c r="D1120" s="141"/>
      <c r="E1120" s="118"/>
      <c r="F1120" s="118"/>
      <c r="G1120" s="118" t="s">
        <v>3423</v>
      </c>
      <c r="H1120" s="118" t="s">
        <v>3424</v>
      </c>
      <c r="I1120" s="118" t="s">
        <v>7489</v>
      </c>
      <c r="J1120" s="118" t="s">
        <v>7490</v>
      </c>
      <c r="K1120" s="141"/>
      <c r="L1120" s="135" t="str">
        <f t="shared" si="65"/>
        <v>Antechinus stuartii</v>
      </c>
      <c r="M1120" s="133">
        <f t="shared" si="67"/>
        <v>1.4393326938302626</v>
      </c>
      <c r="N1120" s="133">
        <v>27.5</v>
      </c>
      <c r="O1120" s="179" t="s">
        <v>3356</v>
      </c>
      <c r="P1120" s="108">
        <v>59</v>
      </c>
    </row>
    <row r="1121" spans="1:20">
      <c r="A1121" s="118" t="s">
        <v>2653</v>
      </c>
      <c r="B1121" s="130"/>
      <c r="C1121" s="118" t="s">
        <v>3817</v>
      </c>
      <c r="D1121" s="141"/>
      <c r="E1121" s="118"/>
      <c r="F1121" s="118"/>
      <c r="G1121" s="118" t="s">
        <v>3423</v>
      </c>
      <c r="H1121" s="118" t="s">
        <v>3424</v>
      </c>
      <c r="I1121" s="118" t="s">
        <v>7489</v>
      </c>
      <c r="J1121" s="118" t="s">
        <v>4122</v>
      </c>
      <c r="K1121" s="141"/>
      <c r="L1121" s="135" t="str">
        <f t="shared" si="65"/>
        <v>Antechinus bellus</v>
      </c>
      <c r="M1121" s="133">
        <f t="shared" si="67"/>
        <v>1.6483600109809315</v>
      </c>
      <c r="N1121" s="133">
        <v>44.5</v>
      </c>
      <c r="O1121" s="179" t="s">
        <v>3356</v>
      </c>
      <c r="P1121" s="108">
        <v>59</v>
      </c>
      <c r="R1121" s="82"/>
    </row>
    <row r="1122" spans="1:20">
      <c r="A1122" s="118" t="s">
        <v>2653</v>
      </c>
      <c r="B1122" s="130"/>
      <c r="C1122" s="118" t="s">
        <v>3817</v>
      </c>
      <c r="D1122" s="141"/>
      <c r="E1122" s="118"/>
      <c r="F1122" s="118"/>
      <c r="G1122" s="118" t="s">
        <v>3423</v>
      </c>
      <c r="H1122" s="118" t="s">
        <v>3424</v>
      </c>
      <c r="I1122" s="118" t="s">
        <v>7489</v>
      </c>
      <c r="J1122" s="118" t="s">
        <v>4391</v>
      </c>
      <c r="K1122" s="141"/>
      <c r="L1122" s="135" t="str">
        <f t="shared" si="65"/>
        <v>Antechinus flavipes</v>
      </c>
      <c r="M1122" s="133">
        <f t="shared" si="67"/>
        <v>1.6532125137753437</v>
      </c>
      <c r="N1122" s="133">
        <v>45</v>
      </c>
      <c r="O1122" s="179" t="s">
        <v>3356</v>
      </c>
      <c r="P1122" s="108">
        <v>59</v>
      </c>
      <c r="R1122" s="82"/>
    </row>
    <row r="1123" spans="1:20">
      <c r="A1123" s="118" t="s">
        <v>2653</v>
      </c>
      <c r="B1123" s="130"/>
      <c r="C1123" s="118" t="s">
        <v>3817</v>
      </c>
      <c r="D1123" s="141"/>
      <c r="E1123" s="118"/>
      <c r="F1123" s="118"/>
      <c r="G1123" s="118" t="s">
        <v>3423</v>
      </c>
      <c r="H1123" s="118" t="s">
        <v>3424</v>
      </c>
      <c r="I1123" s="118" t="s">
        <v>7489</v>
      </c>
      <c r="J1123" s="118" t="s">
        <v>4394</v>
      </c>
      <c r="K1123" s="141"/>
      <c r="L1123" s="135" t="str">
        <f t="shared" si="65"/>
        <v>Antechinus swainsonii</v>
      </c>
      <c r="M1123" s="133">
        <f t="shared" si="67"/>
        <v>1.7242758696007889</v>
      </c>
      <c r="N1123" s="133">
        <v>53</v>
      </c>
      <c r="O1123" s="179" t="s">
        <v>3356</v>
      </c>
      <c r="P1123" s="108">
        <v>59</v>
      </c>
    </row>
    <row r="1124" spans="1:20">
      <c r="A1124" s="118" t="s">
        <v>2653</v>
      </c>
      <c r="B1124" s="130"/>
      <c r="C1124" s="118" t="s">
        <v>3817</v>
      </c>
      <c r="D1124" s="141"/>
      <c r="E1124" s="118"/>
      <c r="F1124" s="118"/>
      <c r="G1124" s="118" t="s">
        <v>3423</v>
      </c>
      <c r="H1124" s="118" t="s">
        <v>3424</v>
      </c>
      <c r="I1124" s="118" t="s">
        <v>7489</v>
      </c>
      <c r="J1124" s="118" t="s">
        <v>4171</v>
      </c>
      <c r="K1124" s="141"/>
      <c r="L1124" s="135" t="str">
        <f t="shared" si="65"/>
        <v>Antechinus minimus</v>
      </c>
      <c r="M1124" s="133">
        <f t="shared" si="67"/>
        <v>1.7283537820212285</v>
      </c>
      <c r="N1124" s="133">
        <v>53.5</v>
      </c>
      <c r="O1124" s="179" t="s">
        <v>3356</v>
      </c>
      <c r="P1124" s="108">
        <v>59</v>
      </c>
    </row>
    <row r="1125" spans="1:20">
      <c r="A1125" s="118" t="s">
        <v>2653</v>
      </c>
      <c r="B1125" s="130"/>
      <c r="C1125" s="118" t="s">
        <v>3817</v>
      </c>
      <c r="D1125" s="141"/>
      <c r="E1125" s="118"/>
      <c r="F1125" s="118"/>
      <c r="G1125" s="118" t="s">
        <v>3423</v>
      </c>
      <c r="H1125" s="118" t="s">
        <v>3424</v>
      </c>
      <c r="I1125" s="118" t="s">
        <v>7489</v>
      </c>
      <c r="J1125" s="118" t="s">
        <v>4861</v>
      </c>
      <c r="K1125" s="141"/>
      <c r="L1125" s="135" t="str">
        <f t="shared" si="65"/>
        <v>Antechinus leo</v>
      </c>
      <c r="M1125" s="133">
        <f t="shared" si="67"/>
        <v>1.8692317197309762</v>
      </c>
      <c r="N1125" s="133">
        <v>74</v>
      </c>
      <c r="O1125" s="179" t="s">
        <v>6882</v>
      </c>
      <c r="P1125" s="108">
        <v>59</v>
      </c>
      <c r="Q1125" s="90" t="s">
        <v>6642</v>
      </c>
    </row>
    <row r="1126" spans="1:20">
      <c r="A1126" s="118" t="s">
        <v>2653</v>
      </c>
      <c r="B1126" s="130"/>
      <c r="C1126" s="118" t="s">
        <v>3817</v>
      </c>
      <c r="D1126" s="141"/>
      <c r="E1126" s="118"/>
      <c r="F1126" s="118"/>
      <c r="G1126" s="118" t="s">
        <v>3423</v>
      </c>
      <c r="H1126" s="118" t="s">
        <v>3424</v>
      </c>
      <c r="I1126" s="118" t="s">
        <v>7489</v>
      </c>
      <c r="J1126" s="118" t="s">
        <v>4329</v>
      </c>
      <c r="K1126" s="141"/>
      <c r="L1126" s="135" t="str">
        <f t="shared" si="65"/>
        <v>Antechinus godmani</v>
      </c>
      <c r="M1126" s="133">
        <f t="shared" si="67"/>
        <v>1.8836614351536176</v>
      </c>
      <c r="N1126" s="133">
        <v>76.5</v>
      </c>
      <c r="O1126" s="179" t="s">
        <v>6641</v>
      </c>
      <c r="P1126" s="108">
        <v>59</v>
      </c>
      <c r="Q1126" s="90" t="s">
        <v>6642</v>
      </c>
    </row>
    <row r="1127" spans="1:20" ht="25.5">
      <c r="A1127" s="118" t="s">
        <v>2653</v>
      </c>
      <c r="B1127" s="130"/>
      <c r="C1127" s="118" t="s">
        <v>3817</v>
      </c>
      <c r="D1127" s="141"/>
      <c r="E1127" s="118"/>
      <c r="F1127" s="118"/>
      <c r="G1127" s="118" t="s">
        <v>3423</v>
      </c>
      <c r="H1127" s="118" t="s">
        <v>3424</v>
      </c>
      <c r="I1127" s="118" t="s">
        <v>3917</v>
      </c>
      <c r="J1127" s="118" t="s">
        <v>3918</v>
      </c>
      <c r="K1127" s="141"/>
      <c r="L1127" s="135" t="str">
        <f t="shared" si="65"/>
        <v>Dasycercus cristicauda</v>
      </c>
      <c r="M1127" s="133">
        <f t="shared" si="67"/>
        <v>2</v>
      </c>
      <c r="N1127" s="133">
        <v>100</v>
      </c>
      <c r="O1127" s="179" t="s">
        <v>6869</v>
      </c>
      <c r="P1127" s="108">
        <v>59</v>
      </c>
      <c r="Q1127" s="90" t="s">
        <v>6988</v>
      </c>
    </row>
    <row r="1128" spans="1:20">
      <c r="A1128" s="118" t="s">
        <v>2653</v>
      </c>
      <c r="B1128" s="130"/>
      <c r="C1128" s="118" t="s">
        <v>3817</v>
      </c>
      <c r="D1128" s="141"/>
      <c r="E1128" s="118"/>
      <c r="F1128" s="118"/>
      <c r="G1128" s="118" t="s">
        <v>3423</v>
      </c>
      <c r="H1128" s="118" t="s">
        <v>3424</v>
      </c>
      <c r="I1128" s="118" t="s">
        <v>3917</v>
      </c>
      <c r="J1128" s="118" t="s">
        <v>3919</v>
      </c>
      <c r="K1128" s="141"/>
      <c r="L1128" s="135" t="str">
        <f t="shared" si="65"/>
        <v>Dasycercus byrnei</v>
      </c>
      <c r="M1128" s="133">
        <f t="shared" si="67"/>
        <v>2.0159881053841304</v>
      </c>
      <c r="N1128" s="133">
        <v>103.75</v>
      </c>
      <c r="O1128" s="179" t="s">
        <v>6852</v>
      </c>
      <c r="P1128" s="108">
        <v>59</v>
      </c>
      <c r="Q1128" s="90" t="s">
        <v>6988</v>
      </c>
      <c r="T1128" s="82"/>
    </row>
    <row r="1129" spans="1:20">
      <c r="A1129" s="118" t="s">
        <v>2653</v>
      </c>
      <c r="B1129" s="130"/>
      <c r="C1129" s="118" t="s">
        <v>3817</v>
      </c>
      <c r="D1129" s="141"/>
      <c r="E1129" s="118"/>
      <c r="F1129" s="118"/>
      <c r="G1129" s="118" t="s">
        <v>3423</v>
      </c>
      <c r="H1129" s="118" t="s">
        <v>3424</v>
      </c>
      <c r="I1129" s="118" t="s">
        <v>3871</v>
      </c>
      <c r="J1129" s="118" t="s">
        <v>3872</v>
      </c>
      <c r="K1129" s="141"/>
      <c r="L1129" s="135" t="str">
        <f t="shared" si="65"/>
        <v>Dasykaluta rosamondae</v>
      </c>
      <c r="M1129" s="133">
        <f t="shared" si="67"/>
        <v>1.4586378490256493</v>
      </c>
      <c r="N1129" s="133">
        <v>28.75</v>
      </c>
      <c r="O1129" s="179" t="s">
        <v>3356</v>
      </c>
      <c r="P1129" s="108">
        <v>59</v>
      </c>
    </row>
    <row r="1130" spans="1:20" ht="38.25">
      <c r="A1130" s="118" t="s">
        <v>2653</v>
      </c>
      <c r="B1130" s="130"/>
      <c r="C1130" s="118" t="s">
        <v>3817</v>
      </c>
      <c r="D1130" s="141"/>
      <c r="E1130" s="118"/>
      <c r="F1130" s="118"/>
      <c r="G1130" s="118" t="s">
        <v>3423</v>
      </c>
      <c r="H1130" s="118" t="s">
        <v>3424</v>
      </c>
      <c r="I1130" s="118" t="s">
        <v>4389</v>
      </c>
      <c r="J1130" s="118" t="s">
        <v>4390</v>
      </c>
      <c r="K1130" s="141"/>
      <c r="L1130" s="135" t="str">
        <f t="shared" si="65"/>
        <v>Dasyurus hallucatus</v>
      </c>
      <c r="M1130" s="133">
        <f t="shared" si="67"/>
        <v>2.720159303405957</v>
      </c>
      <c r="N1130" s="133">
        <v>525</v>
      </c>
      <c r="O1130" s="179" t="s">
        <v>7520</v>
      </c>
      <c r="P1130" s="108">
        <v>59</v>
      </c>
      <c r="Q1130" s="90" t="s">
        <v>6642</v>
      </c>
    </row>
    <row r="1131" spans="1:20" ht="38.25">
      <c r="A1131" s="118" t="s">
        <v>2653</v>
      </c>
      <c r="B1131" s="130"/>
      <c r="C1131" s="118" t="s">
        <v>3817</v>
      </c>
      <c r="D1131" s="141"/>
      <c r="E1131" s="118"/>
      <c r="F1131" s="118"/>
      <c r="G1131" s="118" t="s">
        <v>3423</v>
      </c>
      <c r="H1131" s="118" t="s">
        <v>3424</v>
      </c>
      <c r="I1131" s="118" t="s">
        <v>4389</v>
      </c>
      <c r="J1131" s="118" t="s">
        <v>3935</v>
      </c>
      <c r="K1131" s="141"/>
      <c r="L1131" s="135" t="str">
        <f t="shared" si="65"/>
        <v>Dasyurus viverrinus</v>
      </c>
      <c r="M1131" s="133">
        <f t="shared" si="67"/>
        <v>3.0374264979406238</v>
      </c>
      <c r="N1131" s="133">
        <v>1090</v>
      </c>
      <c r="O1131" s="179" t="s">
        <v>7522</v>
      </c>
      <c r="P1131" s="108">
        <v>59</v>
      </c>
      <c r="Q1131" s="90" t="s">
        <v>6642</v>
      </c>
    </row>
    <row r="1132" spans="1:20" ht="63.75">
      <c r="A1132" s="118" t="s">
        <v>2653</v>
      </c>
      <c r="B1132" s="130"/>
      <c r="C1132" s="118" t="s">
        <v>3817</v>
      </c>
      <c r="D1132" s="141"/>
      <c r="E1132" s="118"/>
      <c r="F1132" s="118"/>
      <c r="G1132" s="118" t="s">
        <v>3423</v>
      </c>
      <c r="H1132" s="118" t="s">
        <v>3424</v>
      </c>
      <c r="I1132" s="118" t="s">
        <v>4389</v>
      </c>
      <c r="J1132" s="118" t="s">
        <v>3925</v>
      </c>
      <c r="K1132" s="141"/>
      <c r="L1132" s="135" t="str">
        <f t="shared" si="65"/>
        <v>Dasyurus geoffroii</v>
      </c>
      <c r="M1132" s="133">
        <f t="shared" si="67"/>
        <v>3.0413926851582249</v>
      </c>
      <c r="N1132" s="133">
        <v>1100</v>
      </c>
      <c r="O1132" s="179" t="s">
        <v>6928</v>
      </c>
      <c r="P1132" s="108">
        <v>59</v>
      </c>
      <c r="Q1132" s="90" t="s">
        <v>6988</v>
      </c>
    </row>
    <row r="1133" spans="1:20" ht="15" customHeight="1">
      <c r="A1133" s="118" t="s">
        <v>2653</v>
      </c>
      <c r="B1133" s="130"/>
      <c r="C1133" s="118" t="s">
        <v>3817</v>
      </c>
      <c r="D1133" s="141"/>
      <c r="E1133" s="118"/>
      <c r="F1133" s="118"/>
      <c r="G1133" s="118" t="s">
        <v>3423</v>
      </c>
      <c r="H1133" s="118" t="s">
        <v>3424</v>
      </c>
      <c r="I1133" s="118" t="s">
        <v>4389</v>
      </c>
      <c r="J1133" s="118" t="s">
        <v>3513</v>
      </c>
      <c r="K1133" s="141"/>
      <c r="L1133" s="135" t="str">
        <f t="shared" si="65"/>
        <v>Dasyurus maculatus</v>
      </c>
      <c r="M1133" s="133">
        <f t="shared" si="67"/>
        <v>3.7403626894942437</v>
      </c>
      <c r="N1133" s="133">
        <v>5500</v>
      </c>
      <c r="O1133" s="179" t="s">
        <v>6722</v>
      </c>
      <c r="P1133" s="108">
        <v>59</v>
      </c>
      <c r="Q1133" s="90" t="s">
        <v>6988</v>
      </c>
    </row>
    <row r="1134" spans="1:20">
      <c r="A1134" s="118" t="s">
        <v>2653</v>
      </c>
      <c r="B1134" s="130"/>
      <c r="C1134" s="118" t="s">
        <v>3817</v>
      </c>
      <c r="D1134" s="141"/>
      <c r="E1134" s="118"/>
      <c r="F1134" s="118"/>
      <c r="G1134" s="118" t="s">
        <v>3423</v>
      </c>
      <c r="H1134" s="118" t="s">
        <v>3424</v>
      </c>
      <c r="I1134" s="118" t="s">
        <v>4057</v>
      </c>
      <c r="J1134" s="118" t="s">
        <v>7150</v>
      </c>
      <c r="K1134" s="141"/>
      <c r="L1134" s="135" t="str">
        <f t="shared" si="65"/>
        <v>Ningaui timealeyi</v>
      </c>
      <c r="M1134" s="133">
        <f t="shared" si="67"/>
        <v>0.75587485567249146</v>
      </c>
      <c r="N1134" s="133">
        <v>5.7</v>
      </c>
      <c r="O1134" s="179" t="s">
        <v>3356</v>
      </c>
      <c r="P1134" s="108">
        <v>59</v>
      </c>
    </row>
    <row r="1135" spans="1:20">
      <c r="A1135" s="118" t="s">
        <v>2653</v>
      </c>
      <c r="B1135" s="130"/>
      <c r="C1135" s="118" t="s">
        <v>3817</v>
      </c>
      <c r="D1135" s="141"/>
      <c r="E1135" s="118"/>
      <c r="F1135" s="118"/>
      <c r="G1135" s="118" t="s">
        <v>3423</v>
      </c>
      <c r="H1135" s="118" t="s">
        <v>3424</v>
      </c>
      <c r="I1135" s="118" t="s">
        <v>4057</v>
      </c>
      <c r="J1135" s="118" t="s">
        <v>4116</v>
      </c>
      <c r="K1135" s="141"/>
      <c r="L1135" s="135" t="str">
        <f t="shared" si="65"/>
        <v>Ningaui yvonnae</v>
      </c>
      <c r="M1135" s="133">
        <f t="shared" si="67"/>
        <v>0.84509804001425681</v>
      </c>
      <c r="N1135" s="133">
        <v>7</v>
      </c>
      <c r="O1135" s="179" t="s">
        <v>3356</v>
      </c>
      <c r="P1135" s="108">
        <v>59</v>
      </c>
    </row>
    <row r="1136" spans="1:20">
      <c r="A1136" s="118" t="s">
        <v>2653</v>
      </c>
      <c r="B1136" s="130"/>
      <c r="C1136" s="118" t="s">
        <v>3817</v>
      </c>
      <c r="D1136" s="141"/>
      <c r="E1136" s="118"/>
      <c r="F1136" s="118"/>
      <c r="G1136" s="118" t="s">
        <v>3423</v>
      </c>
      <c r="H1136" s="118" t="s">
        <v>3424</v>
      </c>
      <c r="I1136" s="118" t="s">
        <v>4057</v>
      </c>
      <c r="J1136" s="118" t="s">
        <v>4117</v>
      </c>
      <c r="K1136" s="141"/>
      <c r="L1136" s="135" t="str">
        <f t="shared" si="65"/>
        <v>Ningaui ridei</v>
      </c>
      <c r="M1136" s="133">
        <f t="shared" si="67"/>
        <v>0.92941892571429274</v>
      </c>
      <c r="N1136" s="133">
        <v>8.5</v>
      </c>
      <c r="O1136" s="179" t="s">
        <v>3356</v>
      </c>
      <c r="P1136" s="108">
        <v>59</v>
      </c>
    </row>
    <row r="1137" spans="1:20">
      <c r="A1137" s="118" t="s">
        <v>2653</v>
      </c>
      <c r="B1137" s="130"/>
      <c r="C1137" s="118" t="s">
        <v>3817</v>
      </c>
      <c r="D1137" s="141"/>
      <c r="E1137" s="118"/>
      <c r="F1137" s="118"/>
      <c r="G1137" s="118" t="s">
        <v>3423</v>
      </c>
      <c r="H1137" s="118" t="s">
        <v>3424</v>
      </c>
      <c r="I1137" s="118" t="s">
        <v>3873</v>
      </c>
      <c r="J1137" s="118" t="s">
        <v>3874</v>
      </c>
      <c r="K1137" s="141"/>
      <c r="L1137" s="135" t="str">
        <f t="shared" si="65"/>
        <v>Parantechinus bilarni</v>
      </c>
      <c r="M1137" s="133">
        <f t="shared" si="67"/>
        <v>1.4393326938302626</v>
      </c>
      <c r="N1137" s="133">
        <v>27.5</v>
      </c>
      <c r="O1137" s="179" t="s">
        <v>3356</v>
      </c>
      <c r="P1137" s="108">
        <v>59</v>
      </c>
    </row>
    <row r="1138" spans="1:20" ht="15" customHeight="1">
      <c r="A1138" s="118" t="s">
        <v>2653</v>
      </c>
      <c r="B1138" s="130"/>
      <c r="C1138" s="118" t="s">
        <v>3817</v>
      </c>
      <c r="D1138" s="141"/>
      <c r="E1138" s="118"/>
      <c r="F1138" s="118"/>
      <c r="G1138" s="118" t="s">
        <v>3423</v>
      </c>
      <c r="H1138" s="118" t="s">
        <v>3424</v>
      </c>
      <c r="I1138" s="118" t="s">
        <v>3873</v>
      </c>
      <c r="J1138" s="118" t="s">
        <v>4328</v>
      </c>
      <c r="K1138" s="141"/>
      <c r="L1138" s="135" t="str">
        <f t="shared" si="65"/>
        <v>Parantechinus apicalis</v>
      </c>
      <c r="M1138" s="133">
        <f t="shared" si="67"/>
        <v>1.8372727025023003</v>
      </c>
      <c r="N1138" s="133">
        <v>68.75</v>
      </c>
      <c r="O1138" s="179" t="s">
        <v>7520</v>
      </c>
      <c r="P1138" s="108">
        <v>59</v>
      </c>
      <c r="Q1138" s="90" t="s">
        <v>6640</v>
      </c>
      <c r="T1138" s="82"/>
    </row>
    <row r="1139" spans="1:20" ht="12" customHeight="1">
      <c r="A1139" s="118" t="s">
        <v>2653</v>
      </c>
      <c r="B1139" s="130"/>
      <c r="C1139" s="118" t="s">
        <v>3817</v>
      </c>
      <c r="D1139" s="141"/>
      <c r="E1139" s="118"/>
      <c r="F1139" s="118"/>
      <c r="G1139" s="118" t="s">
        <v>3423</v>
      </c>
      <c r="H1139" s="118" t="s">
        <v>3424</v>
      </c>
      <c r="I1139" s="118" t="s">
        <v>4172</v>
      </c>
      <c r="J1139" s="118" t="s">
        <v>4326</v>
      </c>
      <c r="K1139" s="141"/>
      <c r="L1139" s="135" t="str">
        <f t="shared" si="65"/>
        <v>Phascogale calura</v>
      </c>
      <c r="M1139" s="133">
        <f t="shared" si="67"/>
        <v>1.711807229041191</v>
      </c>
      <c r="N1139" s="133">
        <v>51.5</v>
      </c>
      <c r="O1139" s="179" t="s">
        <v>6869</v>
      </c>
      <c r="P1139" s="108">
        <v>59</v>
      </c>
      <c r="Q1139" s="90" t="s">
        <v>6640</v>
      </c>
      <c r="R1139" s="89"/>
    </row>
    <row r="1140" spans="1:20" ht="38.25">
      <c r="A1140" s="118" t="s">
        <v>2653</v>
      </c>
      <c r="B1140" s="130"/>
      <c r="C1140" s="118" t="s">
        <v>3817</v>
      </c>
      <c r="D1140" s="141"/>
      <c r="E1140" s="118"/>
      <c r="F1140" s="118"/>
      <c r="G1140" s="118" t="s">
        <v>3423</v>
      </c>
      <c r="H1140" s="118" t="s">
        <v>3424</v>
      </c>
      <c r="I1140" s="118" t="s">
        <v>4172</v>
      </c>
      <c r="J1140" s="118" t="s">
        <v>3920</v>
      </c>
      <c r="K1140" s="141"/>
      <c r="L1140" s="135" t="str">
        <f t="shared" si="65"/>
        <v>Phascogale tapoatafa</v>
      </c>
      <c r="M1140" s="133">
        <f t="shared" si="67"/>
        <v>2.2866809693549301</v>
      </c>
      <c r="N1140" s="133">
        <v>193.5</v>
      </c>
      <c r="O1140" s="179" t="s">
        <v>7039</v>
      </c>
      <c r="P1140" s="108">
        <v>59</v>
      </c>
      <c r="Q1140" s="90" t="s">
        <v>6642</v>
      </c>
    </row>
    <row r="1141" spans="1:20">
      <c r="A1141" s="118" t="s">
        <v>2653</v>
      </c>
      <c r="B1141" s="130"/>
      <c r="C1141" s="118" t="s">
        <v>3817</v>
      </c>
      <c r="D1141" s="141"/>
      <c r="E1141" s="118"/>
      <c r="F1141" s="118"/>
      <c r="G1141" s="118" t="s">
        <v>3423</v>
      </c>
      <c r="H1141" s="118" t="s">
        <v>3424</v>
      </c>
      <c r="I1141" s="118" t="s">
        <v>4058</v>
      </c>
      <c r="J1141" s="118" t="s">
        <v>4495</v>
      </c>
      <c r="K1141" s="141"/>
      <c r="L1141" s="135" t="str">
        <f t="shared" si="65"/>
        <v>Planigale ingrami</v>
      </c>
      <c r="M1141" s="133">
        <f t="shared" si="67"/>
        <v>0.62838893005031149</v>
      </c>
      <c r="N1141" s="133">
        <v>4.25</v>
      </c>
      <c r="O1141" s="179" t="s">
        <v>3356</v>
      </c>
      <c r="P1141" s="108">
        <v>59</v>
      </c>
    </row>
    <row r="1142" spans="1:20">
      <c r="A1142" s="121" t="s">
        <v>2653</v>
      </c>
      <c r="B1142" s="130"/>
      <c r="C1142" s="118" t="s">
        <v>3817</v>
      </c>
      <c r="D1142" s="141"/>
      <c r="E1142" s="118"/>
      <c r="F1142" s="118"/>
      <c r="G1142" s="118" t="s">
        <v>3423</v>
      </c>
      <c r="H1142" s="118" t="s">
        <v>3424</v>
      </c>
      <c r="I1142" s="118" t="s">
        <v>4058</v>
      </c>
      <c r="J1142" s="118" t="s">
        <v>4496</v>
      </c>
      <c r="K1142" s="141"/>
      <c r="L1142" s="135" t="str">
        <f t="shared" si="65"/>
        <v>Planigale tenuirostris</v>
      </c>
      <c r="M1142" s="133">
        <f t="shared" si="67"/>
        <v>0.78175537465246892</v>
      </c>
      <c r="N1142" s="133">
        <v>6.05</v>
      </c>
      <c r="O1142" s="179" t="s">
        <v>3356</v>
      </c>
      <c r="P1142" s="108">
        <v>59</v>
      </c>
    </row>
    <row r="1143" spans="1:20">
      <c r="A1143" s="118" t="s">
        <v>2653</v>
      </c>
      <c r="B1143" s="130"/>
      <c r="C1143" s="118" t="s">
        <v>3817</v>
      </c>
      <c r="D1143" s="141"/>
      <c r="E1143" s="118"/>
      <c r="F1143" s="118"/>
      <c r="G1143" s="118" t="s">
        <v>3423</v>
      </c>
      <c r="H1143" s="118" t="s">
        <v>3424</v>
      </c>
      <c r="I1143" s="118" t="s">
        <v>4058</v>
      </c>
      <c r="J1143" s="118" t="s">
        <v>7151</v>
      </c>
      <c r="K1143" s="141"/>
      <c r="L1143" s="135" t="str">
        <f t="shared" si="65"/>
        <v>Planigale gilesi</v>
      </c>
      <c r="M1143" s="133">
        <f t="shared" si="67"/>
        <v>0.96378782734555524</v>
      </c>
      <c r="N1143" s="133">
        <v>9.1999999999999993</v>
      </c>
      <c r="O1143" s="179" t="s">
        <v>3356</v>
      </c>
      <c r="P1143" s="108">
        <v>59</v>
      </c>
    </row>
    <row r="1144" spans="1:20" ht="12" customHeight="1">
      <c r="A1144" s="118" t="s">
        <v>2653</v>
      </c>
      <c r="B1144" s="130"/>
      <c r="C1144" s="118" t="s">
        <v>3817</v>
      </c>
      <c r="D1144" s="141"/>
      <c r="E1144" s="118"/>
      <c r="F1144" s="118"/>
      <c r="G1144" s="118" t="s">
        <v>3423</v>
      </c>
      <c r="H1144" s="118" t="s">
        <v>3424</v>
      </c>
      <c r="I1144" s="118" t="s">
        <v>4058</v>
      </c>
      <c r="J1144" s="118" t="s">
        <v>4913</v>
      </c>
      <c r="K1144" s="141"/>
      <c r="L1144" s="135" t="str">
        <f t="shared" si="65"/>
        <v>Planigale maculata</v>
      </c>
      <c r="M1144" s="133">
        <f t="shared" si="67"/>
        <v>1.0413926851582251</v>
      </c>
      <c r="N1144" s="133">
        <v>11</v>
      </c>
      <c r="O1144" s="179" t="s">
        <v>3356</v>
      </c>
      <c r="P1144" s="108">
        <v>59</v>
      </c>
      <c r="R1144" s="89"/>
    </row>
    <row r="1145" spans="1:20" ht="12" customHeight="1">
      <c r="A1145" s="118" t="s">
        <v>2653</v>
      </c>
      <c r="B1145" s="130"/>
      <c r="C1145" s="118" t="s">
        <v>3817</v>
      </c>
      <c r="D1145" s="141"/>
      <c r="E1145" s="118"/>
      <c r="F1145" s="118"/>
      <c r="G1145" s="118" t="s">
        <v>3423</v>
      </c>
      <c r="H1145" s="118" t="s">
        <v>3424</v>
      </c>
      <c r="I1145" s="118" t="s">
        <v>7582</v>
      </c>
      <c r="J1145" s="118" t="s">
        <v>7583</v>
      </c>
      <c r="K1145" s="141"/>
      <c r="L1145" s="135" t="str">
        <f t="shared" si="65"/>
        <v>Pseudantechinus ningbing</v>
      </c>
      <c r="M1145" s="133">
        <f t="shared" si="67"/>
        <v>1.3010299956639813</v>
      </c>
      <c r="N1145" s="133">
        <v>20</v>
      </c>
      <c r="O1145" s="179" t="s">
        <v>3356</v>
      </c>
      <c r="P1145" s="108">
        <v>59</v>
      </c>
      <c r="R1145" s="89"/>
    </row>
    <row r="1146" spans="1:20">
      <c r="A1146" s="118" t="s">
        <v>2653</v>
      </c>
      <c r="B1146" s="130"/>
      <c r="C1146" s="118" t="s">
        <v>3817</v>
      </c>
      <c r="D1146" s="141"/>
      <c r="E1146" s="118"/>
      <c r="F1146" s="118"/>
      <c r="G1146" s="118" t="s">
        <v>3423</v>
      </c>
      <c r="H1146" s="118" t="s">
        <v>3424</v>
      </c>
      <c r="I1146" s="118" t="s">
        <v>7582</v>
      </c>
      <c r="J1146" s="118" t="s">
        <v>4315</v>
      </c>
      <c r="K1146" s="141"/>
      <c r="L1146" s="135" t="str">
        <f t="shared" si="65"/>
        <v>Pseudantechinus macdonnellensis</v>
      </c>
      <c r="M1146" s="133">
        <f t="shared" si="67"/>
        <v>1.5118833609788744</v>
      </c>
      <c r="N1146" s="133">
        <v>32.5</v>
      </c>
      <c r="O1146" s="179" t="s">
        <v>6771</v>
      </c>
      <c r="P1146" s="108">
        <v>59</v>
      </c>
      <c r="Q1146" s="90" t="s">
        <v>6988</v>
      </c>
    </row>
    <row r="1147" spans="1:20" ht="15" customHeight="1">
      <c r="A1147" s="118" t="s">
        <v>2653</v>
      </c>
      <c r="B1147" s="130"/>
      <c r="C1147" s="118" t="s">
        <v>3817</v>
      </c>
      <c r="D1147" s="141"/>
      <c r="E1147" s="118"/>
      <c r="F1147" s="118"/>
      <c r="G1147" s="118" t="s">
        <v>3423</v>
      </c>
      <c r="H1147" s="118" t="s">
        <v>3424</v>
      </c>
      <c r="I1147" s="118" t="s">
        <v>7582</v>
      </c>
      <c r="J1147" s="118" t="s">
        <v>4123</v>
      </c>
      <c r="K1147" s="141"/>
      <c r="L1147" s="135" t="str">
        <f t="shared" si="65"/>
        <v>Pseudantechinus woolleyae</v>
      </c>
      <c r="M1147" s="133">
        <f t="shared" si="67"/>
        <v>1.6020599913279623</v>
      </c>
      <c r="N1147" s="133">
        <v>40</v>
      </c>
      <c r="O1147" s="179" t="s">
        <v>3356</v>
      </c>
      <c r="P1147" s="108">
        <v>59</v>
      </c>
    </row>
    <row r="1148" spans="1:20">
      <c r="A1148" s="118" t="s">
        <v>2653</v>
      </c>
      <c r="B1148" s="141" t="s">
        <v>6875</v>
      </c>
      <c r="C1148" s="118" t="s">
        <v>3817</v>
      </c>
      <c r="D1148" s="141"/>
      <c r="E1148" s="118"/>
      <c r="F1148" s="118"/>
      <c r="G1148" s="118" t="s">
        <v>3423</v>
      </c>
      <c r="H1148" s="118" t="s">
        <v>3424</v>
      </c>
      <c r="I1148" s="118" t="s">
        <v>4118</v>
      </c>
      <c r="J1148" s="118" t="s">
        <v>4424</v>
      </c>
      <c r="K1148" s="141"/>
      <c r="L1148" s="135" t="str">
        <f t="shared" si="65"/>
        <v>Sminthopsis fuliginosus</v>
      </c>
      <c r="M1148" s="133">
        <v>-999</v>
      </c>
      <c r="N1148" s="133">
        <v>-999</v>
      </c>
      <c r="O1148" s="179">
        <v>-999</v>
      </c>
      <c r="P1148" s="108">
        <v>148</v>
      </c>
      <c r="Q1148" s="80" t="s">
        <v>6987</v>
      </c>
    </row>
    <row r="1149" spans="1:20">
      <c r="A1149" s="118" t="s">
        <v>2653</v>
      </c>
      <c r="B1149" s="130"/>
      <c r="C1149" s="118" t="s">
        <v>3817</v>
      </c>
      <c r="D1149" s="141"/>
      <c r="E1149" s="118"/>
      <c r="F1149" s="118"/>
      <c r="G1149" s="118" t="s">
        <v>3423</v>
      </c>
      <c r="H1149" s="118" t="s">
        <v>3424</v>
      </c>
      <c r="I1149" s="118" t="s">
        <v>4118</v>
      </c>
      <c r="J1149" s="118" t="s">
        <v>7468</v>
      </c>
      <c r="K1149" s="141"/>
      <c r="L1149" s="135" t="str">
        <f t="shared" si="65"/>
        <v>Sminthopsis youngsoni</v>
      </c>
      <c r="M1149" s="133">
        <f t="shared" ref="M1149:M1180" si="68">LOG(N1149)</f>
        <v>1.0043213737826426</v>
      </c>
      <c r="N1149" s="133">
        <v>10.1</v>
      </c>
      <c r="O1149" s="179" t="s">
        <v>3356</v>
      </c>
      <c r="P1149" s="108">
        <v>59</v>
      </c>
    </row>
    <row r="1150" spans="1:20">
      <c r="A1150" s="118" t="s">
        <v>2653</v>
      </c>
      <c r="B1150" s="130"/>
      <c r="C1150" s="118" t="s">
        <v>3817</v>
      </c>
      <c r="D1150" s="141"/>
      <c r="E1150" s="118"/>
      <c r="F1150" s="118"/>
      <c r="G1150" s="118" t="s">
        <v>3423</v>
      </c>
      <c r="H1150" s="118" t="s">
        <v>3424</v>
      </c>
      <c r="I1150" s="118" t="s">
        <v>4118</v>
      </c>
      <c r="J1150" s="118" t="s">
        <v>7149</v>
      </c>
      <c r="K1150" s="141"/>
      <c r="L1150" s="135" t="str">
        <f t="shared" si="65"/>
        <v>Sminthopsis ooldea</v>
      </c>
      <c r="M1150" s="133">
        <f t="shared" si="68"/>
        <v>1.0413926851582251</v>
      </c>
      <c r="N1150" s="143">
        <v>11</v>
      </c>
      <c r="O1150" s="179" t="s">
        <v>3356</v>
      </c>
      <c r="P1150" s="108">
        <v>59</v>
      </c>
    </row>
    <row r="1151" spans="1:20">
      <c r="A1151" s="118" t="s">
        <v>2653</v>
      </c>
      <c r="B1151" s="130"/>
      <c r="C1151" s="118" t="s">
        <v>3817</v>
      </c>
      <c r="D1151" s="141"/>
      <c r="E1151" s="118"/>
      <c r="F1151" s="118"/>
      <c r="G1151" s="118" t="s">
        <v>3423</v>
      </c>
      <c r="H1151" s="118" t="s">
        <v>3424</v>
      </c>
      <c r="I1151" s="118" t="s">
        <v>4118</v>
      </c>
      <c r="J1151" s="118" t="s">
        <v>4055</v>
      </c>
      <c r="K1151" s="141"/>
      <c r="L1151" s="135" t="str">
        <f t="shared" si="65"/>
        <v>Sminthopsis dolichura</v>
      </c>
      <c r="M1151" s="133">
        <f t="shared" si="68"/>
        <v>1.1335389083702174</v>
      </c>
      <c r="N1151" s="133">
        <v>13.6</v>
      </c>
      <c r="O1151" s="179" t="s">
        <v>3356</v>
      </c>
      <c r="P1151" s="108">
        <v>59</v>
      </c>
    </row>
    <row r="1152" spans="1:20" ht="12" customHeight="1">
      <c r="A1152" s="118" t="s">
        <v>2653</v>
      </c>
      <c r="B1152" s="130"/>
      <c r="C1152" s="118" t="s">
        <v>3817</v>
      </c>
      <c r="D1152" s="141"/>
      <c r="E1152" s="118"/>
      <c r="F1152" s="118"/>
      <c r="G1152" s="118" t="s">
        <v>3423</v>
      </c>
      <c r="H1152" s="118" t="s">
        <v>3424</v>
      </c>
      <c r="I1152" s="118" t="s">
        <v>4118</v>
      </c>
      <c r="J1152" s="118" t="s">
        <v>4503</v>
      </c>
      <c r="K1152" s="141"/>
      <c r="L1152" s="135" t="str">
        <f t="shared" si="65"/>
        <v>Sminthopsis crassicaudata</v>
      </c>
      <c r="M1152" s="133">
        <f t="shared" si="68"/>
        <v>1.1760912590556813</v>
      </c>
      <c r="N1152" s="133">
        <v>15</v>
      </c>
      <c r="O1152" s="179" t="s">
        <v>3356</v>
      </c>
      <c r="P1152" s="108">
        <v>59</v>
      </c>
      <c r="R1152" s="89"/>
    </row>
    <row r="1153" spans="1:18">
      <c r="A1153" s="118" t="s">
        <v>2653</v>
      </c>
      <c r="B1153" s="130"/>
      <c r="C1153" s="118" t="s">
        <v>3817</v>
      </c>
      <c r="D1153" s="141"/>
      <c r="E1153" s="118"/>
      <c r="F1153" s="118"/>
      <c r="G1153" s="118" t="s">
        <v>3423</v>
      </c>
      <c r="H1153" s="118" t="s">
        <v>3424</v>
      </c>
      <c r="I1153" s="118" t="s">
        <v>4118</v>
      </c>
      <c r="J1153" s="118" t="s">
        <v>7477</v>
      </c>
      <c r="K1153" s="141"/>
      <c r="L1153" s="135" t="str">
        <f t="shared" si="65"/>
        <v>Sminthopsis hirtipes</v>
      </c>
      <c r="M1153" s="133">
        <f t="shared" si="68"/>
        <v>1.1760912590556813</v>
      </c>
      <c r="N1153" s="133">
        <v>15</v>
      </c>
      <c r="O1153" s="179" t="s">
        <v>3356</v>
      </c>
      <c r="P1153" s="108">
        <v>59</v>
      </c>
    </row>
    <row r="1154" spans="1:18" ht="12" customHeight="1">
      <c r="A1154" s="118" t="s">
        <v>2653</v>
      </c>
      <c r="B1154" s="130"/>
      <c r="C1154" s="118" t="s">
        <v>3817</v>
      </c>
      <c r="D1154" s="141"/>
      <c r="E1154" s="118"/>
      <c r="F1154" s="118"/>
      <c r="G1154" s="118" t="s">
        <v>3423</v>
      </c>
      <c r="H1154" s="118" t="s">
        <v>3424</v>
      </c>
      <c r="I1154" s="118" t="s">
        <v>4118</v>
      </c>
      <c r="J1154" s="118" t="s">
        <v>7148</v>
      </c>
      <c r="K1154" s="141"/>
      <c r="L1154" s="135" t="str">
        <f t="shared" si="65"/>
        <v>Sminthopsis archeri</v>
      </c>
      <c r="M1154" s="133">
        <f t="shared" si="68"/>
        <v>1.2041199826559248</v>
      </c>
      <c r="N1154" s="133">
        <v>16</v>
      </c>
      <c r="O1154" s="179" t="s">
        <v>3356</v>
      </c>
      <c r="P1154" s="108">
        <v>59</v>
      </c>
      <c r="Q1154" s="90" t="s">
        <v>6987</v>
      </c>
      <c r="R1154" s="89"/>
    </row>
    <row r="1155" spans="1:18">
      <c r="A1155" s="118" t="s">
        <v>2653</v>
      </c>
      <c r="B1155" s="130"/>
      <c r="C1155" s="118" t="s">
        <v>3817</v>
      </c>
      <c r="D1155" s="141"/>
      <c r="E1155" s="118"/>
      <c r="F1155" s="118"/>
      <c r="G1155" s="118" t="s">
        <v>3423</v>
      </c>
      <c r="H1155" s="118" t="s">
        <v>3424</v>
      </c>
      <c r="I1155" s="118" t="s">
        <v>4118</v>
      </c>
      <c r="J1155" s="118" t="s">
        <v>4306</v>
      </c>
      <c r="K1155" s="141"/>
      <c r="L1155" s="135" t="str">
        <f t="shared" si="65"/>
        <v>Sminthopsis murina</v>
      </c>
      <c r="M1155" s="133">
        <f t="shared" si="68"/>
        <v>1.2304489213782739</v>
      </c>
      <c r="N1155" s="133">
        <v>17</v>
      </c>
      <c r="O1155" s="179" t="s">
        <v>3356</v>
      </c>
      <c r="P1155" s="108">
        <v>59</v>
      </c>
    </row>
    <row r="1156" spans="1:18">
      <c r="A1156" s="118" t="s">
        <v>2653</v>
      </c>
      <c r="B1156" s="130"/>
      <c r="C1156" s="121" t="s">
        <v>3817</v>
      </c>
      <c r="D1156" s="156"/>
      <c r="E1156" s="121"/>
      <c r="F1156" s="121"/>
      <c r="G1156" s="121" t="s">
        <v>3423</v>
      </c>
      <c r="H1156" s="118" t="s">
        <v>3424</v>
      </c>
      <c r="I1156" s="121" t="s">
        <v>4118</v>
      </c>
      <c r="J1156" s="121" t="s">
        <v>7147</v>
      </c>
      <c r="K1156" s="156"/>
      <c r="L1156" s="135" t="str">
        <f t="shared" si="65"/>
        <v>Sminthopsis griseoventer</v>
      </c>
      <c r="M1156" s="133">
        <f t="shared" si="68"/>
        <v>1.2430380486862944</v>
      </c>
      <c r="N1156" s="143">
        <v>17.5</v>
      </c>
      <c r="O1156" s="179" t="s">
        <v>3356</v>
      </c>
      <c r="P1156" s="108">
        <v>59</v>
      </c>
    </row>
    <row r="1157" spans="1:18">
      <c r="A1157" s="118" t="s">
        <v>2653</v>
      </c>
      <c r="B1157" s="130"/>
      <c r="C1157" s="118" t="s">
        <v>3817</v>
      </c>
      <c r="D1157" s="141"/>
      <c r="E1157" s="118"/>
      <c r="F1157" s="118"/>
      <c r="G1157" s="118" t="s">
        <v>3423</v>
      </c>
      <c r="H1157" s="118" t="s">
        <v>3424</v>
      </c>
      <c r="I1157" s="118" t="s">
        <v>4118</v>
      </c>
      <c r="J1157" s="118" t="s">
        <v>7486</v>
      </c>
      <c r="K1157" s="141"/>
      <c r="L1157" s="135" t="str">
        <f t="shared" ref="L1157:L1220" si="69">I1157&amp;" "&amp;J1157</f>
        <v>Sminthopsis longicaudata</v>
      </c>
      <c r="M1157" s="133">
        <f t="shared" si="68"/>
        <v>1.255272505103306</v>
      </c>
      <c r="N1157" s="133">
        <v>18</v>
      </c>
      <c r="O1157" s="179" t="s">
        <v>3356</v>
      </c>
      <c r="P1157" s="108">
        <v>59</v>
      </c>
    </row>
    <row r="1158" spans="1:18">
      <c r="A1158" s="118" t="s">
        <v>2653</v>
      </c>
      <c r="B1158" s="130"/>
      <c r="C1158" s="118" t="s">
        <v>3817</v>
      </c>
      <c r="D1158" s="141"/>
      <c r="E1158" s="118"/>
      <c r="F1158" s="118"/>
      <c r="G1158" s="118" t="s">
        <v>3423</v>
      </c>
      <c r="H1158" s="118" t="s">
        <v>3424</v>
      </c>
      <c r="I1158" s="118" t="s">
        <v>4118</v>
      </c>
      <c r="J1158" s="118" t="s">
        <v>7487</v>
      </c>
      <c r="K1158" s="141"/>
      <c r="L1158" s="135" t="str">
        <f t="shared" si="69"/>
        <v>Sminthopsis gilberti</v>
      </c>
      <c r="M1158" s="133">
        <f t="shared" si="68"/>
        <v>1.2900346113625181</v>
      </c>
      <c r="N1158" s="133">
        <v>19.5</v>
      </c>
      <c r="O1158" s="179" t="s">
        <v>3356</v>
      </c>
      <c r="P1158" s="108">
        <v>59</v>
      </c>
    </row>
    <row r="1159" spans="1:18">
      <c r="A1159" s="118" t="s">
        <v>2653</v>
      </c>
      <c r="B1159" s="130"/>
      <c r="C1159" s="118" t="s">
        <v>3817</v>
      </c>
      <c r="D1159" s="141"/>
      <c r="E1159" s="118"/>
      <c r="F1159" s="118"/>
      <c r="G1159" s="118" t="s">
        <v>3423</v>
      </c>
      <c r="H1159" s="118" t="s">
        <v>3424</v>
      </c>
      <c r="I1159" s="118" t="s">
        <v>4118</v>
      </c>
      <c r="J1159" s="118" t="s">
        <v>3833</v>
      </c>
      <c r="K1159" s="141"/>
      <c r="L1159" s="135" t="str">
        <f t="shared" si="69"/>
        <v>Sminthopsis macroura</v>
      </c>
      <c r="M1159" s="133">
        <f t="shared" si="68"/>
        <v>1.3010299956639813</v>
      </c>
      <c r="N1159" s="133">
        <v>20</v>
      </c>
      <c r="O1159" s="179" t="s">
        <v>3356</v>
      </c>
      <c r="P1159" s="108">
        <v>59</v>
      </c>
    </row>
    <row r="1160" spans="1:18" ht="25.5">
      <c r="A1160" s="118" t="s">
        <v>2653</v>
      </c>
      <c r="B1160" s="130"/>
      <c r="C1160" s="118" t="s">
        <v>3817</v>
      </c>
      <c r="D1160" s="141"/>
      <c r="E1160" s="118"/>
      <c r="F1160" s="118"/>
      <c r="G1160" s="118" t="s">
        <v>3423</v>
      </c>
      <c r="H1160" s="118" t="s">
        <v>3424</v>
      </c>
      <c r="I1160" s="118" t="s">
        <v>4118</v>
      </c>
      <c r="J1160" s="118" t="s">
        <v>4353</v>
      </c>
      <c r="K1160" s="141"/>
      <c r="L1160" s="135" t="str">
        <f t="shared" si="69"/>
        <v>Sminthopsis aitkeni</v>
      </c>
      <c r="M1160" s="133">
        <f t="shared" si="68"/>
        <v>1.3521825181113625</v>
      </c>
      <c r="N1160" s="133">
        <v>22.5</v>
      </c>
      <c r="O1160" s="179" t="s">
        <v>6950</v>
      </c>
      <c r="P1160" s="108">
        <v>59</v>
      </c>
      <c r="Q1160" s="90" t="s">
        <v>6640</v>
      </c>
    </row>
    <row r="1161" spans="1:18">
      <c r="A1161" s="139" t="s">
        <v>2653</v>
      </c>
      <c r="B1161" s="138"/>
      <c r="C1161" s="139" t="s">
        <v>3817</v>
      </c>
      <c r="D1161" s="222"/>
      <c r="E1161" s="139"/>
      <c r="F1161" s="139"/>
      <c r="G1161" s="139" t="s">
        <v>3423</v>
      </c>
      <c r="H1161" s="139" t="s">
        <v>3424</v>
      </c>
      <c r="I1161" s="139" t="s">
        <v>4118</v>
      </c>
      <c r="J1161" s="139" t="s">
        <v>3921</v>
      </c>
      <c r="K1161" s="222"/>
      <c r="L1161" s="135" t="str">
        <f t="shared" si="69"/>
        <v>Sminthopsis butleri</v>
      </c>
      <c r="M1161" s="133">
        <f t="shared" si="68"/>
        <v>1.3979400086720377</v>
      </c>
      <c r="N1161" s="140">
        <v>25</v>
      </c>
      <c r="O1161" s="181" t="s">
        <v>6951</v>
      </c>
      <c r="P1161" s="113">
        <v>59</v>
      </c>
      <c r="Q1161" s="90" t="s">
        <v>6988</v>
      </c>
    </row>
    <row r="1162" spans="1:18" ht="24" customHeight="1">
      <c r="A1162" s="118" t="s">
        <v>2653</v>
      </c>
      <c r="B1162" s="130"/>
      <c r="C1162" s="118" t="s">
        <v>3817</v>
      </c>
      <c r="D1162" s="141"/>
      <c r="E1162" s="118"/>
      <c r="F1162" s="118"/>
      <c r="G1162" s="118" t="s">
        <v>3423</v>
      </c>
      <c r="H1162" s="118" t="s">
        <v>3424</v>
      </c>
      <c r="I1162" s="118" t="s">
        <v>4118</v>
      </c>
      <c r="J1162" s="118" t="s">
        <v>4075</v>
      </c>
      <c r="K1162" s="141"/>
      <c r="L1162" s="135" t="str">
        <f t="shared" si="69"/>
        <v>Sminthopsis granulipes</v>
      </c>
      <c r="M1162" s="133">
        <f t="shared" si="68"/>
        <v>1.3979400086720377</v>
      </c>
      <c r="N1162" s="133">
        <v>25</v>
      </c>
      <c r="O1162" s="179" t="s">
        <v>3356</v>
      </c>
      <c r="P1162" s="108">
        <v>59</v>
      </c>
    </row>
    <row r="1163" spans="1:18">
      <c r="A1163" s="118" t="s">
        <v>2653</v>
      </c>
      <c r="B1163" s="130"/>
      <c r="C1163" s="118" t="s">
        <v>3817</v>
      </c>
      <c r="D1163" s="141"/>
      <c r="E1163" s="118"/>
      <c r="F1163" s="118"/>
      <c r="G1163" s="118" t="s">
        <v>3423</v>
      </c>
      <c r="H1163" s="118" t="s">
        <v>3424</v>
      </c>
      <c r="I1163" s="118" t="s">
        <v>4118</v>
      </c>
      <c r="J1163" s="118" t="s">
        <v>7488</v>
      </c>
      <c r="K1163" s="141"/>
      <c r="L1163" s="135" t="str">
        <f t="shared" si="69"/>
        <v>Sminthopsis laniger</v>
      </c>
      <c r="M1163" s="133">
        <f t="shared" si="68"/>
        <v>1.3979400086720377</v>
      </c>
      <c r="N1163" s="133">
        <v>25</v>
      </c>
      <c r="O1163" s="179" t="s">
        <v>3356</v>
      </c>
      <c r="P1163" s="108">
        <v>59</v>
      </c>
      <c r="Q1163" s="90" t="s">
        <v>6987</v>
      </c>
    </row>
    <row r="1164" spans="1:18">
      <c r="A1164" s="118" t="s">
        <v>2653</v>
      </c>
      <c r="B1164" s="130"/>
      <c r="C1164" s="118" t="s">
        <v>3817</v>
      </c>
      <c r="D1164" s="141"/>
      <c r="E1164" s="118"/>
      <c r="F1164" s="118"/>
      <c r="G1164" s="118" t="s">
        <v>3423</v>
      </c>
      <c r="H1164" s="118" t="s">
        <v>3424</v>
      </c>
      <c r="I1164" s="118" t="s">
        <v>4118</v>
      </c>
      <c r="J1164" s="118" t="s">
        <v>7491</v>
      </c>
      <c r="K1164" s="141"/>
      <c r="L1164" s="135" t="str">
        <f t="shared" si="69"/>
        <v>Sminthopsis leucopus</v>
      </c>
      <c r="M1164" s="133">
        <f t="shared" si="68"/>
        <v>1.414973347970818</v>
      </c>
      <c r="N1164" s="133">
        <v>26</v>
      </c>
      <c r="O1164" s="179" t="s">
        <v>3356</v>
      </c>
      <c r="P1164" s="108">
        <v>59</v>
      </c>
      <c r="Q1164" s="90" t="s">
        <v>6987</v>
      </c>
    </row>
    <row r="1165" spans="1:18" ht="25.5">
      <c r="A1165" s="118" t="s">
        <v>2653</v>
      </c>
      <c r="B1165" s="130"/>
      <c r="C1165" s="118" t="s">
        <v>3817</v>
      </c>
      <c r="D1165" s="141"/>
      <c r="E1165" s="118"/>
      <c r="F1165" s="118"/>
      <c r="G1165" s="118" t="s">
        <v>3423</v>
      </c>
      <c r="H1165" s="118" t="s">
        <v>3424</v>
      </c>
      <c r="I1165" s="118" t="s">
        <v>4118</v>
      </c>
      <c r="J1165" s="118" t="s">
        <v>4338</v>
      </c>
      <c r="K1165" s="141"/>
      <c r="L1165" s="135" t="str">
        <f t="shared" si="69"/>
        <v>Sminthopsis psammophila</v>
      </c>
      <c r="M1165" s="133">
        <f t="shared" si="68"/>
        <v>1.5250448070368452</v>
      </c>
      <c r="N1165" s="133">
        <v>33.5</v>
      </c>
      <c r="O1165" s="179" t="s">
        <v>6869</v>
      </c>
      <c r="P1165" s="108">
        <v>59</v>
      </c>
      <c r="Q1165" s="90" t="s">
        <v>6640</v>
      </c>
    </row>
    <row r="1166" spans="1:18">
      <c r="A1166" s="118" t="s">
        <v>2653</v>
      </c>
      <c r="B1166" s="130"/>
      <c r="C1166" s="118" t="s">
        <v>3817</v>
      </c>
      <c r="D1166" s="141"/>
      <c r="E1166" s="118"/>
      <c r="F1166" s="118"/>
      <c r="G1166" s="118" t="s">
        <v>3423</v>
      </c>
      <c r="H1166" s="118" t="s">
        <v>3424</v>
      </c>
      <c r="I1166" s="118" t="s">
        <v>4118</v>
      </c>
      <c r="J1166" s="118" t="s">
        <v>4096</v>
      </c>
      <c r="K1166" s="141"/>
      <c r="L1166" s="135" t="str">
        <f t="shared" si="69"/>
        <v>Sminthopsis virginiae</v>
      </c>
      <c r="M1166" s="133">
        <f t="shared" si="68"/>
        <v>1.5471591213274176</v>
      </c>
      <c r="N1166" s="133">
        <v>35.25</v>
      </c>
      <c r="O1166" s="179" t="s">
        <v>3356</v>
      </c>
      <c r="P1166" s="108">
        <v>59</v>
      </c>
    </row>
    <row r="1167" spans="1:18" ht="25.5">
      <c r="A1167" s="118" t="s">
        <v>2653</v>
      </c>
      <c r="B1167" s="130"/>
      <c r="C1167" s="121" t="s">
        <v>3817</v>
      </c>
      <c r="D1167" s="156"/>
      <c r="E1167" s="121"/>
      <c r="F1167" s="121"/>
      <c r="G1167" s="121" t="s">
        <v>3423</v>
      </c>
      <c r="H1167" s="118" t="s">
        <v>3424</v>
      </c>
      <c r="I1167" s="121" t="s">
        <v>4118</v>
      </c>
      <c r="J1167" s="121" t="s">
        <v>4327</v>
      </c>
      <c r="K1167" s="156"/>
      <c r="L1167" s="135" t="str">
        <f t="shared" si="69"/>
        <v>Sminthopsis douglasi</v>
      </c>
      <c r="M1167" s="133">
        <f t="shared" si="68"/>
        <v>1.7403626894942439</v>
      </c>
      <c r="N1167" s="143">
        <v>55</v>
      </c>
      <c r="O1167" s="179" t="s">
        <v>6952</v>
      </c>
      <c r="P1167" s="108">
        <v>59</v>
      </c>
      <c r="Q1167" s="90" t="s">
        <v>6640</v>
      </c>
    </row>
    <row r="1168" spans="1:18" ht="25.5">
      <c r="A1168" s="118" t="s">
        <v>2653</v>
      </c>
      <c r="B1168" s="130"/>
      <c r="C1168" s="118" t="s">
        <v>3817</v>
      </c>
      <c r="D1168" s="141"/>
      <c r="E1168" s="118"/>
      <c r="F1168" s="118"/>
      <c r="G1168" s="118" t="s">
        <v>3423</v>
      </c>
      <c r="H1168" s="118" t="s">
        <v>3928</v>
      </c>
      <c r="I1168" s="118" t="s">
        <v>4368</v>
      </c>
      <c r="J1168" s="118" t="s">
        <v>4369</v>
      </c>
      <c r="K1168" s="141"/>
      <c r="L1168" s="135" t="str">
        <f t="shared" si="69"/>
        <v>Myrmecobius fasciatus</v>
      </c>
      <c r="M1168" s="133">
        <f t="shared" si="68"/>
        <v>2.6734816970733473</v>
      </c>
      <c r="N1168" s="133">
        <v>471.5</v>
      </c>
      <c r="O1168" s="179" t="s">
        <v>6869</v>
      </c>
      <c r="P1168" s="108">
        <v>59</v>
      </c>
      <c r="Q1168" s="90" t="s">
        <v>6988</v>
      </c>
    </row>
    <row r="1169" spans="1:30" ht="25.5">
      <c r="A1169" s="134" t="s">
        <v>2653</v>
      </c>
      <c r="B1169" s="135"/>
      <c r="C1169" s="136" t="s">
        <v>3931</v>
      </c>
      <c r="D1169" s="220">
        <v>1875</v>
      </c>
      <c r="E1169" s="136"/>
      <c r="F1169" s="136"/>
      <c r="G1169" s="134" t="s">
        <v>2079</v>
      </c>
      <c r="H1169" s="134" t="s">
        <v>4486</v>
      </c>
      <c r="I1169" s="134" t="s">
        <v>3796</v>
      </c>
      <c r="J1169" s="134" t="s">
        <v>8045</v>
      </c>
      <c r="K1169" s="135" t="s">
        <v>12</v>
      </c>
      <c r="L1169" s="135" t="str">
        <f t="shared" si="69"/>
        <v>Potorous platyops</v>
      </c>
      <c r="M1169" s="133">
        <f t="shared" si="68"/>
        <v>2.6989700043360187</v>
      </c>
      <c r="N1169" s="137">
        <v>500</v>
      </c>
      <c r="O1169" s="180" t="s">
        <v>6726</v>
      </c>
      <c r="P1169" s="116" t="s">
        <v>7113</v>
      </c>
      <c r="Q1169" s="90" t="s">
        <v>6907</v>
      </c>
    </row>
    <row r="1170" spans="1:30" ht="25.5">
      <c r="A1170" s="134" t="s">
        <v>2653</v>
      </c>
      <c r="B1170" s="135"/>
      <c r="C1170" s="136" t="s">
        <v>3931</v>
      </c>
      <c r="D1170" s="220">
        <v>1889</v>
      </c>
      <c r="E1170" s="136"/>
      <c r="F1170" s="136"/>
      <c r="G1170" s="134" t="s">
        <v>2079</v>
      </c>
      <c r="H1170" s="134" t="s">
        <v>7333</v>
      </c>
      <c r="I1170" s="134" t="s">
        <v>7331</v>
      </c>
      <c r="J1170" s="134" t="s">
        <v>5258</v>
      </c>
      <c r="K1170" s="135" t="s">
        <v>8</v>
      </c>
      <c r="L1170" s="135" t="str">
        <f t="shared" si="69"/>
        <v>Lagorchestes leporides</v>
      </c>
      <c r="M1170" s="133">
        <f t="shared" si="68"/>
        <v>3.4771212547196626</v>
      </c>
      <c r="N1170" s="137">
        <v>3000</v>
      </c>
      <c r="O1170" s="180" t="s">
        <v>6728</v>
      </c>
      <c r="P1170" s="116">
        <v>3</v>
      </c>
      <c r="Q1170" s="90" t="s">
        <v>6907</v>
      </c>
    </row>
    <row r="1171" spans="1:30" ht="51">
      <c r="A1171" s="118" t="s">
        <v>2653</v>
      </c>
      <c r="B1171" s="130"/>
      <c r="C1171" s="118" t="s">
        <v>3931</v>
      </c>
      <c r="D1171" s="141">
        <v>1932</v>
      </c>
      <c r="E1171" s="118"/>
      <c r="F1171" s="118"/>
      <c r="G1171" s="118" t="s">
        <v>2079</v>
      </c>
      <c r="H1171" s="118" t="s">
        <v>7333</v>
      </c>
      <c r="I1171" s="118" t="s">
        <v>7331</v>
      </c>
      <c r="J1171" s="118" t="s">
        <v>3775</v>
      </c>
      <c r="K1171" s="141" t="s">
        <v>7</v>
      </c>
      <c r="L1171" s="135" t="str">
        <f t="shared" si="69"/>
        <v>Lagorchestes asomatus</v>
      </c>
      <c r="M1171" s="133">
        <f t="shared" si="68"/>
        <v>3.1760912590556813</v>
      </c>
      <c r="N1171" s="133">
        <v>1500</v>
      </c>
      <c r="O1171" s="179" t="s">
        <v>7036</v>
      </c>
      <c r="P1171" s="108">
        <v>59</v>
      </c>
      <c r="Q1171" s="90" t="s">
        <v>6907</v>
      </c>
    </row>
    <row r="1172" spans="1:30" ht="38.25">
      <c r="A1172" s="134" t="s">
        <v>2653</v>
      </c>
      <c r="B1172" s="135"/>
      <c r="C1172" s="136" t="s">
        <v>3931</v>
      </c>
      <c r="D1172" s="220">
        <v>1935</v>
      </c>
      <c r="E1172" s="136"/>
      <c r="F1172" s="136"/>
      <c r="G1172" s="134" t="s">
        <v>2079</v>
      </c>
      <c r="H1172" s="134" t="s">
        <v>4486</v>
      </c>
      <c r="I1172" s="134" t="s">
        <v>5320</v>
      </c>
      <c r="J1172" s="134" t="s">
        <v>3628</v>
      </c>
      <c r="K1172" s="135" t="s">
        <v>11</v>
      </c>
      <c r="L1172" s="135" t="str">
        <f t="shared" si="69"/>
        <v>Caloprymnus campestris</v>
      </c>
      <c r="M1172" s="133">
        <f t="shared" si="68"/>
        <v>2.9542425094393248</v>
      </c>
      <c r="N1172" s="137">
        <v>900</v>
      </c>
      <c r="O1172" s="180" t="s">
        <v>6851</v>
      </c>
      <c r="P1172" s="116" t="s">
        <v>7112</v>
      </c>
      <c r="Q1172" s="90" t="s">
        <v>6907</v>
      </c>
    </row>
    <row r="1173" spans="1:30" ht="15" customHeight="1">
      <c r="A1173" s="134" t="s">
        <v>2653</v>
      </c>
      <c r="B1173" s="135"/>
      <c r="C1173" s="136" t="s">
        <v>3931</v>
      </c>
      <c r="D1173" s="220">
        <v>1939</v>
      </c>
      <c r="E1173" s="136"/>
      <c r="F1173" s="136"/>
      <c r="G1173" s="134" t="s">
        <v>2079</v>
      </c>
      <c r="H1173" s="134" t="s">
        <v>7333</v>
      </c>
      <c r="I1173" s="134" t="s">
        <v>3755</v>
      </c>
      <c r="J1173" s="134" t="s">
        <v>5259</v>
      </c>
      <c r="K1173" s="135" t="s">
        <v>9</v>
      </c>
      <c r="L1173" s="135" t="str">
        <f t="shared" si="69"/>
        <v>Macropus greyi</v>
      </c>
      <c r="M1173" s="133">
        <f t="shared" si="68"/>
        <v>4</v>
      </c>
      <c r="N1173" s="137">
        <v>10000</v>
      </c>
      <c r="O1173" s="180" t="s">
        <v>8174</v>
      </c>
      <c r="P1173" s="116" t="s">
        <v>4247</v>
      </c>
    </row>
    <row r="1174" spans="1:30" ht="38.25">
      <c r="A1174" s="134" t="s">
        <v>2653</v>
      </c>
      <c r="B1174" s="135"/>
      <c r="C1174" s="136" t="s">
        <v>3931</v>
      </c>
      <c r="D1174" s="220">
        <v>1956</v>
      </c>
      <c r="E1174" s="136"/>
      <c r="F1174" s="136"/>
      <c r="G1174" s="134" t="s">
        <v>2079</v>
      </c>
      <c r="H1174" s="134" t="s">
        <v>7333</v>
      </c>
      <c r="I1174" s="134" t="s">
        <v>7342</v>
      </c>
      <c r="J1174" s="134" t="s">
        <v>5504</v>
      </c>
      <c r="K1174" s="135" t="s">
        <v>10</v>
      </c>
      <c r="L1174" s="135" t="str">
        <f t="shared" si="69"/>
        <v>Onychogalea lunata</v>
      </c>
      <c r="M1174" s="133">
        <f t="shared" si="68"/>
        <v>3.5440680443502757</v>
      </c>
      <c r="N1174" s="137">
        <v>3500</v>
      </c>
      <c r="O1174" s="180" t="s">
        <v>6766</v>
      </c>
      <c r="P1174" s="116">
        <v>3</v>
      </c>
      <c r="Q1174" s="90" t="s">
        <v>6907</v>
      </c>
    </row>
    <row r="1175" spans="1:30">
      <c r="A1175" s="134" t="s">
        <v>2653</v>
      </c>
      <c r="B1175" s="135"/>
      <c r="C1175" s="136" t="s">
        <v>5092</v>
      </c>
      <c r="D1175" s="220"/>
      <c r="E1175" s="136"/>
      <c r="F1175" s="136"/>
      <c r="G1175" s="134" t="s">
        <v>2079</v>
      </c>
      <c r="H1175" s="134" t="s">
        <v>1938</v>
      </c>
      <c r="I1175" s="134" t="s">
        <v>2589</v>
      </c>
      <c r="J1175" s="134" t="s">
        <v>3078</v>
      </c>
      <c r="K1175" s="135"/>
      <c r="L1175" s="135" t="str">
        <f t="shared" si="69"/>
        <v>Diprotodon minor</v>
      </c>
      <c r="M1175" s="133">
        <f t="shared" si="68"/>
        <v>5.9542425094393252</v>
      </c>
      <c r="N1175" s="137">
        <v>900000</v>
      </c>
      <c r="O1175" s="180"/>
      <c r="P1175" s="110" t="s">
        <v>2481</v>
      </c>
      <c r="W1175"/>
      <c r="X1175"/>
      <c r="Y1175"/>
      <c r="Z1175"/>
      <c r="AA1175"/>
      <c r="AB1175"/>
      <c r="AC1175"/>
      <c r="AD1175"/>
    </row>
    <row r="1176" spans="1:30">
      <c r="A1176" s="134" t="s">
        <v>2653</v>
      </c>
      <c r="B1176" s="135"/>
      <c r="C1176" s="136" t="s">
        <v>5092</v>
      </c>
      <c r="D1176" s="220"/>
      <c r="E1176" s="136"/>
      <c r="F1176" s="136"/>
      <c r="G1176" s="134" t="s">
        <v>2079</v>
      </c>
      <c r="H1176" s="134" t="s">
        <v>1938</v>
      </c>
      <c r="I1176" s="134" t="s">
        <v>2589</v>
      </c>
      <c r="J1176" s="134" t="s">
        <v>4654</v>
      </c>
      <c r="K1176" s="135"/>
      <c r="L1176" s="135" t="str">
        <f t="shared" si="69"/>
        <v>Diprotodon optatum</v>
      </c>
      <c r="M1176" s="133">
        <f t="shared" si="68"/>
        <v>6.1760912590556813</v>
      </c>
      <c r="N1176" s="137">
        <v>1500000</v>
      </c>
      <c r="O1176" s="180"/>
      <c r="P1176" s="110" t="s">
        <v>2480</v>
      </c>
    </row>
    <row r="1177" spans="1:30">
      <c r="A1177" s="134" t="s">
        <v>2653</v>
      </c>
      <c r="B1177" s="135"/>
      <c r="C1177" s="136" t="s">
        <v>5092</v>
      </c>
      <c r="D1177" s="220"/>
      <c r="E1177" s="136"/>
      <c r="F1177" s="136"/>
      <c r="G1177" s="134" t="s">
        <v>2079</v>
      </c>
      <c r="H1177" s="134" t="s">
        <v>1938</v>
      </c>
      <c r="I1177" s="134" t="s">
        <v>2482</v>
      </c>
      <c r="J1177" s="134" t="s">
        <v>2483</v>
      </c>
      <c r="K1177" s="135"/>
      <c r="L1177" s="135" t="str">
        <f t="shared" si="69"/>
        <v>Euowenia grata</v>
      </c>
      <c r="M1177" s="133">
        <f t="shared" si="68"/>
        <v>5.8750612633917001</v>
      </c>
      <c r="N1177" s="137">
        <v>750000</v>
      </c>
      <c r="O1177" s="180"/>
      <c r="P1177" s="109" t="s">
        <v>2462</v>
      </c>
    </row>
    <row r="1178" spans="1:30">
      <c r="A1178" s="134" t="s">
        <v>2653</v>
      </c>
      <c r="B1178" s="135"/>
      <c r="C1178" s="136" t="s">
        <v>5092</v>
      </c>
      <c r="D1178" s="220"/>
      <c r="E1178" s="136"/>
      <c r="F1178" s="136"/>
      <c r="G1178" s="134" t="s">
        <v>2079</v>
      </c>
      <c r="H1178" s="134" t="s">
        <v>1938</v>
      </c>
      <c r="I1178" s="134" t="s">
        <v>2603</v>
      </c>
      <c r="J1178" s="134" t="s">
        <v>7548</v>
      </c>
      <c r="K1178" s="135"/>
      <c r="L1178" s="135" t="str">
        <f t="shared" si="69"/>
        <v>Euryzygoma dunese</v>
      </c>
      <c r="M1178" s="133">
        <f t="shared" si="68"/>
        <v>5.6989700043360187</v>
      </c>
      <c r="N1178" s="137">
        <v>500000</v>
      </c>
      <c r="O1178" s="180"/>
      <c r="P1178" s="109">
        <v>16</v>
      </c>
    </row>
    <row r="1179" spans="1:30" ht="15" customHeight="1">
      <c r="A1179" s="134" t="s">
        <v>2653</v>
      </c>
      <c r="B1179" s="135"/>
      <c r="C1179" s="136" t="s">
        <v>5092</v>
      </c>
      <c r="D1179" s="220"/>
      <c r="E1179" s="136"/>
      <c r="F1179" s="136"/>
      <c r="G1179" s="134" t="s">
        <v>2079</v>
      </c>
      <c r="H1179" s="134" t="s">
        <v>1938</v>
      </c>
      <c r="I1179" s="134" t="s">
        <v>2463</v>
      </c>
      <c r="J1179" s="134" t="s">
        <v>2424</v>
      </c>
      <c r="K1179" s="135"/>
      <c r="L1179" s="135" t="str">
        <f t="shared" si="69"/>
        <v>Nototherium mitchelli</v>
      </c>
      <c r="M1179" s="133">
        <f t="shared" si="68"/>
        <v>5.6989700043360187</v>
      </c>
      <c r="N1179" s="137">
        <v>500000</v>
      </c>
      <c r="O1179" s="180"/>
      <c r="P1179" s="109" t="s">
        <v>2602</v>
      </c>
      <c r="W1179"/>
      <c r="X1179"/>
      <c r="Y1179"/>
      <c r="Z1179"/>
      <c r="AA1179"/>
      <c r="AB1179"/>
      <c r="AC1179"/>
      <c r="AD1179"/>
    </row>
    <row r="1180" spans="1:30">
      <c r="A1180" s="134" t="s">
        <v>2653</v>
      </c>
      <c r="B1180" s="135"/>
      <c r="C1180" s="136" t="s">
        <v>5092</v>
      </c>
      <c r="D1180" s="220"/>
      <c r="E1180" s="136"/>
      <c r="F1180" s="136"/>
      <c r="G1180" s="134" t="s">
        <v>2079</v>
      </c>
      <c r="H1180" s="134" t="s">
        <v>1938</v>
      </c>
      <c r="I1180" s="134" t="s">
        <v>2217</v>
      </c>
      <c r="J1180" s="134" t="s">
        <v>7332</v>
      </c>
      <c r="K1180" s="135"/>
      <c r="L1180" s="135" t="str">
        <f t="shared" si="69"/>
        <v>Palorchestes parvus</v>
      </c>
      <c r="M1180" s="133">
        <f t="shared" si="68"/>
        <v>5</v>
      </c>
      <c r="N1180" s="137">
        <v>100000</v>
      </c>
      <c r="O1180" s="180"/>
      <c r="P1180" s="109" t="s">
        <v>2481</v>
      </c>
    </row>
    <row r="1181" spans="1:30">
      <c r="A1181" s="134" t="s">
        <v>2653</v>
      </c>
      <c r="B1181" s="135"/>
      <c r="C1181" s="136" t="s">
        <v>5092</v>
      </c>
      <c r="D1181" s="220"/>
      <c r="E1181" s="136"/>
      <c r="F1181" s="136"/>
      <c r="G1181" s="134" t="s">
        <v>2079</v>
      </c>
      <c r="H1181" s="134" t="s">
        <v>1938</v>
      </c>
      <c r="I1181" s="134" t="s">
        <v>2217</v>
      </c>
      <c r="J1181" s="134" t="s">
        <v>2218</v>
      </c>
      <c r="K1181" s="135"/>
      <c r="L1181" s="135" t="str">
        <f t="shared" si="69"/>
        <v>Palorchestes azeal</v>
      </c>
      <c r="M1181" s="133">
        <f t="shared" ref="M1181:M1212" si="70">LOG(N1181)</f>
        <v>5.6989700043360187</v>
      </c>
      <c r="N1181" s="137">
        <v>500000</v>
      </c>
      <c r="O1181" s="180"/>
      <c r="P1181" s="109" t="s">
        <v>2098</v>
      </c>
    </row>
    <row r="1182" spans="1:30">
      <c r="A1182" s="134" t="s">
        <v>2653</v>
      </c>
      <c r="B1182" s="135"/>
      <c r="C1182" s="136" t="s">
        <v>5092</v>
      </c>
      <c r="D1182" s="220"/>
      <c r="E1182" s="136"/>
      <c r="F1182" s="136"/>
      <c r="G1182" s="134" t="s">
        <v>2079</v>
      </c>
      <c r="H1182" s="134" t="s">
        <v>1938</v>
      </c>
      <c r="I1182" s="134" t="s">
        <v>7205</v>
      </c>
      <c r="J1182" s="134" t="s">
        <v>7206</v>
      </c>
      <c r="K1182" s="135"/>
      <c r="L1182" s="135" t="str">
        <f t="shared" si="69"/>
        <v>Zygomaturus trilobus</v>
      </c>
      <c r="M1182" s="133">
        <f t="shared" si="70"/>
        <v>5.8750612633917001</v>
      </c>
      <c r="N1182" s="137">
        <v>750000</v>
      </c>
      <c r="O1182" s="180"/>
      <c r="P1182" s="110" t="s">
        <v>2481</v>
      </c>
    </row>
    <row r="1183" spans="1:30">
      <c r="A1183" s="134" t="s">
        <v>2653</v>
      </c>
      <c r="B1183" s="135"/>
      <c r="C1183" s="136" t="s">
        <v>5092</v>
      </c>
      <c r="D1183" s="220"/>
      <c r="E1183" s="136"/>
      <c r="F1183" s="136"/>
      <c r="G1183" s="134" t="s">
        <v>2079</v>
      </c>
      <c r="H1183" s="134" t="s">
        <v>7333</v>
      </c>
      <c r="I1183" s="134" t="s">
        <v>2059</v>
      </c>
      <c r="J1183" s="134" t="s">
        <v>2213</v>
      </c>
      <c r="K1183" s="135"/>
      <c r="L1183" s="135" t="str">
        <f t="shared" si="69"/>
        <v>Kangurus congrous</v>
      </c>
      <c r="M1183" s="133">
        <f t="shared" si="70"/>
        <v>4.6020599913279625</v>
      </c>
      <c r="N1183" s="137">
        <v>40000</v>
      </c>
      <c r="O1183" s="180"/>
      <c r="P1183" s="109">
        <v>16</v>
      </c>
    </row>
    <row r="1184" spans="1:30">
      <c r="A1184" s="134" t="s">
        <v>2653</v>
      </c>
      <c r="B1184" s="135"/>
      <c r="C1184" s="136" t="s">
        <v>5092</v>
      </c>
      <c r="D1184" s="220"/>
      <c r="E1184" s="136"/>
      <c r="F1184" s="136"/>
      <c r="G1184" s="134" t="s">
        <v>2079</v>
      </c>
      <c r="H1184" s="134" t="s">
        <v>7333</v>
      </c>
      <c r="I1184" s="134" t="s">
        <v>3755</v>
      </c>
      <c r="J1184" s="134" t="s">
        <v>5006</v>
      </c>
      <c r="K1184" s="135"/>
      <c r="L1184" s="135" t="str">
        <f t="shared" si="69"/>
        <v>Macropus piltonesis</v>
      </c>
      <c r="M1184" s="133">
        <f t="shared" si="70"/>
        <v>4.4771212547196626</v>
      </c>
      <c r="N1184" s="137">
        <v>30000</v>
      </c>
      <c r="O1184" s="180"/>
      <c r="P1184" s="109" t="s">
        <v>2602</v>
      </c>
    </row>
    <row r="1185" spans="1:20">
      <c r="A1185" s="134" t="s">
        <v>2653</v>
      </c>
      <c r="B1185" s="135"/>
      <c r="C1185" s="136" t="s">
        <v>5092</v>
      </c>
      <c r="D1185" s="220"/>
      <c r="E1185" s="136"/>
      <c r="F1185" s="136"/>
      <c r="G1185" s="134" t="s">
        <v>2079</v>
      </c>
      <c r="H1185" s="134" t="s">
        <v>7333</v>
      </c>
      <c r="I1185" s="134" t="s">
        <v>3755</v>
      </c>
      <c r="J1185" s="134" t="s">
        <v>5005</v>
      </c>
      <c r="K1185" s="135"/>
      <c r="L1185" s="135" t="str">
        <f t="shared" si="69"/>
        <v>Macropus thor</v>
      </c>
      <c r="M1185" s="133">
        <f t="shared" si="70"/>
        <v>4.4771212547196626</v>
      </c>
      <c r="N1185" s="137">
        <v>30000</v>
      </c>
      <c r="O1185" s="180"/>
      <c r="P1185" s="109" t="s">
        <v>2481</v>
      </c>
    </row>
    <row r="1186" spans="1:20">
      <c r="A1186" s="134" t="s">
        <v>2653</v>
      </c>
      <c r="B1186" s="135"/>
      <c r="C1186" s="136" t="s">
        <v>5092</v>
      </c>
      <c r="D1186" s="220"/>
      <c r="E1186" s="136"/>
      <c r="F1186" s="136"/>
      <c r="G1186" s="134" t="s">
        <v>2079</v>
      </c>
      <c r="H1186" s="134" t="s">
        <v>7333</v>
      </c>
      <c r="I1186" s="134" t="s">
        <v>3755</v>
      </c>
      <c r="J1186" s="134" t="s">
        <v>4248</v>
      </c>
      <c r="K1186" s="135"/>
      <c r="L1186" s="135" t="str">
        <f t="shared" si="69"/>
        <v>Macropus ferragus</v>
      </c>
      <c r="M1186" s="133">
        <f t="shared" si="70"/>
        <v>5.1760912590556813</v>
      </c>
      <c r="N1186" s="137">
        <v>150000</v>
      </c>
      <c r="O1186" s="180"/>
      <c r="P1186" s="109" t="s">
        <v>4249</v>
      </c>
    </row>
    <row r="1187" spans="1:20" ht="15" customHeight="1">
      <c r="A1187" s="134" t="s">
        <v>2653</v>
      </c>
      <c r="B1187" s="135"/>
      <c r="C1187" s="136" t="s">
        <v>5092</v>
      </c>
      <c r="D1187" s="220"/>
      <c r="E1187" s="136"/>
      <c r="F1187" s="136"/>
      <c r="G1187" s="134" t="s">
        <v>2079</v>
      </c>
      <c r="H1187" s="134" t="s">
        <v>7333</v>
      </c>
      <c r="I1187" s="134" t="s">
        <v>3755</v>
      </c>
      <c r="J1187" s="134" t="s">
        <v>3670</v>
      </c>
      <c r="K1187" s="135"/>
      <c r="L1187" s="135" t="str">
        <f t="shared" si="69"/>
        <v>Macropus pearsoni</v>
      </c>
      <c r="M1187" s="133">
        <f t="shared" si="70"/>
        <v>5.1760912590556813</v>
      </c>
      <c r="N1187" s="137">
        <v>150000</v>
      </c>
      <c r="O1187" s="180"/>
      <c r="P1187" s="109" t="s">
        <v>2602</v>
      </c>
    </row>
    <row r="1188" spans="1:20" ht="24" customHeight="1">
      <c r="A1188" s="134" t="s">
        <v>2653</v>
      </c>
      <c r="B1188" s="135"/>
      <c r="C1188" s="136" t="s">
        <v>5092</v>
      </c>
      <c r="D1188" s="220"/>
      <c r="E1188" s="136"/>
      <c r="F1188" s="136"/>
      <c r="G1188" s="134" t="s">
        <v>2079</v>
      </c>
      <c r="H1188" s="134" t="s">
        <v>7333</v>
      </c>
      <c r="I1188" s="134" t="s">
        <v>5007</v>
      </c>
      <c r="J1188" s="134" t="s">
        <v>7339</v>
      </c>
      <c r="K1188" s="135"/>
      <c r="L1188" s="135" t="str">
        <f t="shared" si="69"/>
        <v>Procoptodon pusio</v>
      </c>
      <c r="M1188" s="133">
        <f t="shared" si="70"/>
        <v>4.8750612633917001</v>
      </c>
      <c r="N1188" s="137">
        <v>75000</v>
      </c>
      <c r="O1188" s="180"/>
      <c r="P1188" s="109" t="s">
        <v>2481</v>
      </c>
      <c r="T1188" s="80"/>
    </row>
    <row r="1189" spans="1:20">
      <c r="A1189" s="134" t="s">
        <v>2653</v>
      </c>
      <c r="B1189" s="135"/>
      <c r="C1189" s="136" t="s">
        <v>5092</v>
      </c>
      <c r="D1189" s="220"/>
      <c r="E1189" s="136"/>
      <c r="F1189" s="136"/>
      <c r="G1189" s="134" t="s">
        <v>2079</v>
      </c>
      <c r="H1189" s="134" t="s">
        <v>7333</v>
      </c>
      <c r="I1189" s="134" t="s">
        <v>5007</v>
      </c>
      <c r="J1189" s="134" t="s">
        <v>4992</v>
      </c>
      <c r="K1189" s="135"/>
      <c r="L1189" s="135" t="str">
        <f t="shared" si="69"/>
        <v>Procoptodon rapha</v>
      </c>
      <c r="M1189" s="133">
        <f t="shared" si="70"/>
        <v>5.1760912590556813</v>
      </c>
      <c r="N1189" s="137">
        <v>150000</v>
      </c>
      <c r="O1189" s="180"/>
      <c r="P1189" s="109" t="s">
        <v>2481</v>
      </c>
    </row>
    <row r="1190" spans="1:20">
      <c r="A1190" s="134" t="s">
        <v>2653</v>
      </c>
      <c r="B1190" s="135"/>
      <c r="C1190" s="136" t="s">
        <v>5092</v>
      </c>
      <c r="D1190" s="220"/>
      <c r="E1190" s="136"/>
      <c r="F1190" s="136"/>
      <c r="G1190" s="134" t="s">
        <v>2079</v>
      </c>
      <c r="H1190" s="134" t="s">
        <v>7333</v>
      </c>
      <c r="I1190" s="134" t="s">
        <v>5007</v>
      </c>
      <c r="J1190" s="134" t="s">
        <v>2437</v>
      </c>
      <c r="K1190" s="135"/>
      <c r="L1190" s="135" t="str">
        <f t="shared" si="69"/>
        <v>Procoptodon texasensis</v>
      </c>
      <c r="M1190" s="133">
        <f t="shared" si="70"/>
        <v>5.1760912590556813</v>
      </c>
      <c r="N1190" s="137">
        <v>150000</v>
      </c>
      <c r="O1190" s="180"/>
      <c r="P1190" s="109" t="s">
        <v>2481</v>
      </c>
    </row>
    <row r="1191" spans="1:20">
      <c r="A1191" s="134" t="s">
        <v>2653</v>
      </c>
      <c r="B1191" s="135"/>
      <c r="C1191" s="136" t="s">
        <v>5092</v>
      </c>
      <c r="D1191" s="220"/>
      <c r="E1191" s="136"/>
      <c r="F1191" s="136"/>
      <c r="G1191" s="134" t="s">
        <v>2079</v>
      </c>
      <c r="H1191" s="134" t="s">
        <v>7333</v>
      </c>
      <c r="I1191" s="134" t="s">
        <v>5007</v>
      </c>
      <c r="J1191" s="134" t="s">
        <v>4991</v>
      </c>
      <c r="K1191" s="135"/>
      <c r="L1191" s="135" t="str">
        <f t="shared" si="69"/>
        <v>Procoptodon goliah</v>
      </c>
      <c r="M1191" s="133">
        <f t="shared" si="70"/>
        <v>5.3979400086720375</v>
      </c>
      <c r="N1191" s="137">
        <v>250000</v>
      </c>
      <c r="O1191" s="180"/>
      <c r="P1191" s="109" t="s">
        <v>2481</v>
      </c>
    </row>
    <row r="1192" spans="1:20">
      <c r="A1192" s="134" t="s">
        <v>2653</v>
      </c>
      <c r="B1192" s="135"/>
      <c r="C1192" s="136" t="s">
        <v>5092</v>
      </c>
      <c r="D1192" s="220"/>
      <c r="E1192" s="136"/>
      <c r="F1192" s="136"/>
      <c r="G1192" s="134" t="s">
        <v>2079</v>
      </c>
      <c r="H1192" s="134" t="s">
        <v>7333</v>
      </c>
      <c r="I1192" s="134" t="s">
        <v>2090</v>
      </c>
      <c r="J1192" s="134" t="s">
        <v>2092</v>
      </c>
      <c r="K1192" s="135"/>
      <c r="L1192" s="135" t="str">
        <f t="shared" si="69"/>
        <v>Protemnodon roechus</v>
      </c>
      <c r="M1192" s="133">
        <f t="shared" si="70"/>
        <v>4.9542425094393252</v>
      </c>
      <c r="N1192" s="137">
        <v>90000</v>
      </c>
      <c r="O1192" s="180"/>
      <c r="P1192" s="109" t="s">
        <v>2602</v>
      </c>
    </row>
    <row r="1193" spans="1:20">
      <c r="A1193" s="134" t="s">
        <v>2653</v>
      </c>
      <c r="B1193" s="135"/>
      <c r="C1193" s="136" t="s">
        <v>5092</v>
      </c>
      <c r="D1193" s="220"/>
      <c r="E1193" s="136"/>
      <c r="F1193" s="136"/>
      <c r="G1193" s="134" t="s">
        <v>2079</v>
      </c>
      <c r="H1193" s="134" t="s">
        <v>7333</v>
      </c>
      <c r="I1193" s="134" t="s">
        <v>2090</v>
      </c>
      <c r="J1193" s="134" t="s">
        <v>6575</v>
      </c>
      <c r="K1193" s="135"/>
      <c r="L1193" s="135" t="str">
        <f t="shared" si="69"/>
        <v>Protemnodon anak</v>
      </c>
      <c r="M1193" s="133">
        <f t="shared" si="70"/>
        <v>5</v>
      </c>
      <c r="N1193" s="137">
        <v>100000</v>
      </c>
      <c r="O1193" s="180"/>
      <c r="P1193" s="109" t="s">
        <v>2481</v>
      </c>
    </row>
    <row r="1194" spans="1:20">
      <c r="A1194" s="134" t="s">
        <v>2653</v>
      </c>
      <c r="B1194" s="135"/>
      <c r="C1194" s="136" t="s">
        <v>5092</v>
      </c>
      <c r="D1194" s="220"/>
      <c r="E1194" s="136"/>
      <c r="F1194" s="136"/>
      <c r="G1194" s="134" t="s">
        <v>2079</v>
      </c>
      <c r="H1194" s="134" t="s">
        <v>7333</v>
      </c>
      <c r="I1194" s="134" t="s">
        <v>2090</v>
      </c>
      <c r="J1194" s="134" t="s">
        <v>2091</v>
      </c>
      <c r="K1194" s="135"/>
      <c r="L1194" s="135" t="str">
        <f t="shared" si="69"/>
        <v>Protemnodon brehus</v>
      </c>
      <c r="M1194" s="133">
        <f t="shared" si="70"/>
        <v>5</v>
      </c>
      <c r="N1194" s="137">
        <v>100000</v>
      </c>
      <c r="O1194" s="180"/>
      <c r="P1194" s="109" t="s">
        <v>2602</v>
      </c>
    </row>
    <row r="1195" spans="1:20">
      <c r="A1195" s="134" t="s">
        <v>2653</v>
      </c>
      <c r="B1195" s="135"/>
      <c r="C1195" s="136" t="s">
        <v>5092</v>
      </c>
      <c r="D1195" s="220"/>
      <c r="E1195" s="136"/>
      <c r="F1195" s="136"/>
      <c r="G1195" s="134" t="s">
        <v>2079</v>
      </c>
      <c r="H1195" s="134" t="s">
        <v>7333</v>
      </c>
      <c r="I1195" s="134" t="s">
        <v>2093</v>
      </c>
      <c r="J1195" s="134" t="s">
        <v>2096</v>
      </c>
      <c r="K1195" s="135"/>
      <c r="L1195" s="135" t="str">
        <f t="shared" si="69"/>
        <v>Simosthenurus gilli</v>
      </c>
      <c r="M1195" s="133">
        <f t="shared" si="70"/>
        <v>4.4771212547196626</v>
      </c>
      <c r="N1195" s="137">
        <v>30000</v>
      </c>
      <c r="O1195" s="180"/>
      <c r="P1195" s="109" t="s">
        <v>2481</v>
      </c>
    </row>
    <row r="1196" spans="1:20">
      <c r="A1196" s="134" t="s">
        <v>2653</v>
      </c>
      <c r="B1196" s="135"/>
      <c r="C1196" s="136" t="s">
        <v>5092</v>
      </c>
      <c r="D1196" s="220"/>
      <c r="E1196" s="136"/>
      <c r="F1196" s="136"/>
      <c r="G1196" s="134" t="s">
        <v>2079</v>
      </c>
      <c r="H1196" s="134" t="s">
        <v>7333</v>
      </c>
      <c r="I1196" s="134" t="s">
        <v>2093</v>
      </c>
      <c r="J1196" s="134" t="s">
        <v>2094</v>
      </c>
      <c r="K1196" s="135"/>
      <c r="L1196" s="135" t="str">
        <f t="shared" si="69"/>
        <v>Simosthenurus brownei</v>
      </c>
      <c r="M1196" s="133">
        <f t="shared" si="70"/>
        <v>4.6989700043360187</v>
      </c>
      <c r="N1196" s="137">
        <v>50000</v>
      </c>
      <c r="O1196" s="180"/>
      <c r="P1196" s="109" t="s">
        <v>2602</v>
      </c>
    </row>
    <row r="1197" spans="1:20">
      <c r="A1197" s="134" t="s">
        <v>2653</v>
      </c>
      <c r="B1197" s="135"/>
      <c r="C1197" s="136" t="s">
        <v>5092</v>
      </c>
      <c r="D1197" s="220"/>
      <c r="E1197" s="136"/>
      <c r="F1197" s="136"/>
      <c r="G1197" s="134" t="s">
        <v>2079</v>
      </c>
      <c r="H1197" s="134" t="s">
        <v>7333</v>
      </c>
      <c r="I1197" s="134" t="s">
        <v>2093</v>
      </c>
      <c r="J1197" s="134" t="s">
        <v>2095</v>
      </c>
      <c r="K1197" s="135"/>
      <c r="L1197" s="135" t="str">
        <f t="shared" si="69"/>
        <v>Simosthenurus maddocki</v>
      </c>
      <c r="M1197" s="133">
        <f t="shared" si="70"/>
        <v>4.6989700043360187</v>
      </c>
      <c r="N1197" s="137">
        <v>50000</v>
      </c>
      <c r="O1197" s="180"/>
      <c r="P1197" s="109" t="s">
        <v>2602</v>
      </c>
    </row>
    <row r="1198" spans="1:20">
      <c r="A1198" s="134" t="s">
        <v>2653</v>
      </c>
      <c r="B1198" s="135"/>
      <c r="C1198" s="136" t="s">
        <v>5092</v>
      </c>
      <c r="D1198" s="220"/>
      <c r="E1198" s="136"/>
      <c r="F1198" s="136"/>
      <c r="G1198" s="134" t="s">
        <v>2079</v>
      </c>
      <c r="H1198" s="134" t="s">
        <v>7333</v>
      </c>
      <c r="I1198" s="134" t="s">
        <v>2093</v>
      </c>
      <c r="J1198" s="134" t="s">
        <v>4843</v>
      </c>
      <c r="K1198" s="135"/>
      <c r="L1198" s="135" t="str">
        <f t="shared" si="69"/>
        <v>Simosthenurus occidentalis</v>
      </c>
      <c r="M1198" s="133">
        <f t="shared" si="70"/>
        <v>4.6989700043360187</v>
      </c>
      <c r="N1198" s="137">
        <v>50000</v>
      </c>
      <c r="O1198" s="180"/>
      <c r="P1198" s="109" t="s">
        <v>2481</v>
      </c>
    </row>
    <row r="1199" spans="1:20">
      <c r="A1199" s="134" t="s">
        <v>2653</v>
      </c>
      <c r="B1199" s="135"/>
      <c r="C1199" s="136" t="s">
        <v>5092</v>
      </c>
      <c r="D1199" s="220"/>
      <c r="E1199" s="136"/>
      <c r="F1199" s="136"/>
      <c r="G1199" s="134" t="s">
        <v>2079</v>
      </c>
      <c r="H1199" s="134" t="s">
        <v>7333</v>
      </c>
      <c r="I1199" s="134" t="s">
        <v>2093</v>
      </c>
      <c r="J1199" s="134" t="s">
        <v>3805</v>
      </c>
      <c r="K1199" s="135"/>
      <c r="L1199" s="135" t="str">
        <f t="shared" si="69"/>
        <v>Simosthenurus orientalis</v>
      </c>
      <c r="M1199" s="133">
        <f t="shared" si="70"/>
        <v>4.8750612633917001</v>
      </c>
      <c r="N1199" s="137">
        <v>75000</v>
      </c>
      <c r="O1199" s="180"/>
      <c r="P1199" s="109" t="s">
        <v>2602</v>
      </c>
    </row>
    <row r="1200" spans="1:20">
      <c r="A1200" s="134" t="s">
        <v>2653</v>
      </c>
      <c r="B1200" s="135"/>
      <c r="C1200" s="136" t="s">
        <v>5092</v>
      </c>
      <c r="D1200" s="220"/>
      <c r="E1200" s="136"/>
      <c r="F1200" s="136"/>
      <c r="G1200" s="134" t="s">
        <v>2079</v>
      </c>
      <c r="H1200" s="134" t="s">
        <v>7333</v>
      </c>
      <c r="I1200" s="134" t="s">
        <v>2093</v>
      </c>
      <c r="J1200" s="134" t="s">
        <v>2057</v>
      </c>
      <c r="K1200" s="135"/>
      <c r="L1200" s="135" t="str">
        <f t="shared" si="69"/>
        <v>Simosthenurus pales</v>
      </c>
      <c r="M1200" s="133">
        <f t="shared" si="70"/>
        <v>5.1760912590556813</v>
      </c>
      <c r="N1200" s="137">
        <v>150000</v>
      </c>
      <c r="O1200" s="180"/>
      <c r="P1200" s="109" t="s">
        <v>2602</v>
      </c>
    </row>
    <row r="1201" spans="1:17">
      <c r="A1201" s="134" t="s">
        <v>2653</v>
      </c>
      <c r="B1201" s="135"/>
      <c r="C1201" s="136" t="s">
        <v>5092</v>
      </c>
      <c r="D1201" s="220"/>
      <c r="E1201" s="136"/>
      <c r="F1201" s="136"/>
      <c r="G1201" s="134" t="s">
        <v>2079</v>
      </c>
      <c r="H1201" s="134" t="s">
        <v>7333</v>
      </c>
      <c r="I1201" s="134" t="s">
        <v>2097</v>
      </c>
      <c r="J1201" s="134" t="s">
        <v>4402</v>
      </c>
      <c r="K1201" s="135"/>
      <c r="L1201" s="135" t="str">
        <f t="shared" si="69"/>
        <v>Sthenurus andersoni</v>
      </c>
      <c r="M1201" s="133">
        <f t="shared" si="70"/>
        <v>4.6989700043360187</v>
      </c>
      <c r="N1201" s="137">
        <v>50000</v>
      </c>
      <c r="O1201" s="180"/>
      <c r="P1201" s="109" t="s">
        <v>2602</v>
      </c>
    </row>
    <row r="1202" spans="1:17">
      <c r="A1202" s="134" t="s">
        <v>2653</v>
      </c>
      <c r="B1202" s="135"/>
      <c r="C1202" s="136" t="s">
        <v>5092</v>
      </c>
      <c r="D1202" s="220"/>
      <c r="E1202" s="136"/>
      <c r="F1202" s="136"/>
      <c r="G1202" s="134" t="s">
        <v>2079</v>
      </c>
      <c r="H1202" s="134" t="s">
        <v>7333</v>
      </c>
      <c r="I1202" s="134" t="s">
        <v>2097</v>
      </c>
      <c r="J1202" s="134" t="s">
        <v>8035</v>
      </c>
      <c r="K1202" s="135"/>
      <c r="L1202" s="135" t="str">
        <f t="shared" si="69"/>
        <v>Sthenurus oreas</v>
      </c>
      <c r="M1202" s="133">
        <f t="shared" si="70"/>
        <v>5</v>
      </c>
      <c r="N1202" s="137">
        <v>100000</v>
      </c>
      <c r="O1202" s="180"/>
      <c r="P1202" s="109" t="s">
        <v>2602</v>
      </c>
    </row>
    <row r="1203" spans="1:17">
      <c r="A1203" s="134" t="s">
        <v>2653</v>
      </c>
      <c r="B1203" s="135"/>
      <c r="C1203" s="136" t="s">
        <v>5092</v>
      </c>
      <c r="D1203" s="220"/>
      <c r="E1203" s="136"/>
      <c r="F1203" s="136"/>
      <c r="G1203" s="134" t="s">
        <v>2079</v>
      </c>
      <c r="H1203" s="134" t="s">
        <v>7333</v>
      </c>
      <c r="I1203" s="134" t="s">
        <v>2097</v>
      </c>
      <c r="J1203" s="134" t="s">
        <v>2221</v>
      </c>
      <c r="K1203" s="135"/>
      <c r="L1203" s="135" t="str">
        <f t="shared" si="69"/>
        <v>Sthenurus tindalei</v>
      </c>
      <c r="M1203" s="133">
        <f t="shared" si="70"/>
        <v>5</v>
      </c>
      <c r="N1203" s="137">
        <v>100000</v>
      </c>
      <c r="O1203" s="180"/>
      <c r="P1203" s="109" t="s">
        <v>2602</v>
      </c>
    </row>
    <row r="1204" spans="1:17">
      <c r="A1204" s="134" t="s">
        <v>2653</v>
      </c>
      <c r="B1204" s="135"/>
      <c r="C1204" s="136" t="s">
        <v>5092</v>
      </c>
      <c r="D1204" s="220"/>
      <c r="E1204" s="136"/>
      <c r="F1204" s="136"/>
      <c r="G1204" s="134" t="s">
        <v>2079</v>
      </c>
      <c r="H1204" s="134" t="s">
        <v>7333</v>
      </c>
      <c r="I1204" s="134" t="s">
        <v>2097</v>
      </c>
      <c r="J1204" s="134" t="s">
        <v>2058</v>
      </c>
      <c r="K1204" s="135"/>
      <c r="L1204" s="135" t="str">
        <f t="shared" si="69"/>
        <v>Sthenurus atlas</v>
      </c>
      <c r="M1204" s="133">
        <f t="shared" si="70"/>
        <v>5.1760912590556813</v>
      </c>
      <c r="N1204" s="137">
        <v>150000</v>
      </c>
      <c r="O1204" s="180"/>
      <c r="P1204" s="109" t="s">
        <v>2602</v>
      </c>
    </row>
    <row r="1205" spans="1:17">
      <c r="A1205" s="134" t="s">
        <v>2653</v>
      </c>
      <c r="B1205" s="135"/>
      <c r="C1205" s="136" t="s">
        <v>5092</v>
      </c>
      <c r="D1205" s="220"/>
      <c r="E1205" s="136"/>
      <c r="F1205" s="136"/>
      <c r="G1205" s="134" t="s">
        <v>2079</v>
      </c>
      <c r="H1205" s="134" t="s">
        <v>7333</v>
      </c>
      <c r="I1205" s="134" t="s">
        <v>2097</v>
      </c>
      <c r="J1205" s="134" t="s">
        <v>7065</v>
      </c>
      <c r="K1205" s="135"/>
      <c r="L1205" s="135" t="str">
        <f t="shared" si="69"/>
        <v>Sthenurus stirlingi</v>
      </c>
      <c r="M1205" s="133">
        <f t="shared" si="70"/>
        <v>5.1760912590556813</v>
      </c>
      <c r="N1205" s="137">
        <v>150000</v>
      </c>
      <c r="O1205" s="180"/>
      <c r="P1205" s="109">
        <v>16</v>
      </c>
    </row>
    <row r="1206" spans="1:17">
      <c r="A1206" s="134" t="s">
        <v>2653</v>
      </c>
      <c r="B1206" s="135"/>
      <c r="C1206" s="136" t="s">
        <v>5092</v>
      </c>
      <c r="D1206" s="220"/>
      <c r="E1206" s="136"/>
      <c r="F1206" s="136"/>
      <c r="G1206" s="134" t="s">
        <v>2079</v>
      </c>
      <c r="H1206" s="134" t="s">
        <v>7333</v>
      </c>
      <c r="I1206" s="134" t="s">
        <v>2427</v>
      </c>
      <c r="J1206" s="134" t="s">
        <v>3078</v>
      </c>
      <c r="K1206" s="135"/>
      <c r="L1206" s="135" t="str">
        <f t="shared" si="69"/>
        <v>Troposodon minor</v>
      </c>
      <c r="M1206" s="133">
        <f t="shared" si="70"/>
        <v>4.6020599913279625</v>
      </c>
      <c r="N1206" s="137">
        <v>40000</v>
      </c>
      <c r="O1206" s="180"/>
      <c r="P1206" s="109" t="s">
        <v>2602</v>
      </c>
    </row>
    <row r="1207" spans="1:17">
      <c r="A1207" s="134" t="s">
        <v>2653</v>
      </c>
      <c r="B1207" s="135"/>
      <c r="C1207" s="136" t="s">
        <v>5092</v>
      </c>
      <c r="D1207" s="220"/>
      <c r="E1207" s="136"/>
      <c r="F1207" s="136"/>
      <c r="G1207" s="134" t="s">
        <v>2079</v>
      </c>
      <c r="H1207" s="134" t="s">
        <v>4486</v>
      </c>
      <c r="I1207" s="134" t="s">
        <v>5009</v>
      </c>
      <c r="J1207" s="134" t="s">
        <v>1939</v>
      </c>
      <c r="K1207" s="135"/>
      <c r="L1207" s="135" t="str">
        <f t="shared" si="69"/>
        <v>N. gen spp</v>
      </c>
      <c r="M1207" s="133">
        <f t="shared" si="70"/>
        <v>3.6989700043360187</v>
      </c>
      <c r="N1207" s="137">
        <v>5000</v>
      </c>
      <c r="O1207" s="180"/>
      <c r="P1207" s="109">
        <v>16</v>
      </c>
    </row>
    <row r="1208" spans="1:17">
      <c r="A1208" s="134" t="s">
        <v>2653</v>
      </c>
      <c r="B1208" s="135"/>
      <c r="C1208" s="136" t="s">
        <v>5092</v>
      </c>
      <c r="D1208" s="220"/>
      <c r="E1208" s="136"/>
      <c r="F1208" s="136"/>
      <c r="G1208" s="134" t="s">
        <v>2079</v>
      </c>
      <c r="H1208" s="134" t="s">
        <v>4486</v>
      </c>
      <c r="I1208" s="134" t="s">
        <v>5010</v>
      </c>
      <c r="J1208" s="134" t="s">
        <v>5011</v>
      </c>
      <c r="K1208" s="135"/>
      <c r="L1208" s="135" t="str">
        <f t="shared" si="69"/>
        <v>Propleopus oscillans</v>
      </c>
      <c r="M1208" s="133">
        <f t="shared" si="70"/>
        <v>4.6020599913279625</v>
      </c>
      <c r="N1208" s="137">
        <v>40000</v>
      </c>
      <c r="O1208" s="180"/>
      <c r="P1208" s="109">
        <v>16</v>
      </c>
    </row>
    <row r="1209" spans="1:17">
      <c r="A1209" s="134" t="s">
        <v>2653</v>
      </c>
      <c r="B1209" s="135"/>
      <c r="C1209" s="136" t="s">
        <v>5092</v>
      </c>
      <c r="D1209" s="220"/>
      <c r="E1209" s="136"/>
      <c r="F1209" s="136"/>
      <c r="G1209" s="134" t="s">
        <v>2079</v>
      </c>
      <c r="H1209" s="134" t="s">
        <v>4461</v>
      </c>
      <c r="I1209" s="134" t="s">
        <v>4462</v>
      </c>
      <c r="J1209" s="134" t="s">
        <v>2470</v>
      </c>
      <c r="K1209" s="135"/>
      <c r="L1209" s="135" t="str">
        <f t="shared" si="69"/>
        <v>Lasiorhinus angustidens</v>
      </c>
      <c r="M1209" s="133">
        <f t="shared" si="70"/>
        <v>4.6989700043360187</v>
      </c>
      <c r="N1209" s="137">
        <v>50000</v>
      </c>
      <c r="O1209" s="180"/>
      <c r="P1209" s="109">
        <v>16</v>
      </c>
    </row>
    <row r="1210" spans="1:17" ht="15" customHeight="1">
      <c r="A1210" s="134" t="s">
        <v>2653</v>
      </c>
      <c r="B1210" s="135"/>
      <c r="C1210" s="136" t="s">
        <v>5092</v>
      </c>
      <c r="D1210" s="220"/>
      <c r="E1210" s="136"/>
      <c r="F1210" s="136"/>
      <c r="G1210" s="134" t="s">
        <v>2079</v>
      </c>
      <c r="H1210" s="134" t="s">
        <v>4461</v>
      </c>
      <c r="I1210" s="134" t="s">
        <v>2469</v>
      </c>
      <c r="J1210" s="134" t="s">
        <v>5110</v>
      </c>
      <c r="K1210" s="135"/>
      <c r="L1210" s="135" t="str">
        <f t="shared" si="69"/>
        <v>Phascolomys medius</v>
      </c>
      <c r="M1210" s="133">
        <f t="shared" si="70"/>
        <v>4.6989700043360187</v>
      </c>
      <c r="N1210" s="137">
        <v>50000</v>
      </c>
      <c r="O1210" s="180"/>
      <c r="P1210" s="110" t="s">
        <v>2481</v>
      </c>
    </row>
    <row r="1211" spans="1:17">
      <c r="A1211" s="134" t="s">
        <v>2653</v>
      </c>
      <c r="B1211" s="135"/>
      <c r="C1211" s="136" t="s">
        <v>5092</v>
      </c>
      <c r="D1211" s="220"/>
      <c r="E1211" s="136"/>
      <c r="F1211" s="136"/>
      <c r="G1211" s="134" t="s">
        <v>2079</v>
      </c>
      <c r="H1211" s="134" t="s">
        <v>4461</v>
      </c>
      <c r="I1211" s="134" t="s">
        <v>7421</v>
      </c>
      <c r="J1211" s="134" t="s">
        <v>7405</v>
      </c>
      <c r="K1211" s="135"/>
      <c r="L1211" s="135" t="str">
        <f t="shared" si="69"/>
        <v>Phascolonus gigas</v>
      </c>
      <c r="M1211" s="133">
        <f t="shared" si="70"/>
        <v>5.3010299956639813</v>
      </c>
      <c r="N1211" s="137">
        <v>200000</v>
      </c>
      <c r="O1211" s="180"/>
      <c r="P1211" s="110" t="s">
        <v>2481</v>
      </c>
    </row>
    <row r="1212" spans="1:17">
      <c r="A1212" s="134" t="s">
        <v>2653</v>
      </c>
      <c r="B1212" s="135"/>
      <c r="C1212" s="136" t="s">
        <v>5092</v>
      </c>
      <c r="D1212" s="220"/>
      <c r="E1212" s="136"/>
      <c r="F1212" s="136"/>
      <c r="G1212" s="134" t="s">
        <v>2079</v>
      </c>
      <c r="H1212" s="134" t="s">
        <v>4461</v>
      </c>
      <c r="I1212" s="134" t="s">
        <v>2468</v>
      </c>
      <c r="J1212" s="134" t="s">
        <v>7357</v>
      </c>
      <c r="K1212" s="135"/>
      <c r="L1212" s="135" t="str">
        <f t="shared" si="69"/>
        <v>Ramsaya magna</v>
      </c>
      <c r="M1212" s="133">
        <f t="shared" si="70"/>
        <v>5</v>
      </c>
      <c r="N1212" s="137">
        <v>100000</v>
      </c>
      <c r="O1212" s="180"/>
      <c r="P1212" s="109">
        <v>16</v>
      </c>
    </row>
    <row r="1213" spans="1:17">
      <c r="A1213" s="134" t="s">
        <v>2653</v>
      </c>
      <c r="B1213" s="135"/>
      <c r="C1213" s="136" t="s">
        <v>5092</v>
      </c>
      <c r="D1213" s="220"/>
      <c r="E1213" s="136"/>
      <c r="F1213" s="136"/>
      <c r="G1213" s="134" t="s">
        <v>2079</v>
      </c>
      <c r="H1213" s="134" t="s">
        <v>4461</v>
      </c>
      <c r="I1213" s="134" t="s">
        <v>4469</v>
      </c>
      <c r="J1213" s="134" t="s">
        <v>4707</v>
      </c>
      <c r="K1213" s="135"/>
      <c r="L1213" s="135" t="str">
        <f t="shared" si="69"/>
        <v>Vombatus hacketti</v>
      </c>
      <c r="M1213" s="133">
        <f t="shared" ref="M1213:M1244" si="71">LOG(N1213)</f>
        <v>4.4771212547196626</v>
      </c>
      <c r="N1213" s="137">
        <v>30000</v>
      </c>
      <c r="O1213" s="180"/>
      <c r="P1213" s="110" t="s">
        <v>2481</v>
      </c>
    </row>
    <row r="1214" spans="1:17">
      <c r="A1214" s="134" t="s">
        <v>2653</v>
      </c>
      <c r="B1214" s="135"/>
      <c r="C1214" s="136" t="s">
        <v>5092</v>
      </c>
      <c r="D1214" s="220"/>
      <c r="E1214" s="136"/>
      <c r="F1214" s="136"/>
      <c r="G1214" s="134" t="s">
        <v>2079</v>
      </c>
      <c r="H1214" s="134" t="s">
        <v>4461</v>
      </c>
      <c r="I1214" s="134" t="s">
        <v>2337</v>
      </c>
      <c r="J1214" s="134" t="s">
        <v>2173</v>
      </c>
      <c r="K1214" s="135"/>
      <c r="L1214" s="135" t="str">
        <f t="shared" si="69"/>
        <v>Warenja wakefieldi</v>
      </c>
      <c r="M1214" s="133">
        <f t="shared" si="71"/>
        <v>4</v>
      </c>
      <c r="N1214" s="137">
        <v>10000</v>
      </c>
      <c r="O1214" s="180"/>
      <c r="P1214" s="110">
        <v>16</v>
      </c>
    </row>
    <row r="1215" spans="1:17">
      <c r="A1215" s="118" t="s">
        <v>2653</v>
      </c>
      <c r="B1215" s="130"/>
      <c r="C1215" s="118" t="s">
        <v>3817</v>
      </c>
      <c r="D1215" s="141"/>
      <c r="E1215" s="118"/>
      <c r="F1215" s="118"/>
      <c r="G1215" s="118" t="s">
        <v>2079</v>
      </c>
      <c r="H1215" s="118" t="s">
        <v>2181</v>
      </c>
      <c r="I1215" s="118" t="s">
        <v>4980</v>
      </c>
      <c r="J1215" s="118" t="s">
        <v>7234</v>
      </c>
      <c r="K1215" s="141"/>
      <c r="L1215" s="135" t="str">
        <f t="shared" si="69"/>
        <v>Acrobates pygmaeus</v>
      </c>
      <c r="M1215" s="133">
        <f t="shared" si="71"/>
        <v>1.0791812460476249</v>
      </c>
      <c r="N1215" s="133">
        <v>12</v>
      </c>
      <c r="O1215" s="179" t="s">
        <v>3356</v>
      </c>
      <c r="P1215" s="108">
        <v>59</v>
      </c>
    </row>
    <row r="1216" spans="1:17" ht="38.25">
      <c r="A1216" s="118" t="s">
        <v>2653</v>
      </c>
      <c r="B1216" s="130"/>
      <c r="C1216" s="118" t="s">
        <v>3817</v>
      </c>
      <c r="D1216" s="141"/>
      <c r="E1216" s="118"/>
      <c r="F1216" s="118"/>
      <c r="G1216" s="118" t="s">
        <v>2079</v>
      </c>
      <c r="H1216" s="118" t="s">
        <v>4842</v>
      </c>
      <c r="I1216" s="118" t="s">
        <v>2179</v>
      </c>
      <c r="J1216" s="118" t="s">
        <v>7332</v>
      </c>
      <c r="K1216" s="141"/>
      <c r="L1216" s="135" t="str">
        <f t="shared" si="69"/>
        <v>Burramys parvus</v>
      </c>
      <c r="M1216" s="133">
        <f t="shared" si="71"/>
        <v>1.6180480967120927</v>
      </c>
      <c r="N1216" s="133">
        <v>41.5</v>
      </c>
      <c r="O1216" s="179" t="s">
        <v>6906</v>
      </c>
      <c r="P1216" s="108">
        <v>59</v>
      </c>
      <c r="Q1216" s="90" t="s">
        <v>6640</v>
      </c>
    </row>
    <row r="1217" spans="1:17">
      <c r="A1217" s="118" t="s">
        <v>2653</v>
      </c>
      <c r="B1217" s="130"/>
      <c r="C1217" s="118" t="s">
        <v>3817</v>
      </c>
      <c r="D1217" s="141"/>
      <c r="E1217" s="118"/>
      <c r="F1217" s="118"/>
      <c r="G1217" s="118" t="s">
        <v>2079</v>
      </c>
      <c r="H1217" s="118" t="s">
        <v>4842</v>
      </c>
      <c r="I1217" s="118" t="s">
        <v>2174</v>
      </c>
      <c r="J1217" s="118" t="s">
        <v>2175</v>
      </c>
      <c r="K1217" s="141"/>
      <c r="L1217" s="135" t="str">
        <f t="shared" si="69"/>
        <v>Cercartetus lepidus</v>
      </c>
      <c r="M1217" s="133">
        <f t="shared" si="71"/>
        <v>0.84509804001425681</v>
      </c>
      <c r="N1217" s="133">
        <v>7</v>
      </c>
      <c r="O1217" s="179" t="s">
        <v>3356</v>
      </c>
      <c r="P1217" s="108">
        <v>59</v>
      </c>
    </row>
    <row r="1218" spans="1:17">
      <c r="A1218" s="118" t="s">
        <v>2653</v>
      </c>
      <c r="B1218" s="130"/>
      <c r="C1218" s="118" t="s">
        <v>3817</v>
      </c>
      <c r="D1218" s="141"/>
      <c r="E1218" s="118"/>
      <c r="F1218" s="118"/>
      <c r="G1218" s="118" t="s">
        <v>2079</v>
      </c>
      <c r="H1218" s="118" t="s">
        <v>4842</v>
      </c>
      <c r="I1218" s="118" t="s">
        <v>2174</v>
      </c>
      <c r="J1218" s="118" t="s">
        <v>2176</v>
      </c>
      <c r="K1218" s="141"/>
      <c r="L1218" s="135" t="str">
        <f t="shared" si="69"/>
        <v>Cercartetus concinnus</v>
      </c>
      <c r="M1218" s="133">
        <f t="shared" si="71"/>
        <v>1.1139433523068367</v>
      </c>
      <c r="N1218" s="133">
        <v>13</v>
      </c>
      <c r="O1218" s="179" t="s">
        <v>3356</v>
      </c>
      <c r="P1218" s="108">
        <v>59</v>
      </c>
    </row>
    <row r="1219" spans="1:17">
      <c r="A1219" s="118" t="s">
        <v>2653</v>
      </c>
      <c r="B1219" s="130"/>
      <c r="C1219" s="118" t="s">
        <v>3817</v>
      </c>
      <c r="D1219" s="141"/>
      <c r="E1219" s="118"/>
      <c r="F1219" s="118"/>
      <c r="G1219" s="118" t="s">
        <v>2079</v>
      </c>
      <c r="H1219" s="118" t="s">
        <v>4842</v>
      </c>
      <c r="I1219" s="118" t="s">
        <v>2174</v>
      </c>
      <c r="J1219" s="118" t="s">
        <v>2177</v>
      </c>
      <c r="K1219" s="141"/>
      <c r="L1219" s="135" t="str">
        <f t="shared" si="69"/>
        <v>Cercartetus nanus</v>
      </c>
      <c r="M1219" s="133">
        <f t="shared" si="71"/>
        <v>1.3802112417116059</v>
      </c>
      <c r="N1219" s="133">
        <v>24</v>
      </c>
      <c r="O1219" s="179" t="s">
        <v>3356</v>
      </c>
      <c r="P1219" s="108">
        <v>59</v>
      </c>
    </row>
    <row r="1220" spans="1:17">
      <c r="A1220" s="118" t="s">
        <v>2653</v>
      </c>
      <c r="B1220" s="130"/>
      <c r="C1220" s="118" t="s">
        <v>3817</v>
      </c>
      <c r="D1220" s="141"/>
      <c r="E1220" s="118"/>
      <c r="F1220" s="118"/>
      <c r="G1220" s="118" t="s">
        <v>2079</v>
      </c>
      <c r="H1220" s="118" t="s">
        <v>4842</v>
      </c>
      <c r="I1220" s="118" t="s">
        <v>2174</v>
      </c>
      <c r="J1220" s="118" t="s">
        <v>2178</v>
      </c>
      <c r="K1220" s="141"/>
      <c r="L1220" s="135" t="str">
        <f t="shared" si="69"/>
        <v>Cercartetus caudatus</v>
      </c>
      <c r="M1220" s="133">
        <f t="shared" si="71"/>
        <v>1.4771212547196624</v>
      </c>
      <c r="N1220" s="133">
        <v>30</v>
      </c>
      <c r="O1220" s="179" t="s">
        <v>3356</v>
      </c>
      <c r="P1220" s="108">
        <v>59</v>
      </c>
    </row>
    <row r="1221" spans="1:17">
      <c r="A1221" s="118" t="s">
        <v>2653</v>
      </c>
      <c r="B1221" s="130"/>
      <c r="C1221" s="118" t="s">
        <v>3817</v>
      </c>
      <c r="D1221" s="141"/>
      <c r="E1221" s="118"/>
      <c r="F1221" s="118"/>
      <c r="G1221" s="118" t="s">
        <v>2079</v>
      </c>
      <c r="H1221" s="118" t="s">
        <v>7333</v>
      </c>
      <c r="I1221" s="118" t="s">
        <v>4986</v>
      </c>
      <c r="J1221" s="118" t="s">
        <v>4987</v>
      </c>
      <c r="K1221" s="141"/>
      <c r="L1221" s="135" t="str">
        <f t="shared" ref="L1221:L1284" si="72">I1221&amp;" "&amp;J1221</f>
        <v>Dendrolagus lumholtzi</v>
      </c>
      <c r="M1221" s="133">
        <f t="shared" si="71"/>
        <v>3.8293037728310249</v>
      </c>
      <c r="N1221" s="133">
        <v>6750</v>
      </c>
      <c r="O1221" s="179" t="s">
        <v>3356</v>
      </c>
      <c r="P1221" s="108">
        <v>59</v>
      </c>
      <c r="Q1221" s="90" t="s">
        <v>6642</v>
      </c>
    </row>
    <row r="1222" spans="1:17">
      <c r="A1222" s="118" t="s">
        <v>2653</v>
      </c>
      <c r="B1222" s="130"/>
      <c r="C1222" s="118" t="s">
        <v>3817</v>
      </c>
      <c r="D1222" s="141"/>
      <c r="E1222" s="118"/>
      <c r="F1222" s="118"/>
      <c r="G1222" s="118" t="s">
        <v>2079</v>
      </c>
      <c r="H1222" s="118" t="s">
        <v>7333</v>
      </c>
      <c r="I1222" s="118" t="s">
        <v>4986</v>
      </c>
      <c r="J1222" s="118" t="s">
        <v>4224</v>
      </c>
      <c r="K1222" s="141"/>
      <c r="L1222" s="135" t="str">
        <f t="shared" si="72"/>
        <v>Dendrolagus bennettianus</v>
      </c>
      <c r="M1222" s="133">
        <f t="shared" si="71"/>
        <v>4.0394141191761372</v>
      </c>
      <c r="N1222" s="133">
        <v>10950</v>
      </c>
      <c r="O1222" s="179" t="s">
        <v>3356</v>
      </c>
      <c r="P1222" s="108">
        <v>59</v>
      </c>
      <c r="Q1222" s="90" t="s">
        <v>6642</v>
      </c>
    </row>
    <row r="1223" spans="1:17" ht="25.5">
      <c r="A1223" s="118" t="s">
        <v>2653</v>
      </c>
      <c r="B1223" s="130"/>
      <c r="C1223" s="118" t="s">
        <v>3817</v>
      </c>
      <c r="D1223" s="141"/>
      <c r="E1223" s="118"/>
      <c r="F1223" s="118"/>
      <c r="G1223" s="118" t="s">
        <v>2079</v>
      </c>
      <c r="H1223" s="118" t="s">
        <v>7333</v>
      </c>
      <c r="I1223" s="118" t="s">
        <v>7331</v>
      </c>
      <c r="J1223" s="118" t="s">
        <v>3776</v>
      </c>
      <c r="K1223" s="141"/>
      <c r="L1223" s="135" t="str">
        <f t="shared" si="72"/>
        <v>Lagorchestes hirsutus</v>
      </c>
      <c r="M1223" s="133">
        <f t="shared" si="71"/>
        <v>3.1020905255118367</v>
      </c>
      <c r="N1223" s="133">
        <v>1265</v>
      </c>
      <c r="O1223" s="179" t="s">
        <v>6869</v>
      </c>
      <c r="P1223" s="108">
        <v>59</v>
      </c>
      <c r="Q1223" s="90" t="s">
        <v>6988</v>
      </c>
    </row>
    <row r="1224" spans="1:17">
      <c r="A1224" s="118" t="s">
        <v>2653</v>
      </c>
      <c r="B1224" s="130"/>
      <c r="C1224" s="118" t="s">
        <v>3817</v>
      </c>
      <c r="D1224" s="141"/>
      <c r="E1224" s="118"/>
      <c r="F1224" s="118"/>
      <c r="G1224" s="118" t="s">
        <v>2079</v>
      </c>
      <c r="H1224" s="118" t="s">
        <v>7333</v>
      </c>
      <c r="I1224" s="118" t="s">
        <v>7331</v>
      </c>
      <c r="J1224" s="118" t="s">
        <v>4179</v>
      </c>
      <c r="K1224" s="141"/>
      <c r="L1224" s="135" t="str">
        <f t="shared" si="72"/>
        <v>Lagorchestes conspicillatus</v>
      </c>
      <c r="M1224" s="133">
        <f t="shared" si="71"/>
        <v>3.4842998393467859</v>
      </c>
      <c r="N1224" s="133">
        <v>3050</v>
      </c>
      <c r="O1224" s="179" t="s">
        <v>3356</v>
      </c>
      <c r="P1224" s="108">
        <v>59</v>
      </c>
      <c r="Q1224" s="90" t="s">
        <v>6642</v>
      </c>
    </row>
    <row r="1225" spans="1:17">
      <c r="A1225" s="118" t="s">
        <v>2653</v>
      </c>
      <c r="B1225" s="130"/>
      <c r="C1225" s="118" t="s">
        <v>3817</v>
      </c>
      <c r="D1225" s="141"/>
      <c r="E1225" s="118"/>
      <c r="F1225" s="118"/>
      <c r="G1225" s="118" t="s">
        <v>2079</v>
      </c>
      <c r="H1225" s="118" t="s">
        <v>7333</v>
      </c>
      <c r="I1225" s="118" t="s">
        <v>4018</v>
      </c>
      <c r="J1225" s="118" t="s">
        <v>4369</v>
      </c>
      <c r="K1225" s="141"/>
      <c r="L1225" s="135" t="str">
        <f t="shared" si="72"/>
        <v>Lagostrophus fasciatus</v>
      </c>
      <c r="M1225" s="133">
        <f t="shared" si="71"/>
        <v>3.2304489213782741</v>
      </c>
      <c r="N1225" s="133">
        <v>1700</v>
      </c>
      <c r="O1225" s="179" t="s">
        <v>6882</v>
      </c>
      <c r="P1225" s="108">
        <v>59</v>
      </c>
      <c r="Q1225" s="90" t="s">
        <v>6988</v>
      </c>
    </row>
    <row r="1226" spans="1:17" ht="25.5">
      <c r="A1226" s="118" t="s">
        <v>2653</v>
      </c>
      <c r="B1226" s="130"/>
      <c r="C1226" s="118" t="s">
        <v>3817</v>
      </c>
      <c r="D1226" s="141"/>
      <c r="E1226" s="118"/>
      <c r="F1226" s="118"/>
      <c r="G1226" s="118" t="s">
        <v>2079</v>
      </c>
      <c r="H1226" s="118" t="s">
        <v>7333</v>
      </c>
      <c r="I1226" s="118" t="s">
        <v>3755</v>
      </c>
      <c r="J1226" s="118" t="s">
        <v>7089</v>
      </c>
      <c r="K1226" s="141"/>
      <c r="L1226" s="135" t="str">
        <f t="shared" si="72"/>
        <v>Macropus parma</v>
      </c>
      <c r="M1226" s="133">
        <f t="shared" si="71"/>
        <v>3.6532125137753435</v>
      </c>
      <c r="N1226" s="133">
        <v>4500</v>
      </c>
      <c r="O1226" s="179" t="s">
        <v>6869</v>
      </c>
      <c r="P1226" s="108">
        <v>59</v>
      </c>
      <c r="Q1226" s="90" t="s">
        <v>6642</v>
      </c>
    </row>
    <row r="1227" spans="1:17">
      <c r="A1227" s="118" t="s">
        <v>2653</v>
      </c>
      <c r="B1227" s="130"/>
      <c r="C1227" s="118" t="s">
        <v>3817</v>
      </c>
      <c r="D1227" s="141"/>
      <c r="E1227" s="118"/>
      <c r="F1227" s="118"/>
      <c r="G1227" s="118" t="s">
        <v>2079</v>
      </c>
      <c r="H1227" s="118" t="s">
        <v>7333</v>
      </c>
      <c r="I1227" s="118" t="s">
        <v>3755</v>
      </c>
      <c r="J1227" s="118" t="s">
        <v>7349</v>
      </c>
      <c r="K1227" s="141"/>
      <c r="L1227" s="135" t="str">
        <f t="shared" si="72"/>
        <v>Macropus eugenii</v>
      </c>
      <c r="M1227" s="133">
        <f t="shared" si="71"/>
        <v>3.8129133566428557</v>
      </c>
      <c r="N1227" s="133">
        <v>6500</v>
      </c>
      <c r="O1227" s="179" t="s">
        <v>3356</v>
      </c>
      <c r="P1227" s="108">
        <v>59</v>
      </c>
    </row>
    <row r="1228" spans="1:17" ht="25.5">
      <c r="A1228" s="118" t="s">
        <v>2653</v>
      </c>
      <c r="B1228" s="130"/>
      <c r="C1228" s="118" t="s">
        <v>3817</v>
      </c>
      <c r="D1228" s="141"/>
      <c r="E1228" s="118"/>
      <c r="F1228" s="118"/>
      <c r="G1228" s="118" t="s">
        <v>2079</v>
      </c>
      <c r="H1228" s="118" t="s">
        <v>7333</v>
      </c>
      <c r="I1228" s="118" t="s">
        <v>3755</v>
      </c>
      <c r="J1228" s="118" t="s">
        <v>4988</v>
      </c>
      <c r="K1228" s="141"/>
      <c r="L1228" s="135" t="str">
        <f t="shared" si="72"/>
        <v>Macropus irma</v>
      </c>
      <c r="M1228" s="133">
        <f t="shared" si="71"/>
        <v>3.9030899869919438</v>
      </c>
      <c r="N1228" s="133">
        <v>8000</v>
      </c>
      <c r="O1228" s="179" t="s">
        <v>7523</v>
      </c>
      <c r="P1228" s="108">
        <v>59</v>
      </c>
      <c r="Q1228" s="90" t="s">
        <v>6642</v>
      </c>
    </row>
    <row r="1229" spans="1:17">
      <c r="A1229" s="118" t="s">
        <v>2653</v>
      </c>
      <c r="B1229" s="130"/>
      <c r="C1229" s="118" t="s">
        <v>3817</v>
      </c>
      <c r="D1229" s="141"/>
      <c r="E1229" s="118"/>
      <c r="F1229" s="118"/>
      <c r="G1229" s="118" t="s">
        <v>2079</v>
      </c>
      <c r="H1229" s="118" t="s">
        <v>7333</v>
      </c>
      <c r="I1229" s="118" t="s">
        <v>3755</v>
      </c>
      <c r="J1229" s="118" t="s">
        <v>3630</v>
      </c>
      <c r="K1229" s="141"/>
      <c r="L1229" s="135" t="str">
        <f t="shared" si="72"/>
        <v>Macropus dorsalis</v>
      </c>
      <c r="M1229" s="133">
        <f t="shared" si="71"/>
        <v>4.0511525224473814</v>
      </c>
      <c r="N1229" s="133">
        <v>11250</v>
      </c>
      <c r="O1229" s="179" t="s">
        <v>3356</v>
      </c>
      <c r="P1229" s="108">
        <v>59</v>
      </c>
    </row>
    <row r="1230" spans="1:17">
      <c r="A1230" s="118" t="s">
        <v>2653</v>
      </c>
      <c r="B1230" s="130"/>
      <c r="C1230" s="118" t="s">
        <v>3817</v>
      </c>
      <c r="D1230" s="141"/>
      <c r="E1230" s="118"/>
      <c r="F1230" s="118"/>
      <c r="G1230" s="118" t="s">
        <v>2079</v>
      </c>
      <c r="H1230" s="118" t="s">
        <v>7333</v>
      </c>
      <c r="I1230" s="118" t="s">
        <v>3755</v>
      </c>
      <c r="J1230" s="118" t="s">
        <v>4225</v>
      </c>
      <c r="K1230" s="141"/>
      <c r="L1230" s="135" t="str">
        <f t="shared" si="72"/>
        <v>Macropus parryi</v>
      </c>
      <c r="M1230" s="133">
        <f t="shared" si="71"/>
        <v>4.1303337684950066</v>
      </c>
      <c r="N1230" s="133">
        <v>13500</v>
      </c>
      <c r="O1230" s="179" t="s">
        <v>3356</v>
      </c>
      <c r="P1230" s="108">
        <v>59</v>
      </c>
    </row>
    <row r="1231" spans="1:17">
      <c r="A1231" s="118" t="s">
        <v>2653</v>
      </c>
      <c r="B1231" s="130"/>
      <c r="C1231" s="118" t="s">
        <v>3817</v>
      </c>
      <c r="D1231" s="141"/>
      <c r="E1231" s="118"/>
      <c r="F1231" s="118"/>
      <c r="G1231" s="118" t="s">
        <v>2079</v>
      </c>
      <c r="H1231" s="118" t="s">
        <v>7333</v>
      </c>
      <c r="I1231" s="118" t="s">
        <v>3755</v>
      </c>
      <c r="J1231" s="118" t="s">
        <v>4399</v>
      </c>
      <c r="K1231" s="141"/>
      <c r="L1231" s="135" t="str">
        <f t="shared" si="72"/>
        <v>Macropus agilis</v>
      </c>
      <c r="M1231" s="133">
        <f t="shared" si="71"/>
        <v>4.1760912590556813</v>
      </c>
      <c r="N1231" s="133">
        <v>15000</v>
      </c>
      <c r="O1231" s="179" t="s">
        <v>3356</v>
      </c>
      <c r="P1231" s="108">
        <v>59</v>
      </c>
    </row>
    <row r="1232" spans="1:17">
      <c r="A1232" s="118" t="s">
        <v>2653</v>
      </c>
      <c r="B1232" s="130"/>
      <c r="C1232" s="118" t="s">
        <v>3817</v>
      </c>
      <c r="D1232" s="141"/>
      <c r="E1232" s="118"/>
      <c r="F1232" s="118"/>
      <c r="G1232" s="118" t="s">
        <v>2079</v>
      </c>
      <c r="H1232" s="121" t="s">
        <v>7333</v>
      </c>
      <c r="I1232" s="118" t="s">
        <v>3755</v>
      </c>
      <c r="J1232" s="118" t="s">
        <v>4187</v>
      </c>
      <c r="K1232" s="141"/>
      <c r="L1232" s="135" t="str">
        <f t="shared" si="72"/>
        <v>Macropus rufogriseus</v>
      </c>
      <c r="M1232" s="133">
        <f t="shared" si="71"/>
        <v>4.2265999052073573</v>
      </c>
      <c r="N1232" s="133">
        <v>16850</v>
      </c>
      <c r="O1232" s="179" t="s">
        <v>3356</v>
      </c>
      <c r="P1232" s="108">
        <v>59</v>
      </c>
    </row>
    <row r="1233" spans="1:17" ht="24" customHeight="1">
      <c r="A1233" s="118" t="s">
        <v>2653</v>
      </c>
      <c r="B1233" s="130"/>
      <c r="C1233" s="118" t="s">
        <v>3817</v>
      </c>
      <c r="D1233" s="141"/>
      <c r="E1233" s="118"/>
      <c r="F1233" s="118"/>
      <c r="G1233" s="118" t="s">
        <v>2079</v>
      </c>
      <c r="H1233" s="118" t="s">
        <v>7333</v>
      </c>
      <c r="I1233" s="118" t="s">
        <v>3755</v>
      </c>
      <c r="J1233" s="118" t="s">
        <v>4186</v>
      </c>
      <c r="K1233" s="141"/>
      <c r="L1233" s="135" t="str">
        <f t="shared" si="72"/>
        <v>Macropus bernardus</v>
      </c>
      <c r="M1233" s="133">
        <f t="shared" si="71"/>
        <v>4.2304489213782741</v>
      </c>
      <c r="N1233" s="133">
        <v>17000</v>
      </c>
      <c r="O1233" s="179" t="s">
        <v>6641</v>
      </c>
      <c r="P1233" s="108">
        <v>59</v>
      </c>
      <c r="Q1233" s="90" t="s">
        <v>6642</v>
      </c>
    </row>
    <row r="1234" spans="1:17">
      <c r="A1234" s="118" t="s">
        <v>2653</v>
      </c>
      <c r="B1234" s="130"/>
      <c r="C1234" s="118" t="s">
        <v>3817</v>
      </c>
      <c r="D1234" s="141"/>
      <c r="E1234" s="118"/>
      <c r="F1234" s="118"/>
      <c r="G1234" s="118" t="s">
        <v>2079</v>
      </c>
      <c r="H1234" s="118" t="s">
        <v>7333</v>
      </c>
      <c r="I1234" s="118" t="s">
        <v>3755</v>
      </c>
      <c r="J1234" s="118" t="s">
        <v>7099</v>
      </c>
      <c r="K1234" s="141"/>
      <c r="L1234" s="135" t="str">
        <f t="shared" si="72"/>
        <v>Macropus robustus</v>
      </c>
      <c r="M1234" s="133">
        <f t="shared" si="71"/>
        <v>4.3276143266206253</v>
      </c>
      <c r="N1234" s="133">
        <v>21262.5</v>
      </c>
      <c r="O1234" s="179" t="s">
        <v>3356</v>
      </c>
      <c r="P1234" s="108">
        <v>59</v>
      </c>
    </row>
    <row r="1235" spans="1:17" ht="15" customHeight="1">
      <c r="A1235" s="118" t="s">
        <v>2653</v>
      </c>
      <c r="B1235" s="130"/>
      <c r="C1235" s="118" t="s">
        <v>3817</v>
      </c>
      <c r="D1235" s="141"/>
      <c r="E1235" s="118"/>
      <c r="F1235" s="118"/>
      <c r="G1235" s="118" t="s">
        <v>2079</v>
      </c>
      <c r="H1235" s="118" t="s">
        <v>7333</v>
      </c>
      <c r="I1235" s="118" t="s">
        <v>3755</v>
      </c>
      <c r="J1235" s="118" t="s">
        <v>4424</v>
      </c>
      <c r="K1235" s="141"/>
      <c r="L1235" s="135" t="str">
        <f t="shared" si="72"/>
        <v>Macropus fuliginosus</v>
      </c>
      <c r="M1235" s="133">
        <f t="shared" si="71"/>
        <v>4.3424226808222066</v>
      </c>
      <c r="N1235" s="133">
        <v>22000</v>
      </c>
      <c r="O1235" s="179" t="s">
        <v>3356</v>
      </c>
      <c r="P1235" s="108">
        <v>59</v>
      </c>
    </row>
    <row r="1236" spans="1:17">
      <c r="A1236" s="118" t="s">
        <v>2653</v>
      </c>
      <c r="B1236" s="130"/>
      <c r="C1236" s="118" t="s">
        <v>3817</v>
      </c>
      <c r="D1236" s="141"/>
      <c r="E1236" s="118"/>
      <c r="F1236" s="118"/>
      <c r="G1236" s="118" t="s">
        <v>2079</v>
      </c>
      <c r="H1236" s="118" t="s">
        <v>7333</v>
      </c>
      <c r="I1236" s="118" t="s">
        <v>3755</v>
      </c>
      <c r="J1236" s="118" t="s">
        <v>4255</v>
      </c>
      <c r="K1236" s="141"/>
      <c r="L1236" s="135" t="str">
        <f t="shared" si="72"/>
        <v>Macropus giganteus</v>
      </c>
      <c r="M1236" s="133">
        <f t="shared" si="71"/>
        <v>4.4128803584649745</v>
      </c>
      <c r="N1236" s="133">
        <v>25875</v>
      </c>
      <c r="O1236" s="179" t="s">
        <v>3356</v>
      </c>
      <c r="P1236" s="108">
        <v>59</v>
      </c>
    </row>
    <row r="1237" spans="1:17">
      <c r="A1237" s="118" t="s">
        <v>2653</v>
      </c>
      <c r="B1237" s="130"/>
      <c r="C1237" s="118" t="s">
        <v>3817</v>
      </c>
      <c r="D1237" s="141"/>
      <c r="E1237" s="118"/>
      <c r="F1237" s="118"/>
      <c r="G1237" s="118" t="s">
        <v>2079</v>
      </c>
      <c r="H1237" s="118" t="s">
        <v>7333</v>
      </c>
      <c r="I1237" s="118" t="s">
        <v>3755</v>
      </c>
      <c r="J1237" s="118" t="s">
        <v>4236</v>
      </c>
      <c r="K1237" s="141"/>
      <c r="L1237" s="135" t="str">
        <f t="shared" si="72"/>
        <v>Macropus antilopinus</v>
      </c>
      <c r="M1237" s="133">
        <f t="shared" si="71"/>
        <v>4.4353665066126613</v>
      </c>
      <c r="N1237" s="133">
        <v>27250</v>
      </c>
      <c r="O1237" s="179" t="s">
        <v>3356</v>
      </c>
      <c r="P1237" s="108">
        <v>59</v>
      </c>
    </row>
    <row r="1238" spans="1:17">
      <c r="A1238" s="118" t="s">
        <v>2653</v>
      </c>
      <c r="B1238" s="130"/>
      <c r="C1238" s="118" t="s">
        <v>3817</v>
      </c>
      <c r="D1238" s="141"/>
      <c r="E1238" s="118"/>
      <c r="F1238" s="118"/>
      <c r="G1238" s="118" t="s">
        <v>2079</v>
      </c>
      <c r="H1238" s="118" t="s">
        <v>7333</v>
      </c>
      <c r="I1238" s="118" t="s">
        <v>3755</v>
      </c>
      <c r="J1238" s="118" t="s">
        <v>2329</v>
      </c>
      <c r="K1238" s="141"/>
      <c r="L1238" s="135" t="str">
        <f t="shared" si="72"/>
        <v>Macropus rufus</v>
      </c>
      <c r="M1238" s="133">
        <f t="shared" si="71"/>
        <v>4.6651117370750512</v>
      </c>
      <c r="N1238" s="133">
        <v>46250</v>
      </c>
      <c r="O1238" s="179" t="s">
        <v>3356</v>
      </c>
      <c r="P1238" s="108">
        <v>59</v>
      </c>
    </row>
    <row r="1239" spans="1:17" ht="25.5">
      <c r="A1239" s="118" t="s">
        <v>2653</v>
      </c>
      <c r="B1239" s="130"/>
      <c r="C1239" s="118" t="s">
        <v>3817</v>
      </c>
      <c r="D1239" s="141"/>
      <c r="E1239" s="118"/>
      <c r="F1239" s="118"/>
      <c r="G1239" s="118" t="s">
        <v>2079</v>
      </c>
      <c r="H1239" s="118" t="s">
        <v>7333</v>
      </c>
      <c r="I1239" s="118" t="s">
        <v>7342</v>
      </c>
      <c r="J1239" s="118" t="s">
        <v>7343</v>
      </c>
      <c r="K1239" s="141"/>
      <c r="L1239" s="135" t="str">
        <f t="shared" si="72"/>
        <v>Onychogalea fraenata</v>
      </c>
      <c r="M1239" s="133">
        <f t="shared" si="71"/>
        <v>3.7403626894942437</v>
      </c>
      <c r="N1239" s="133">
        <v>5500</v>
      </c>
      <c r="O1239" s="194" t="s">
        <v>6869</v>
      </c>
      <c r="P1239" s="108">
        <v>59</v>
      </c>
      <c r="Q1239" s="90" t="s">
        <v>6640</v>
      </c>
    </row>
    <row r="1240" spans="1:17">
      <c r="A1240" s="118" t="s">
        <v>2653</v>
      </c>
      <c r="B1240" s="130"/>
      <c r="C1240" s="118" t="s">
        <v>3817</v>
      </c>
      <c r="D1240" s="141"/>
      <c r="E1240" s="118"/>
      <c r="F1240" s="118"/>
      <c r="G1240" s="118" t="s">
        <v>2079</v>
      </c>
      <c r="H1240" s="118" t="s">
        <v>7333</v>
      </c>
      <c r="I1240" s="118" t="s">
        <v>7342</v>
      </c>
      <c r="J1240" s="118" t="s">
        <v>4985</v>
      </c>
      <c r="K1240" s="141"/>
      <c r="L1240" s="135" t="str">
        <f t="shared" si="72"/>
        <v>Onychogalea unguifera</v>
      </c>
      <c r="M1240" s="133">
        <f t="shared" si="71"/>
        <v>3.8228216453031045</v>
      </c>
      <c r="N1240" s="133">
        <v>6650</v>
      </c>
      <c r="O1240" s="179" t="s">
        <v>3356</v>
      </c>
      <c r="P1240" s="108">
        <v>59</v>
      </c>
    </row>
    <row r="1241" spans="1:17">
      <c r="A1241" s="118" t="s">
        <v>2653</v>
      </c>
      <c r="B1241" s="130"/>
      <c r="C1241" s="118" t="s">
        <v>3817</v>
      </c>
      <c r="D1241" s="141"/>
      <c r="E1241" s="118"/>
      <c r="F1241" s="118"/>
      <c r="G1241" s="118" t="s">
        <v>2079</v>
      </c>
      <c r="H1241" s="118" t="s">
        <v>7333</v>
      </c>
      <c r="I1241" s="118" t="s">
        <v>7334</v>
      </c>
      <c r="J1241" s="118" t="s">
        <v>2186</v>
      </c>
      <c r="K1241" s="141"/>
      <c r="L1241" s="135" t="str">
        <f t="shared" si="72"/>
        <v>Petrogale burbidgei</v>
      </c>
      <c r="M1241" s="133">
        <f t="shared" si="71"/>
        <v>3.0996806411092499</v>
      </c>
      <c r="N1241" s="133">
        <v>1258</v>
      </c>
      <c r="O1241" s="179" t="s">
        <v>7043</v>
      </c>
      <c r="P1241" s="108">
        <v>59</v>
      </c>
      <c r="Q1241" s="90" t="s">
        <v>6642</v>
      </c>
    </row>
    <row r="1242" spans="1:17" ht="15" customHeight="1">
      <c r="A1242" s="118" t="s">
        <v>2653</v>
      </c>
      <c r="B1242" s="130"/>
      <c r="C1242" s="118" t="s">
        <v>3817</v>
      </c>
      <c r="D1242" s="141"/>
      <c r="E1242" s="118"/>
      <c r="F1242" s="118"/>
      <c r="G1242" s="118" t="s">
        <v>2079</v>
      </c>
      <c r="H1242" s="118" t="s">
        <v>7333</v>
      </c>
      <c r="I1242" s="118" t="s">
        <v>7334</v>
      </c>
      <c r="J1242" s="118" t="s">
        <v>4208</v>
      </c>
      <c r="K1242" s="141"/>
      <c r="L1242" s="135" t="str">
        <f t="shared" si="72"/>
        <v>Petrogale concinna</v>
      </c>
      <c r="M1242" s="133">
        <f t="shared" si="71"/>
        <v>3.1461280356782382</v>
      </c>
      <c r="N1242" s="133">
        <v>1400</v>
      </c>
      <c r="O1242" s="179" t="s">
        <v>6953</v>
      </c>
      <c r="P1242" s="108">
        <v>59</v>
      </c>
      <c r="Q1242" s="90" t="s">
        <v>6642</v>
      </c>
    </row>
    <row r="1243" spans="1:17">
      <c r="A1243" s="118" t="s">
        <v>2653</v>
      </c>
      <c r="B1243" s="130"/>
      <c r="C1243" s="118" t="s">
        <v>3817</v>
      </c>
      <c r="D1243" s="141"/>
      <c r="E1243" s="118"/>
      <c r="F1243" s="118"/>
      <c r="G1243" s="118" t="s">
        <v>2079</v>
      </c>
      <c r="H1243" s="118" t="s">
        <v>7333</v>
      </c>
      <c r="I1243" s="118" t="s">
        <v>7334</v>
      </c>
      <c r="J1243" s="118" t="s">
        <v>4178</v>
      </c>
      <c r="K1243" s="141"/>
      <c r="L1243" s="135" t="str">
        <f t="shared" si="72"/>
        <v>Petrogale rothschildi</v>
      </c>
      <c r="M1243" s="133">
        <f t="shared" si="71"/>
        <v>3.5314789170422549</v>
      </c>
      <c r="N1243" s="133">
        <v>3400</v>
      </c>
      <c r="O1243" s="179" t="s">
        <v>3356</v>
      </c>
      <c r="P1243" s="108">
        <v>59</v>
      </c>
    </row>
    <row r="1244" spans="1:17">
      <c r="A1244" s="118" t="s">
        <v>2653</v>
      </c>
      <c r="B1244" s="130"/>
      <c r="C1244" s="118" t="s">
        <v>3817</v>
      </c>
      <c r="D1244" s="141"/>
      <c r="E1244" s="118"/>
      <c r="F1244" s="118"/>
      <c r="G1244" s="118" t="s">
        <v>2079</v>
      </c>
      <c r="H1244" s="118" t="s">
        <v>7333</v>
      </c>
      <c r="I1244" s="118" t="s">
        <v>7334</v>
      </c>
      <c r="J1244" s="118" t="s">
        <v>7539</v>
      </c>
      <c r="K1244" s="141"/>
      <c r="L1244" s="135" t="str">
        <f t="shared" si="72"/>
        <v>Petrogale brachyotis</v>
      </c>
      <c r="M1244" s="133">
        <f t="shared" si="71"/>
        <v>3.6074550232146687</v>
      </c>
      <c r="N1244" s="133">
        <v>4050</v>
      </c>
      <c r="O1244" s="179" t="s">
        <v>3356</v>
      </c>
      <c r="P1244" s="108">
        <v>59</v>
      </c>
    </row>
    <row r="1245" spans="1:17">
      <c r="A1245" s="118" t="s">
        <v>2653</v>
      </c>
      <c r="B1245" s="130"/>
      <c r="C1245" s="118" t="s">
        <v>3817</v>
      </c>
      <c r="D1245" s="141"/>
      <c r="E1245" s="118"/>
      <c r="F1245" s="118"/>
      <c r="G1245" s="118" t="s">
        <v>2079</v>
      </c>
      <c r="H1245" s="118" t="s">
        <v>7333</v>
      </c>
      <c r="I1245" s="118" t="s">
        <v>7334</v>
      </c>
      <c r="J1245" s="118" t="s">
        <v>7350</v>
      </c>
      <c r="K1245" s="141"/>
      <c r="L1245" s="135" t="str">
        <f t="shared" si="72"/>
        <v>Petrogale assimilis</v>
      </c>
      <c r="M1245" s="133">
        <f t="shared" ref="M1245:M1276" si="73">LOG(N1245)</f>
        <v>3.6532125137753435</v>
      </c>
      <c r="N1245" s="133">
        <v>4500</v>
      </c>
      <c r="O1245" s="179" t="s">
        <v>3356</v>
      </c>
      <c r="P1245" s="108">
        <v>59</v>
      </c>
    </row>
    <row r="1246" spans="1:17" ht="15" customHeight="1">
      <c r="A1246" s="118" t="s">
        <v>2653</v>
      </c>
      <c r="B1246" s="130"/>
      <c r="C1246" s="118" t="s">
        <v>3817</v>
      </c>
      <c r="D1246" s="141"/>
      <c r="E1246" s="118"/>
      <c r="F1246" s="118"/>
      <c r="G1246" s="118" t="s">
        <v>2079</v>
      </c>
      <c r="H1246" s="118" t="s">
        <v>7333</v>
      </c>
      <c r="I1246" s="118" t="s">
        <v>7334</v>
      </c>
      <c r="J1246" s="118" t="s">
        <v>7091</v>
      </c>
      <c r="K1246" s="141"/>
      <c r="L1246" s="135" t="str">
        <f t="shared" si="72"/>
        <v>Petrogale inornata</v>
      </c>
      <c r="M1246" s="133">
        <f t="shared" si="73"/>
        <v>3.6627578316815739</v>
      </c>
      <c r="N1246" s="133">
        <v>4600</v>
      </c>
      <c r="O1246" s="179" t="s">
        <v>3356</v>
      </c>
      <c r="P1246" s="108">
        <v>59</v>
      </c>
    </row>
    <row r="1247" spans="1:17">
      <c r="A1247" s="118" t="s">
        <v>2653</v>
      </c>
      <c r="B1247" s="130"/>
      <c r="C1247" s="118" t="s">
        <v>3817</v>
      </c>
      <c r="D1247" s="141"/>
      <c r="E1247" s="118"/>
      <c r="F1247" s="118"/>
      <c r="G1247" s="118" t="s">
        <v>2079</v>
      </c>
      <c r="H1247" s="118" t="s">
        <v>7333</v>
      </c>
      <c r="I1247" s="118" t="s">
        <v>7334</v>
      </c>
      <c r="J1247" s="118" t="s">
        <v>4411</v>
      </c>
      <c r="K1247" s="141"/>
      <c r="L1247" s="135" t="str">
        <f t="shared" si="72"/>
        <v>Petrogale lateralis</v>
      </c>
      <c r="M1247" s="133">
        <f t="shared" si="73"/>
        <v>3.6651117370750512</v>
      </c>
      <c r="N1247" s="133">
        <v>4625</v>
      </c>
      <c r="O1247" s="179" t="s">
        <v>3356</v>
      </c>
      <c r="P1247" s="108">
        <v>59</v>
      </c>
    </row>
    <row r="1248" spans="1:17">
      <c r="A1248" s="118" t="s">
        <v>2653</v>
      </c>
      <c r="B1248" s="130"/>
      <c r="C1248" s="118" t="s">
        <v>3817</v>
      </c>
      <c r="D1248" s="141"/>
      <c r="E1248" s="118"/>
      <c r="F1248" s="118"/>
      <c r="G1248" s="118" t="s">
        <v>2079</v>
      </c>
      <c r="H1248" s="118" t="s">
        <v>7333</v>
      </c>
      <c r="I1248" s="118" t="s">
        <v>7334</v>
      </c>
      <c r="J1248" s="118" t="s">
        <v>4329</v>
      </c>
      <c r="K1248" s="141"/>
      <c r="L1248" s="135" t="str">
        <f t="shared" si="72"/>
        <v>Petrogale godmani</v>
      </c>
      <c r="M1248" s="133">
        <f t="shared" si="73"/>
        <v>3.6766936096248664</v>
      </c>
      <c r="N1248" s="133">
        <v>4750</v>
      </c>
      <c r="O1248" s="179" t="s">
        <v>3356</v>
      </c>
      <c r="P1248" s="108">
        <v>59</v>
      </c>
      <c r="Q1248" s="90" t="s">
        <v>6642</v>
      </c>
    </row>
    <row r="1249" spans="1:30" ht="51">
      <c r="A1249" s="118" t="s">
        <v>2653</v>
      </c>
      <c r="B1249" s="130"/>
      <c r="C1249" s="118" t="s">
        <v>3817</v>
      </c>
      <c r="D1249" s="141"/>
      <c r="E1249" s="118"/>
      <c r="F1249" s="118"/>
      <c r="G1249" s="118" t="s">
        <v>2079</v>
      </c>
      <c r="H1249" s="118" t="s">
        <v>7333</v>
      </c>
      <c r="I1249" s="118" t="s">
        <v>7334</v>
      </c>
      <c r="J1249" s="118" t="s">
        <v>7344</v>
      </c>
      <c r="K1249" s="141"/>
      <c r="L1249" s="135" t="str">
        <f t="shared" si="72"/>
        <v>Petrogale persephone</v>
      </c>
      <c r="M1249" s="133">
        <f t="shared" si="73"/>
        <v>3.7923916894982539</v>
      </c>
      <c r="N1249" s="133">
        <v>6200</v>
      </c>
      <c r="O1249" s="179" t="s">
        <v>6944</v>
      </c>
      <c r="P1249" s="108">
        <v>59</v>
      </c>
      <c r="Q1249" s="90" t="s">
        <v>6640</v>
      </c>
    </row>
    <row r="1250" spans="1:30" ht="25.5">
      <c r="A1250" s="118" t="s">
        <v>2653</v>
      </c>
      <c r="B1250" s="130"/>
      <c r="C1250" s="118" t="s">
        <v>3817</v>
      </c>
      <c r="D1250" s="141"/>
      <c r="E1250" s="118"/>
      <c r="F1250" s="118"/>
      <c r="G1250" s="118" t="s">
        <v>2079</v>
      </c>
      <c r="H1250" s="118" t="s">
        <v>7333</v>
      </c>
      <c r="I1250" s="118" t="s">
        <v>7334</v>
      </c>
      <c r="J1250" s="118" t="s">
        <v>7098</v>
      </c>
      <c r="K1250" s="141"/>
      <c r="L1250" s="135" t="str">
        <f t="shared" si="72"/>
        <v>Petrogale penicillata</v>
      </c>
      <c r="M1250" s="133">
        <f t="shared" si="73"/>
        <v>3.8512583487190755</v>
      </c>
      <c r="N1250" s="133">
        <v>7100</v>
      </c>
      <c r="O1250" s="179" t="s">
        <v>6869</v>
      </c>
      <c r="P1250" s="108">
        <v>59</v>
      </c>
      <c r="Q1250" s="90" t="s">
        <v>6988</v>
      </c>
    </row>
    <row r="1251" spans="1:30">
      <c r="A1251" s="118" t="s">
        <v>2653</v>
      </c>
      <c r="B1251" s="130"/>
      <c r="C1251" s="118" t="s">
        <v>3817</v>
      </c>
      <c r="D1251" s="141"/>
      <c r="E1251" s="118"/>
      <c r="F1251" s="118"/>
      <c r="G1251" s="118" t="s">
        <v>2079</v>
      </c>
      <c r="H1251" s="118" t="s">
        <v>7333</v>
      </c>
      <c r="I1251" s="118" t="s">
        <v>7334</v>
      </c>
      <c r="J1251" s="118" t="s">
        <v>4989</v>
      </c>
      <c r="K1251" s="141"/>
      <c r="L1251" s="135" t="str">
        <f t="shared" si="72"/>
        <v>Petrogale xanthopus</v>
      </c>
      <c r="M1251" s="133">
        <f t="shared" si="73"/>
        <v>3.9294189257142929</v>
      </c>
      <c r="N1251" s="133">
        <v>8500</v>
      </c>
      <c r="O1251" s="179" t="s">
        <v>3356</v>
      </c>
      <c r="P1251" s="108">
        <v>59</v>
      </c>
      <c r="Q1251" s="90" t="s">
        <v>6642</v>
      </c>
    </row>
    <row r="1252" spans="1:30" ht="15" customHeight="1">
      <c r="A1252" s="118" t="s">
        <v>2653</v>
      </c>
      <c r="B1252" s="130"/>
      <c r="C1252" s="118" t="s">
        <v>3817</v>
      </c>
      <c r="D1252" s="141"/>
      <c r="E1252" s="118"/>
      <c r="F1252" s="118"/>
      <c r="G1252" s="118" t="s">
        <v>2079</v>
      </c>
      <c r="H1252" s="118" t="s">
        <v>7333</v>
      </c>
      <c r="I1252" s="118" t="s">
        <v>4019</v>
      </c>
      <c r="J1252" s="118" t="s">
        <v>2207</v>
      </c>
      <c r="K1252" s="141"/>
      <c r="L1252" s="135" t="str">
        <f t="shared" si="72"/>
        <v>Setonix brachyurus</v>
      </c>
      <c r="M1252" s="133">
        <f t="shared" si="73"/>
        <v>3.5118833609788744</v>
      </c>
      <c r="N1252" s="133">
        <v>3250</v>
      </c>
      <c r="O1252" s="179" t="s">
        <v>6869</v>
      </c>
      <c r="P1252" s="108">
        <v>59</v>
      </c>
      <c r="Q1252" s="90" t="s">
        <v>6988</v>
      </c>
    </row>
    <row r="1253" spans="1:30" s="62" customFormat="1" ht="15" customHeight="1">
      <c r="A1253" s="118" t="s">
        <v>2653</v>
      </c>
      <c r="B1253" s="130"/>
      <c r="C1253" s="118" t="s">
        <v>3817</v>
      </c>
      <c r="D1253" s="141"/>
      <c r="E1253" s="118"/>
      <c r="F1253" s="118"/>
      <c r="G1253" s="118" t="s">
        <v>2079</v>
      </c>
      <c r="H1253" s="118" t="s">
        <v>7333</v>
      </c>
      <c r="I1253" s="118" t="s">
        <v>7540</v>
      </c>
      <c r="J1253" s="118" t="s">
        <v>7090</v>
      </c>
      <c r="K1253" s="141"/>
      <c r="L1253" s="135" t="str">
        <f t="shared" si="72"/>
        <v>Thylogale stigmatica</v>
      </c>
      <c r="M1253" s="133">
        <f t="shared" si="73"/>
        <v>3.6627578316815739</v>
      </c>
      <c r="N1253" s="133">
        <v>4600</v>
      </c>
      <c r="O1253" s="179" t="s">
        <v>3356</v>
      </c>
      <c r="P1253" s="108">
        <v>59</v>
      </c>
      <c r="Q1253" s="90"/>
      <c r="R1253" s="85"/>
      <c r="S1253" s="85"/>
      <c r="T1253" s="85"/>
      <c r="U1253" s="16"/>
      <c r="V1253" s="16"/>
      <c r="W1253" s="61"/>
      <c r="X1253" s="61"/>
      <c r="Y1253" s="61"/>
      <c r="Z1253" s="61"/>
      <c r="AA1253" s="61"/>
      <c r="AB1253" s="61"/>
      <c r="AC1253" s="61"/>
      <c r="AD1253" s="64"/>
    </row>
    <row r="1254" spans="1:30" ht="15" customHeight="1">
      <c r="A1254" s="118" t="s">
        <v>2653</v>
      </c>
      <c r="B1254" s="130"/>
      <c r="C1254" s="118" t="s">
        <v>3817</v>
      </c>
      <c r="D1254" s="141"/>
      <c r="E1254" s="118"/>
      <c r="F1254" s="118"/>
      <c r="G1254" s="118" t="s">
        <v>2079</v>
      </c>
      <c r="H1254" s="118" t="s">
        <v>7333</v>
      </c>
      <c r="I1254" s="118" t="s">
        <v>7540</v>
      </c>
      <c r="J1254" s="118" t="s">
        <v>7541</v>
      </c>
      <c r="K1254" s="141"/>
      <c r="L1254" s="135" t="str">
        <f t="shared" si="72"/>
        <v>Thylogale thetis</v>
      </c>
      <c r="M1254" s="133">
        <f t="shared" si="73"/>
        <v>3.7323937598229686</v>
      </c>
      <c r="N1254" s="133">
        <v>5400</v>
      </c>
      <c r="O1254" s="179" t="s">
        <v>3356</v>
      </c>
      <c r="P1254" s="108">
        <v>59</v>
      </c>
    </row>
    <row r="1255" spans="1:30">
      <c r="A1255" s="118" t="s">
        <v>2653</v>
      </c>
      <c r="B1255" s="130"/>
      <c r="C1255" s="118" t="s">
        <v>3817</v>
      </c>
      <c r="D1255" s="141"/>
      <c r="E1255" s="118"/>
      <c r="F1255" s="118"/>
      <c r="G1255" s="118" t="s">
        <v>2079</v>
      </c>
      <c r="H1255" s="118" t="s">
        <v>7333</v>
      </c>
      <c r="I1255" s="118" t="s">
        <v>7540</v>
      </c>
      <c r="J1255" s="118" t="s">
        <v>3754</v>
      </c>
      <c r="K1255" s="141"/>
      <c r="L1255" s="135" t="str">
        <f t="shared" si="72"/>
        <v>Thylogale billardierii</v>
      </c>
      <c r="M1255" s="133">
        <f t="shared" si="73"/>
        <v>3.7363965022766426</v>
      </c>
      <c r="N1255" s="133">
        <v>5450</v>
      </c>
      <c r="O1255" s="179" t="s">
        <v>3356</v>
      </c>
      <c r="P1255" s="108">
        <v>59</v>
      </c>
    </row>
    <row r="1256" spans="1:30">
      <c r="A1256" s="118" t="s">
        <v>2653</v>
      </c>
      <c r="B1256" s="130"/>
      <c r="C1256" s="118" t="s">
        <v>3817</v>
      </c>
      <c r="D1256" s="141"/>
      <c r="E1256" s="118"/>
      <c r="F1256" s="118"/>
      <c r="G1256" s="118" t="s">
        <v>2079</v>
      </c>
      <c r="H1256" s="118" t="s">
        <v>7333</v>
      </c>
      <c r="I1256" s="118" t="s">
        <v>4009</v>
      </c>
      <c r="J1256" s="118" t="s">
        <v>4010</v>
      </c>
      <c r="K1256" s="141"/>
      <c r="L1256" s="135" t="str">
        <f t="shared" si="72"/>
        <v>Wallabia bicolor</v>
      </c>
      <c r="M1256" s="133">
        <f t="shared" si="73"/>
        <v>4.1760912590556813</v>
      </c>
      <c r="N1256" s="133">
        <v>15000</v>
      </c>
      <c r="O1256" s="179" t="s">
        <v>3356</v>
      </c>
      <c r="P1256" s="108">
        <v>59</v>
      </c>
    </row>
    <row r="1257" spans="1:30">
      <c r="A1257" s="118" t="s">
        <v>2653</v>
      </c>
      <c r="B1257" s="130"/>
      <c r="C1257" s="118" t="s">
        <v>3817</v>
      </c>
      <c r="D1257" s="141"/>
      <c r="E1257" s="118"/>
      <c r="F1257" s="118"/>
      <c r="G1257" s="118" t="s">
        <v>2079</v>
      </c>
      <c r="H1257" s="118" t="s">
        <v>4267</v>
      </c>
      <c r="I1257" s="118" t="s">
        <v>3787</v>
      </c>
      <c r="J1257" s="118" t="s">
        <v>3788</v>
      </c>
      <c r="K1257" s="141"/>
      <c r="L1257" s="135" t="str">
        <f t="shared" si="72"/>
        <v>Dactylopsila trivirgata</v>
      </c>
      <c r="M1257" s="133">
        <f t="shared" si="73"/>
        <v>2.6263403673750423</v>
      </c>
      <c r="N1257" s="133">
        <v>423</v>
      </c>
      <c r="O1257" s="179" t="s">
        <v>3356</v>
      </c>
      <c r="P1257" s="108">
        <v>59</v>
      </c>
    </row>
    <row r="1258" spans="1:30">
      <c r="A1258" s="118" t="s">
        <v>2653</v>
      </c>
      <c r="B1258" s="130"/>
      <c r="C1258" s="118" t="s">
        <v>3817</v>
      </c>
      <c r="D1258" s="141"/>
      <c r="E1258" s="118"/>
      <c r="F1258" s="118"/>
      <c r="G1258" s="118" t="s">
        <v>2079</v>
      </c>
      <c r="H1258" s="118" t="s">
        <v>4267</v>
      </c>
      <c r="I1258" s="118" t="s">
        <v>4270</v>
      </c>
      <c r="J1258" s="118" t="s">
        <v>4261</v>
      </c>
      <c r="K1258" s="141"/>
      <c r="L1258" s="135" t="str">
        <f t="shared" si="72"/>
        <v>Gymnobelideus leadbeateri</v>
      </c>
      <c r="M1258" s="133">
        <f t="shared" si="73"/>
        <v>2.1038037209559568</v>
      </c>
      <c r="N1258" s="133">
        <v>127</v>
      </c>
      <c r="O1258" s="179" t="s">
        <v>6882</v>
      </c>
      <c r="P1258" s="108">
        <v>59</v>
      </c>
      <c r="Q1258" s="90" t="s">
        <v>6640</v>
      </c>
    </row>
    <row r="1259" spans="1:30">
      <c r="A1259" s="118" t="s">
        <v>2653</v>
      </c>
      <c r="B1259" s="130"/>
      <c r="C1259" s="118" t="s">
        <v>3817</v>
      </c>
      <c r="D1259" s="141"/>
      <c r="E1259" s="118"/>
      <c r="F1259" s="118"/>
      <c r="G1259" s="118" t="s">
        <v>2079</v>
      </c>
      <c r="H1259" s="118" t="s">
        <v>4267</v>
      </c>
      <c r="I1259" s="118" t="s">
        <v>4268</v>
      </c>
      <c r="J1259" s="118" t="s">
        <v>4269</v>
      </c>
      <c r="K1259" s="141"/>
      <c r="L1259" s="135" t="str">
        <f t="shared" si="72"/>
        <v>Petaurus breviceps</v>
      </c>
      <c r="M1259" s="133">
        <f t="shared" si="73"/>
        <v>2.1055101847699738</v>
      </c>
      <c r="N1259" s="133">
        <v>127.5</v>
      </c>
      <c r="O1259" s="179" t="s">
        <v>3356</v>
      </c>
      <c r="P1259" s="108">
        <v>59</v>
      </c>
    </row>
    <row r="1260" spans="1:30" ht="25.5">
      <c r="A1260" s="118" t="s">
        <v>2653</v>
      </c>
      <c r="B1260" s="130"/>
      <c r="C1260" s="118" t="s">
        <v>3817</v>
      </c>
      <c r="D1260" s="141"/>
      <c r="E1260" s="118"/>
      <c r="F1260" s="118"/>
      <c r="G1260" s="118" t="s">
        <v>2079</v>
      </c>
      <c r="H1260" s="118" t="s">
        <v>4267</v>
      </c>
      <c r="I1260" s="118" t="s">
        <v>4268</v>
      </c>
      <c r="J1260" s="118" t="s">
        <v>3798</v>
      </c>
      <c r="K1260" s="141"/>
      <c r="L1260" s="135" t="str">
        <f t="shared" si="72"/>
        <v>Petaurus norfolcensis</v>
      </c>
      <c r="M1260" s="133">
        <f t="shared" si="73"/>
        <v>2.3617278360175931</v>
      </c>
      <c r="N1260" s="133">
        <v>230</v>
      </c>
      <c r="O1260" s="179" t="s">
        <v>8149</v>
      </c>
      <c r="P1260" s="108">
        <v>59</v>
      </c>
      <c r="Q1260" s="90" t="s">
        <v>6642</v>
      </c>
    </row>
    <row r="1261" spans="1:30" ht="25.5">
      <c r="A1261" s="118" t="s">
        <v>2653</v>
      </c>
      <c r="B1261" s="130"/>
      <c r="C1261" s="118" t="s">
        <v>3817</v>
      </c>
      <c r="D1261" s="141"/>
      <c r="E1261" s="118"/>
      <c r="F1261" s="118"/>
      <c r="G1261" s="118" t="s">
        <v>2079</v>
      </c>
      <c r="H1261" s="118" t="s">
        <v>4267</v>
      </c>
      <c r="I1261" s="118" t="s">
        <v>4268</v>
      </c>
      <c r="J1261" s="118" t="s">
        <v>3786</v>
      </c>
      <c r="K1261" s="141"/>
      <c r="L1261" s="135" t="str">
        <f t="shared" si="72"/>
        <v>Petaurus gracilis</v>
      </c>
      <c r="M1261" s="133">
        <f t="shared" si="73"/>
        <v>2.5477747053878224</v>
      </c>
      <c r="N1261" s="133">
        <v>353</v>
      </c>
      <c r="O1261" s="179" t="s">
        <v>8149</v>
      </c>
      <c r="P1261" s="108">
        <v>59</v>
      </c>
      <c r="Q1261" s="90" t="s">
        <v>6640</v>
      </c>
    </row>
    <row r="1262" spans="1:30">
      <c r="A1262" s="118" t="s">
        <v>2653</v>
      </c>
      <c r="B1262" s="130"/>
      <c r="C1262" s="118" t="s">
        <v>3817</v>
      </c>
      <c r="D1262" s="141"/>
      <c r="E1262" s="118"/>
      <c r="F1262" s="118"/>
      <c r="G1262" s="118" t="s">
        <v>2079</v>
      </c>
      <c r="H1262" s="118" t="s">
        <v>4267</v>
      </c>
      <c r="I1262" s="118" t="s">
        <v>4268</v>
      </c>
      <c r="J1262" s="118" t="s">
        <v>3789</v>
      </c>
      <c r="K1262" s="141"/>
      <c r="L1262" s="135" t="str">
        <f t="shared" si="72"/>
        <v>Petaurus australis</v>
      </c>
      <c r="M1262" s="133">
        <f t="shared" si="73"/>
        <v>2.7596678446896306</v>
      </c>
      <c r="N1262" s="133">
        <v>575</v>
      </c>
      <c r="O1262" s="179" t="s">
        <v>6641</v>
      </c>
      <c r="P1262" s="108">
        <v>59</v>
      </c>
      <c r="Q1262" s="90" t="s">
        <v>6642</v>
      </c>
    </row>
    <row r="1263" spans="1:30" ht="15" customHeight="1">
      <c r="A1263" s="118" t="s">
        <v>2653</v>
      </c>
      <c r="B1263" s="130"/>
      <c r="C1263" s="118" t="s">
        <v>3817</v>
      </c>
      <c r="D1263" s="141"/>
      <c r="E1263" s="118"/>
      <c r="F1263" s="118"/>
      <c r="G1263" s="118" t="s">
        <v>2079</v>
      </c>
      <c r="H1263" s="118" t="s">
        <v>3793</v>
      </c>
      <c r="I1263" s="118" t="s">
        <v>3797</v>
      </c>
      <c r="J1263" s="118" t="s">
        <v>3805</v>
      </c>
      <c r="K1263" s="141"/>
      <c r="L1263" s="135" t="str">
        <f t="shared" si="72"/>
        <v>Phalanger orientalis</v>
      </c>
      <c r="M1263" s="133">
        <f t="shared" si="73"/>
        <v>3.2671717284030137</v>
      </c>
      <c r="N1263" s="133">
        <v>1850</v>
      </c>
      <c r="O1263" s="179" t="s">
        <v>3356</v>
      </c>
      <c r="P1263" s="108">
        <v>59</v>
      </c>
    </row>
    <row r="1264" spans="1:30">
      <c r="A1264" s="118" t="s">
        <v>2653</v>
      </c>
      <c r="B1264" s="130"/>
      <c r="C1264" s="118" t="s">
        <v>3817</v>
      </c>
      <c r="D1264" s="141"/>
      <c r="E1264" s="118"/>
      <c r="F1264" s="118"/>
      <c r="G1264" s="118" t="s">
        <v>2079</v>
      </c>
      <c r="H1264" s="118" t="s">
        <v>3793</v>
      </c>
      <c r="I1264" s="118" t="s">
        <v>4251</v>
      </c>
      <c r="J1264" s="118" t="s">
        <v>3513</v>
      </c>
      <c r="K1264" s="141"/>
      <c r="L1264" s="135" t="str">
        <f t="shared" si="72"/>
        <v>Spilocuscus maculatus</v>
      </c>
      <c r="M1264" s="133">
        <f t="shared" si="73"/>
        <v>3.8061799739838871</v>
      </c>
      <c r="N1264" s="133">
        <v>6400</v>
      </c>
      <c r="O1264" s="179" t="s">
        <v>3356</v>
      </c>
      <c r="P1264" s="108">
        <v>59</v>
      </c>
    </row>
    <row r="1265" spans="1:17" ht="25.5">
      <c r="A1265" s="118" t="s">
        <v>2653</v>
      </c>
      <c r="B1265" s="141" t="s">
        <v>8306</v>
      </c>
      <c r="C1265" s="118" t="s">
        <v>3817</v>
      </c>
      <c r="D1265" s="141"/>
      <c r="E1265" s="118"/>
      <c r="F1265" s="118"/>
      <c r="G1265" s="118" t="s">
        <v>2079</v>
      </c>
      <c r="H1265" s="118" t="s">
        <v>3793</v>
      </c>
      <c r="I1265" s="118" t="s">
        <v>3799</v>
      </c>
      <c r="J1265" s="118" t="s">
        <v>5493</v>
      </c>
      <c r="K1265" s="141"/>
      <c r="L1265" s="135" t="str">
        <f t="shared" si="72"/>
        <v>Trichosurus arnhemensis</v>
      </c>
      <c r="M1265" s="133">
        <f t="shared" si="73"/>
        <v>3.1139433523068369</v>
      </c>
      <c r="N1265" s="133">
        <v>1300</v>
      </c>
      <c r="O1265" s="179" t="s">
        <v>3356</v>
      </c>
      <c r="P1265" s="108">
        <v>75</v>
      </c>
      <c r="Q1265" s="95"/>
    </row>
    <row r="1266" spans="1:17" ht="15" customHeight="1">
      <c r="A1266" s="118" t="s">
        <v>2653</v>
      </c>
      <c r="B1266" s="130"/>
      <c r="C1266" s="118" t="s">
        <v>3817</v>
      </c>
      <c r="D1266" s="141"/>
      <c r="E1266" s="118"/>
      <c r="F1266" s="118"/>
      <c r="G1266" s="118" t="s">
        <v>2079</v>
      </c>
      <c r="H1266" s="118" t="s">
        <v>3793</v>
      </c>
      <c r="I1266" s="118" t="s">
        <v>3799</v>
      </c>
      <c r="J1266" s="118" t="s">
        <v>3809</v>
      </c>
      <c r="K1266" s="141"/>
      <c r="L1266" s="135" t="str">
        <f t="shared" si="72"/>
        <v>Trichosurus vulpecula</v>
      </c>
      <c r="M1266" s="133">
        <f t="shared" si="73"/>
        <v>3.4232458739368079</v>
      </c>
      <c r="N1266" s="133">
        <v>2650</v>
      </c>
      <c r="O1266" s="179" t="s">
        <v>3356</v>
      </c>
      <c r="P1266" s="108">
        <v>59</v>
      </c>
    </row>
    <row r="1267" spans="1:17">
      <c r="A1267" s="118" t="s">
        <v>2653</v>
      </c>
      <c r="B1267" s="130"/>
      <c r="C1267" s="118" t="s">
        <v>3817</v>
      </c>
      <c r="D1267" s="141"/>
      <c r="E1267" s="118"/>
      <c r="F1267" s="118"/>
      <c r="G1267" s="118" t="s">
        <v>2079</v>
      </c>
      <c r="H1267" s="118" t="s">
        <v>3793</v>
      </c>
      <c r="I1267" s="118" t="s">
        <v>3799</v>
      </c>
      <c r="J1267" s="118" t="s">
        <v>3810</v>
      </c>
      <c r="K1267" s="141"/>
      <c r="L1267" s="135" t="str">
        <f t="shared" si="72"/>
        <v>Trichosurus caninus</v>
      </c>
      <c r="M1267" s="133">
        <f t="shared" si="73"/>
        <v>3.5440680443502757</v>
      </c>
      <c r="N1267" s="133">
        <v>3500</v>
      </c>
      <c r="O1267" s="179" t="s">
        <v>3356</v>
      </c>
      <c r="P1267" s="108">
        <v>59</v>
      </c>
    </row>
    <row r="1268" spans="1:17">
      <c r="A1268" s="118" t="s">
        <v>2653</v>
      </c>
      <c r="B1268" s="130"/>
      <c r="C1268" s="118" t="s">
        <v>3817</v>
      </c>
      <c r="D1268" s="141"/>
      <c r="E1268" s="118"/>
      <c r="F1268" s="118"/>
      <c r="G1268" s="118" t="s">
        <v>2079</v>
      </c>
      <c r="H1268" s="118" t="s">
        <v>3793</v>
      </c>
      <c r="I1268" s="118" t="s">
        <v>3794</v>
      </c>
      <c r="J1268" s="118" t="s">
        <v>3595</v>
      </c>
      <c r="K1268" s="141"/>
      <c r="L1268" s="135" t="str">
        <f t="shared" si="72"/>
        <v>Wyulda squamicaudata</v>
      </c>
      <c r="M1268" s="133">
        <f t="shared" si="73"/>
        <v>3.2240148113728639</v>
      </c>
      <c r="N1268" s="133">
        <v>1675</v>
      </c>
      <c r="O1268" s="179" t="s">
        <v>6882</v>
      </c>
      <c r="P1268" s="108">
        <v>59</v>
      </c>
      <c r="Q1268" s="90" t="s">
        <v>6642</v>
      </c>
    </row>
    <row r="1269" spans="1:17">
      <c r="A1269" s="118" t="s">
        <v>2653</v>
      </c>
      <c r="B1269" s="130"/>
      <c r="C1269" s="118" t="s">
        <v>3817</v>
      </c>
      <c r="D1269" s="141"/>
      <c r="E1269" s="118"/>
      <c r="F1269" s="118"/>
      <c r="G1269" s="118" t="s">
        <v>2079</v>
      </c>
      <c r="H1269" s="118" t="s">
        <v>7207</v>
      </c>
      <c r="I1269" s="118" t="s">
        <v>4484</v>
      </c>
      <c r="J1269" s="118" t="s">
        <v>4485</v>
      </c>
      <c r="K1269" s="141"/>
      <c r="L1269" s="135" t="str">
        <f t="shared" si="72"/>
        <v>Phascolarctos cinereus</v>
      </c>
      <c r="M1269" s="133">
        <f t="shared" si="73"/>
        <v>4.0107238653917729</v>
      </c>
      <c r="N1269" s="133">
        <v>10250</v>
      </c>
      <c r="O1269" s="179" t="s">
        <v>6771</v>
      </c>
      <c r="P1269" s="108">
        <v>59</v>
      </c>
      <c r="Q1269" s="90" t="s">
        <v>6642</v>
      </c>
    </row>
    <row r="1270" spans="1:17">
      <c r="A1270" s="118" t="s">
        <v>2653</v>
      </c>
      <c r="B1270" s="130"/>
      <c r="C1270" s="118" t="s">
        <v>3817</v>
      </c>
      <c r="D1270" s="141"/>
      <c r="E1270" s="118"/>
      <c r="F1270" s="118"/>
      <c r="G1270" s="118" t="s">
        <v>2079</v>
      </c>
      <c r="H1270" s="118" t="s">
        <v>4486</v>
      </c>
      <c r="I1270" s="118" t="s">
        <v>4478</v>
      </c>
      <c r="J1270" s="118" t="s">
        <v>4446</v>
      </c>
      <c r="K1270" s="141"/>
      <c r="L1270" s="135" t="str">
        <f t="shared" si="72"/>
        <v>Aepyprymnus rufescens</v>
      </c>
      <c r="M1270" s="133">
        <f t="shared" si="73"/>
        <v>3.5118833609788744</v>
      </c>
      <c r="N1270" s="133">
        <v>3250</v>
      </c>
      <c r="O1270" s="179" t="s">
        <v>3356</v>
      </c>
      <c r="P1270" s="108">
        <v>59</v>
      </c>
    </row>
    <row r="1271" spans="1:17" ht="25.5">
      <c r="A1271" s="118" t="s">
        <v>2653</v>
      </c>
      <c r="B1271" s="130"/>
      <c r="C1271" s="118" t="s">
        <v>3817</v>
      </c>
      <c r="D1271" s="141"/>
      <c r="E1271" s="118"/>
      <c r="F1271" s="118"/>
      <c r="G1271" s="118" t="s">
        <v>2079</v>
      </c>
      <c r="H1271" s="118" t="s">
        <v>4486</v>
      </c>
      <c r="I1271" s="118" t="s">
        <v>3829</v>
      </c>
      <c r="J1271" s="118" t="s">
        <v>7098</v>
      </c>
      <c r="K1271" s="141"/>
      <c r="L1271" s="135" t="str">
        <f t="shared" si="72"/>
        <v>Bettongia penicillata</v>
      </c>
      <c r="M1271" s="133">
        <f t="shared" si="73"/>
        <v>3.1139433523068369</v>
      </c>
      <c r="N1271" s="133">
        <v>1300</v>
      </c>
      <c r="O1271" s="179" t="s">
        <v>6869</v>
      </c>
      <c r="P1271" s="108">
        <v>59</v>
      </c>
      <c r="Q1271" s="90" t="s">
        <v>6642</v>
      </c>
    </row>
    <row r="1272" spans="1:17" ht="51">
      <c r="A1272" s="118" t="s">
        <v>2653</v>
      </c>
      <c r="B1272" s="130"/>
      <c r="C1272" s="118" t="s">
        <v>3817</v>
      </c>
      <c r="D1272" s="141"/>
      <c r="E1272" s="118"/>
      <c r="F1272" s="118"/>
      <c r="G1272" s="118" t="s">
        <v>2079</v>
      </c>
      <c r="H1272" s="118" t="s">
        <v>4486</v>
      </c>
      <c r="I1272" s="118" t="s">
        <v>3829</v>
      </c>
      <c r="J1272" s="118" t="s">
        <v>3830</v>
      </c>
      <c r="K1272" s="141"/>
      <c r="L1272" s="135" t="str">
        <f t="shared" si="72"/>
        <v>Bettongia lesueur</v>
      </c>
      <c r="M1272" s="133">
        <f t="shared" si="73"/>
        <v>3.1760912590556813</v>
      </c>
      <c r="N1272" s="133">
        <v>1500</v>
      </c>
      <c r="O1272" s="179" t="s">
        <v>6956</v>
      </c>
      <c r="P1272" s="108">
        <v>59</v>
      </c>
      <c r="Q1272" s="90" t="s">
        <v>6988</v>
      </c>
    </row>
    <row r="1273" spans="1:17" ht="15" customHeight="1">
      <c r="A1273" s="118" t="s">
        <v>2653</v>
      </c>
      <c r="B1273" s="130"/>
      <c r="C1273" s="118" t="s">
        <v>3817</v>
      </c>
      <c r="D1273" s="141"/>
      <c r="E1273" s="118"/>
      <c r="F1273" s="118"/>
      <c r="G1273" s="118" t="s">
        <v>2079</v>
      </c>
      <c r="H1273" s="118" t="s">
        <v>4486</v>
      </c>
      <c r="I1273" s="118" t="s">
        <v>3829</v>
      </c>
      <c r="J1273" s="118" t="s">
        <v>7012</v>
      </c>
      <c r="K1273" s="141"/>
      <c r="L1273" s="135" t="str">
        <f t="shared" si="72"/>
        <v>Bettongia gaimardi</v>
      </c>
      <c r="M1273" s="133">
        <f t="shared" si="73"/>
        <v>3.220108088040055</v>
      </c>
      <c r="N1273" s="133">
        <v>1660</v>
      </c>
      <c r="O1273" s="179" t="s">
        <v>6882</v>
      </c>
      <c r="P1273" s="108">
        <v>59</v>
      </c>
      <c r="Q1273" s="90" t="s">
        <v>6642</v>
      </c>
    </row>
    <row r="1274" spans="1:17">
      <c r="A1274" s="118" t="s">
        <v>2653</v>
      </c>
      <c r="B1274" s="130"/>
      <c r="C1274" s="118" t="s">
        <v>3817</v>
      </c>
      <c r="D1274" s="141"/>
      <c r="E1274" s="118"/>
      <c r="F1274" s="118"/>
      <c r="G1274" s="118" t="s">
        <v>2079</v>
      </c>
      <c r="H1274" s="118" t="s">
        <v>4486</v>
      </c>
      <c r="I1274" s="118" t="s">
        <v>4487</v>
      </c>
      <c r="J1274" s="118" t="s">
        <v>7233</v>
      </c>
      <c r="K1274" s="141"/>
      <c r="L1274" s="135" t="str">
        <f t="shared" si="72"/>
        <v>Hypsiprymnodon moschatus</v>
      </c>
      <c r="M1274" s="133">
        <f t="shared" si="73"/>
        <v>2.716003343634799</v>
      </c>
      <c r="N1274" s="133">
        <v>520</v>
      </c>
      <c r="O1274" s="179" t="s">
        <v>3356</v>
      </c>
      <c r="P1274" s="108">
        <v>59</v>
      </c>
    </row>
    <row r="1275" spans="1:17" ht="25.5">
      <c r="A1275" s="118" t="s">
        <v>2653</v>
      </c>
      <c r="B1275" s="130"/>
      <c r="C1275" s="118" t="s">
        <v>3817</v>
      </c>
      <c r="D1275" s="141"/>
      <c r="E1275" s="118"/>
      <c r="F1275" s="118"/>
      <c r="G1275" s="118" t="s">
        <v>2079</v>
      </c>
      <c r="H1275" s="118" t="s">
        <v>4486</v>
      </c>
      <c r="I1275" s="118" t="s">
        <v>3796</v>
      </c>
      <c r="J1275" s="118" t="s">
        <v>4477</v>
      </c>
      <c r="K1275" s="141"/>
      <c r="L1275" s="135" t="str">
        <f t="shared" si="72"/>
        <v>Potorous tridactylus</v>
      </c>
      <c r="M1275" s="133">
        <f t="shared" si="73"/>
        <v>3.0413926851582249</v>
      </c>
      <c r="N1275" s="133">
        <v>1100</v>
      </c>
      <c r="O1275" s="179" t="s">
        <v>6869</v>
      </c>
      <c r="P1275" s="108">
        <v>59</v>
      </c>
      <c r="Q1275" s="90" t="s">
        <v>7071</v>
      </c>
    </row>
    <row r="1276" spans="1:17" ht="25.5">
      <c r="A1276" s="118" t="s">
        <v>2653</v>
      </c>
      <c r="B1276" s="130"/>
      <c r="C1276" s="118" t="s">
        <v>3817</v>
      </c>
      <c r="D1276" s="141"/>
      <c r="E1276" s="118"/>
      <c r="F1276" s="118"/>
      <c r="G1276" s="118" t="s">
        <v>2079</v>
      </c>
      <c r="H1276" s="118" t="s">
        <v>4486</v>
      </c>
      <c r="I1276" s="118" t="s">
        <v>3796</v>
      </c>
      <c r="J1276" s="118" t="s">
        <v>3808</v>
      </c>
      <c r="K1276" s="141"/>
      <c r="L1276" s="135" t="str">
        <f t="shared" si="72"/>
        <v>Potorous longipes</v>
      </c>
      <c r="M1276" s="133">
        <f t="shared" si="73"/>
        <v>3.2787536009528289</v>
      </c>
      <c r="N1276" s="133">
        <v>1900</v>
      </c>
      <c r="O1276" s="179" t="s">
        <v>8149</v>
      </c>
      <c r="P1276" s="108">
        <v>59</v>
      </c>
      <c r="Q1276" s="90" t="s">
        <v>6640</v>
      </c>
    </row>
    <row r="1277" spans="1:17">
      <c r="A1277" s="118" t="s">
        <v>2653</v>
      </c>
      <c r="B1277" s="130"/>
      <c r="C1277" s="118" t="s">
        <v>3817</v>
      </c>
      <c r="D1277" s="141"/>
      <c r="E1277" s="118"/>
      <c r="F1277" s="118"/>
      <c r="G1277" s="118" t="s">
        <v>2079</v>
      </c>
      <c r="H1277" s="118" t="s">
        <v>7301</v>
      </c>
      <c r="I1277" s="118" t="s">
        <v>7253</v>
      </c>
      <c r="J1277" s="118" t="s">
        <v>7254</v>
      </c>
      <c r="K1277" s="141"/>
      <c r="L1277" s="135" t="str">
        <f t="shared" si="72"/>
        <v>Hemibelideus lemuroides</v>
      </c>
      <c r="M1277" s="133">
        <f t="shared" ref="M1277:M1308" si="74">LOG(N1277)</f>
        <v>2.9788649843476569</v>
      </c>
      <c r="N1277" s="133">
        <v>952.5</v>
      </c>
      <c r="O1277" s="179" t="s">
        <v>3356</v>
      </c>
      <c r="P1277" s="108">
        <v>59</v>
      </c>
      <c r="Q1277" s="90" t="s">
        <v>6642</v>
      </c>
    </row>
    <row r="1278" spans="1:17">
      <c r="A1278" s="118" t="s">
        <v>2653</v>
      </c>
      <c r="B1278" s="130"/>
      <c r="C1278" s="118" t="s">
        <v>3817</v>
      </c>
      <c r="D1278" s="141"/>
      <c r="E1278" s="118"/>
      <c r="F1278" s="118"/>
      <c r="G1278" s="118" t="s">
        <v>2079</v>
      </c>
      <c r="H1278" s="118" t="s">
        <v>7301</v>
      </c>
      <c r="I1278" s="118" t="s">
        <v>4448</v>
      </c>
      <c r="J1278" s="118" t="s">
        <v>4449</v>
      </c>
      <c r="K1278" s="141"/>
      <c r="L1278" s="135" t="str">
        <f t="shared" si="72"/>
        <v>Petauroides volans</v>
      </c>
      <c r="M1278" s="133">
        <f t="shared" si="74"/>
        <v>3.1139433523068369</v>
      </c>
      <c r="N1278" s="133">
        <v>1300</v>
      </c>
      <c r="O1278" s="179" t="s">
        <v>3356</v>
      </c>
      <c r="P1278" s="108">
        <v>59</v>
      </c>
    </row>
    <row r="1279" spans="1:17">
      <c r="A1279" s="118" t="s">
        <v>2653</v>
      </c>
      <c r="B1279" s="130"/>
      <c r="C1279" s="118" t="s">
        <v>3817</v>
      </c>
      <c r="D1279" s="141"/>
      <c r="E1279" s="118"/>
      <c r="F1279" s="118"/>
      <c r="G1279" s="118" t="s">
        <v>2079</v>
      </c>
      <c r="H1279" s="118" t="s">
        <v>7301</v>
      </c>
      <c r="I1279" s="118" t="s">
        <v>4450</v>
      </c>
      <c r="J1279" s="118" t="s">
        <v>4457</v>
      </c>
      <c r="K1279" s="141"/>
      <c r="L1279" s="135" t="str">
        <f t="shared" si="72"/>
        <v>Petropseudes dahli</v>
      </c>
      <c r="M1279" s="133">
        <f t="shared" si="74"/>
        <v>3.214843848047698</v>
      </c>
      <c r="N1279" s="133">
        <v>1640</v>
      </c>
      <c r="O1279" s="179" t="s">
        <v>3356</v>
      </c>
      <c r="P1279" s="108">
        <v>59</v>
      </c>
    </row>
    <row r="1280" spans="1:17" ht="25.5">
      <c r="A1280" s="118" t="s">
        <v>2653</v>
      </c>
      <c r="B1280" s="130"/>
      <c r="C1280" s="118" t="s">
        <v>3817</v>
      </c>
      <c r="D1280" s="141"/>
      <c r="E1280" s="118"/>
      <c r="F1280" s="118"/>
      <c r="G1280" s="118" t="s">
        <v>2079</v>
      </c>
      <c r="H1280" s="118" t="s">
        <v>7301</v>
      </c>
      <c r="I1280" s="118" t="s">
        <v>7302</v>
      </c>
      <c r="J1280" s="118" t="s">
        <v>7303</v>
      </c>
      <c r="K1280" s="141"/>
      <c r="L1280" s="135" t="str">
        <f t="shared" si="72"/>
        <v>Pseudocheirus peregrinus</v>
      </c>
      <c r="M1280" s="133">
        <f t="shared" si="74"/>
        <v>2.9542425094393248</v>
      </c>
      <c r="N1280" s="133">
        <v>900</v>
      </c>
      <c r="O1280" s="179" t="s">
        <v>7014</v>
      </c>
      <c r="P1280" s="108">
        <v>59</v>
      </c>
      <c r="Q1280" s="90" t="s">
        <v>6988</v>
      </c>
    </row>
    <row r="1281" spans="1:20">
      <c r="A1281" s="118" t="s">
        <v>2653</v>
      </c>
      <c r="B1281" s="130"/>
      <c r="C1281" s="118" t="s">
        <v>3817</v>
      </c>
      <c r="D1281" s="141"/>
      <c r="E1281" s="118"/>
      <c r="F1281" s="118"/>
      <c r="G1281" s="118" t="s">
        <v>2079</v>
      </c>
      <c r="H1281" s="118" t="s">
        <v>7301</v>
      </c>
      <c r="I1281" s="118" t="s">
        <v>7302</v>
      </c>
      <c r="J1281" s="118" t="s">
        <v>7255</v>
      </c>
      <c r="K1281" s="141"/>
      <c r="L1281" s="135" t="str">
        <f t="shared" si="72"/>
        <v>Pseudocheirus herbertensis</v>
      </c>
      <c r="M1281" s="133">
        <f t="shared" si="74"/>
        <v>3.0472748673841794</v>
      </c>
      <c r="N1281" s="133">
        <v>1115</v>
      </c>
      <c r="O1281" s="179" t="s">
        <v>6882</v>
      </c>
      <c r="P1281" s="108">
        <v>59</v>
      </c>
      <c r="Q1281" s="90" t="s">
        <v>6642</v>
      </c>
    </row>
    <row r="1282" spans="1:20">
      <c r="A1282" s="118" t="s">
        <v>2653</v>
      </c>
      <c r="B1282" s="130"/>
      <c r="C1282" s="118" t="s">
        <v>3817</v>
      </c>
      <c r="D1282" s="141"/>
      <c r="E1282" s="118"/>
      <c r="F1282" s="118"/>
      <c r="G1282" s="118" t="s">
        <v>2079</v>
      </c>
      <c r="H1282" s="118" t="s">
        <v>7301</v>
      </c>
      <c r="I1282" s="118" t="s">
        <v>7256</v>
      </c>
      <c r="J1282" s="118" t="s">
        <v>7148</v>
      </c>
      <c r="K1282" s="141"/>
      <c r="L1282" s="135" t="str">
        <f t="shared" si="72"/>
        <v>Pseudochirops archeri</v>
      </c>
      <c r="M1282" s="133">
        <f t="shared" si="74"/>
        <v>3.038023740045158</v>
      </c>
      <c r="N1282" s="133">
        <v>1091.5</v>
      </c>
      <c r="O1282" s="179" t="s">
        <v>6882</v>
      </c>
      <c r="P1282" s="108">
        <v>59</v>
      </c>
      <c r="Q1282" s="90" t="s">
        <v>6642</v>
      </c>
    </row>
    <row r="1283" spans="1:20">
      <c r="A1283" s="118" t="s">
        <v>2653</v>
      </c>
      <c r="B1283" s="130"/>
      <c r="C1283" s="118" t="s">
        <v>3817</v>
      </c>
      <c r="D1283" s="141"/>
      <c r="E1283" s="118"/>
      <c r="F1283" s="118"/>
      <c r="G1283" s="118" t="s">
        <v>2079</v>
      </c>
      <c r="H1283" s="118" t="s">
        <v>4458</v>
      </c>
      <c r="I1283" s="118" t="s">
        <v>4459</v>
      </c>
      <c r="J1283" s="118" t="s">
        <v>4048</v>
      </c>
      <c r="K1283" s="141"/>
      <c r="L1283" s="135" t="str">
        <f t="shared" si="72"/>
        <v>Tarsipes rostratus</v>
      </c>
      <c r="M1283" s="133">
        <f t="shared" si="74"/>
        <v>0.95424250943932487</v>
      </c>
      <c r="N1283" s="133">
        <v>9</v>
      </c>
      <c r="O1283" s="179" t="s">
        <v>3356</v>
      </c>
      <c r="P1283" s="108">
        <v>59</v>
      </c>
    </row>
    <row r="1284" spans="1:20">
      <c r="A1284" s="118" t="s">
        <v>2653</v>
      </c>
      <c r="B1284" s="130"/>
      <c r="C1284" s="118" t="s">
        <v>3817</v>
      </c>
      <c r="D1284" s="141"/>
      <c r="E1284" s="118"/>
      <c r="F1284" s="118"/>
      <c r="G1284" s="118" t="s">
        <v>2079</v>
      </c>
      <c r="H1284" s="118" t="s">
        <v>4461</v>
      </c>
      <c r="I1284" s="118" t="s">
        <v>4462</v>
      </c>
      <c r="J1284" s="118" t="s">
        <v>4463</v>
      </c>
      <c r="K1284" s="141"/>
      <c r="L1284" s="135" t="str">
        <f t="shared" si="72"/>
        <v>Lasiorhinus krefftii</v>
      </c>
      <c r="M1284" s="133">
        <f t="shared" si="74"/>
        <v>3.4623979978989561</v>
      </c>
      <c r="N1284" s="133">
        <v>2900</v>
      </c>
      <c r="O1284" s="179" t="s">
        <v>6641</v>
      </c>
      <c r="P1284" s="108">
        <v>59</v>
      </c>
      <c r="Q1284" s="90" t="s">
        <v>7071</v>
      </c>
    </row>
    <row r="1285" spans="1:20">
      <c r="A1285" s="118" t="s">
        <v>2653</v>
      </c>
      <c r="B1285" s="130"/>
      <c r="C1285" s="118" t="s">
        <v>3817</v>
      </c>
      <c r="D1285" s="141"/>
      <c r="E1285" s="118"/>
      <c r="F1285" s="118"/>
      <c r="G1285" s="118" t="s">
        <v>2079</v>
      </c>
      <c r="H1285" s="118" t="s">
        <v>4461</v>
      </c>
      <c r="I1285" s="118" t="s">
        <v>4462</v>
      </c>
      <c r="J1285" s="118" t="s">
        <v>4464</v>
      </c>
      <c r="K1285" s="141"/>
      <c r="L1285" s="135" t="str">
        <f t="shared" ref="L1285:L1348" si="75">I1285&amp;" "&amp;J1285</f>
        <v>Lasiorhinus latifrons</v>
      </c>
      <c r="M1285" s="133">
        <f t="shared" si="74"/>
        <v>4.4065401804339555</v>
      </c>
      <c r="N1285" s="133">
        <v>25500</v>
      </c>
      <c r="O1285" s="179" t="s">
        <v>3356</v>
      </c>
      <c r="P1285" s="108">
        <v>59</v>
      </c>
    </row>
    <row r="1286" spans="1:20">
      <c r="A1286" s="118" t="s">
        <v>2653</v>
      </c>
      <c r="B1286" s="130"/>
      <c r="C1286" s="118" t="s">
        <v>3817</v>
      </c>
      <c r="D1286" s="141"/>
      <c r="E1286" s="118"/>
      <c r="F1286" s="118"/>
      <c r="G1286" s="118" t="s">
        <v>2079</v>
      </c>
      <c r="H1286" s="118" t="s">
        <v>4461</v>
      </c>
      <c r="I1286" s="118" t="s">
        <v>4469</v>
      </c>
      <c r="J1286" s="118" t="s">
        <v>4470</v>
      </c>
      <c r="K1286" s="141"/>
      <c r="L1286" s="135" t="str">
        <f t="shared" si="75"/>
        <v>Vombatus ursinus</v>
      </c>
      <c r="M1286" s="133">
        <f t="shared" si="74"/>
        <v>4.4149733479708182</v>
      </c>
      <c r="N1286" s="133">
        <v>26000</v>
      </c>
      <c r="O1286" s="179" t="s">
        <v>3356</v>
      </c>
      <c r="P1286" s="108">
        <v>59</v>
      </c>
    </row>
    <row r="1287" spans="1:20">
      <c r="A1287" s="118" t="s">
        <v>2653</v>
      </c>
      <c r="B1287" s="130"/>
      <c r="C1287" s="118" t="s">
        <v>4955</v>
      </c>
      <c r="D1287" s="141"/>
      <c r="E1287" s="118"/>
      <c r="F1287" s="118"/>
      <c r="G1287" s="118" t="s">
        <v>7345</v>
      </c>
      <c r="H1287" s="118" t="s">
        <v>7346</v>
      </c>
      <c r="I1287" s="118" t="s">
        <v>7336</v>
      </c>
      <c r="J1287" s="118" t="s">
        <v>4210</v>
      </c>
      <c r="K1287" s="141"/>
      <c r="L1287" s="135" t="str">
        <f t="shared" si="75"/>
        <v>Oryctolagus cuniculus</v>
      </c>
      <c r="M1287" s="133">
        <f t="shared" si="74"/>
        <v>3.1986570869544226</v>
      </c>
      <c r="N1287" s="133">
        <v>1580</v>
      </c>
      <c r="O1287" s="179" t="s">
        <v>5904</v>
      </c>
      <c r="P1287" s="111">
        <v>59</v>
      </c>
    </row>
    <row r="1288" spans="1:20">
      <c r="A1288" s="118" t="s">
        <v>2653</v>
      </c>
      <c r="B1288" s="130"/>
      <c r="C1288" s="118" t="s">
        <v>3817</v>
      </c>
      <c r="D1288" s="141"/>
      <c r="E1288" s="118"/>
      <c r="F1288" s="118"/>
      <c r="G1288" s="118" t="s">
        <v>7345</v>
      </c>
      <c r="H1288" s="118" t="s">
        <v>7346</v>
      </c>
      <c r="I1288" s="118" t="s">
        <v>7340</v>
      </c>
      <c r="J1288" s="118" t="s">
        <v>4259</v>
      </c>
      <c r="K1288" s="141"/>
      <c r="L1288" s="135" t="str">
        <f t="shared" si="75"/>
        <v>Lepus capensis</v>
      </c>
      <c r="M1288" s="133">
        <f t="shared" si="74"/>
        <v>3.6020599913279625</v>
      </c>
      <c r="N1288" s="133">
        <v>4000</v>
      </c>
      <c r="O1288" s="179" t="s">
        <v>3356</v>
      </c>
      <c r="P1288" s="108">
        <v>59</v>
      </c>
    </row>
    <row r="1289" spans="1:20">
      <c r="A1289" s="134" t="s">
        <v>2653</v>
      </c>
      <c r="B1289" s="135"/>
      <c r="C1289" s="136" t="s">
        <v>5092</v>
      </c>
      <c r="D1289" s="220"/>
      <c r="E1289" s="136"/>
      <c r="F1289" s="136"/>
      <c r="G1289" s="134" t="s">
        <v>7115</v>
      </c>
      <c r="H1289" s="134" t="s">
        <v>4475</v>
      </c>
      <c r="I1289" s="134" t="s">
        <v>4708</v>
      </c>
      <c r="J1289" s="134" t="s">
        <v>4709</v>
      </c>
      <c r="K1289" s="135"/>
      <c r="L1289" s="135" t="str">
        <f t="shared" si="75"/>
        <v>Megalibgwilia ramsayi</v>
      </c>
      <c r="M1289" s="133">
        <f t="shared" si="74"/>
        <v>4</v>
      </c>
      <c r="N1289" s="137">
        <v>10000</v>
      </c>
      <c r="O1289" s="180"/>
      <c r="P1289" s="109" t="s">
        <v>2481</v>
      </c>
    </row>
    <row r="1290" spans="1:20">
      <c r="A1290" s="134" t="s">
        <v>2653</v>
      </c>
      <c r="B1290" s="135"/>
      <c r="C1290" s="136" t="s">
        <v>5092</v>
      </c>
      <c r="D1290" s="220"/>
      <c r="E1290" s="136"/>
      <c r="F1290" s="136"/>
      <c r="G1290" s="134" t="s">
        <v>7115</v>
      </c>
      <c r="H1290" s="134" t="s">
        <v>4475</v>
      </c>
      <c r="I1290" s="134" t="s">
        <v>5817</v>
      </c>
      <c r="J1290" s="134" t="s">
        <v>4707</v>
      </c>
      <c r="K1290" s="135"/>
      <c r="L1290" s="135" t="str">
        <f t="shared" si="75"/>
        <v>Zaglossus hacketti</v>
      </c>
      <c r="M1290" s="133">
        <f t="shared" si="74"/>
        <v>4.4771212547196626</v>
      </c>
      <c r="N1290" s="137">
        <v>30000</v>
      </c>
      <c r="O1290" s="180"/>
      <c r="P1290" s="110" t="s">
        <v>2481</v>
      </c>
    </row>
    <row r="1291" spans="1:20">
      <c r="A1291" s="118" t="s">
        <v>2653</v>
      </c>
      <c r="B1291" s="130"/>
      <c r="C1291" s="118" t="s">
        <v>3817</v>
      </c>
      <c r="D1291" s="141"/>
      <c r="E1291" s="118"/>
      <c r="F1291" s="118"/>
      <c r="G1291" s="118" t="s">
        <v>7115</v>
      </c>
      <c r="H1291" s="118" t="s">
        <v>3802</v>
      </c>
      <c r="I1291" s="118" t="s">
        <v>3803</v>
      </c>
      <c r="J1291" s="118" t="s">
        <v>4250</v>
      </c>
      <c r="K1291" s="141"/>
      <c r="L1291" s="135" t="str">
        <f t="shared" si="75"/>
        <v>Ornithorhynchus anatinus</v>
      </c>
      <c r="M1291" s="133">
        <f t="shared" si="74"/>
        <v>3.1715070575980961</v>
      </c>
      <c r="N1291" s="133">
        <v>1484.25</v>
      </c>
      <c r="O1291" s="179" t="s">
        <v>3356</v>
      </c>
      <c r="P1291" s="108">
        <v>59</v>
      </c>
      <c r="T1291" s="90"/>
    </row>
    <row r="1292" spans="1:20">
      <c r="A1292" s="118" t="s">
        <v>2653</v>
      </c>
      <c r="B1292" s="130"/>
      <c r="C1292" s="118" t="s">
        <v>3817</v>
      </c>
      <c r="D1292" s="141"/>
      <c r="E1292" s="118"/>
      <c r="F1292" s="118"/>
      <c r="G1292" s="118" t="s">
        <v>7115</v>
      </c>
      <c r="H1292" s="118" t="s">
        <v>4475</v>
      </c>
      <c r="I1292" s="118" t="s">
        <v>4476</v>
      </c>
      <c r="J1292" s="118" t="s">
        <v>7114</v>
      </c>
      <c r="K1292" s="141"/>
      <c r="L1292" s="135" t="str">
        <f t="shared" si="75"/>
        <v>Tachyglossus aculeatus</v>
      </c>
      <c r="M1292" s="133">
        <f t="shared" si="74"/>
        <v>3.6532125137753435</v>
      </c>
      <c r="N1292" s="133">
        <v>4500</v>
      </c>
      <c r="O1292" s="179" t="s">
        <v>3356</v>
      </c>
      <c r="P1292" s="108">
        <v>59</v>
      </c>
    </row>
    <row r="1293" spans="1:20" ht="25.5">
      <c r="A1293" s="118" t="s">
        <v>2653</v>
      </c>
      <c r="B1293" s="130" t="s">
        <v>7668</v>
      </c>
      <c r="C1293" s="118" t="s">
        <v>3817</v>
      </c>
      <c r="D1293" s="141"/>
      <c r="E1293" s="118"/>
      <c r="F1293" s="118"/>
      <c r="G1293" s="118" t="s">
        <v>7058</v>
      </c>
      <c r="H1293" s="118" t="s">
        <v>7011</v>
      </c>
      <c r="I1293" s="118" t="s">
        <v>4453</v>
      </c>
      <c r="J1293" s="118" t="s">
        <v>8261</v>
      </c>
      <c r="K1293" s="141"/>
      <c r="L1293" s="135" t="str">
        <f t="shared" si="75"/>
        <v>Notoryctes caurinus</v>
      </c>
      <c r="M1293" s="133">
        <f t="shared" si="74"/>
        <v>1.5314789170422551</v>
      </c>
      <c r="N1293" s="158">
        <v>34</v>
      </c>
      <c r="O1293" s="194" t="s">
        <v>7033</v>
      </c>
      <c r="P1293" s="108">
        <v>228</v>
      </c>
      <c r="Q1293" s="80" t="s">
        <v>6640</v>
      </c>
    </row>
    <row r="1294" spans="1:20">
      <c r="A1294" s="118" t="s">
        <v>2653</v>
      </c>
      <c r="B1294" s="130"/>
      <c r="C1294" s="118" t="s">
        <v>3817</v>
      </c>
      <c r="D1294" s="141"/>
      <c r="E1294" s="118"/>
      <c r="F1294" s="118"/>
      <c r="G1294" s="118" t="s">
        <v>7058</v>
      </c>
      <c r="H1294" s="118" t="s">
        <v>7011</v>
      </c>
      <c r="I1294" s="118" t="s">
        <v>4453</v>
      </c>
      <c r="J1294" s="118" t="s">
        <v>4454</v>
      </c>
      <c r="K1294" s="141"/>
      <c r="L1294" s="135" t="str">
        <f t="shared" si="75"/>
        <v>Notoryctes typhlops</v>
      </c>
      <c r="M1294" s="133">
        <f t="shared" si="74"/>
        <v>1.7403626894942439</v>
      </c>
      <c r="N1294" s="133">
        <v>55</v>
      </c>
      <c r="O1294" s="194" t="s">
        <v>7034</v>
      </c>
      <c r="P1294" s="108">
        <v>59</v>
      </c>
      <c r="Q1294" s="90" t="s">
        <v>6640</v>
      </c>
    </row>
    <row r="1295" spans="1:20" ht="25.5">
      <c r="A1295" s="214" t="s">
        <v>2653</v>
      </c>
      <c r="B1295" s="135"/>
      <c r="C1295" s="136" t="s">
        <v>3931</v>
      </c>
      <c r="D1295" s="220">
        <v>1901</v>
      </c>
      <c r="E1295" s="136"/>
      <c r="F1295" s="136"/>
      <c r="G1295" s="134" t="s">
        <v>2551</v>
      </c>
      <c r="H1295" s="134" t="s">
        <v>2552</v>
      </c>
      <c r="I1295" s="134" t="s">
        <v>5514</v>
      </c>
      <c r="J1295" s="134" t="s">
        <v>5815</v>
      </c>
      <c r="K1295" s="135" t="s">
        <v>25</v>
      </c>
      <c r="L1295" s="135" t="str">
        <f t="shared" si="75"/>
        <v>Chaeropus ecaudatus</v>
      </c>
      <c r="M1295" s="133">
        <f t="shared" si="74"/>
        <v>2.3010299956639813</v>
      </c>
      <c r="N1295" s="137">
        <v>200</v>
      </c>
      <c r="O1295" s="180" t="s">
        <v>7040</v>
      </c>
      <c r="P1295" s="116" t="s">
        <v>7111</v>
      </c>
      <c r="Q1295" s="90" t="s">
        <v>6907</v>
      </c>
    </row>
    <row r="1296" spans="1:20" ht="25.5">
      <c r="A1296" s="214" t="s">
        <v>2653</v>
      </c>
      <c r="B1296" s="135"/>
      <c r="C1296" s="136" t="s">
        <v>3931</v>
      </c>
      <c r="D1296" s="220">
        <v>1943</v>
      </c>
      <c r="E1296" s="136"/>
      <c r="F1296" s="136"/>
      <c r="G1296" s="134" t="s">
        <v>2551</v>
      </c>
      <c r="H1296" s="134" t="s">
        <v>2552</v>
      </c>
      <c r="I1296" s="134" t="s">
        <v>2553</v>
      </c>
      <c r="J1296" s="134" t="s">
        <v>4465</v>
      </c>
      <c r="K1296" s="135" t="s">
        <v>27</v>
      </c>
      <c r="L1296" s="135" t="str">
        <f t="shared" si="75"/>
        <v>Perameles eremiana</v>
      </c>
      <c r="M1296" s="133">
        <f t="shared" si="74"/>
        <v>2.6989700043360187</v>
      </c>
      <c r="N1296" s="137">
        <v>500</v>
      </c>
      <c r="O1296" s="180" t="s">
        <v>6971</v>
      </c>
      <c r="P1296" s="116">
        <v>4</v>
      </c>
      <c r="Q1296" s="95" t="s">
        <v>6907</v>
      </c>
    </row>
    <row r="1297" spans="1:30" ht="15" customHeight="1">
      <c r="A1297" s="214" t="s">
        <v>2653</v>
      </c>
      <c r="B1297" s="135"/>
      <c r="C1297" s="136" t="s">
        <v>3931</v>
      </c>
      <c r="D1297" s="220">
        <v>1960</v>
      </c>
      <c r="E1297" s="136"/>
      <c r="F1297" s="136"/>
      <c r="G1297" s="134" t="s">
        <v>2551</v>
      </c>
      <c r="H1297" s="134" t="s">
        <v>2552</v>
      </c>
      <c r="I1297" s="134" t="s">
        <v>2555</v>
      </c>
      <c r="J1297" s="134" t="s">
        <v>2556</v>
      </c>
      <c r="K1297" s="135" t="s">
        <v>26</v>
      </c>
      <c r="L1297" s="135" t="str">
        <f t="shared" si="75"/>
        <v>Macrotis leucura</v>
      </c>
      <c r="M1297" s="133">
        <f t="shared" si="74"/>
        <v>2.5490032620257876</v>
      </c>
      <c r="N1297" s="137">
        <v>354</v>
      </c>
      <c r="O1297" s="180" t="s">
        <v>6886</v>
      </c>
      <c r="P1297" s="116" t="s">
        <v>7110</v>
      </c>
      <c r="Q1297" s="90" t="s">
        <v>6907</v>
      </c>
    </row>
    <row r="1298" spans="1:30">
      <c r="A1298" s="214" t="s">
        <v>2653</v>
      </c>
      <c r="B1298" s="135"/>
      <c r="C1298" s="136" t="s">
        <v>5092</v>
      </c>
      <c r="D1298" s="220"/>
      <c r="E1298" s="136"/>
      <c r="F1298" s="136"/>
      <c r="G1298" s="134" t="s">
        <v>2551</v>
      </c>
      <c r="H1298" s="134" t="s">
        <v>5146</v>
      </c>
      <c r="I1298" s="134" t="s">
        <v>2395</v>
      </c>
      <c r="J1298" s="134" t="s">
        <v>2550</v>
      </c>
      <c r="K1298" s="135"/>
      <c r="L1298" s="135" t="str">
        <f t="shared" si="75"/>
        <v>Thylacoleo carnifex</v>
      </c>
      <c r="M1298" s="133">
        <f t="shared" si="74"/>
        <v>5.0606978403536118</v>
      </c>
      <c r="N1298" s="137">
        <v>115000</v>
      </c>
      <c r="O1298" s="180"/>
      <c r="P1298" s="109" t="s">
        <v>5149</v>
      </c>
    </row>
    <row r="1299" spans="1:30">
      <c r="A1299" s="213" t="s">
        <v>2653</v>
      </c>
      <c r="B1299" s="130"/>
      <c r="C1299" s="118" t="s">
        <v>3817</v>
      </c>
      <c r="D1299" s="141"/>
      <c r="E1299" s="118"/>
      <c r="F1299" s="118"/>
      <c r="G1299" s="118" t="s">
        <v>2551</v>
      </c>
      <c r="H1299" s="118" t="s">
        <v>2552</v>
      </c>
      <c r="I1299" s="118" t="s">
        <v>2557</v>
      </c>
      <c r="J1299" s="118" t="s">
        <v>2341</v>
      </c>
      <c r="K1299" s="141"/>
      <c r="L1299" s="135" t="str">
        <f t="shared" si="75"/>
        <v>Isoodon auratus</v>
      </c>
      <c r="M1299" s="133">
        <f t="shared" si="74"/>
        <v>2.6283889300503116</v>
      </c>
      <c r="N1299" s="133">
        <v>425</v>
      </c>
      <c r="O1299" s="179" t="s">
        <v>3356</v>
      </c>
      <c r="P1299" s="108">
        <v>59</v>
      </c>
      <c r="Q1299" s="90" t="s">
        <v>6642</v>
      </c>
    </row>
    <row r="1300" spans="1:30">
      <c r="A1300" s="213" t="s">
        <v>2653</v>
      </c>
      <c r="B1300" s="130"/>
      <c r="C1300" s="118" t="s">
        <v>3817</v>
      </c>
      <c r="D1300" s="141"/>
      <c r="E1300" s="118"/>
      <c r="F1300" s="118"/>
      <c r="G1300" s="118" t="s">
        <v>2551</v>
      </c>
      <c r="H1300" s="118" t="s">
        <v>2552</v>
      </c>
      <c r="I1300" s="118" t="s">
        <v>2557</v>
      </c>
      <c r="J1300" s="118" t="s">
        <v>2690</v>
      </c>
      <c r="K1300" s="141"/>
      <c r="L1300" s="135" t="str">
        <f t="shared" si="75"/>
        <v>Isoodon obesulus</v>
      </c>
      <c r="M1300" s="133">
        <f t="shared" si="74"/>
        <v>2.8893017025063101</v>
      </c>
      <c r="N1300" s="133">
        <v>775</v>
      </c>
      <c r="O1300" s="179" t="s">
        <v>3356</v>
      </c>
      <c r="P1300" s="108">
        <v>59</v>
      </c>
    </row>
    <row r="1301" spans="1:30" ht="15" customHeight="1">
      <c r="A1301" s="118" t="s">
        <v>2653</v>
      </c>
      <c r="B1301" s="130"/>
      <c r="C1301" s="118" t="s">
        <v>3817</v>
      </c>
      <c r="D1301" s="141"/>
      <c r="E1301" s="118"/>
      <c r="F1301" s="118"/>
      <c r="G1301" s="118" t="s">
        <v>2551</v>
      </c>
      <c r="H1301" s="118" t="s">
        <v>2552</v>
      </c>
      <c r="I1301" s="118" t="s">
        <v>2557</v>
      </c>
      <c r="J1301" s="118" t="s">
        <v>2349</v>
      </c>
      <c r="K1301" s="141"/>
      <c r="L1301" s="135" t="str">
        <f t="shared" si="75"/>
        <v>Isoodon macrourus</v>
      </c>
      <c r="M1301" s="133">
        <f t="shared" si="74"/>
        <v>3.2041199826559246</v>
      </c>
      <c r="N1301" s="133">
        <v>1600</v>
      </c>
      <c r="O1301" s="179" t="s">
        <v>3356</v>
      </c>
      <c r="P1301" s="108">
        <v>59</v>
      </c>
    </row>
    <row r="1302" spans="1:30" ht="38.25">
      <c r="A1302" s="118" t="s">
        <v>2653</v>
      </c>
      <c r="B1302" s="130"/>
      <c r="C1302" s="118" t="s">
        <v>3817</v>
      </c>
      <c r="D1302" s="141"/>
      <c r="E1302" s="118"/>
      <c r="F1302" s="118"/>
      <c r="G1302" s="118" t="s">
        <v>2551</v>
      </c>
      <c r="H1302" s="118" t="s">
        <v>2552</v>
      </c>
      <c r="I1302" s="118" t="s">
        <v>2555</v>
      </c>
      <c r="J1302" s="118" t="s">
        <v>2513</v>
      </c>
      <c r="K1302" s="141"/>
      <c r="L1302" s="135" t="str">
        <f t="shared" si="75"/>
        <v>Macrotis lagotis</v>
      </c>
      <c r="M1302" s="133">
        <f t="shared" si="74"/>
        <v>3.1303337684950061</v>
      </c>
      <c r="N1302" s="133">
        <v>1350</v>
      </c>
      <c r="O1302" s="179" t="s">
        <v>7103</v>
      </c>
      <c r="P1302" s="108">
        <v>59</v>
      </c>
      <c r="Q1302" s="90" t="s">
        <v>6988</v>
      </c>
    </row>
    <row r="1303" spans="1:30" ht="15" customHeight="1">
      <c r="A1303" s="118" t="s">
        <v>2653</v>
      </c>
      <c r="B1303" s="130"/>
      <c r="C1303" s="118" t="s">
        <v>3817</v>
      </c>
      <c r="D1303" s="141"/>
      <c r="E1303" s="118"/>
      <c r="F1303" s="118"/>
      <c r="G1303" s="118" t="s">
        <v>2551</v>
      </c>
      <c r="H1303" s="118" t="s">
        <v>2552</v>
      </c>
      <c r="I1303" s="118" t="s">
        <v>2553</v>
      </c>
      <c r="J1303" s="118" t="s">
        <v>2554</v>
      </c>
      <c r="K1303" s="141"/>
      <c r="L1303" s="135" t="str">
        <f t="shared" si="75"/>
        <v>Perameles bougainville</v>
      </c>
      <c r="M1303" s="133">
        <f t="shared" si="74"/>
        <v>2.3541084391474008</v>
      </c>
      <c r="N1303" s="133">
        <v>226</v>
      </c>
      <c r="O1303" s="179" t="s">
        <v>6869</v>
      </c>
      <c r="P1303" s="108">
        <v>59</v>
      </c>
      <c r="Q1303" s="90" t="s">
        <v>6640</v>
      </c>
    </row>
    <row r="1304" spans="1:30">
      <c r="A1304" s="118" t="s">
        <v>2653</v>
      </c>
      <c r="B1304" s="130"/>
      <c r="C1304" s="118" t="s">
        <v>3817</v>
      </c>
      <c r="D1304" s="141"/>
      <c r="E1304" s="118"/>
      <c r="F1304" s="118"/>
      <c r="G1304" s="118" t="s">
        <v>2551</v>
      </c>
      <c r="H1304" s="118" t="s">
        <v>2552</v>
      </c>
      <c r="I1304" s="118" t="s">
        <v>2553</v>
      </c>
      <c r="J1304" s="118" t="s">
        <v>2262</v>
      </c>
      <c r="K1304" s="141"/>
      <c r="L1304" s="135" t="str">
        <f t="shared" si="75"/>
        <v>Perameles gunnii</v>
      </c>
      <c r="M1304" s="133">
        <f t="shared" si="74"/>
        <v>2.9395192526186187</v>
      </c>
      <c r="N1304" s="133">
        <v>870</v>
      </c>
      <c r="O1304" s="179" t="s">
        <v>6882</v>
      </c>
      <c r="P1304" s="108">
        <v>59</v>
      </c>
      <c r="Q1304" s="90" t="s">
        <v>6988</v>
      </c>
    </row>
    <row r="1305" spans="1:30">
      <c r="A1305" s="118" t="s">
        <v>2653</v>
      </c>
      <c r="B1305" s="130"/>
      <c r="C1305" s="118" t="s">
        <v>3817</v>
      </c>
      <c r="D1305" s="141"/>
      <c r="E1305" s="118"/>
      <c r="F1305" s="118"/>
      <c r="G1305" s="118" t="s">
        <v>2551</v>
      </c>
      <c r="H1305" s="118" t="s">
        <v>2552</v>
      </c>
      <c r="I1305" s="118" t="s">
        <v>2553</v>
      </c>
      <c r="J1305" s="118" t="s">
        <v>2348</v>
      </c>
      <c r="K1305" s="141"/>
      <c r="L1305" s="135" t="str">
        <f t="shared" si="75"/>
        <v>Perameles nasuta</v>
      </c>
      <c r="M1305" s="133">
        <f t="shared" si="74"/>
        <v>2.989004615698537</v>
      </c>
      <c r="N1305" s="133">
        <v>975</v>
      </c>
      <c r="O1305" s="179" t="s">
        <v>3356</v>
      </c>
      <c r="P1305" s="108">
        <v>59</v>
      </c>
    </row>
    <row r="1306" spans="1:30" ht="15" customHeight="1">
      <c r="A1306" s="118" t="s">
        <v>2653</v>
      </c>
      <c r="B1306" s="130"/>
      <c r="C1306" s="118" t="s">
        <v>3817</v>
      </c>
      <c r="D1306" s="141"/>
      <c r="E1306" s="118"/>
      <c r="F1306" s="118"/>
      <c r="G1306" s="118" t="s">
        <v>2551</v>
      </c>
      <c r="H1306" s="118" t="s">
        <v>7229</v>
      </c>
      <c r="I1306" s="118" t="s">
        <v>7272</v>
      </c>
      <c r="J1306" s="118" t="s">
        <v>4446</v>
      </c>
      <c r="K1306" s="141"/>
      <c r="L1306" s="135" t="str">
        <f t="shared" si="75"/>
        <v>Echymipera rufescens</v>
      </c>
      <c r="M1306" s="133">
        <f t="shared" si="74"/>
        <v>3.0413926851582249</v>
      </c>
      <c r="N1306" s="133">
        <v>1100</v>
      </c>
      <c r="O1306" s="179" t="s">
        <v>3356</v>
      </c>
      <c r="P1306" s="108">
        <v>59</v>
      </c>
    </row>
    <row r="1307" spans="1:30" ht="15" customHeight="1">
      <c r="A1307" s="211" t="s">
        <v>2653</v>
      </c>
      <c r="B1307" s="138"/>
      <c r="C1307" s="118" t="s">
        <v>4955</v>
      </c>
      <c r="D1307" s="141"/>
      <c r="E1307" s="118"/>
      <c r="F1307" s="118"/>
      <c r="G1307" s="139" t="s">
        <v>7273</v>
      </c>
      <c r="H1307" s="139" t="s">
        <v>2558</v>
      </c>
      <c r="I1307" s="139" t="s">
        <v>2559</v>
      </c>
      <c r="J1307" s="139" t="s">
        <v>2560</v>
      </c>
      <c r="K1307" s="222"/>
      <c r="L1307" s="135" t="str">
        <f t="shared" si="75"/>
        <v>Equus asinus</v>
      </c>
      <c r="M1307" s="133">
        <f t="shared" si="74"/>
        <v>5.5118833609788744</v>
      </c>
      <c r="N1307" s="140">
        <v>325000</v>
      </c>
      <c r="O1307" s="181" t="s">
        <v>3527</v>
      </c>
      <c r="P1307" s="112">
        <v>59</v>
      </c>
    </row>
    <row r="1308" spans="1:30">
      <c r="A1308" s="118" t="s">
        <v>2653</v>
      </c>
      <c r="B1308" s="130"/>
      <c r="C1308" s="118" t="s">
        <v>4955</v>
      </c>
      <c r="D1308" s="141"/>
      <c r="E1308" s="118"/>
      <c r="F1308" s="118"/>
      <c r="G1308" s="118" t="s">
        <v>3618</v>
      </c>
      <c r="H1308" s="118" t="s">
        <v>3638</v>
      </c>
      <c r="I1308" s="118" t="s">
        <v>6536</v>
      </c>
      <c r="J1308" s="118" t="s">
        <v>4307</v>
      </c>
      <c r="K1308" s="141"/>
      <c r="L1308" s="135" t="str">
        <f t="shared" si="75"/>
        <v>Mus musculus</v>
      </c>
      <c r="M1308" s="133">
        <f t="shared" si="74"/>
        <v>1.2174839442139063</v>
      </c>
      <c r="N1308" s="133">
        <v>16.5</v>
      </c>
      <c r="O1308" s="179" t="s">
        <v>5904</v>
      </c>
      <c r="P1308" s="111">
        <v>59</v>
      </c>
    </row>
    <row r="1309" spans="1:30">
      <c r="A1309" s="118" t="s">
        <v>2653</v>
      </c>
      <c r="B1309" s="130"/>
      <c r="C1309" s="118" t="s">
        <v>4955</v>
      </c>
      <c r="D1309" s="141"/>
      <c r="E1309" s="118"/>
      <c r="F1309" s="118"/>
      <c r="G1309" s="118" t="s">
        <v>3618</v>
      </c>
      <c r="H1309" s="118" t="s">
        <v>3638</v>
      </c>
      <c r="I1309" s="118" t="s">
        <v>7644</v>
      </c>
      <c r="J1309" s="118" t="s">
        <v>4023</v>
      </c>
      <c r="K1309" s="141"/>
      <c r="L1309" s="135" t="str">
        <f t="shared" si="75"/>
        <v>Rattus rattus</v>
      </c>
      <c r="M1309" s="133">
        <f t="shared" ref="M1309:M1317" si="76">LOG(N1309)</f>
        <v>2.4471580313422194</v>
      </c>
      <c r="N1309" s="133">
        <v>280</v>
      </c>
      <c r="O1309" s="179" t="s">
        <v>5904</v>
      </c>
      <c r="P1309" s="111">
        <v>59</v>
      </c>
    </row>
    <row r="1310" spans="1:30" s="60" customFormat="1">
      <c r="A1310" s="118" t="s">
        <v>2653</v>
      </c>
      <c r="B1310" s="130"/>
      <c r="C1310" s="118" t="s">
        <v>4955</v>
      </c>
      <c r="D1310" s="141"/>
      <c r="E1310" s="118"/>
      <c r="F1310" s="118"/>
      <c r="G1310" s="118" t="s">
        <v>3618</v>
      </c>
      <c r="H1310" s="118" t="s">
        <v>3638</v>
      </c>
      <c r="I1310" s="118" t="s">
        <v>7644</v>
      </c>
      <c r="J1310" s="118" t="s">
        <v>4015</v>
      </c>
      <c r="K1310" s="141"/>
      <c r="L1310" s="135" t="str">
        <f t="shared" si="75"/>
        <v>Rattus norvegicus</v>
      </c>
      <c r="M1310" s="133">
        <f t="shared" si="76"/>
        <v>2.5051499783199058</v>
      </c>
      <c r="N1310" s="133">
        <v>320</v>
      </c>
      <c r="O1310" s="179" t="s">
        <v>5904</v>
      </c>
      <c r="P1310" s="111">
        <v>59</v>
      </c>
      <c r="Q1310" s="90"/>
      <c r="R1310" s="85"/>
      <c r="S1310" s="85"/>
      <c r="T1310" s="85"/>
      <c r="U1310" s="16"/>
      <c r="V1310" s="16"/>
      <c r="W1310" s="59"/>
      <c r="X1310" s="59"/>
      <c r="Y1310" s="59"/>
      <c r="Z1310" s="59"/>
      <c r="AA1310" s="59"/>
      <c r="AB1310" s="59"/>
      <c r="AC1310" s="59"/>
      <c r="AD1310" s="63"/>
    </row>
    <row r="1311" spans="1:30" ht="25.5">
      <c r="A1311" s="134" t="s">
        <v>2653</v>
      </c>
      <c r="B1311" s="135"/>
      <c r="C1311" s="136" t="s">
        <v>3931</v>
      </c>
      <c r="D1311" s="220"/>
      <c r="E1311" s="136"/>
      <c r="F1311" s="136"/>
      <c r="G1311" s="134" t="s">
        <v>3618</v>
      </c>
      <c r="H1311" s="134" t="s">
        <v>3638</v>
      </c>
      <c r="I1311" s="134" t="s">
        <v>3737</v>
      </c>
      <c r="J1311" s="134" t="s">
        <v>4032</v>
      </c>
      <c r="K1311" s="135"/>
      <c r="L1311" s="135" t="str">
        <f t="shared" si="75"/>
        <v>Conilurus albipes</v>
      </c>
      <c r="M1311" s="133">
        <f t="shared" si="76"/>
        <v>2.3010299956639813</v>
      </c>
      <c r="N1311" s="137">
        <v>200</v>
      </c>
      <c r="O1311" s="180" t="s">
        <v>6959</v>
      </c>
      <c r="P1311" s="116">
        <v>3</v>
      </c>
      <c r="Q1311" s="95" t="s">
        <v>6907</v>
      </c>
    </row>
    <row r="1312" spans="1:30" ht="24" customHeight="1">
      <c r="A1312" s="134" t="s">
        <v>2653</v>
      </c>
      <c r="B1312" s="135"/>
      <c r="C1312" s="136" t="s">
        <v>3931</v>
      </c>
      <c r="D1312" s="220"/>
      <c r="E1312" s="136"/>
      <c r="F1312" s="136"/>
      <c r="G1312" s="134" t="s">
        <v>3618</v>
      </c>
      <c r="H1312" s="134" t="s">
        <v>3638</v>
      </c>
      <c r="I1312" s="134" t="s">
        <v>4016</v>
      </c>
      <c r="J1312" s="134" t="s">
        <v>4328</v>
      </c>
      <c r="K1312" s="135"/>
      <c r="L1312" s="135" t="str">
        <f t="shared" si="75"/>
        <v>Leporillus apicalis</v>
      </c>
      <c r="M1312" s="133">
        <f t="shared" si="76"/>
        <v>2.1760912590556813</v>
      </c>
      <c r="N1312" s="137">
        <v>150</v>
      </c>
      <c r="O1312" s="180" t="s">
        <v>6938</v>
      </c>
      <c r="P1312" s="116">
        <v>3</v>
      </c>
      <c r="Q1312" s="90" t="s">
        <v>6907</v>
      </c>
      <c r="U1312"/>
      <c r="V1312"/>
    </row>
    <row r="1313" spans="1:22" ht="15" customHeight="1">
      <c r="A1313" s="134" t="s">
        <v>2653</v>
      </c>
      <c r="B1313" s="135"/>
      <c r="C1313" s="136" t="s">
        <v>3931</v>
      </c>
      <c r="D1313" s="220"/>
      <c r="E1313" s="136"/>
      <c r="F1313" s="136"/>
      <c r="G1313" s="134" t="s">
        <v>3618</v>
      </c>
      <c r="H1313" s="134" t="s">
        <v>3638</v>
      </c>
      <c r="I1313" s="134" t="s">
        <v>4844</v>
      </c>
      <c r="J1313" s="134" t="s">
        <v>8073</v>
      </c>
      <c r="K1313" s="135"/>
      <c r="L1313" s="135" t="str">
        <f t="shared" si="75"/>
        <v>Notomys amplus</v>
      </c>
      <c r="M1313" s="133">
        <f t="shared" si="76"/>
        <v>1.954242509439325</v>
      </c>
      <c r="N1313" s="137">
        <v>90</v>
      </c>
      <c r="O1313" s="194" t="s">
        <v>7031</v>
      </c>
      <c r="P1313" s="116" t="s">
        <v>1128</v>
      </c>
      <c r="Q1313" s="95" t="s">
        <v>6907</v>
      </c>
    </row>
    <row r="1314" spans="1:22" ht="15" customHeight="1">
      <c r="A1314" s="214" t="s">
        <v>2653</v>
      </c>
      <c r="B1314" s="135"/>
      <c r="C1314" s="136" t="s">
        <v>3931</v>
      </c>
      <c r="D1314" s="220"/>
      <c r="E1314" s="136"/>
      <c r="F1314" s="136"/>
      <c r="G1314" s="134" t="s">
        <v>3618</v>
      </c>
      <c r="H1314" s="134" t="s">
        <v>3638</v>
      </c>
      <c r="I1314" s="134" t="s">
        <v>4844</v>
      </c>
      <c r="J1314" s="134" t="s">
        <v>4141</v>
      </c>
      <c r="K1314" s="135"/>
      <c r="L1314" s="135" t="str">
        <f t="shared" si="75"/>
        <v>Notomys macrotis</v>
      </c>
      <c r="M1314" s="133">
        <f t="shared" si="76"/>
        <v>1.954242509439325</v>
      </c>
      <c r="N1314" s="137">
        <v>90</v>
      </c>
      <c r="O1314" s="180" t="s">
        <v>7032</v>
      </c>
      <c r="P1314" s="116">
        <v>3</v>
      </c>
      <c r="Q1314" s="90" t="s">
        <v>6907</v>
      </c>
    </row>
    <row r="1315" spans="1:22" ht="25.5">
      <c r="A1315" s="134" t="s">
        <v>2653</v>
      </c>
      <c r="B1315" s="135"/>
      <c r="C1315" s="136" t="s">
        <v>3931</v>
      </c>
      <c r="D1315" s="220"/>
      <c r="E1315" s="136"/>
      <c r="F1315" s="136"/>
      <c r="G1315" s="134" t="s">
        <v>3618</v>
      </c>
      <c r="H1315" s="134" t="s">
        <v>3638</v>
      </c>
      <c r="I1315" s="134" t="s">
        <v>4844</v>
      </c>
      <c r="J1315" s="134" t="s">
        <v>6743</v>
      </c>
      <c r="K1315" s="135"/>
      <c r="L1315" s="135" t="str">
        <f t="shared" si="75"/>
        <v>Notomys mordax</v>
      </c>
      <c r="M1315" s="133">
        <f t="shared" si="76"/>
        <v>1.954242509439325</v>
      </c>
      <c r="N1315" s="137">
        <v>90</v>
      </c>
      <c r="O1315" s="194" t="s">
        <v>6972</v>
      </c>
      <c r="P1315" s="116">
        <v>4</v>
      </c>
      <c r="Q1315" s="90" t="s">
        <v>6907</v>
      </c>
    </row>
    <row r="1316" spans="1:22" ht="38.25">
      <c r="A1316" s="139" t="s">
        <v>2653</v>
      </c>
      <c r="B1316" s="138"/>
      <c r="C1316" s="139" t="s">
        <v>3931</v>
      </c>
      <c r="D1316" s="222"/>
      <c r="E1316" s="139"/>
      <c r="F1316" s="139"/>
      <c r="G1316" s="139" t="s">
        <v>3618</v>
      </c>
      <c r="H1316" s="139" t="s">
        <v>3638</v>
      </c>
      <c r="I1316" s="139" t="s">
        <v>4844</v>
      </c>
      <c r="J1316" s="139" t="s">
        <v>3295</v>
      </c>
      <c r="K1316" s="222"/>
      <c r="L1316" s="135" t="str">
        <f t="shared" si="75"/>
        <v>Notomys longicaudatus</v>
      </c>
      <c r="M1316" s="133">
        <f t="shared" si="76"/>
        <v>2</v>
      </c>
      <c r="N1316" s="140">
        <v>100</v>
      </c>
      <c r="O1316" s="181" t="s">
        <v>6837</v>
      </c>
      <c r="P1316" s="113">
        <v>59</v>
      </c>
      <c r="Q1316" s="90" t="s">
        <v>6907</v>
      </c>
    </row>
    <row r="1317" spans="1:22">
      <c r="A1317" s="134" t="s">
        <v>2653</v>
      </c>
      <c r="B1317" s="135"/>
      <c r="C1317" s="136" t="s">
        <v>3931</v>
      </c>
      <c r="D1317" s="220"/>
      <c r="E1317" s="136"/>
      <c r="F1317" s="136"/>
      <c r="G1317" s="134" t="s">
        <v>3618</v>
      </c>
      <c r="H1317" s="134" t="s">
        <v>3638</v>
      </c>
      <c r="I1317" s="134" t="s">
        <v>4844</v>
      </c>
      <c r="J1317" s="134" t="s">
        <v>4710</v>
      </c>
      <c r="K1317" s="135"/>
      <c r="L1317" s="135" t="str">
        <f t="shared" si="75"/>
        <v>Notomys spp1</v>
      </c>
      <c r="M1317" s="133">
        <f t="shared" si="76"/>
        <v>2.6989700043360187</v>
      </c>
      <c r="N1317" s="137">
        <v>500</v>
      </c>
      <c r="O1317" s="180" t="s">
        <v>6976</v>
      </c>
      <c r="P1317" s="116" t="s">
        <v>6973</v>
      </c>
      <c r="Q1317" s="95"/>
    </row>
    <row r="1318" spans="1:22" ht="25.5">
      <c r="A1318" s="118" t="s">
        <v>2653</v>
      </c>
      <c r="B1318" s="141" t="s">
        <v>7629</v>
      </c>
      <c r="C1318" s="118" t="s">
        <v>3931</v>
      </c>
      <c r="D1318" s="141"/>
      <c r="E1318" s="118"/>
      <c r="F1318" s="118"/>
      <c r="G1318" s="118" t="s">
        <v>3618</v>
      </c>
      <c r="H1318" s="118" t="s">
        <v>3638</v>
      </c>
      <c r="I1318" s="118" t="s">
        <v>7414</v>
      </c>
      <c r="J1318" s="118" t="s">
        <v>5787</v>
      </c>
      <c r="K1318" s="141"/>
      <c r="L1318" s="135" t="str">
        <f t="shared" si="75"/>
        <v>Pseudomys glaucus</v>
      </c>
      <c r="M1318" s="133">
        <v>-999</v>
      </c>
      <c r="N1318" s="133">
        <v>-999</v>
      </c>
      <c r="O1318" s="180" t="s">
        <v>6976</v>
      </c>
      <c r="P1318" s="111">
        <v>-999</v>
      </c>
      <c r="Q1318" s="90" t="s">
        <v>7071</v>
      </c>
    </row>
    <row r="1319" spans="1:22" ht="25.5">
      <c r="A1319" s="118" t="s">
        <v>2653</v>
      </c>
      <c r="B1319" s="130"/>
      <c r="C1319" s="118" t="s">
        <v>3931</v>
      </c>
      <c r="D1319" s="141"/>
      <c r="E1319" s="118"/>
      <c r="F1319" s="118"/>
      <c r="G1319" s="118" t="s">
        <v>3618</v>
      </c>
      <c r="H1319" s="118" t="s">
        <v>3638</v>
      </c>
      <c r="I1319" s="118" t="s">
        <v>7414</v>
      </c>
      <c r="J1319" s="118" t="s">
        <v>3735</v>
      </c>
      <c r="K1319" s="141"/>
      <c r="L1319" s="135" t="str">
        <f t="shared" si="75"/>
        <v>Pseudomys fieldi</v>
      </c>
      <c r="M1319" s="133">
        <f t="shared" ref="M1319:M1338" si="77">LOG(N1319)</f>
        <v>1.6532125137753437</v>
      </c>
      <c r="N1319" s="133">
        <v>45</v>
      </c>
      <c r="O1319" s="179" t="s">
        <v>6942</v>
      </c>
      <c r="P1319" s="111">
        <v>59</v>
      </c>
      <c r="Q1319" s="90" t="s">
        <v>7071</v>
      </c>
    </row>
    <row r="1320" spans="1:22" ht="15" customHeight="1">
      <c r="A1320" s="134" t="s">
        <v>2653</v>
      </c>
      <c r="B1320" s="135"/>
      <c r="C1320" s="136" t="s">
        <v>3931</v>
      </c>
      <c r="D1320" s="220"/>
      <c r="E1320" s="136"/>
      <c r="F1320" s="136"/>
      <c r="G1320" s="134" t="s">
        <v>3618</v>
      </c>
      <c r="H1320" s="134" t="s">
        <v>3638</v>
      </c>
      <c r="I1320" s="134" t="s">
        <v>7414</v>
      </c>
      <c r="J1320" s="134" t="s">
        <v>6742</v>
      </c>
      <c r="K1320" s="135"/>
      <c r="L1320" s="135" t="str">
        <f t="shared" si="75"/>
        <v>Pseudomys gouldii</v>
      </c>
      <c r="M1320" s="133">
        <f t="shared" si="77"/>
        <v>1.6989700043360187</v>
      </c>
      <c r="N1320" s="137">
        <v>50</v>
      </c>
      <c r="O1320" s="180" t="s">
        <v>6850</v>
      </c>
      <c r="P1320" s="116">
        <v>3</v>
      </c>
      <c r="Q1320" s="90" t="s">
        <v>6907</v>
      </c>
    </row>
    <row r="1321" spans="1:22" ht="25.5">
      <c r="A1321" s="134" t="s">
        <v>2653</v>
      </c>
      <c r="B1321" s="135"/>
      <c r="C1321" s="136" t="s">
        <v>3931</v>
      </c>
      <c r="D1321" s="220"/>
      <c r="E1321" s="136"/>
      <c r="F1321" s="136"/>
      <c r="G1321" s="134" t="s">
        <v>3618</v>
      </c>
      <c r="H1321" s="134" t="s">
        <v>3638</v>
      </c>
      <c r="I1321" s="134" t="s">
        <v>7414</v>
      </c>
      <c r="J1321" s="134" t="s">
        <v>2335</v>
      </c>
      <c r="K1321" s="135"/>
      <c r="L1321" s="135" t="str">
        <f t="shared" si="75"/>
        <v>Pseudomys spp 1</v>
      </c>
      <c r="M1321" s="133">
        <f t="shared" si="77"/>
        <v>1.6989700043360187</v>
      </c>
      <c r="N1321" s="137">
        <v>50</v>
      </c>
      <c r="O1321" s="180" t="s">
        <v>6974</v>
      </c>
      <c r="P1321" s="116" t="s">
        <v>6973</v>
      </c>
      <c r="Q1321" s="95"/>
    </row>
    <row r="1322" spans="1:22">
      <c r="A1322" s="118" t="s">
        <v>2653</v>
      </c>
      <c r="B1322" s="130"/>
      <c r="C1322" s="121" t="s">
        <v>3817</v>
      </c>
      <c r="D1322" s="156"/>
      <c r="E1322" s="121"/>
      <c r="F1322" s="121"/>
      <c r="G1322" s="121" t="s">
        <v>3618</v>
      </c>
      <c r="H1322" s="118" t="s">
        <v>3638</v>
      </c>
      <c r="I1322" s="121" t="s">
        <v>3737</v>
      </c>
      <c r="J1322" s="121" t="s">
        <v>3156</v>
      </c>
      <c r="K1322" s="156"/>
      <c r="L1322" s="135" t="str">
        <f t="shared" si="75"/>
        <v>Conilurus penicillatus</v>
      </c>
      <c r="M1322" s="133">
        <f t="shared" si="77"/>
        <v>2.1861083798132053</v>
      </c>
      <c r="N1322" s="133">
        <v>153.5</v>
      </c>
      <c r="O1322" s="179" t="s">
        <v>3356</v>
      </c>
      <c r="P1322" s="108">
        <v>59</v>
      </c>
    </row>
    <row r="1323" spans="1:22">
      <c r="A1323" s="118" t="s">
        <v>2653</v>
      </c>
      <c r="B1323" s="130"/>
      <c r="C1323" s="118" t="s">
        <v>3817</v>
      </c>
      <c r="D1323" s="141"/>
      <c r="E1323" s="118"/>
      <c r="F1323" s="118"/>
      <c r="G1323" s="118" t="s">
        <v>3618</v>
      </c>
      <c r="H1323" s="118" t="s">
        <v>3638</v>
      </c>
      <c r="I1323" s="118" t="s">
        <v>4275</v>
      </c>
      <c r="J1323" s="118" t="s">
        <v>4276</v>
      </c>
      <c r="K1323" s="141"/>
      <c r="L1323" s="135" t="str">
        <f t="shared" si="75"/>
        <v>Hydromys chrysogaster</v>
      </c>
      <c r="M1323" s="133">
        <f t="shared" si="77"/>
        <v>2.782472624166286</v>
      </c>
      <c r="N1323" s="133">
        <v>606</v>
      </c>
      <c r="O1323" s="179" t="s">
        <v>3356</v>
      </c>
      <c r="P1323" s="108">
        <v>59</v>
      </c>
    </row>
    <row r="1324" spans="1:22">
      <c r="A1324" s="118" t="s">
        <v>2653</v>
      </c>
      <c r="B1324" s="130"/>
      <c r="C1324" s="118" t="s">
        <v>3817</v>
      </c>
      <c r="D1324" s="141"/>
      <c r="E1324" s="118"/>
      <c r="F1324" s="118"/>
      <c r="G1324" s="118" t="s">
        <v>3618</v>
      </c>
      <c r="H1324" s="118" t="s">
        <v>3638</v>
      </c>
      <c r="I1324" s="118" t="s">
        <v>3324</v>
      </c>
      <c r="J1324" s="118" t="s">
        <v>7371</v>
      </c>
      <c r="K1324" s="141"/>
      <c r="L1324" s="135" t="str">
        <f t="shared" si="75"/>
        <v>Leggadina lakedownensis</v>
      </c>
      <c r="M1324" s="133">
        <f t="shared" si="77"/>
        <v>1.2430380486862944</v>
      </c>
      <c r="N1324" s="133">
        <v>17.5</v>
      </c>
      <c r="O1324" s="179" t="s">
        <v>7080</v>
      </c>
      <c r="P1324" s="108">
        <v>59</v>
      </c>
      <c r="Q1324" s="90" t="s">
        <v>6642</v>
      </c>
      <c r="U1324" s="20"/>
      <c r="V1324" s="20"/>
    </row>
    <row r="1325" spans="1:22" ht="12" customHeight="1">
      <c r="A1325" s="118" t="s">
        <v>2653</v>
      </c>
      <c r="B1325" s="130"/>
      <c r="C1325" s="118" t="s">
        <v>3817</v>
      </c>
      <c r="D1325" s="141"/>
      <c r="E1325" s="118"/>
      <c r="F1325" s="118"/>
      <c r="G1325" s="118" t="s">
        <v>3618</v>
      </c>
      <c r="H1325" s="118" t="s">
        <v>3638</v>
      </c>
      <c r="I1325" s="118" t="s">
        <v>3324</v>
      </c>
      <c r="J1325" s="118" t="s">
        <v>7360</v>
      </c>
      <c r="K1325" s="141"/>
      <c r="L1325" s="135" t="str">
        <f t="shared" si="75"/>
        <v>Leggadina forresti</v>
      </c>
      <c r="M1325" s="133">
        <f t="shared" si="77"/>
        <v>1.3010299956639813</v>
      </c>
      <c r="N1325" s="133">
        <v>20</v>
      </c>
      <c r="O1325" s="179" t="s">
        <v>6882</v>
      </c>
      <c r="P1325" s="108">
        <v>59</v>
      </c>
      <c r="Q1325" s="90" t="s">
        <v>6642</v>
      </c>
      <c r="R1325" s="89"/>
      <c r="U1325" s="20"/>
      <c r="V1325" s="20"/>
    </row>
    <row r="1326" spans="1:22">
      <c r="A1326" s="118" t="s">
        <v>2653</v>
      </c>
      <c r="B1326" s="130"/>
      <c r="C1326" s="118" t="s">
        <v>3817</v>
      </c>
      <c r="D1326" s="141"/>
      <c r="E1326" s="118"/>
      <c r="F1326" s="118"/>
      <c r="G1326" s="118" t="s">
        <v>3618</v>
      </c>
      <c r="H1326" s="118" t="s">
        <v>3638</v>
      </c>
      <c r="I1326" s="118" t="s">
        <v>4016</v>
      </c>
      <c r="J1326" s="118" t="s">
        <v>4017</v>
      </c>
      <c r="K1326" s="141"/>
      <c r="L1326" s="135" t="str">
        <f t="shared" si="75"/>
        <v>Leporillus conditor</v>
      </c>
      <c r="M1326" s="133">
        <f t="shared" si="77"/>
        <v>2.5440680443502757</v>
      </c>
      <c r="N1326" s="133">
        <v>350</v>
      </c>
      <c r="O1326" s="179" t="s">
        <v>6882</v>
      </c>
      <c r="P1326" s="108">
        <v>59</v>
      </c>
      <c r="Q1326" s="90" t="s">
        <v>6640</v>
      </c>
      <c r="U1326"/>
      <c r="V1326"/>
    </row>
    <row r="1327" spans="1:22">
      <c r="A1327" s="118" t="s">
        <v>2653</v>
      </c>
      <c r="B1327" s="130"/>
      <c r="C1327" s="118" t="s">
        <v>3817</v>
      </c>
      <c r="D1327" s="141"/>
      <c r="E1327" s="118"/>
      <c r="F1327" s="118"/>
      <c r="G1327" s="118" t="s">
        <v>3618</v>
      </c>
      <c r="H1327" s="118" t="s">
        <v>3638</v>
      </c>
      <c r="I1327" s="118" t="s">
        <v>3941</v>
      </c>
      <c r="J1327" s="118" t="s">
        <v>3942</v>
      </c>
      <c r="K1327" s="141"/>
      <c r="L1327" s="135" t="str">
        <f t="shared" si="75"/>
        <v>Melomys burtoni</v>
      </c>
      <c r="M1327" s="133">
        <f t="shared" si="77"/>
        <v>1.8356905714924256</v>
      </c>
      <c r="N1327" s="133">
        <v>68.5</v>
      </c>
      <c r="O1327" s="179" t="s">
        <v>3356</v>
      </c>
      <c r="P1327" s="108">
        <v>59</v>
      </c>
      <c r="U1327" s="20"/>
      <c r="V1327" s="20"/>
    </row>
    <row r="1328" spans="1:22">
      <c r="A1328" s="118" t="s">
        <v>2653</v>
      </c>
      <c r="B1328" s="130"/>
      <c r="C1328" s="118" t="s">
        <v>3817</v>
      </c>
      <c r="D1328" s="141"/>
      <c r="E1328" s="118"/>
      <c r="F1328" s="118"/>
      <c r="G1328" s="118" t="s">
        <v>3618</v>
      </c>
      <c r="H1328" s="118" t="s">
        <v>3638</v>
      </c>
      <c r="I1328" s="118" t="s">
        <v>3941</v>
      </c>
      <c r="J1328" s="118" t="s">
        <v>4259</v>
      </c>
      <c r="K1328" s="141"/>
      <c r="L1328" s="135" t="str">
        <f t="shared" si="75"/>
        <v>Melomys capensis</v>
      </c>
      <c r="M1328" s="133">
        <f t="shared" si="77"/>
        <v>1.8450980400142569</v>
      </c>
      <c r="N1328" s="133">
        <v>70</v>
      </c>
      <c r="O1328" s="179" t="s">
        <v>3356</v>
      </c>
      <c r="P1328" s="108">
        <v>59</v>
      </c>
      <c r="U1328" s="20"/>
      <c r="V1328" s="20"/>
    </row>
    <row r="1329" spans="1:18">
      <c r="A1329" s="118" t="s">
        <v>2653</v>
      </c>
      <c r="B1329" s="130"/>
      <c r="C1329" s="118" t="s">
        <v>3817</v>
      </c>
      <c r="D1329" s="141"/>
      <c r="E1329" s="118"/>
      <c r="F1329" s="118"/>
      <c r="G1329" s="118" t="s">
        <v>3618</v>
      </c>
      <c r="H1329" s="118" t="s">
        <v>3638</v>
      </c>
      <c r="I1329" s="118" t="s">
        <v>3941</v>
      </c>
      <c r="J1329" s="118" t="s">
        <v>3741</v>
      </c>
      <c r="K1329" s="141"/>
      <c r="L1329" s="135" t="str">
        <f t="shared" si="75"/>
        <v>Melomys cervinipes</v>
      </c>
      <c r="M1329" s="133">
        <f t="shared" si="77"/>
        <v>1.8920946026904804</v>
      </c>
      <c r="N1329" s="133">
        <v>78</v>
      </c>
      <c r="O1329" s="179" t="s">
        <v>3356</v>
      </c>
      <c r="P1329" s="108">
        <v>59</v>
      </c>
    </row>
    <row r="1330" spans="1:18">
      <c r="A1330" s="118" t="s">
        <v>2653</v>
      </c>
      <c r="B1330" s="130"/>
      <c r="C1330" s="118" t="s">
        <v>3817</v>
      </c>
      <c r="D1330" s="141"/>
      <c r="E1330" s="118"/>
      <c r="F1330" s="118"/>
      <c r="G1330" s="118" t="s">
        <v>3618</v>
      </c>
      <c r="H1330" s="118" t="s">
        <v>3638</v>
      </c>
      <c r="I1330" s="118" t="s">
        <v>3941</v>
      </c>
      <c r="J1330" s="118" t="s">
        <v>3745</v>
      </c>
      <c r="K1330" s="141"/>
      <c r="L1330" s="135" t="str">
        <f t="shared" si="75"/>
        <v>Melomys rubicola</v>
      </c>
      <c r="M1330" s="133">
        <f t="shared" si="77"/>
        <v>2</v>
      </c>
      <c r="N1330" s="133">
        <v>100</v>
      </c>
      <c r="O1330" s="179" t="s">
        <v>3356</v>
      </c>
      <c r="P1330" s="108">
        <v>59</v>
      </c>
      <c r="Q1330" s="90" t="s">
        <v>7071</v>
      </c>
    </row>
    <row r="1331" spans="1:18">
      <c r="A1331" s="118" t="s">
        <v>2653</v>
      </c>
      <c r="B1331" s="130"/>
      <c r="C1331" s="118" t="s">
        <v>3817</v>
      </c>
      <c r="D1331" s="141"/>
      <c r="E1331" s="118"/>
      <c r="F1331" s="118"/>
      <c r="G1331" s="118" t="s">
        <v>3618</v>
      </c>
      <c r="H1331" s="118" t="s">
        <v>3638</v>
      </c>
      <c r="I1331" s="118" t="s">
        <v>4022</v>
      </c>
      <c r="J1331" s="118" t="s">
        <v>3317</v>
      </c>
      <c r="K1331" s="141"/>
      <c r="L1331" s="135" t="str">
        <f t="shared" si="75"/>
        <v>Mesembriomys macrurus</v>
      </c>
      <c r="M1331" s="133">
        <f t="shared" si="77"/>
        <v>2.4265112613645754</v>
      </c>
      <c r="N1331" s="133">
        <v>267</v>
      </c>
      <c r="O1331" s="179" t="s">
        <v>3356</v>
      </c>
      <c r="P1331" s="108">
        <v>59</v>
      </c>
      <c r="Q1331" s="90" t="s">
        <v>6988</v>
      </c>
    </row>
    <row r="1332" spans="1:18">
      <c r="A1332" s="118" t="s">
        <v>2653</v>
      </c>
      <c r="B1332" s="130"/>
      <c r="C1332" s="118" t="s">
        <v>3817</v>
      </c>
      <c r="D1332" s="141"/>
      <c r="E1332" s="118"/>
      <c r="F1332" s="118"/>
      <c r="G1332" s="118" t="s">
        <v>3618</v>
      </c>
      <c r="H1332" s="118" t="s">
        <v>3638</v>
      </c>
      <c r="I1332" s="118" t="s">
        <v>4022</v>
      </c>
      <c r="J1332" s="118" t="s">
        <v>6742</v>
      </c>
      <c r="K1332" s="141"/>
      <c r="L1332" s="135" t="str">
        <f t="shared" si="75"/>
        <v>Mesembriomys gouldii</v>
      </c>
      <c r="M1332" s="133">
        <f t="shared" si="77"/>
        <v>2.8552161947333632</v>
      </c>
      <c r="N1332" s="133">
        <v>716.5</v>
      </c>
      <c r="O1332" s="179" t="s">
        <v>3356</v>
      </c>
      <c r="P1332" s="108">
        <v>59</v>
      </c>
      <c r="Q1332" s="90" t="s">
        <v>6642</v>
      </c>
    </row>
    <row r="1333" spans="1:18">
      <c r="A1333" s="213" t="s">
        <v>2653</v>
      </c>
      <c r="B1333" s="130"/>
      <c r="C1333" s="118" t="s">
        <v>3817</v>
      </c>
      <c r="D1333" s="141"/>
      <c r="E1333" s="118"/>
      <c r="F1333" s="118"/>
      <c r="G1333" s="118" t="s">
        <v>3618</v>
      </c>
      <c r="H1333" s="118" t="s">
        <v>3638</v>
      </c>
      <c r="I1333" s="118" t="s">
        <v>4844</v>
      </c>
      <c r="J1333" s="118" t="s">
        <v>4845</v>
      </c>
      <c r="K1333" s="141"/>
      <c r="L1333" s="135" t="str">
        <f t="shared" si="75"/>
        <v>Notomys alexis</v>
      </c>
      <c r="M1333" s="133">
        <f t="shared" si="77"/>
        <v>1.5440680443502757</v>
      </c>
      <c r="N1333" s="133">
        <v>35</v>
      </c>
      <c r="O1333" s="179" t="s">
        <v>3356</v>
      </c>
      <c r="P1333" s="108">
        <v>59</v>
      </c>
    </row>
    <row r="1334" spans="1:18">
      <c r="A1334" s="213" t="s">
        <v>2653</v>
      </c>
      <c r="B1334" s="130"/>
      <c r="C1334" s="118" t="s">
        <v>3817</v>
      </c>
      <c r="D1334" s="141"/>
      <c r="E1334" s="118"/>
      <c r="F1334" s="118"/>
      <c r="G1334" s="118" t="s">
        <v>3618</v>
      </c>
      <c r="H1334" s="118" t="s">
        <v>3638</v>
      </c>
      <c r="I1334" s="118" t="s">
        <v>4844</v>
      </c>
      <c r="J1334" s="118" t="s">
        <v>4846</v>
      </c>
      <c r="K1334" s="141"/>
      <c r="L1334" s="135" t="str">
        <f t="shared" si="75"/>
        <v>Notomys cervinus</v>
      </c>
      <c r="M1334" s="133">
        <f t="shared" si="77"/>
        <v>1.5440680443502757</v>
      </c>
      <c r="N1334" s="133">
        <v>35</v>
      </c>
      <c r="O1334" s="179" t="s">
        <v>3356</v>
      </c>
      <c r="P1334" s="108">
        <v>59</v>
      </c>
      <c r="Q1334" s="90" t="s">
        <v>6642</v>
      </c>
    </row>
    <row r="1335" spans="1:18">
      <c r="A1335" s="213" t="s">
        <v>2653</v>
      </c>
      <c r="B1335" s="130"/>
      <c r="C1335" s="118" t="s">
        <v>3817</v>
      </c>
      <c r="D1335" s="141"/>
      <c r="E1335" s="118"/>
      <c r="F1335" s="118"/>
      <c r="G1335" s="118" t="s">
        <v>3618</v>
      </c>
      <c r="H1335" s="118" t="s">
        <v>3638</v>
      </c>
      <c r="I1335" s="118" t="s">
        <v>4844</v>
      </c>
      <c r="J1335" s="118" t="s">
        <v>4847</v>
      </c>
      <c r="K1335" s="141"/>
      <c r="L1335" s="135" t="str">
        <f t="shared" si="75"/>
        <v>Notomys fuscus</v>
      </c>
      <c r="M1335" s="133">
        <f t="shared" si="77"/>
        <v>1.5440680443502757</v>
      </c>
      <c r="N1335" s="133">
        <v>35</v>
      </c>
      <c r="O1335" s="179" t="s">
        <v>3356</v>
      </c>
      <c r="P1335" s="108">
        <v>59</v>
      </c>
      <c r="Q1335" s="90" t="s">
        <v>6988</v>
      </c>
    </row>
    <row r="1336" spans="1:18">
      <c r="A1336" s="213" t="s">
        <v>2653</v>
      </c>
      <c r="B1336" s="130"/>
      <c r="C1336" s="118" t="s">
        <v>3817</v>
      </c>
      <c r="D1336" s="141"/>
      <c r="E1336" s="118"/>
      <c r="F1336" s="118"/>
      <c r="G1336" s="118" t="s">
        <v>3618</v>
      </c>
      <c r="H1336" s="118" t="s">
        <v>3638</v>
      </c>
      <c r="I1336" s="118" t="s">
        <v>4844</v>
      </c>
      <c r="J1336" s="118" t="s">
        <v>7643</v>
      </c>
      <c r="K1336" s="141"/>
      <c r="L1336" s="135" t="str">
        <f t="shared" si="75"/>
        <v>Notomys aquilo</v>
      </c>
      <c r="M1336" s="133">
        <f t="shared" si="77"/>
        <v>1.5910646070264991</v>
      </c>
      <c r="N1336" s="133">
        <v>39</v>
      </c>
      <c r="O1336" s="179" t="s">
        <v>3356</v>
      </c>
      <c r="P1336" s="108">
        <v>59</v>
      </c>
      <c r="Q1336" s="90" t="s">
        <v>6642</v>
      </c>
    </row>
    <row r="1337" spans="1:18">
      <c r="A1337" s="213" t="s">
        <v>2653</v>
      </c>
      <c r="B1337" s="130"/>
      <c r="C1337" s="118" t="s">
        <v>3817</v>
      </c>
      <c r="D1337" s="141"/>
      <c r="E1337" s="118"/>
      <c r="F1337" s="118"/>
      <c r="G1337" s="118" t="s">
        <v>3618</v>
      </c>
      <c r="H1337" s="118" t="s">
        <v>3638</v>
      </c>
      <c r="I1337" s="118" t="s">
        <v>4844</v>
      </c>
      <c r="J1337" s="118" t="s">
        <v>3736</v>
      </c>
      <c r="K1337" s="141"/>
      <c r="L1337" s="135" t="str">
        <f t="shared" si="75"/>
        <v>Notomys mitchellii</v>
      </c>
      <c r="M1337" s="133">
        <f t="shared" si="77"/>
        <v>1.7160033436347992</v>
      </c>
      <c r="N1337" s="133">
        <v>52</v>
      </c>
      <c r="O1337" s="179" t="s">
        <v>3356</v>
      </c>
      <c r="P1337" s="108">
        <v>59</v>
      </c>
    </row>
    <row r="1338" spans="1:18">
      <c r="A1338" s="213" t="s">
        <v>2653</v>
      </c>
      <c r="B1338" s="130"/>
      <c r="C1338" s="118" t="s">
        <v>3817</v>
      </c>
      <c r="D1338" s="141"/>
      <c r="E1338" s="118"/>
      <c r="F1338" s="118"/>
      <c r="G1338" s="118" t="s">
        <v>3618</v>
      </c>
      <c r="H1338" s="118" t="s">
        <v>3638</v>
      </c>
      <c r="I1338" s="118" t="s">
        <v>4177</v>
      </c>
      <c r="J1338" s="118" t="s">
        <v>2349</v>
      </c>
      <c r="K1338" s="141"/>
      <c r="L1338" s="135" t="str">
        <f t="shared" si="75"/>
        <v>Pogonomys macrourus</v>
      </c>
      <c r="M1338" s="133">
        <f t="shared" si="77"/>
        <v>1.7993405494535817</v>
      </c>
      <c r="N1338" s="133">
        <v>63</v>
      </c>
      <c r="O1338" s="179" t="s">
        <v>3356</v>
      </c>
      <c r="P1338" s="108">
        <v>59</v>
      </c>
    </row>
    <row r="1339" spans="1:18" ht="12" customHeight="1">
      <c r="A1339" s="213" t="s">
        <v>2653</v>
      </c>
      <c r="B1339" s="141" t="s">
        <v>7315</v>
      </c>
      <c r="C1339" s="118" t="s">
        <v>3817</v>
      </c>
      <c r="D1339" s="141"/>
      <c r="E1339" s="118"/>
      <c r="F1339" s="118"/>
      <c r="G1339" s="118" t="s">
        <v>3618</v>
      </c>
      <c r="H1339" s="118" t="s">
        <v>3638</v>
      </c>
      <c r="I1339" s="118" t="s">
        <v>7414</v>
      </c>
      <c r="J1339" s="118" t="s">
        <v>5788</v>
      </c>
      <c r="K1339" s="141"/>
      <c r="L1339" s="135" t="str">
        <f t="shared" si="75"/>
        <v>Pseudomys patrius</v>
      </c>
      <c r="M1339" s="133">
        <v>-999</v>
      </c>
      <c r="N1339" s="133">
        <v>-999</v>
      </c>
      <c r="O1339" s="179" t="s">
        <v>3356</v>
      </c>
      <c r="P1339" s="108">
        <v>-999</v>
      </c>
      <c r="Q1339" s="80" t="s">
        <v>6988</v>
      </c>
      <c r="R1339" s="89"/>
    </row>
    <row r="1340" spans="1:18">
      <c r="A1340" s="213" t="s">
        <v>2653</v>
      </c>
      <c r="B1340" s="130"/>
      <c r="C1340" s="118" t="s">
        <v>3817</v>
      </c>
      <c r="D1340" s="141"/>
      <c r="E1340" s="118"/>
      <c r="F1340" s="118"/>
      <c r="G1340" s="118" t="s">
        <v>3618</v>
      </c>
      <c r="H1340" s="118" t="s">
        <v>3638</v>
      </c>
      <c r="I1340" s="118" t="s">
        <v>7414</v>
      </c>
      <c r="J1340" s="118" t="s">
        <v>7415</v>
      </c>
      <c r="K1340" s="141"/>
      <c r="L1340" s="135" t="str">
        <f t="shared" si="75"/>
        <v>Pseudomys delicatulus</v>
      </c>
      <c r="M1340" s="133">
        <f t="shared" ref="M1340:M1380" si="78">LOG(N1340)</f>
        <v>1.0413926851582251</v>
      </c>
      <c r="N1340" s="133">
        <v>11</v>
      </c>
      <c r="O1340" s="179" t="s">
        <v>3356</v>
      </c>
      <c r="P1340" s="108">
        <v>59</v>
      </c>
      <c r="Q1340" s="90" t="s">
        <v>6642</v>
      </c>
    </row>
    <row r="1341" spans="1:18">
      <c r="A1341" s="213" t="s">
        <v>2653</v>
      </c>
      <c r="B1341" s="130"/>
      <c r="C1341" s="118" t="s">
        <v>3817</v>
      </c>
      <c r="D1341" s="141"/>
      <c r="E1341" s="118"/>
      <c r="F1341" s="118"/>
      <c r="G1341" s="118" t="s">
        <v>3618</v>
      </c>
      <c r="H1341" s="118" t="s">
        <v>3638</v>
      </c>
      <c r="I1341" s="118" t="s">
        <v>7414</v>
      </c>
      <c r="J1341" s="118" t="s">
        <v>7372</v>
      </c>
      <c r="K1341" s="141"/>
      <c r="L1341" s="135" t="str">
        <f t="shared" si="75"/>
        <v>Pseudomys pilligaensis</v>
      </c>
      <c r="M1341" s="133">
        <f t="shared" si="78"/>
        <v>1.0413926851582251</v>
      </c>
      <c r="N1341" s="133">
        <v>11</v>
      </c>
      <c r="O1341" s="179" t="s">
        <v>3356</v>
      </c>
      <c r="P1341" s="108">
        <v>59</v>
      </c>
      <c r="Q1341" s="90" t="s">
        <v>6988</v>
      </c>
    </row>
    <row r="1342" spans="1:18">
      <c r="A1342" s="213" t="s">
        <v>2653</v>
      </c>
      <c r="B1342" s="130"/>
      <c r="C1342" s="118" t="s">
        <v>3817</v>
      </c>
      <c r="D1342" s="141"/>
      <c r="E1342" s="118"/>
      <c r="F1342" s="118"/>
      <c r="G1342" s="118" t="s">
        <v>3618</v>
      </c>
      <c r="H1342" s="118" t="s">
        <v>3638</v>
      </c>
      <c r="I1342" s="118" t="s">
        <v>7414</v>
      </c>
      <c r="J1342" s="118" t="s">
        <v>7637</v>
      </c>
      <c r="K1342" s="141"/>
      <c r="L1342" s="135" t="str">
        <f t="shared" si="75"/>
        <v>Pseudomys chapmani</v>
      </c>
      <c r="M1342" s="133">
        <f t="shared" si="78"/>
        <v>1.0791812460476249</v>
      </c>
      <c r="N1342" s="133">
        <v>12</v>
      </c>
      <c r="O1342" s="179" t="s">
        <v>3356</v>
      </c>
      <c r="P1342" s="108">
        <v>59</v>
      </c>
    </row>
    <row r="1343" spans="1:18">
      <c r="A1343" s="213" t="s">
        <v>2653</v>
      </c>
      <c r="B1343" s="130"/>
      <c r="C1343" s="118" t="s">
        <v>3817</v>
      </c>
      <c r="D1343" s="141"/>
      <c r="E1343" s="118"/>
      <c r="F1343" s="118"/>
      <c r="G1343" s="118" t="s">
        <v>3618</v>
      </c>
      <c r="H1343" s="118" t="s">
        <v>3638</v>
      </c>
      <c r="I1343" s="118" t="s">
        <v>7414</v>
      </c>
      <c r="J1343" s="118" t="s">
        <v>7367</v>
      </c>
      <c r="K1343" s="141"/>
      <c r="L1343" s="135" t="str">
        <f t="shared" si="75"/>
        <v>Pseudomys hermannsburgensis</v>
      </c>
      <c r="M1343" s="133">
        <f t="shared" si="78"/>
        <v>1.0791812460476249</v>
      </c>
      <c r="N1343" s="133">
        <v>12</v>
      </c>
      <c r="O1343" s="179" t="s">
        <v>3356</v>
      </c>
      <c r="P1343" s="108">
        <v>59</v>
      </c>
    </row>
    <row r="1344" spans="1:18">
      <c r="A1344" s="213" t="s">
        <v>2653</v>
      </c>
      <c r="B1344" s="130"/>
      <c r="C1344" s="118" t="s">
        <v>3817</v>
      </c>
      <c r="D1344" s="141"/>
      <c r="E1344" s="118"/>
      <c r="F1344" s="118"/>
      <c r="G1344" s="118" t="s">
        <v>3618</v>
      </c>
      <c r="H1344" s="118" t="s">
        <v>3638</v>
      </c>
      <c r="I1344" s="118" t="s">
        <v>7414</v>
      </c>
      <c r="J1344" s="118" t="s">
        <v>3728</v>
      </c>
      <c r="K1344" s="141"/>
      <c r="L1344" s="135" t="str">
        <f t="shared" si="75"/>
        <v>Pseudomys johnsoni</v>
      </c>
      <c r="M1344" s="133">
        <f t="shared" si="78"/>
        <v>1.0791812460476249</v>
      </c>
      <c r="N1344" s="133">
        <v>12</v>
      </c>
      <c r="O1344" s="179" t="s">
        <v>3356</v>
      </c>
      <c r="P1344" s="108">
        <v>59</v>
      </c>
      <c r="Q1344" s="90" t="s">
        <v>6642</v>
      </c>
    </row>
    <row r="1345" spans="1:18">
      <c r="A1345" s="213" t="s">
        <v>2653</v>
      </c>
      <c r="B1345" s="130"/>
      <c r="C1345" s="118" t="s">
        <v>3817</v>
      </c>
      <c r="D1345" s="141"/>
      <c r="E1345" s="118"/>
      <c r="F1345" s="118"/>
      <c r="G1345" s="118" t="s">
        <v>3618</v>
      </c>
      <c r="H1345" s="118" t="s">
        <v>3638</v>
      </c>
      <c r="I1345" s="118" t="s">
        <v>7414</v>
      </c>
      <c r="J1345" s="118" t="s">
        <v>3325</v>
      </c>
      <c r="K1345" s="141"/>
      <c r="L1345" s="135" t="str">
        <f t="shared" si="75"/>
        <v>Pseudomys laborifex</v>
      </c>
      <c r="M1345" s="133">
        <f t="shared" si="78"/>
        <v>1.0791812460476249</v>
      </c>
      <c r="N1345" s="133">
        <v>12</v>
      </c>
      <c r="O1345" s="179" t="s">
        <v>3356</v>
      </c>
      <c r="P1345" s="108">
        <v>59</v>
      </c>
    </row>
    <row r="1346" spans="1:18">
      <c r="A1346" s="213" t="s">
        <v>2653</v>
      </c>
      <c r="B1346" s="130"/>
      <c r="C1346" s="118" t="s">
        <v>3817</v>
      </c>
      <c r="D1346" s="141"/>
      <c r="E1346" s="118"/>
      <c r="F1346" s="118"/>
      <c r="G1346" s="118" t="s">
        <v>3618</v>
      </c>
      <c r="H1346" s="118" t="s">
        <v>3638</v>
      </c>
      <c r="I1346" s="118" t="s">
        <v>7414</v>
      </c>
      <c r="J1346" s="118" t="s">
        <v>3326</v>
      </c>
      <c r="K1346" s="141"/>
      <c r="L1346" s="135" t="str">
        <f t="shared" si="75"/>
        <v>Pseudomys bolami</v>
      </c>
      <c r="M1346" s="133">
        <f t="shared" si="78"/>
        <v>1.1903316981702914</v>
      </c>
      <c r="N1346" s="133">
        <v>15.5</v>
      </c>
      <c r="O1346" s="179" t="s">
        <v>3356</v>
      </c>
      <c r="P1346" s="108">
        <v>59</v>
      </c>
    </row>
    <row r="1347" spans="1:18">
      <c r="A1347" s="213" t="s">
        <v>2653</v>
      </c>
      <c r="B1347" s="130"/>
      <c r="C1347" s="118" t="s">
        <v>3817</v>
      </c>
      <c r="D1347" s="141"/>
      <c r="E1347" s="118"/>
      <c r="F1347" s="118"/>
      <c r="G1347" s="118" t="s">
        <v>3618</v>
      </c>
      <c r="H1347" s="118" t="s">
        <v>3638</v>
      </c>
      <c r="I1347" s="118" t="s">
        <v>7414</v>
      </c>
      <c r="J1347" s="118" t="s">
        <v>4664</v>
      </c>
      <c r="K1347" s="141"/>
      <c r="L1347" s="135" t="str">
        <f t="shared" si="75"/>
        <v>Pseudomys apodemoides</v>
      </c>
      <c r="M1347" s="133">
        <f t="shared" si="78"/>
        <v>1.3010299956639813</v>
      </c>
      <c r="N1347" s="133">
        <v>20</v>
      </c>
      <c r="O1347" s="179" t="s">
        <v>3356</v>
      </c>
      <c r="P1347" s="108">
        <v>59</v>
      </c>
    </row>
    <row r="1348" spans="1:18" ht="12" customHeight="1">
      <c r="A1348" s="213" t="s">
        <v>2653</v>
      </c>
      <c r="B1348" s="130"/>
      <c r="C1348" s="118" t="s">
        <v>3817</v>
      </c>
      <c r="D1348" s="141"/>
      <c r="E1348" s="118"/>
      <c r="F1348" s="118"/>
      <c r="G1348" s="118" t="s">
        <v>3618</v>
      </c>
      <c r="H1348" s="118" t="s">
        <v>3638</v>
      </c>
      <c r="I1348" s="118" t="s">
        <v>7414</v>
      </c>
      <c r="J1348" s="118" t="s">
        <v>4663</v>
      </c>
      <c r="K1348" s="141"/>
      <c r="L1348" s="135" t="str">
        <f t="shared" si="75"/>
        <v>Pseudomys novaehollandiae</v>
      </c>
      <c r="M1348" s="133">
        <f t="shared" si="78"/>
        <v>1.3010299956639813</v>
      </c>
      <c r="N1348" s="133">
        <v>20</v>
      </c>
      <c r="O1348" s="179" t="s">
        <v>3356</v>
      </c>
      <c r="P1348" s="108">
        <v>59</v>
      </c>
      <c r="R1348" s="89"/>
    </row>
    <row r="1349" spans="1:18">
      <c r="A1349" s="213" t="s">
        <v>2653</v>
      </c>
      <c r="B1349" s="130"/>
      <c r="C1349" s="118" t="s">
        <v>3817</v>
      </c>
      <c r="D1349" s="141"/>
      <c r="E1349" s="118"/>
      <c r="F1349" s="118"/>
      <c r="G1349" s="118" t="s">
        <v>3618</v>
      </c>
      <c r="H1349" s="118" t="s">
        <v>3638</v>
      </c>
      <c r="I1349" s="118" t="s">
        <v>7414</v>
      </c>
      <c r="J1349" s="118" t="s">
        <v>7641</v>
      </c>
      <c r="K1349" s="141"/>
      <c r="L1349" s="135" t="str">
        <f t="shared" ref="L1349:L1412" si="79">I1349&amp;" "&amp;J1349</f>
        <v>Pseudomys desertor</v>
      </c>
      <c r="M1349" s="133">
        <f t="shared" si="78"/>
        <v>1.3979400086720377</v>
      </c>
      <c r="N1349" s="133">
        <v>25</v>
      </c>
      <c r="O1349" s="179" t="s">
        <v>3356</v>
      </c>
      <c r="P1349" s="108">
        <v>59</v>
      </c>
      <c r="Q1349" s="90" t="s">
        <v>6642</v>
      </c>
    </row>
    <row r="1350" spans="1:18">
      <c r="A1350" s="213" t="s">
        <v>2653</v>
      </c>
      <c r="B1350" s="130"/>
      <c r="C1350" s="118" t="s">
        <v>3817</v>
      </c>
      <c r="D1350" s="141"/>
      <c r="E1350" s="118"/>
      <c r="F1350" s="118"/>
      <c r="G1350" s="118" t="s">
        <v>3618</v>
      </c>
      <c r="H1350" s="118" t="s">
        <v>3638</v>
      </c>
      <c r="I1350" s="118" t="s">
        <v>7414</v>
      </c>
      <c r="J1350" s="118" t="s">
        <v>2206</v>
      </c>
      <c r="K1350" s="141"/>
      <c r="L1350" s="135" t="str">
        <f t="shared" si="79"/>
        <v>Pseudomys albocinereus</v>
      </c>
      <c r="M1350" s="133">
        <f t="shared" si="78"/>
        <v>1.4842998393467859</v>
      </c>
      <c r="N1350" s="133">
        <v>30.5</v>
      </c>
      <c r="O1350" s="179" t="s">
        <v>3356</v>
      </c>
      <c r="P1350" s="108">
        <v>59</v>
      </c>
    </row>
    <row r="1351" spans="1:18">
      <c r="A1351" s="213" t="s">
        <v>2653</v>
      </c>
      <c r="B1351" s="130"/>
      <c r="C1351" s="118" t="s">
        <v>3817</v>
      </c>
      <c r="D1351" s="141"/>
      <c r="E1351" s="118"/>
      <c r="F1351" s="118"/>
      <c r="G1351" s="118" t="s">
        <v>3618</v>
      </c>
      <c r="H1351" s="118" t="s">
        <v>3638</v>
      </c>
      <c r="I1351" s="118" t="s">
        <v>7414</v>
      </c>
      <c r="J1351" s="118" t="s">
        <v>2177</v>
      </c>
      <c r="K1351" s="141"/>
      <c r="L1351" s="135" t="str">
        <f t="shared" si="79"/>
        <v>Pseudomys nanus</v>
      </c>
      <c r="M1351" s="133">
        <f t="shared" si="78"/>
        <v>1.5314789170422551</v>
      </c>
      <c r="N1351" s="133">
        <v>34</v>
      </c>
      <c r="O1351" s="179" t="s">
        <v>3356</v>
      </c>
      <c r="P1351" s="108">
        <v>59</v>
      </c>
      <c r="Q1351" s="90" t="s">
        <v>6642</v>
      </c>
    </row>
    <row r="1352" spans="1:18">
      <c r="A1352" s="213" t="s">
        <v>2653</v>
      </c>
      <c r="B1352" s="130"/>
      <c r="C1352" s="118" t="s">
        <v>3817</v>
      </c>
      <c r="D1352" s="141"/>
      <c r="E1352" s="118"/>
      <c r="F1352" s="118"/>
      <c r="G1352" s="118" t="s">
        <v>3618</v>
      </c>
      <c r="H1352" s="118" t="s">
        <v>3638</v>
      </c>
      <c r="I1352" s="118" t="s">
        <v>7414</v>
      </c>
      <c r="J1352" s="118" t="s">
        <v>4843</v>
      </c>
      <c r="K1352" s="141"/>
      <c r="L1352" s="135" t="str">
        <f t="shared" si="79"/>
        <v>Pseudomys occidentalis</v>
      </c>
      <c r="M1352" s="133">
        <f t="shared" si="78"/>
        <v>1.5314789170422551</v>
      </c>
      <c r="N1352" s="133">
        <v>34</v>
      </c>
      <c r="O1352" s="179" t="s">
        <v>3356</v>
      </c>
      <c r="P1352" s="108">
        <v>59</v>
      </c>
      <c r="Q1352" s="90" t="s">
        <v>6640</v>
      </c>
    </row>
    <row r="1353" spans="1:18" ht="15" customHeight="1">
      <c r="A1353" s="213" t="s">
        <v>2653</v>
      </c>
      <c r="B1353" s="141" t="s">
        <v>7651</v>
      </c>
      <c r="C1353" s="118" t="s">
        <v>3817</v>
      </c>
      <c r="D1353" s="141"/>
      <c r="E1353" s="118"/>
      <c r="F1353" s="118"/>
      <c r="G1353" s="118" t="s">
        <v>3618</v>
      </c>
      <c r="H1353" s="118" t="s">
        <v>3638</v>
      </c>
      <c r="I1353" s="118" t="s">
        <v>7414</v>
      </c>
      <c r="J1353" s="118" t="s">
        <v>5758</v>
      </c>
      <c r="K1353" s="141"/>
      <c r="L1353" s="135" t="str">
        <f t="shared" si="79"/>
        <v>Pseudomys praeconis</v>
      </c>
      <c r="M1353" s="133">
        <f t="shared" si="78"/>
        <v>1.6532125137753437</v>
      </c>
      <c r="N1353" s="133">
        <f>1000*0.045</f>
        <v>45</v>
      </c>
      <c r="O1353" s="179" t="s">
        <v>3356</v>
      </c>
      <c r="P1353" s="108">
        <v>60</v>
      </c>
      <c r="Q1353" s="80" t="s">
        <v>6988</v>
      </c>
    </row>
    <row r="1354" spans="1:18">
      <c r="A1354" s="213" t="s">
        <v>2653</v>
      </c>
      <c r="B1354" s="130"/>
      <c r="C1354" s="118" t="s">
        <v>3817</v>
      </c>
      <c r="D1354" s="141"/>
      <c r="E1354" s="118"/>
      <c r="F1354" s="118"/>
      <c r="G1354" s="118" t="s">
        <v>3618</v>
      </c>
      <c r="H1354" s="118" t="s">
        <v>3638</v>
      </c>
      <c r="I1354" s="118" t="s">
        <v>7414</v>
      </c>
      <c r="J1354" s="118" t="s">
        <v>3789</v>
      </c>
      <c r="K1354" s="141"/>
      <c r="L1354" s="135" t="str">
        <f t="shared" si="79"/>
        <v>Pseudomys australis</v>
      </c>
      <c r="M1354" s="133">
        <f t="shared" si="78"/>
        <v>1.8129133566428555</v>
      </c>
      <c r="N1354" s="133">
        <v>65</v>
      </c>
      <c r="O1354" s="179" t="s">
        <v>3356</v>
      </c>
      <c r="P1354" s="108">
        <v>59</v>
      </c>
      <c r="Q1354" s="90" t="s">
        <v>6988</v>
      </c>
    </row>
    <row r="1355" spans="1:18">
      <c r="A1355" s="213" t="s">
        <v>2653</v>
      </c>
      <c r="B1355" s="130"/>
      <c r="C1355" s="118" t="s">
        <v>3817</v>
      </c>
      <c r="D1355" s="141"/>
      <c r="E1355" s="118"/>
      <c r="F1355" s="118"/>
      <c r="G1355" s="118" t="s">
        <v>3618</v>
      </c>
      <c r="H1355" s="118" t="s">
        <v>3638</v>
      </c>
      <c r="I1355" s="118" t="s">
        <v>7414</v>
      </c>
      <c r="J1355" s="118" t="s">
        <v>4027</v>
      </c>
      <c r="K1355" s="141"/>
      <c r="L1355" s="135" t="str">
        <f t="shared" si="79"/>
        <v>Pseudomys higginsi</v>
      </c>
      <c r="M1355" s="133">
        <f t="shared" si="78"/>
        <v>1.8260748027008264</v>
      </c>
      <c r="N1355" s="133">
        <v>67</v>
      </c>
      <c r="O1355" s="179" t="s">
        <v>3356</v>
      </c>
      <c r="P1355" s="108">
        <v>59</v>
      </c>
    </row>
    <row r="1356" spans="1:18">
      <c r="A1356" s="213" t="s">
        <v>2653</v>
      </c>
      <c r="B1356" s="130"/>
      <c r="C1356" s="118" t="s">
        <v>3817</v>
      </c>
      <c r="D1356" s="141"/>
      <c r="E1356" s="118"/>
      <c r="F1356" s="118"/>
      <c r="G1356" s="118" t="s">
        <v>3618</v>
      </c>
      <c r="H1356" s="118" t="s">
        <v>3638</v>
      </c>
      <c r="I1356" s="118" t="s">
        <v>7414</v>
      </c>
      <c r="J1356" s="118" t="s">
        <v>2046</v>
      </c>
      <c r="K1356" s="141"/>
      <c r="L1356" s="135" t="str">
        <f t="shared" si="79"/>
        <v>Pseudomys fumeus</v>
      </c>
      <c r="M1356" s="133">
        <f t="shared" si="78"/>
        <v>1.8450980400142569</v>
      </c>
      <c r="N1356" s="133">
        <v>70</v>
      </c>
      <c r="O1356" s="179" t="s">
        <v>3356</v>
      </c>
      <c r="P1356" s="108">
        <v>59</v>
      </c>
      <c r="Q1356" s="90" t="s">
        <v>6988</v>
      </c>
    </row>
    <row r="1357" spans="1:18">
      <c r="A1357" s="213" t="s">
        <v>2653</v>
      </c>
      <c r="B1357" s="130"/>
      <c r="C1357" s="118" t="s">
        <v>3817</v>
      </c>
      <c r="D1357" s="141"/>
      <c r="E1357" s="118"/>
      <c r="F1357" s="118"/>
      <c r="G1357" s="118" t="s">
        <v>3618</v>
      </c>
      <c r="H1357" s="118" t="s">
        <v>3638</v>
      </c>
      <c r="I1357" s="118" t="s">
        <v>7414</v>
      </c>
      <c r="J1357" s="118" t="s">
        <v>3430</v>
      </c>
      <c r="K1357" s="141"/>
      <c r="L1357" s="135" t="str">
        <f t="shared" si="79"/>
        <v>Pseudomys shortridgei</v>
      </c>
      <c r="M1357" s="133">
        <f t="shared" si="78"/>
        <v>1.8450980400142569</v>
      </c>
      <c r="N1357" s="133">
        <v>70</v>
      </c>
      <c r="O1357" s="179" t="s">
        <v>3356</v>
      </c>
      <c r="P1357" s="108">
        <v>59</v>
      </c>
      <c r="Q1357" s="90" t="s">
        <v>6642</v>
      </c>
    </row>
    <row r="1358" spans="1:18">
      <c r="A1358" s="213" t="s">
        <v>2653</v>
      </c>
      <c r="B1358" s="130"/>
      <c r="C1358" s="118" t="s">
        <v>3817</v>
      </c>
      <c r="D1358" s="141"/>
      <c r="E1358" s="118"/>
      <c r="F1358" s="118"/>
      <c r="G1358" s="118" t="s">
        <v>3618</v>
      </c>
      <c r="H1358" s="118" t="s">
        <v>3638</v>
      </c>
      <c r="I1358" s="118" t="s">
        <v>7414</v>
      </c>
      <c r="J1358" s="118" t="s">
        <v>3943</v>
      </c>
      <c r="K1358" s="141"/>
      <c r="L1358" s="135" t="str">
        <f t="shared" si="79"/>
        <v>Pseudomys gracilicaudatus</v>
      </c>
      <c r="M1358" s="133">
        <f t="shared" si="78"/>
        <v>1.8736111969964673</v>
      </c>
      <c r="N1358" s="133">
        <v>74.75</v>
      </c>
      <c r="O1358" s="179" t="s">
        <v>3356</v>
      </c>
      <c r="P1358" s="108">
        <v>59</v>
      </c>
    </row>
    <row r="1359" spans="1:18">
      <c r="A1359" s="213" t="s">
        <v>2653</v>
      </c>
      <c r="B1359" s="130"/>
      <c r="C1359" s="118" t="s">
        <v>3817</v>
      </c>
      <c r="D1359" s="141"/>
      <c r="E1359" s="118"/>
      <c r="F1359" s="118"/>
      <c r="G1359" s="118" t="s">
        <v>3618</v>
      </c>
      <c r="H1359" s="118" t="s">
        <v>3638</v>
      </c>
      <c r="I1359" s="118" t="s">
        <v>7414</v>
      </c>
      <c r="J1359" s="118" t="s">
        <v>3743</v>
      </c>
      <c r="K1359" s="141"/>
      <c r="L1359" s="135" t="str">
        <f t="shared" si="79"/>
        <v>Pseudomys oralis</v>
      </c>
      <c r="M1359" s="133">
        <f t="shared" si="78"/>
        <v>1.9777236052888478</v>
      </c>
      <c r="N1359" s="133">
        <v>95</v>
      </c>
      <c r="O1359" s="179" t="s">
        <v>3356</v>
      </c>
      <c r="P1359" s="108">
        <v>59</v>
      </c>
      <c r="Q1359" s="90" t="s">
        <v>6640</v>
      </c>
    </row>
    <row r="1360" spans="1:18">
      <c r="A1360" s="213" t="s">
        <v>2653</v>
      </c>
      <c r="B1360" s="130"/>
      <c r="C1360" s="118" t="s">
        <v>3817</v>
      </c>
      <c r="D1360" s="141"/>
      <c r="E1360" s="118"/>
      <c r="F1360" s="118"/>
      <c r="G1360" s="118" t="s">
        <v>3618</v>
      </c>
      <c r="H1360" s="118" t="s">
        <v>3638</v>
      </c>
      <c r="I1360" s="118" t="s">
        <v>7414</v>
      </c>
      <c r="J1360" s="118" t="s">
        <v>4847</v>
      </c>
      <c r="K1360" s="141"/>
      <c r="L1360" s="135" t="str">
        <f t="shared" si="79"/>
        <v>Pseudomys fuscus</v>
      </c>
      <c r="M1360" s="133">
        <f t="shared" si="78"/>
        <v>2.0863598306747484</v>
      </c>
      <c r="N1360" s="133">
        <v>122</v>
      </c>
      <c r="O1360" s="179" t="s">
        <v>3356</v>
      </c>
      <c r="P1360" s="108">
        <v>59</v>
      </c>
    </row>
    <row r="1361" spans="1:18">
      <c r="A1361" s="213" t="s">
        <v>2653</v>
      </c>
      <c r="B1361" s="130"/>
      <c r="C1361" s="118" t="s">
        <v>3817</v>
      </c>
      <c r="D1361" s="141"/>
      <c r="E1361" s="118"/>
      <c r="F1361" s="118"/>
      <c r="G1361" s="118" t="s">
        <v>3618</v>
      </c>
      <c r="H1361" s="118" t="s">
        <v>3638</v>
      </c>
      <c r="I1361" s="118" t="s">
        <v>7644</v>
      </c>
      <c r="J1361" s="118" t="s">
        <v>7524</v>
      </c>
      <c r="K1361" s="141"/>
      <c r="L1361" s="135" t="str">
        <f t="shared" si="79"/>
        <v>Rattus exulans</v>
      </c>
      <c r="M1361" s="133">
        <f t="shared" si="78"/>
        <v>1.6020599913279623</v>
      </c>
      <c r="N1361" s="133">
        <v>40</v>
      </c>
      <c r="O1361" s="179" t="s">
        <v>3356</v>
      </c>
      <c r="P1361" s="108">
        <v>59</v>
      </c>
    </row>
    <row r="1362" spans="1:18" ht="12" customHeight="1">
      <c r="A1362" s="213" t="s">
        <v>2653</v>
      </c>
      <c r="B1362" s="130"/>
      <c r="C1362" s="118" t="s">
        <v>3817</v>
      </c>
      <c r="D1362" s="141"/>
      <c r="E1362" s="118"/>
      <c r="F1362" s="118"/>
      <c r="G1362" s="118" t="s">
        <v>3618</v>
      </c>
      <c r="H1362" s="118" t="s">
        <v>3638</v>
      </c>
      <c r="I1362" s="118" t="s">
        <v>7644</v>
      </c>
      <c r="J1362" s="118" t="s">
        <v>3940</v>
      </c>
      <c r="K1362" s="141"/>
      <c r="L1362" s="135" t="str">
        <f t="shared" si="79"/>
        <v>Rattus colletti</v>
      </c>
      <c r="M1362" s="133">
        <f t="shared" si="78"/>
        <v>1.7853298350107671</v>
      </c>
      <c r="N1362" s="133">
        <v>61</v>
      </c>
      <c r="O1362" s="179" t="s">
        <v>3356</v>
      </c>
      <c r="P1362" s="108">
        <v>59</v>
      </c>
      <c r="R1362" s="89"/>
    </row>
    <row r="1363" spans="1:18">
      <c r="A1363" s="213" t="s">
        <v>2653</v>
      </c>
      <c r="B1363" s="130"/>
      <c r="C1363" s="118" t="s">
        <v>3817</v>
      </c>
      <c r="D1363" s="141"/>
      <c r="E1363" s="118"/>
      <c r="F1363" s="118"/>
      <c r="G1363" s="118" t="s">
        <v>3618</v>
      </c>
      <c r="H1363" s="118" t="s">
        <v>3638</v>
      </c>
      <c r="I1363" s="118" t="s">
        <v>7644</v>
      </c>
      <c r="J1363" s="118" t="s">
        <v>7330</v>
      </c>
      <c r="K1363" s="141"/>
      <c r="L1363" s="135" t="str">
        <f t="shared" si="79"/>
        <v>Rattus lutreolus</v>
      </c>
      <c r="M1363" s="133">
        <f t="shared" si="78"/>
        <v>2.0253058652647704</v>
      </c>
      <c r="N1363" s="133">
        <v>106</v>
      </c>
      <c r="O1363" s="179" t="s">
        <v>3356</v>
      </c>
      <c r="P1363" s="108">
        <v>59</v>
      </c>
    </row>
    <row r="1364" spans="1:18">
      <c r="A1364" s="213" t="s">
        <v>2653</v>
      </c>
      <c r="B1364" s="130"/>
      <c r="C1364" s="118" t="s">
        <v>3817</v>
      </c>
      <c r="D1364" s="141"/>
      <c r="E1364" s="118"/>
      <c r="F1364" s="118"/>
      <c r="G1364" s="118" t="s">
        <v>3618</v>
      </c>
      <c r="H1364" s="121" t="s">
        <v>3638</v>
      </c>
      <c r="I1364" s="118" t="s">
        <v>7644</v>
      </c>
      <c r="J1364" s="118" t="s">
        <v>4024</v>
      </c>
      <c r="K1364" s="141"/>
      <c r="L1364" s="135" t="str">
        <f t="shared" si="79"/>
        <v>Rattus tunneyi</v>
      </c>
      <c r="M1364" s="133">
        <f t="shared" si="78"/>
        <v>2.0934216851622351</v>
      </c>
      <c r="N1364" s="133">
        <v>124</v>
      </c>
      <c r="O1364" s="179" t="s">
        <v>3356</v>
      </c>
      <c r="P1364" s="108">
        <v>59</v>
      </c>
      <c r="Q1364" s="90" t="s">
        <v>6642</v>
      </c>
    </row>
    <row r="1365" spans="1:18">
      <c r="A1365" s="213" t="s">
        <v>2653</v>
      </c>
      <c r="B1365" s="130"/>
      <c r="C1365" s="118" t="s">
        <v>3817</v>
      </c>
      <c r="D1365" s="141"/>
      <c r="E1365" s="118"/>
      <c r="F1365" s="118"/>
      <c r="G1365" s="118" t="s">
        <v>3618</v>
      </c>
      <c r="H1365" s="118" t="s">
        <v>3638</v>
      </c>
      <c r="I1365" s="118" t="s">
        <v>7644</v>
      </c>
      <c r="J1365" s="118" t="s">
        <v>7491</v>
      </c>
      <c r="K1365" s="141"/>
      <c r="L1365" s="135" t="str">
        <f t="shared" si="79"/>
        <v>Rattus leucopus</v>
      </c>
      <c r="M1365" s="133">
        <f t="shared" si="78"/>
        <v>2.12057393120585</v>
      </c>
      <c r="N1365" s="133">
        <v>132</v>
      </c>
      <c r="O1365" s="179" t="s">
        <v>3356</v>
      </c>
      <c r="P1365" s="108">
        <v>59</v>
      </c>
    </row>
    <row r="1366" spans="1:18">
      <c r="A1366" s="118" t="s">
        <v>2653</v>
      </c>
      <c r="B1366" s="130"/>
      <c r="C1366" s="118" t="s">
        <v>3817</v>
      </c>
      <c r="D1366" s="141"/>
      <c r="E1366" s="118"/>
      <c r="F1366" s="118"/>
      <c r="G1366" s="118" t="s">
        <v>3618</v>
      </c>
      <c r="H1366" s="118" t="s">
        <v>3638</v>
      </c>
      <c r="I1366" s="118" t="s">
        <v>7644</v>
      </c>
      <c r="J1366" s="118" t="s">
        <v>4263</v>
      </c>
      <c r="K1366" s="141"/>
      <c r="L1366" s="135" t="str">
        <f t="shared" si="79"/>
        <v>Rattus fuscipes</v>
      </c>
      <c r="M1366" s="133">
        <f t="shared" si="78"/>
        <v>2.1238516409670858</v>
      </c>
      <c r="N1366" s="133">
        <v>133</v>
      </c>
      <c r="O1366" s="179" t="s">
        <v>3356</v>
      </c>
      <c r="P1366" s="108">
        <v>59</v>
      </c>
    </row>
    <row r="1367" spans="1:18">
      <c r="A1367" s="118" t="s">
        <v>2653</v>
      </c>
      <c r="B1367" s="130"/>
      <c r="C1367" s="118" t="s">
        <v>3817</v>
      </c>
      <c r="D1367" s="141"/>
      <c r="E1367" s="118"/>
      <c r="F1367" s="118"/>
      <c r="G1367" s="118" t="s">
        <v>3618</v>
      </c>
      <c r="H1367" s="118" t="s">
        <v>3638</v>
      </c>
      <c r="I1367" s="118" t="s">
        <v>7644</v>
      </c>
      <c r="J1367" s="118" t="s">
        <v>3561</v>
      </c>
      <c r="K1367" s="141"/>
      <c r="L1367" s="135" t="str">
        <f t="shared" si="79"/>
        <v>Rattus villosissimus</v>
      </c>
      <c r="M1367" s="133">
        <f t="shared" si="78"/>
        <v>2.1271047983648077</v>
      </c>
      <c r="N1367" s="133">
        <v>134</v>
      </c>
      <c r="O1367" s="179" t="s">
        <v>3356</v>
      </c>
      <c r="P1367" s="108">
        <v>59</v>
      </c>
    </row>
    <row r="1368" spans="1:18">
      <c r="A1368" s="213" t="s">
        <v>2653</v>
      </c>
      <c r="B1368" s="130"/>
      <c r="C1368" s="118" t="s">
        <v>3817</v>
      </c>
      <c r="D1368" s="141"/>
      <c r="E1368" s="118"/>
      <c r="F1368" s="118"/>
      <c r="G1368" s="118" t="s">
        <v>3618</v>
      </c>
      <c r="H1368" s="118" t="s">
        <v>3638</v>
      </c>
      <c r="I1368" s="118" t="s">
        <v>7644</v>
      </c>
      <c r="J1368" s="118" t="s">
        <v>6734</v>
      </c>
      <c r="K1368" s="141"/>
      <c r="L1368" s="135" t="str">
        <f t="shared" si="79"/>
        <v>Rattus sordidus</v>
      </c>
      <c r="M1368" s="133">
        <f t="shared" si="78"/>
        <v>2.1972805581256192</v>
      </c>
      <c r="N1368" s="133">
        <v>157.5</v>
      </c>
      <c r="O1368" s="179" t="s">
        <v>3356</v>
      </c>
      <c r="P1368" s="108">
        <v>59</v>
      </c>
      <c r="Q1368" s="90" t="s">
        <v>6642</v>
      </c>
    </row>
    <row r="1369" spans="1:18">
      <c r="A1369" s="213" t="s">
        <v>2653</v>
      </c>
      <c r="B1369" s="130"/>
      <c r="C1369" s="118" t="s">
        <v>3817</v>
      </c>
      <c r="D1369" s="141"/>
      <c r="E1369" s="118"/>
      <c r="F1369" s="118"/>
      <c r="G1369" s="118" t="s">
        <v>3618</v>
      </c>
      <c r="H1369" s="118" t="s">
        <v>3638</v>
      </c>
      <c r="I1369" s="118" t="s">
        <v>3738</v>
      </c>
      <c r="J1369" s="118" t="s">
        <v>4021</v>
      </c>
      <c r="K1369" s="141"/>
      <c r="L1369" s="135" t="str">
        <f t="shared" si="79"/>
        <v>Uromys hadrourus</v>
      </c>
      <c r="M1369" s="133">
        <f t="shared" si="78"/>
        <v>2.287801729930226</v>
      </c>
      <c r="N1369" s="133">
        <v>194</v>
      </c>
      <c r="O1369" s="179" t="s">
        <v>3356</v>
      </c>
      <c r="P1369" s="108">
        <v>59</v>
      </c>
      <c r="Q1369" s="90" t="s">
        <v>6642</v>
      </c>
    </row>
    <row r="1370" spans="1:18">
      <c r="A1370" s="213" t="s">
        <v>2653</v>
      </c>
      <c r="B1370" s="130"/>
      <c r="C1370" s="118" t="s">
        <v>3817</v>
      </c>
      <c r="D1370" s="141"/>
      <c r="E1370" s="118"/>
      <c r="F1370" s="118"/>
      <c r="G1370" s="118" t="s">
        <v>3618</v>
      </c>
      <c r="H1370" s="118" t="s">
        <v>3638</v>
      </c>
      <c r="I1370" s="118" t="s">
        <v>3738</v>
      </c>
      <c r="J1370" s="118" t="s">
        <v>6741</v>
      </c>
      <c r="K1370" s="141"/>
      <c r="L1370" s="135" t="str">
        <f t="shared" si="79"/>
        <v>Uromys caudimaculatus</v>
      </c>
      <c r="M1370" s="133">
        <f t="shared" si="78"/>
        <v>2.8102325179950842</v>
      </c>
      <c r="N1370" s="133">
        <v>646</v>
      </c>
      <c r="O1370" s="179" t="s">
        <v>3356</v>
      </c>
      <c r="P1370" s="108">
        <v>59</v>
      </c>
    </row>
    <row r="1371" spans="1:18">
      <c r="A1371" s="213" t="s">
        <v>2653</v>
      </c>
      <c r="B1371" s="130"/>
      <c r="C1371" s="118" t="s">
        <v>3817</v>
      </c>
      <c r="D1371" s="141"/>
      <c r="E1371" s="118"/>
      <c r="F1371" s="118"/>
      <c r="G1371" s="118" t="s">
        <v>3618</v>
      </c>
      <c r="H1371" s="118" t="s">
        <v>3638</v>
      </c>
      <c r="I1371" s="118" t="s">
        <v>3274</v>
      </c>
      <c r="J1371" s="118" t="s">
        <v>3275</v>
      </c>
      <c r="K1371" s="141"/>
      <c r="L1371" s="135" t="str">
        <f t="shared" si="79"/>
        <v>Xeromys myoides</v>
      </c>
      <c r="M1371" s="133">
        <f t="shared" si="78"/>
        <v>1.6127838567197355</v>
      </c>
      <c r="N1371" s="133">
        <v>41</v>
      </c>
      <c r="O1371" s="179" t="s">
        <v>3356</v>
      </c>
      <c r="P1371" s="111">
        <v>59</v>
      </c>
      <c r="Q1371" s="90" t="s">
        <v>6988</v>
      </c>
    </row>
    <row r="1372" spans="1:18">
      <c r="A1372" s="213" t="s">
        <v>2653</v>
      </c>
      <c r="B1372" s="130"/>
      <c r="C1372" s="118" t="s">
        <v>3817</v>
      </c>
      <c r="D1372" s="141"/>
      <c r="E1372" s="118"/>
      <c r="F1372" s="118"/>
      <c r="G1372" s="118" t="s">
        <v>3618</v>
      </c>
      <c r="H1372" s="118" t="s">
        <v>3638</v>
      </c>
      <c r="I1372" s="118" t="s">
        <v>7638</v>
      </c>
      <c r="J1372" s="118" t="s">
        <v>7642</v>
      </c>
      <c r="K1372" s="141"/>
      <c r="L1372" s="135" t="str">
        <f t="shared" si="79"/>
        <v>Zyzomys argurus</v>
      </c>
      <c r="M1372" s="133">
        <f t="shared" si="78"/>
        <v>1.5563025007672873</v>
      </c>
      <c r="N1372" s="133">
        <v>36</v>
      </c>
      <c r="O1372" s="179" t="s">
        <v>3356</v>
      </c>
      <c r="P1372" s="111">
        <v>59</v>
      </c>
    </row>
    <row r="1373" spans="1:18">
      <c r="A1373" s="213" t="s">
        <v>2653</v>
      </c>
      <c r="B1373" s="130"/>
      <c r="C1373" s="118" t="s">
        <v>3817</v>
      </c>
      <c r="D1373" s="141"/>
      <c r="E1373" s="118"/>
      <c r="F1373" s="118"/>
      <c r="G1373" s="118" t="s">
        <v>3618</v>
      </c>
      <c r="H1373" s="118" t="s">
        <v>3638</v>
      </c>
      <c r="I1373" s="118" t="s">
        <v>7638</v>
      </c>
      <c r="J1373" s="118" t="s">
        <v>3742</v>
      </c>
      <c r="K1373" s="141"/>
      <c r="L1373" s="135" t="str">
        <f t="shared" si="79"/>
        <v>Zyzomys maini</v>
      </c>
      <c r="M1373" s="133">
        <f t="shared" si="78"/>
        <v>1.9731278535996986</v>
      </c>
      <c r="N1373" s="133">
        <v>94</v>
      </c>
      <c r="O1373" s="179" t="s">
        <v>3356</v>
      </c>
      <c r="P1373" s="108">
        <v>59</v>
      </c>
    </row>
    <row r="1374" spans="1:18">
      <c r="A1374" s="216" t="s">
        <v>2653</v>
      </c>
      <c r="B1374" s="138"/>
      <c r="C1374" s="139" t="s">
        <v>3817</v>
      </c>
      <c r="D1374" s="222"/>
      <c r="E1374" s="139"/>
      <c r="F1374" s="139"/>
      <c r="G1374" s="139" t="s">
        <v>3618</v>
      </c>
      <c r="H1374" s="139" t="s">
        <v>3638</v>
      </c>
      <c r="I1374" s="139" t="s">
        <v>7638</v>
      </c>
      <c r="J1374" s="139" t="s">
        <v>4030</v>
      </c>
      <c r="K1374" s="222"/>
      <c r="L1374" s="135" t="str">
        <f t="shared" si="79"/>
        <v>Zyzomys pedunculatus</v>
      </c>
      <c r="M1374" s="133">
        <f t="shared" si="78"/>
        <v>2</v>
      </c>
      <c r="N1374" s="140">
        <v>100</v>
      </c>
      <c r="O1374" s="181" t="s">
        <v>3922</v>
      </c>
      <c r="P1374" s="112">
        <v>59</v>
      </c>
      <c r="Q1374" s="90" t="s">
        <v>7071</v>
      </c>
    </row>
    <row r="1375" spans="1:18">
      <c r="A1375" s="213" t="s">
        <v>2653</v>
      </c>
      <c r="B1375" s="130"/>
      <c r="C1375" s="118" t="s">
        <v>3817</v>
      </c>
      <c r="D1375" s="141"/>
      <c r="E1375" s="118"/>
      <c r="F1375" s="118"/>
      <c r="G1375" s="118" t="s">
        <v>3618</v>
      </c>
      <c r="H1375" s="118" t="s">
        <v>3638</v>
      </c>
      <c r="I1375" s="118" t="s">
        <v>7638</v>
      </c>
      <c r="J1375" s="118" t="s">
        <v>3562</v>
      </c>
      <c r="K1375" s="141"/>
      <c r="L1375" s="135" t="str">
        <f t="shared" si="79"/>
        <v>Zyzomys palatilis</v>
      </c>
      <c r="M1375" s="133">
        <f t="shared" si="78"/>
        <v>2.0899051114393981</v>
      </c>
      <c r="N1375" s="133">
        <v>123</v>
      </c>
      <c r="O1375" s="179" t="s">
        <v>3356</v>
      </c>
      <c r="P1375" s="108">
        <v>59</v>
      </c>
      <c r="Q1375" s="90" t="s">
        <v>7071</v>
      </c>
    </row>
    <row r="1376" spans="1:18">
      <c r="A1376" s="213" t="s">
        <v>2653</v>
      </c>
      <c r="B1376" s="130"/>
      <c r="C1376" s="121" t="s">
        <v>3817</v>
      </c>
      <c r="D1376" s="156"/>
      <c r="E1376" s="121"/>
      <c r="F1376" s="121"/>
      <c r="G1376" s="121" t="s">
        <v>3618</v>
      </c>
      <c r="H1376" s="121" t="s">
        <v>3638</v>
      </c>
      <c r="I1376" s="121" t="s">
        <v>7638</v>
      </c>
      <c r="J1376" s="121" t="s">
        <v>6735</v>
      </c>
      <c r="K1376" s="141"/>
      <c r="L1376" s="135" t="str">
        <f t="shared" si="79"/>
        <v>Zyzomys woodwardi</v>
      </c>
      <c r="M1376" s="133">
        <f t="shared" si="78"/>
        <v>2.1335389083702174</v>
      </c>
      <c r="N1376" s="133">
        <v>136</v>
      </c>
      <c r="O1376" s="179" t="s">
        <v>3356</v>
      </c>
      <c r="P1376" s="111">
        <v>59</v>
      </c>
    </row>
    <row r="1377" spans="1:22">
      <c r="A1377" s="118" t="s">
        <v>2653</v>
      </c>
      <c r="B1377" s="130"/>
      <c r="C1377" s="118" t="s">
        <v>3817</v>
      </c>
      <c r="D1377" s="141"/>
      <c r="E1377" s="118"/>
      <c r="F1377" s="118"/>
      <c r="G1377" s="118" t="s">
        <v>7361</v>
      </c>
      <c r="H1377" s="118" t="s">
        <v>7993</v>
      </c>
      <c r="I1377" s="118" t="s">
        <v>7994</v>
      </c>
      <c r="J1377" s="118" t="s">
        <v>7995</v>
      </c>
      <c r="K1377" s="141"/>
      <c r="L1377" s="135" t="str">
        <f t="shared" si="79"/>
        <v>Dugong dugon</v>
      </c>
      <c r="M1377" s="133">
        <f t="shared" si="78"/>
        <v>5.6232492903979008</v>
      </c>
      <c r="N1377" s="133">
        <v>420000</v>
      </c>
      <c r="O1377" s="179" t="s">
        <v>3356</v>
      </c>
      <c r="P1377" s="108">
        <v>59</v>
      </c>
    </row>
    <row r="1378" spans="1:22" ht="51">
      <c r="A1378" s="213" t="s">
        <v>2592</v>
      </c>
      <c r="B1378" s="141" t="s">
        <v>6065</v>
      </c>
      <c r="C1378" s="118" t="s">
        <v>3931</v>
      </c>
      <c r="D1378" s="141">
        <v>1825</v>
      </c>
      <c r="F1378" s="118"/>
      <c r="G1378" s="118" t="s">
        <v>3001</v>
      </c>
      <c r="H1378" s="118" t="s">
        <v>3358</v>
      </c>
      <c r="I1378" s="118" t="s">
        <v>2001</v>
      </c>
      <c r="J1378" s="118" t="s">
        <v>5733</v>
      </c>
      <c r="K1378" s="141" t="s">
        <v>87</v>
      </c>
      <c r="L1378" s="135" t="str">
        <f t="shared" si="79"/>
        <v>Gazella arabica</v>
      </c>
      <c r="M1378" s="133">
        <f t="shared" si="78"/>
        <v>4.0791812460476251</v>
      </c>
      <c r="N1378" s="133">
        <v>12000</v>
      </c>
      <c r="O1378" s="179" t="s">
        <v>1576</v>
      </c>
      <c r="P1378" s="108">
        <v>143</v>
      </c>
      <c r="Q1378" s="80" t="s">
        <v>6907</v>
      </c>
    </row>
    <row r="1379" spans="1:22" ht="38.25">
      <c r="A1379" s="213" t="s">
        <v>2592</v>
      </c>
      <c r="B1379" s="130" t="s">
        <v>48</v>
      </c>
      <c r="C1379" s="118" t="s">
        <v>3931</v>
      </c>
      <c r="D1379" s="141">
        <v>1938</v>
      </c>
      <c r="E1379" s="118"/>
      <c r="F1379" s="118"/>
      <c r="G1379" s="118" t="s">
        <v>3001</v>
      </c>
      <c r="H1379" s="118" t="s">
        <v>3905</v>
      </c>
      <c r="I1379" s="118" t="s">
        <v>3906</v>
      </c>
      <c r="J1379" s="118" t="s">
        <v>5441</v>
      </c>
      <c r="K1379" s="141" t="s">
        <v>91</v>
      </c>
      <c r="L1379" s="135" t="str">
        <f t="shared" si="79"/>
        <v>Cervus schomburgki</v>
      </c>
      <c r="M1379" s="133">
        <f t="shared" si="78"/>
        <v>5.0413926851582254</v>
      </c>
      <c r="N1379" s="133">
        <v>110000</v>
      </c>
      <c r="O1379" s="179" t="s">
        <v>6773</v>
      </c>
      <c r="P1379" s="108" t="s">
        <v>174</v>
      </c>
      <c r="Q1379" s="90" t="s">
        <v>6907</v>
      </c>
      <c r="R1379" s="79" t="s">
        <v>1422</v>
      </c>
    </row>
    <row r="1380" spans="1:22" ht="38.25">
      <c r="A1380" s="288" t="s">
        <v>2592</v>
      </c>
      <c r="B1380" s="229" t="s">
        <v>6067</v>
      </c>
      <c r="C1380" s="227" t="s">
        <v>3931</v>
      </c>
      <c r="D1380" s="229">
        <v>1951</v>
      </c>
      <c r="E1380" s="227"/>
      <c r="F1380" s="227"/>
      <c r="G1380" s="227" t="s">
        <v>3001</v>
      </c>
      <c r="H1380" s="227" t="s">
        <v>3358</v>
      </c>
      <c r="I1380" s="227" t="s">
        <v>2001</v>
      </c>
      <c r="J1380" s="227" t="s">
        <v>5722</v>
      </c>
      <c r="K1380" s="229" t="s">
        <v>53</v>
      </c>
      <c r="L1380" s="135" t="str">
        <f t="shared" si="79"/>
        <v>Gazella bilkis</v>
      </c>
      <c r="M1380" s="230">
        <f t="shared" si="78"/>
        <v>4.685741738602264</v>
      </c>
      <c r="N1380" s="230">
        <f>AVERAGE(12000, 85000)</f>
        <v>48500</v>
      </c>
      <c r="O1380" s="231" t="s">
        <v>54</v>
      </c>
      <c r="P1380" s="232">
        <v>56</v>
      </c>
      <c r="Q1380" s="233" t="s">
        <v>6907</v>
      </c>
      <c r="R1380" s="233" t="s">
        <v>1242</v>
      </c>
      <c r="S1380" s="233"/>
      <c r="T1380" s="233"/>
      <c r="U1380" s="234"/>
      <c r="V1380" s="234"/>
    </row>
    <row r="1381" spans="1:22">
      <c r="A1381" s="214" t="s">
        <v>2592</v>
      </c>
      <c r="B1381" s="135" t="s">
        <v>7953</v>
      </c>
      <c r="C1381" s="136" t="s">
        <v>5092</v>
      </c>
      <c r="D1381" s="220"/>
      <c r="E1381" s="136"/>
      <c r="F1381" s="136"/>
      <c r="G1381" s="134" t="s">
        <v>3001</v>
      </c>
      <c r="H1381" s="134" t="s">
        <v>3358</v>
      </c>
      <c r="I1381" s="134" t="s">
        <v>7458</v>
      </c>
      <c r="J1381" s="134" t="s">
        <v>2219</v>
      </c>
      <c r="K1381" s="135"/>
      <c r="L1381" s="135" t="str">
        <f t="shared" si="79"/>
        <v>Bison priscus</v>
      </c>
      <c r="M1381" s="133">
        <v>5.7190000000000003</v>
      </c>
      <c r="N1381" s="137">
        <v>523600.43658575101</v>
      </c>
      <c r="O1381" s="180"/>
      <c r="P1381" s="110">
        <v>165</v>
      </c>
    </row>
    <row r="1382" spans="1:22">
      <c r="A1382" s="213" t="s">
        <v>2592</v>
      </c>
      <c r="B1382" s="130" t="s">
        <v>7966</v>
      </c>
      <c r="C1382" s="118" t="s">
        <v>5092</v>
      </c>
      <c r="D1382" s="141"/>
      <c r="E1382" s="118"/>
      <c r="F1382" s="118"/>
      <c r="G1382" s="118" t="s">
        <v>3001</v>
      </c>
      <c r="H1382" s="118" t="s">
        <v>3358</v>
      </c>
      <c r="I1382" s="118" t="s">
        <v>7967</v>
      </c>
      <c r="J1382" s="118" t="s">
        <v>7968</v>
      </c>
      <c r="K1382" s="141"/>
      <c r="L1382" s="135" t="str">
        <f t="shared" si="79"/>
        <v>Spirocerus kiakhtensis</v>
      </c>
      <c r="M1382" s="133">
        <v>5.8979999999999997</v>
      </c>
      <c r="N1382" s="133">
        <v>790678.62799982505</v>
      </c>
      <c r="O1382" s="179"/>
      <c r="P1382" s="117">
        <v>165</v>
      </c>
      <c r="Q1382" s="91"/>
    </row>
    <row r="1383" spans="1:22">
      <c r="A1383" s="216" t="s">
        <v>2592</v>
      </c>
      <c r="B1383" s="138" t="s">
        <v>7955</v>
      </c>
      <c r="C1383" s="139" t="s">
        <v>5092</v>
      </c>
      <c r="D1383" s="222"/>
      <c r="E1383" s="139"/>
      <c r="F1383" s="139"/>
      <c r="G1383" s="139" t="s">
        <v>3001</v>
      </c>
      <c r="H1383" s="139" t="s">
        <v>7465</v>
      </c>
      <c r="I1383" s="139" t="s">
        <v>7466</v>
      </c>
      <c r="J1383" s="139" t="s">
        <v>7954</v>
      </c>
      <c r="K1383" s="222"/>
      <c r="L1383" s="135" t="str">
        <f t="shared" si="79"/>
        <v>Camelus knoblochi</v>
      </c>
      <c r="M1383" s="133">
        <v>5.74</v>
      </c>
      <c r="N1383" s="140">
        <v>549540.87385762495</v>
      </c>
      <c r="O1383" s="181"/>
      <c r="P1383" s="113">
        <v>165</v>
      </c>
    </row>
    <row r="1384" spans="1:22">
      <c r="A1384" s="134" t="s">
        <v>2592</v>
      </c>
      <c r="B1384" s="135" t="s">
        <v>7953</v>
      </c>
      <c r="C1384" s="136" t="s">
        <v>5092</v>
      </c>
      <c r="D1384" s="220"/>
      <c r="E1384" s="136"/>
      <c r="F1384" s="136"/>
      <c r="G1384" s="134" t="s">
        <v>3001</v>
      </c>
      <c r="H1384" s="134" t="s">
        <v>3905</v>
      </c>
      <c r="I1384" s="134" t="s">
        <v>2477</v>
      </c>
      <c r="J1384" s="134" t="s">
        <v>4255</v>
      </c>
      <c r="K1384" s="135"/>
      <c r="L1384" s="135" t="str">
        <f t="shared" si="79"/>
        <v>Megaloceros giganteus</v>
      </c>
      <c r="M1384" s="133">
        <v>5.8449999999999998</v>
      </c>
      <c r="N1384" s="137">
        <v>699841.99600227305</v>
      </c>
      <c r="O1384" s="180"/>
      <c r="P1384" s="110" t="s">
        <v>8018</v>
      </c>
    </row>
    <row r="1385" spans="1:22">
      <c r="A1385" s="213" t="s">
        <v>2592</v>
      </c>
      <c r="B1385" s="130"/>
      <c r="C1385" s="118" t="s">
        <v>45</v>
      </c>
      <c r="D1385" s="141"/>
      <c r="E1385" s="118"/>
      <c r="F1385" s="118"/>
      <c r="G1385" s="118" t="s">
        <v>3001</v>
      </c>
      <c r="H1385" s="118" t="s">
        <v>3358</v>
      </c>
      <c r="I1385" s="118" t="s">
        <v>4067</v>
      </c>
      <c r="J1385" s="118" t="s">
        <v>8083</v>
      </c>
      <c r="K1385" s="141"/>
      <c r="L1385" s="135" t="str">
        <f t="shared" si="79"/>
        <v>Bos taurus</v>
      </c>
      <c r="M1385" s="133">
        <f t="shared" ref="M1385:M1392" si="80">LOG(N1385)</f>
        <v>5.9542425094393252</v>
      </c>
      <c r="N1385" s="133">
        <v>900000</v>
      </c>
      <c r="O1385" s="179" t="s">
        <v>1322</v>
      </c>
      <c r="P1385" s="108">
        <v>114</v>
      </c>
    </row>
    <row r="1386" spans="1:22">
      <c r="A1386" s="118" t="s">
        <v>2592</v>
      </c>
      <c r="B1386" s="130"/>
      <c r="C1386" s="118" t="s">
        <v>3817</v>
      </c>
      <c r="D1386" s="141"/>
      <c r="E1386" s="118"/>
      <c r="F1386" s="118"/>
      <c r="G1386" s="118" t="s">
        <v>3001</v>
      </c>
      <c r="H1386" s="121" t="s">
        <v>3358</v>
      </c>
      <c r="I1386" s="118" t="s">
        <v>6545</v>
      </c>
      <c r="J1386" s="118" t="s">
        <v>6546</v>
      </c>
      <c r="K1386" s="141"/>
      <c r="L1386" s="135" t="str">
        <f t="shared" si="79"/>
        <v>Antilope cervicapra</v>
      </c>
      <c r="M1386" s="133">
        <f t="shared" si="80"/>
        <v>4.5740312677277188</v>
      </c>
      <c r="N1386" s="133">
        <v>37500</v>
      </c>
      <c r="O1386" s="179" t="s">
        <v>6736</v>
      </c>
      <c r="P1386" s="108">
        <v>68</v>
      </c>
      <c r="Q1386" s="90" t="s">
        <v>6988</v>
      </c>
    </row>
    <row r="1387" spans="1:22">
      <c r="A1387" s="118" t="s">
        <v>2592</v>
      </c>
      <c r="B1387" s="130"/>
      <c r="C1387" s="118" t="s">
        <v>3817</v>
      </c>
      <c r="D1387" s="141"/>
      <c r="E1387" s="118"/>
      <c r="F1387" s="118"/>
      <c r="G1387" s="118" t="s">
        <v>3001</v>
      </c>
      <c r="H1387" s="118" t="s">
        <v>3358</v>
      </c>
      <c r="I1387" s="118" t="s">
        <v>7458</v>
      </c>
      <c r="J1387" s="118" t="s">
        <v>8079</v>
      </c>
      <c r="K1387" s="141"/>
      <c r="L1387" s="135" t="str">
        <f t="shared" si="79"/>
        <v>Bison bonasus</v>
      </c>
      <c r="M1387" s="133">
        <f t="shared" si="80"/>
        <v>5.6989700043360187</v>
      </c>
      <c r="N1387" s="133">
        <v>500000</v>
      </c>
      <c r="O1387" s="179" t="s">
        <v>6736</v>
      </c>
      <c r="P1387" s="108">
        <v>68</v>
      </c>
      <c r="Q1387" s="90" t="s">
        <v>6640</v>
      </c>
    </row>
    <row r="1388" spans="1:22" ht="38.25">
      <c r="A1388" s="118" t="s">
        <v>2592</v>
      </c>
      <c r="B1388" s="130"/>
      <c r="C1388" s="118" t="s">
        <v>3817</v>
      </c>
      <c r="D1388" s="141"/>
      <c r="E1388" s="118"/>
      <c r="F1388" s="118"/>
      <c r="G1388" s="118" t="s">
        <v>3001</v>
      </c>
      <c r="H1388" s="118" t="s">
        <v>3358</v>
      </c>
      <c r="I1388" s="118" t="s">
        <v>4067</v>
      </c>
      <c r="J1388" s="118" t="s">
        <v>8082</v>
      </c>
      <c r="K1388" s="141"/>
      <c r="L1388" s="135" t="str">
        <f t="shared" si="79"/>
        <v>Bos grunniens</v>
      </c>
      <c r="M1388" s="133">
        <f t="shared" si="80"/>
        <v>5.5224442335063202</v>
      </c>
      <c r="N1388" s="133">
        <v>333000</v>
      </c>
      <c r="O1388" s="179" t="s">
        <v>1363</v>
      </c>
      <c r="P1388" s="108">
        <v>68</v>
      </c>
      <c r="Q1388" s="80" t="s">
        <v>6988</v>
      </c>
    </row>
    <row r="1389" spans="1:22" ht="38.25">
      <c r="A1389" s="216" t="s">
        <v>2592</v>
      </c>
      <c r="B1389" s="138"/>
      <c r="C1389" s="139" t="s">
        <v>3817</v>
      </c>
      <c r="D1389" s="222"/>
      <c r="E1389" s="139"/>
      <c r="F1389" s="139"/>
      <c r="G1389" s="139" t="s">
        <v>3001</v>
      </c>
      <c r="H1389" s="139" t="s">
        <v>3358</v>
      </c>
      <c r="I1389" s="139" t="s">
        <v>4067</v>
      </c>
      <c r="J1389" s="139" t="s">
        <v>7469</v>
      </c>
      <c r="K1389" s="222"/>
      <c r="L1389" s="135" t="str">
        <f t="shared" si="79"/>
        <v>Bos javanicus</v>
      </c>
      <c r="M1389" s="133">
        <f t="shared" si="80"/>
        <v>5.8450980400142569</v>
      </c>
      <c r="N1389" s="140">
        <v>700000</v>
      </c>
      <c r="O1389" s="179" t="s">
        <v>1363</v>
      </c>
      <c r="P1389" s="113">
        <v>75</v>
      </c>
      <c r="Q1389" s="80" t="s">
        <v>6640</v>
      </c>
    </row>
    <row r="1390" spans="1:22" ht="25.5">
      <c r="A1390" s="118" t="s">
        <v>2592</v>
      </c>
      <c r="B1390" s="130"/>
      <c r="C1390" s="118" t="s">
        <v>3817</v>
      </c>
      <c r="D1390" s="141"/>
      <c r="E1390" s="118"/>
      <c r="F1390" s="118"/>
      <c r="G1390" s="118" t="s">
        <v>3001</v>
      </c>
      <c r="H1390" s="118" t="s">
        <v>3358</v>
      </c>
      <c r="I1390" s="118" t="s">
        <v>4067</v>
      </c>
      <c r="J1390" s="118" t="s">
        <v>7688</v>
      </c>
      <c r="K1390" s="141"/>
      <c r="L1390" s="135" t="str">
        <f t="shared" si="79"/>
        <v>Bos frontalis</v>
      </c>
      <c r="M1390" s="133">
        <f t="shared" si="80"/>
        <v>5.9030899869919438</v>
      </c>
      <c r="N1390" s="133">
        <v>800000</v>
      </c>
      <c r="O1390" s="179" t="s">
        <v>6881</v>
      </c>
      <c r="P1390" s="108">
        <v>68</v>
      </c>
      <c r="Q1390" s="80" t="s">
        <v>6988</v>
      </c>
    </row>
    <row r="1391" spans="1:22" ht="25.5">
      <c r="A1391" s="213" t="s">
        <v>2592</v>
      </c>
      <c r="B1391" s="130"/>
      <c r="C1391" s="118" t="s">
        <v>3817</v>
      </c>
      <c r="D1391" s="141"/>
      <c r="E1391" s="118"/>
      <c r="F1391" s="118"/>
      <c r="G1391" s="118" t="s">
        <v>3001</v>
      </c>
      <c r="H1391" s="118" t="s">
        <v>3358</v>
      </c>
      <c r="I1391" s="118" t="s">
        <v>4067</v>
      </c>
      <c r="J1391" s="118" t="s">
        <v>5917</v>
      </c>
      <c r="K1391" s="141"/>
      <c r="L1391" s="135" t="str">
        <f t="shared" si="79"/>
        <v>Bos sauveli</v>
      </c>
      <c r="M1391" s="133">
        <f t="shared" si="80"/>
        <v>5.9030899869919438</v>
      </c>
      <c r="N1391" s="133">
        <v>800000</v>
      </c>
      <c r="O1391" s="182" t="s">
        <v>6969</v>
      </c>
      <c r="P1391" s="108">
        <v>136</v>
      </c>
      <c r="Q1391" s="80" t="s">
        <v>7071</v>
      </c>
    </row>
    <row r="1392" spans="1:22">
      <c r="A1392" s="213" t="s">
        <v>2592</v>
      </c>
      <c r="B1392" s="130"/>
      <c r="C1392" s="118" t="s">
        <v>3817</v>
      </c>
      <c r="D1392" s="141"/>
      <c r="E1392" s="118"/>
      <c r="F1392" s="118"/>
      <c r="G1392" s="118" t="s">
        <v>3001</v>
      </c>
      <c r="H1392" s="118" t="s">
        <v>3358</v>
      </c>
      <c r="I1392" s="118" t="s">
        <v>5597</v>
      </c>
      <c r="J1392" s="118" t="s">
        <v>5598</v>
      </c>
      <c r="K1392" s="141"/>
      <c r="L1392" s="135" t="str">
        <f t="shared" si="79"/>
        <v>Boselaphus tragocamelus</v>
      </c>
      <c r="M1392" s="133">
        <f t="shared" si="80"/>
        <v>5.2278867046136739</v>
      </c>
      <c r="N1392" s="133">
        <v>169000</v>
      </c>
      <c r="O1392" s="179" t="s">
        <v>6736</v>
      </c>
      <c r="P1392" s="111">
        <v>68</v>
      </c>
      <c r="Q1392" s="90" t="s">
        <v>6642</v>
      </c>
    </row>
    <row r="1393" spans="1:22">
      <c r="A1393" s="118" t="s">
        <v>2592</v>
      </c>
      <c r="B1393" s="141" t="s">
        <v>6061</v>
      </c>
      <c r="C1393" s="118" t="s">
        <v>3817</v>
      </c>
      <c r="D1393" s="141"/>
      <c r="E1393" s="118"/>
      <c r="F1393" s="118"/>
      <c r="G1393" s="118" t="s">
        <v>3001</v>
      </c>
      <c r="H1393" s="118" t="s">
        <v>3358</v>
      </c>
      <c r="I1393" s="118" t="s">
        <v>7456</v>
      </c>
      <c r="J1393" s="118" t="s">
        <v>5876</v>
      </c>
      <c r="K1393" s="141"/>
      <c r="L1393" s="135" t="str">
        <f t="shared" si="79"/>
        <v>Bubalus mephistopheles</v>
      </c>
      <c r="M1393" s="133">
        <v>-999</v>
      </c>
      <c r="N1393" s="133">
        <v>-999</v>
      </c>
      <c r="O1393" s="179" t="s">
        <v>3356</v>
      </c>
      <c r="P1393" s="108">
        <v>-999</v>
      </c>
      <c r="Q1393" s="80"/>
    </row>
    <row r="1394" spans="1:22" ht="12" customHeight="1">
      <c r="A1394" s="213" t="s">
        <v>2592</v>
      </c>
      <c r="B1394" s="130"/>
      <c r="C1394" s="118" t="s">
        <v>3817</v>
      </c>
      <c r="D1394" s="141"/>
      <c r="E1394" s="118"/>
      <c r="F1394" s="118"/>
      <c r="G1394" s="118" t="s">
        <v>3001</v>
      </c>
      <c r="H1394" s="118" t="s">
        <v>3358</v>
      </c>
      <c r="I1394" s="118" t="s">
        <v>7456</v>
      </c>
      <c r="J1394" s="118" t="s">
        <v>7457</v>
      </c>
      <c r="K1394" s="141"/>
      <c r="L1394" s="135" t="str">
        <f t="shared" si="79"/>
        <v>Bubalus bubalis</v>
      </c>
      <c r="M1394" s="133">
        <f t="shared" ref="M1394:M1425" si="81">LOG(N1394)</f>
        <v>4.5740312677277188</v>
      </c>
      <c r="N1394" s="133">
        <f>AVERAGE(25000, 50000)</f>
        <v>37500</v>
      </c>
      <c r="O1394" s="179" t="s">
        <v>1436</v>
      </c>
      <c r="P1394" s="108">
        <v>111</v>
      </c>
      <c r="Q1394" s="88" t="s">
        <v>6640</v>
      </c>
    </row>
    <row r="1395" spans="1:22" ht="51">
      <c r="A1395" s="213" t="s">
        <v>2592</v>
      </c>
      <c r="B1395" s="130"/>
      <c r="C1395" s="118" t="s">
        <v>3817</v>
      </c>
      <c r="D1395" s="141"/>
      <c r="E1395" s="118"/>
      <c r="F1395" s="118"/>
      <c r="G1395" s="118" t="s">
        <v>3001</v>
      </c>
      <c r="H1395" s="118" t="s">
        <v>3358</v>
      </c>
      <c r="I1395" s="118" t="s">
        <v>5599</v>
      </c>
      <c r="J1395" s="118" t="s">
        <v>5600</v>
      </c>
      <c r="K1395" s="141"/>
      <c r="L1395" s="135" t="str">
        <f t="shared" si="79"/>
        <v>Budorcas taxicolor</v>
      </c>
      <c r="M1395" s="133">
        <f t="shared" si="81"/>
        <v>5.480006942957151</v>
      </c>
      <c r="N1395" s="133">
        <v>302000</v>
      </c>
      <c r="O1395" s="179" t="s">
        <v>1239</v>
      </c>
      <c r="P1395" s="111">
        <v>68</v>
      </c>
      <c r="Q1395" s="90" t="s">
        <v>6988</v>
      </c>
    </row>
    <row r="1396" spans="1:22" ht="38.25">
      <c r="A1396" s="213" t="s">
        <v>2592</v>
      </c>
      <c r="B1396" s="130"/>
      <c r="C1396" s="118" t="s">
        <v>3817</v>
      </c>
      <c r="D1396" s="141"/>
      <c r="E1396" s="118"/>
      <c r="F1396" s="118"/>
      <c r="G1396" s="118" t="s">
        <v>3001</v>
      </c>
      <c r="H1396" s="118" t="s">
        <v>3358</v>
      </c>
      <c r="I1396" s="118" t="s">
        <v>3171</v>
      </c>
      <c r="J1396" s="118" t="s">
        <v>5538</v>
      </c>
      <c r="K1396" s="141"/>
      <c r="L1396" s="135" t="str">
        <f t="shared" si="79"/>
        <v>Capra falconeri</v>
      </c>
      <c r="M1396" s="133">
        <f t="shared" si="81"/>
        <v>4.6127838567197355</v>
      </c>
      <c r="N1396" s="133">
        <v>41000</v>
      </c>
      <c r="O1396" s="179" t="s">
        <v>1450</v>
      </c>
      <c r="P1396" s="108">
        <v>68</v>
      </c>
      <c r="Q1396" s="90" t="s">
        <v>6640</v>
      </c>
      <c r="U1396" s="59"/>
      <c r="V1396" s="59"/>
    </row>
    <row r="1397" spans="1:22" ht="63.75">
      <c r="A1397" s="213" t="s">
        <v>2592</v>
      </c>
      <c r="B1397" s="130"/>
      <c r="C1397" s="118" t="s">
        <v>3817</v>
      </c>
      <c r="D1397" s="141"/>
      <c r="E1397" s="118"/>
      <c r="F1397" s="118"/>
      <c r="G1397" s="118" t="s">
        <v>3001</v>
      </c>
      <c r="H1397" s="118" t="s">
        <v>3358</v>
      </c>
      <c r="I1397" s="118" t="s">
        <v>3171</v>
      </c>
      <c r="J1397" s="118" t="s">
        <v>8252</v>
      </c>
      <c r="K1397" s="141"/>
      <c r="L1397" s="135" t="str">
        <f t="shared" si="79"/>
        <v>Capra nubiana</v>
      </c>
      <c r="M1397" s="133">
        <f t="shared" si="81"/>
        <v>4.6651117370750512</v>
      </c>
      <c r="N1397" s="133">
        <f>AVERAGE(60000, 32500)</f>
        <v>46250</v>
      </c>
      <c r="O1397" s="179" t="s">
        <v>7001</v>
      </c>
      <c r="P1397" s="108">
        <v>136</v>
      </c>
      <c r="Q1397" s="80" t="s">
        <v>6640</v>
      </c>
      <c r="S1397" s="85" t="s">
        <v>1405</v>
      </c>
    </row>
    <row r="1398" spans="1:22">
      <c r="A1398" s="118" t="s">
        <v>2592</v>
      </c>
      <c r="B1398" s="130"/>
      <c r="C1398" s="118" t="s">
        <v>3817</v>
      </c>
      <c r="D1398" s="141"/>
      <c r="E1398" s="118"/>
      <c r="F1398" s="118"/>
      <c r="G1398" s="118" t="s">
        <v>3001</v>
      </c>
      <c r="H1398" s="118" t="s">
        <v>3358</v>
      </c>
      <c r="I1398" s="118" t="s">
        <v>3171</v>
      </c>
      <c r="J1398" s="118" t="s">
        <v>5537</v>
      </c>
      <c r="K1398" s="141"/>
      <c r="L1398" s="135" t="str">
        <f t="shared" si="79"/>
        <v>Capra cylindricornis</v>
      </c>
      <c r="M1398" s="133">
        <f t="shared" si="81"/>
        <v>4.6989700043360187</v>
      </c>
      <c r="N1398" s="133">
        <v>50000</v>
      </c>
      <c r="O1398" s="179" t="s">
        <v>6192</v>
      </c>
      <c r="P1398" s="108">
        <v>68</v>
      </c>
      <c r="Q1398" s="90" t="s">
        <v>6988</v>
      </c>
    </row>
    <row r="1399" spans="1:22" ht="84" customHeight="1">
      <c r="A1399" s="213" t="s">
        <v>2592</v>
      </c>
      <c r="B1399" s="130" t="s">
        <v>6063</v>
      </c>
      <c r="C1399" s="118" t="s">
        <v>3817</v>
      </c>
      <c r="D1399" s="141"/>
      <c r="E1399" s="118"/>
      <c r="F1399" s="118"/>
      <c r="G1399" s="118" t="s">
        <v>3001</v>
      </c>
      <c r="H1399" s="118" t="s">
        <v>3358</v>
      </c>
      <c r="I1399" s="118" t="s">
        <v>3171</v>
      </c>
      <c r="J1399" s="118" t="s">
        <v>8058</v>
      </c>
      <c r="K1399" s="141"/>
      <c r="L1399" s="135" t="str">
        <f t="shared" si="79"/>
        <v>Capra pyrenaica</v>
      </c>
      <c r="M1399" s="133">
        <f t="shared" si="81"/>
        <v>4.6989700043360187</v>
      </c>
      <c r="N1399" s="133">
        <v>50000</v>
      </c>
      <c r="O1399" s="179" t="s">
        <v>6844</v>
      </c>
      <c r="P1399" s="108">
        <v>134</v>
      </c>
      <c r="Q1399" s="80" t="s">
        <v>6642</v>
      </c>
      <c r="R1399" s="88" t="s">
        <v>6898</v>
      </c>
      <c r="U1399" s="59"/>
      <c r="V1399" s="59"/>
    </row>
    <row r="1400" spans="1:22" ht="84" customHeight="1">
      <c r="A1400" s="213" t="s">
        <v>2592</v>
      </c>
      <c r="B1400" s="130"/>
      <c r="C1400" s="118" t="s">
        <v>3817</v>
      </c>
      <c r="D1400" s="141"/>
      <c r="E1400" s="118"/>
      <c r="F1400" s="118"/>
      <c r="G1400" s="118" t="s">
        <v>3001</v>
      </c>
      <c r="H1400" s="118" t="s">
        <v>3358</v>
      </c>
      <c r="I1400" s="118" t="s">
        <v>3171</v>
      </c>
      <c r="J1400" s="118" t="s">
        <v>5601</v>
      </c>
      <c r="K1400" s="141"/>
      <c r="L1400" s="135" t="str">
        <f t="shared" si="79"/>
        <v>Capra caucasica</v>
      </c>
      <c r="M1400" s="133">
        <f t="shared" si="81"/>
        <v>4.7403626894942441</v>
      </c>
      <c r="N1400" s="133">
        <v>55000</v>
      </c>
      <c r="O1400" s="179" t="s">
        <v>1133</v>
      </c>
      <c r="P1400" s="108">
        <v>68</v>
      </c>
      <c r="Q1400" s="88" t="s">
        <v>6640</v>
      </c>
    </row>
    <row r="1401" spans="1:22">
      <c r="A1401" s="118" t="s">
        <v>2592</v>
      </c>
      <c r="B1401" s="130"/>
      <c r="C1401" s="118" t="s">
        <v>3817</v>
      </c>
      <c r="D1401" s="141"/>
      <c r="E1401" s="118"/>
      <c r="F1401" s="118"/>
      <c r="G1401" s="118" t="s">
        <v>3001</v>
      </c>
      <c r="H1401" s="118" t="s">
        <v>3358</v>
      </c>
      <c r="I1401" s="118" t="s">
        <v>3171</v>
      </c>
      <c r="J1401" s="118" t="s">
        <v>3172</v>
      </c>
      <c r="K1401" s="141"/>
      <c r="L1401" s="135" t="str">
        <f t="shared" si="79"/>
        <v>Capra ibex</v>
      </c>
      <c r="M1401" s="133">
        <f t="shared" si="81"/>
        <v>4.8409420802430994</v>
      </c>
      <c r="N1401" s="133">
        <f>AVERAGE(26000, 92000, 90000)</f>
        <v>69333.333333333328</v>
      </c>
      <c r="O1401" s="179" t="s">
        <v>3356</v>
      </c>
      <c r="P1401" s="108" t="s">
        <v>1691</v>
      </c>
      <c r="Q1401" s="80"/>
    </row>
    <row r="1402" spans="1:22" ht="36" customHeight="1">
      <c r="A1402" s="118" t="s">
        <v>2592</v>
      </c>
      <c r="B1402" s="130"/>
      <c r="C1402" s="118" t="s">
        <v>3817</v>
      </c>
      <c r="D1402" s="141"/>
      <c r="E1402" s="118"/>
      <c r="F1402" s="118"/>
      <c r="G1402" s="118" t="s">
        <v>3001</v>
      </c>
      <c r="H1402" s="118" t="s">
        <v>3358</v>
      </c>
      <c r="I1402" s="118" t="s">
        <v>3171</v>
      </c>
      <c r="J1402" s="118" t="s">
        <v>4066</v>
      </c>
      <c r="K1402" s="141"/>
      <c r="L1402" s="135" t="str">
        <f t="shared" si="79"/>
        <v>Capra hircus</v>
      </c>
      <c r="M1402" s="133">
        <f t="shared" si="81"/>
        <v>4.8750612633917001</v>
      </c>
      <c r="N1402" s="133">
        <f>AVERAGE(97500, 52500)</f>
        <v>75000</v>
      </c>
      <c r="O1402" s="179" t="s">
        <v>1453</v>
      </c>
      <c r="P1402" s="108">
        <v>111</v>
      </c>
      <c r="Q1402" s="88" t="s">
        <v>6988</v>
      </c>
    </row>
    <row r="1403" spans="1:22">
      <c r="A1403" s="118" t="s">
        <v>2592</v>
      </c>
      <c r="B1403" s="130"/>
      <c r="C1403" s="118" t="s">
        <v>3817</v>
      </c>
      <c r="D1403" s="141"/>
      <c r="E1403" s="118"/>
      <c r="F1403" s="118"/>
      <c r="G1403" s="118" t="s">
        <v>3001</v>
      </c>
      <c r="H1403" s="118" t="s">
        <v>3358</v>
      </c>
      <c r="I1403" s="118" t="s">
        <v>3171</v>
      </c>
      <c r="J1403" s="118" t="s">
        <v>8225</v>
      </c>
      <c r="K1403" s="141"/>
      <c r="L1403" s="135" t="str">
        <f t="shared" si="79"/>
        <v>Capra sibirica</v>
      </c>
      <c r="M1403" s="133">
        <f t="shared" si="81"/>
        <v>5.1139433523068369</v>
      </c>
      <c r="N1403" s="133">
        <v>130000</v>
      </c>
      <c r="O1403" s="179" t="s">
        <v>3356</v>
      </c>
      <c r="P1403" s="111">
        <v>104</v>
      </c>
    </row>
    <row r="1404" spans="1:22" ht="25.5">
      <c r="A1404" s="118" t="s">
        <v>2592</v>
      </c>
      <c r="B1404" s="141" t="s">
        <v>2526</v>
      </c>
      <c r="C1404" s="118" t="s">
        <v>3817</v>
      </c>
      <c r="D1404" s="141"/>
      <c r="E1404" s="118"/>
      <c r="F1404" s="118"/>
      <c r="G1404" s="118" t="s">
        <v>3001</v>
      </c>
      <c r="H1404" s="118" t="s">
        <v>3358</v>
      </c>
      <c r="I1404" s="118" t="s">
        <v>2001</v>
      </c>
      <c r="J1404" s="118" t="s">
        <v>5724</v>
      </c>
      <c r="K1404" s="141"/>
      <c r="L1404" s="135" t="str">
        <f t="shared" si="79"/>
        <v>Gazella saudiya</v>
      </c>
      <c r="M1404" s="133">
        <f t="shared" si="81"/>
        <v>4.204119982655925</v>
      </c>
      <c r="N1404" s="133">
        <v>16000</v>
      </c>
      <c r="O1404" s="179" t="s">
        <v>3356</v>
      </c>
      <c r="P1404" s="108">
        <v>143</v>
      </c>
      <c r="Q1404" s="90" t="s">
        <v>7008</v>
      </c>
    </row>
    <row r="1405" spans="1:22">
      <c r="A1405" s="118" t="s">
        <v>2592</v>
      </c>
      <c r="B1405" s="141" t="s">
        <v>6066</v>
      </c>
      <c r="C1405" s="118" t="s">
        <v>3817</v>
      </c>
      <c r="D1405" s="141"/>
      <c r="E1405" s="118"/>
      <c r="F1405" s="118"/>
      <c r="G1405" s="118" t="s">
        <v>3001</v>
      </c>
      <c r="H1405" s="118" t="s">
        <v>3358</v>
      </c>
      <c r="I1405" s="118" t="s">
        <v>2001</v>
      </c>
      <c r="J1405" s="118" t="s">
        <v>5734</v>
      </c>
      <c r="K1405" s="141"/>
      <c r="L1405" s="135" t="str">
        <f t="shared" si="79"/>
        <v>Gazella bennettii</v>
      </c>
      <c r="M1405" s="133">
        <f t="shared" si="81"/>
        <v>4.2768446111454983</v>
      </c>
      <c r="N1405" s="133">
        <f>AVERAGE((50*454), (35*454), (40*454))</f>
        <v>18916.666666666668</v>
      </c>
      <c r="O1405" s="179" t="s">
        <v>7081</v>
      </c>
      <c r="P1405" s="108">
        <v>133</v>
      </c>
      <c r="Q1405" s="80" t="s">
        <v>6642</v>
      </c>
    </row>
    <row r="1406" spans="1:22" ht="72" customHeight="1">
      <c r="A1406" s="118" t="s">
        <v>2592</v>
      </c>
      <c r="B1406" s="130"/>
      <c r="C1406" s="118" t="s">
        <v>3817</v>
      </c>
      <c r="D1406" s="141"/>
      <c r="E1406" s="118"/>
      <c r="F1406" s="118"/>
      <c r="G1406" s="118" t="s">
        <v>3001</v>
      </c>
      <c r="H1406" s="118" t="s">
        <v>3358</v>
      </c>
      <c r="I1406" s="118" t="s">
        <v>2001</v>
      </c>
      <c r="J1406" s="118" t="s">
        <v>7280</v>
      </c>
      <c r="K1406" s="141"/>
      <c r="L1406" s="135" t="str">
        <f t="shared" si="79"/>
        <v>Gazella gazella</v>
      </c>
      <c r="M1406" s="133">
        <f t="shared" si="81"/>
        <v>4.3617278360175931</v>
      </c>
      <c r="N1406" s="133">
        <v>23000</v>
      </c>
      <c r="O1406" s="179" t="s">
        <v>1406</v>
      </c>
      <c r="P1406" s="108">
        <v>115</v>
      </c>
      <c r="Q1406" s="90" t="s">
        <v>6642</v>
      </c>
      <c r="R1406" s="89"/>
    </row>
    <row r="1407" spans="1:22">
      <c r="A1407" s="118" t="s">
        <v>2592</v>
      </c>
      <c r="B1407" s="130" t="s">
        <v>7834</v>
      </c>
      <c r="C1407" s="118" t="s">
        <v>3817</v>
      </c>
      <c r="D1407" s="141"/>
      <c r="E1407" s="118"/>
      <c r="F1407" s="118"/>
      <c r="G1407" s="118" t="s">
        <v>3001</v>
      </c>
      <c r="H1407" s="118" t="s">
        <v>3358</v>
      </c>
      <c r="I1407" s="118" t="s">
        <v>2001</v>
      </c>
      <c r="J1407" s="118" t="s">
        <v>1994</v>
      </c>
      <c r="K1407" s="141"/>
      <c r="L1407" s="135" t="str">
        <f t="shared" si="79"/>
        <v>Gazella dorcas</v>
      </c>
      <c r="M1407" s="133">
        <f t="shared" si="81"/>
        <v>4.3617299999999997</v>
      </c>
      <c r="N1407" s="133">
        <v>23000.114603619051</v>
      </c>
      <c r="O1407" s="179" t="s">
        <v>7081</v>
      </c>
      <c r="P1407" s="108">
        <v>65</v>
      </c>
      <c r="Q1407" s="90" t="s">
        <v>6988</v>
      </c>
      <c r="T1407" s="90"/>
    </row>
    <row r="1408" spans="1:22" ht="63.75">
      <c r="A1408" s="118" t="s">
        <v>2592</v>
      </c>
      <c r="B1408" s="130"/>
      <c r="C1408" s="118" t="s">
        <v>3817</v>
      </c>
      <c r="D1408" s="141"/>
      <c r="E1408" s="118"/>
      <c r="F1408" s="118"/>
      <c r="G1408" s="118" t="s">
        <v>3001</v>
      </c>
      <c r="H1408" s="118" t="s">
        <v>3358</v>
      </c>
      <c r="I1408" s="118" t="s">
        <v>2001</v>
      </c>
      <c r="J1408" s="118" t="s">
        <v>5725</v>
      </c>
      <c r="K1408" s="141"/>
      <c r="L1408" s="135" t="str">
        <f t="shared" si="79"/>
        <v>Gazella subgutturosa</v>
      </c>
      <c r="M1408" s="133">
        <f t="shared" si="81"/>
        <v>4.4548448600085102</v>
      </c>
      <c r="N1408" s="133">
        <f>AVERAGE(25500, 31500)</f>
        <v>28500</v>
      </c>
      <c r="O1408" s="179" t="s">
        <v>7081</v>
      </c>
      <c r="P1408" s="108">
        <v>91</v>
      </c>
      <c r="Q1408" s="90" t="s">
        <v>6642</v>
      </c>
      <c r="R1408" s="79" t="s">
        <v>6966</v>
      </c>
    </row>
    <row r="1409" spans="1:18" ht="12" customHeight="1">
      <c r="A1409" s="118" t="s">
        <v>2592</v>
      </c>
      <c r="B1409" s="141" t="s">
        <v>2347</v>
      </c>
      <c r="C1409" s="118" t="s">
        <v>3817</v>
      </c>
      <c r="D1409" s="141"/>
      <c r="E1409" s="118"/>
      <c r="F1409" s="118"/>
      <c r="G1409" s="118" t="s">
        <v>3001</v>
      </c>
      <c r="H1409" s="118" t="s">
        <v>3358</v>
      </c>
      <c r="I1409" s="118" t="s">
        <v>5393</v>
      </c>
      <c r="J1409" s="118" t="s">
        <v>8057</v>
      </c>
      <c r="K1409" s="141"/>
      <c r="L1409" s="135" t="str">
        <f t="shared" si="79"/>
        <v>Hemitragus jayakari</v>
      </c>
      <c r="M1409" s="133">
        <f t="shared" si="81"/>
        <v>4.3617278360175931</v>
      </c>
      <c r="N1409" s="133">
        <v>23000</v>
      </c>
      <c r="O1409" s="179" t="s">
        <v>4437</v>
      </c>
      <c r="P1409" s="108">
        <v>136</v>
      </c>
      <c r="Q1409" s="88" t="s">
        <v>6640</v>
      </c>
      <c r="R1409" s="79" t="s">
        <v>1349</v>
      </c>
    </row>
    <row r="1410" spans="1:18" ht="38.25">
      <c r="A1410" s="118" t="s">
        <v>2592</v>
      </c>
      <c r="B1410" s="130"/>
      <c r="C1410" s="118" t="s">
        <v>3817</v>
      </c>
      <c r="D1410" s="141"/>
      <c r="E1410" s="118"/>
      <c r="F1410" s="118"/>
      <c r="G1410" s="118" t="s">
        <v>3001</v>
      </c>
      <c r="H1410" s="118" t="s">
        <v>3358</v>
      </c>
      <c r="I1410" s="118" t="s">
        <v>5393</v>
      </c>
      <c r="J1410" s="118" t="s">
        <v>6338</v>
      </c>
      <c r="K1410" s="141"/>
      <c r="L1410" s="135" t="str">
        <f t="shared" si="79"/>
        <v>Hemitragus jemlahicus</v>
      </c>
      <c r="M1410" s="133">
        <f t="shared" si="81"/>
        <v>4.5465426634781307</v>
      </c>
      <c r="N1410" s="133">
        <v>35200</v>
      </c>
      <c r="O1410" s="179" t="s">
        <v>1450</v>
      </c>
      <c r="P1410" s="108">
        <v>68</v>
      </c>
      <c r="Q1410" s="80" t="s">
        <v>6988</v>
      </c>
    </row>
    <row r="1411" spans="1:18">
      <c r="A1411" s="213" t="s">
        <v>2592</v>
      </c>
      <c r="B1411" s="141" t="s">
        <v>2527</v>
      </c>
      <c r="C1411" s="118" t="s">
        <v>3817</v>
      </c>
      <c r="D1411" s="141"/>
      <c r="E1411" s="118"/>
      <c r="F1411" s="118"/>
      <c r="G1411" s="118" t="s">
        <v>3001</v>
      </c>
      <c r="H1411" s="118" t="s">
        <v>3358</v>
      </c>
      <c r="I1411" s="118" t="s">
        <v>5393</v>
      </c>
      <c r="J1411" s="118" t="s">
        <v>8056</v>
      </c>
      <c r="K1411" s="141"/>
      <c r="L1411" s="135" t="str">
        <f t="shared" si="79"/>
        <v>Hemitragus hylocrius</v>
      </c>
      <c r="M1411" s="133">
        <f t="shared" si="81"/>
        <v>4.8750612633917001</v>
      </c>
      <c r="N1411" s="133">
        <v>75000</v>
      </c>
      <c r="O1411" s="179" t="s">
        <v>7081</v>
      </c>
      <c r="P1411" s="108">
        <v>136</v>
      </c>
      <c r="Q1411" s="78" t="s">
        <v>6640</v>
      </c>
    </row>
    <row r="1412" spans="1:18" ht="48" customHeight="1">
      <c r="A1412" s="213" t="s">
        <v>2592</v>
      </c>
      <c r="B1412" s="130" t="s">
        <v>2111</v>
      </c>
      <c r="C1412" s="118" t="s">
        <v>3817</v>
      </c>
      <c r="D1412" s="141"/>
      <c r="E1412" s="118"/>
      <c r="F1412" s="118"/>
      <c r="G1412" s="118" t="s">
        <v>3001</v>
      </c>
      <c r="H1412" s="118" t="s">
        <v>3358</v>
      </c>
      <c r="I1412" s="118" t="s">
        <v>6339</v>
      </c>
      <c r="J1412" s="118" t="s">
        <v>2178</v>
      </c>
      <c r="K1412" s="141"/>
      <c r="L1412" s="135" t="str">
        <f t="shared" si="79"/>
        <v>Naemorhedus caudatus</v>
      </c>
      <c r="M1412" s="133">
        <f t="shared" si="81"/>
        <v>4.4313637641589869</v>
      </c>
      <c r="N1412" s="133">
        <f>AVERAGE(22000, 32000)</f>
        <v>27000</v>
      </c>
      <c r="O1412" s="179" t="s">
        <v>1133</v>
      </c>
      <c r="P1412" s="108">
        <v>144</v>
      </c>
      <c r="Q1412" s="90" t="s">
        <v>6988</v>
      </c>
      <c r="R1412" s="89"/>
    </row>
    <row r="1413" spans="1:18">
      <c r="A1413" s="118" t="s">
        <v>2592</v>
      </c>
      <c r="B1413" s="130" t="s">
        <v>2611</v>
      </c>
      <c r="C1413" s="118" t="s">
        <v>3817</v>
      </c>
      <c r="D1413" s="141"/>
      <c r="E1413" s="118"/>
      <c r="F1413" s="118"/>
      <c r="G1413" s="118" t="s">
        <v>3001</v>
      </c>
      <c r="H1413" s="118" t="s">
        <v>3358</v>
      </c>
      <c r="I1413" s="118" t="s">
        <v>6339</v>
      </c>
      <c r="J1413" s="118" t="s">
        <v>2260</v>
      </c>
      <c r="K1413" s="141"/>
      <c r="L1413" s="135" t="str">
        <f t="shared" ref="L1413:L1476" si="82">I1413&amp;" "&amp;J1413</f>
        <v>Naemorhedus baileyi</v>
      </c>
      <c r="M1413" s="133">
        <f t="shared" si="81"/>
        <v>4.439135242368847</v>
      </c>
      <c r="N1413" s="133">
        <f>AVERAGE(24993, 29982)</f>
        <v>27487.5</v>
      </c>
      <c r="O1413" s="179" t="s">
        <v>7081</v>
      </c>
      <c r="P1413" s="108">
        <v>215</v>
      </c>
      <c r="Q1413" s="90" t="s">
        <v>6988</v>
      </c>
      <c r="R1413" s="82"/>
    </row>
    <row r="1414" spans="1:18" ht="24" customHeight="1">
      <c r="A1414" s="118" t="s">
        <v>2592</v>
      </c>
      <c r="B1414" s="130"/>
      <c r="C1414" s="118" t="s">
        <v>3817</v>
      </c>
      <c r="D1414" s="141"/>
      <c r="E1414" s="118"/>
      <c r="F1414" s="118"/>
      <c r="G1414" s="118" t="s">
        <v>3001</v>
      </c>
      <c r="H1414" s="118" t="s">
        <v>3358</v>
      </c>
      <c r="I1414" s="118" t="s">
        <v>6339</v>
      </c>
      <c r="J1414" s="118" t="s">
        <v>6340</v>
      </c>
      <c r="K1414" s="141"/>
      <c r="L1414" s="135" t="str">
        <f t="shared" si="82"/>
        <v>Naemorhedus goral</v>
      </c>
      <c r="M1414" s="133">
        <f t="shared" si="81"/>
        <v>4.4548448600085102</v>
      </c>
      <c r="N1414" s="133">
        <v>28500</v>
      </c>
      <c r="O1414" s="179" t="s">
        <v>7084</v>
      </c>
      <c r="P1414" s="111">
        <v>68</v>
      </c>
      <c r="Q1414" s="88" t="s">
        <v>6642</v>
      </c>
    </row>
    <row r="1415" spans="1:18" ht="24" customHeight="1">
      <c r="A1415" s="213" t="s">
        <v>2592</v>
      </c>
      <c r="B1415" s="130"/>
      <c r="C1415" s="118" t="s">
        <v>3817</v>
      </c>
      <c r="D1415" s="141"/>
      <c r="E1415" s="118"/>
      <c r="F1415" s="118"/>
      <c r="G1415" s="118" t="s">
        <v>3001</v>
      </c>
      <c r="H1415" s="118" t="s">
        <v>3358</v>
      </c>
      <c r="I1415" s="118" t="s">
        <v>6339</v>
      </c>
      <c r="J1415" s="118" t="s">
        <v>6341</v>
      </c>
      <c r="K1415" s="141"/>
      <c r="L1415" s="135" t="str">
        <f t="shared" si="82"/>
        <v>Naemorhedus sumatraensis</v>
      </c>
      <c r="M1415" s="133">
        <f t="shared" si="81"/>
        <v>4.9420080530223132</v>
      </c>
      <c r="N1415" s="133">
        <v>87500</v>
      </c>
      <c r="O1415" s="179" t="s">
        <v>7081</v>
      </c>
      <c r="P1415" s="108">
        <v>68</v>
      </c>
      <c r="Q1415" s="88" t="s">
        <v>6988</v>
      </c>
    </row>
    <row r="1416" spans="1:18" ht="48" customHeight="1">
      <c r="A1416" s="213" t="s">
        <v>2592</v>
      </c>
      <c r="B1416" s="130"/>
      <c r="C1416" s="118" t="s">
        <v>3817</v>
      </c>
      <c r="D1416" s="141"/>
      <c r="E1416" s="118"/>
      <c r="F1416" s="118"/>
      <c r="G1416" s="118" t="s">
        <v>3001</v>
      </c>
      <c r="H1416" s="118" t="s">
        <v>3358</v>
      </c>
      <c r="I1416" s="118" t="s">
        <v>7439</v>
      </c>
      <c r="J1416" s="118" t="s">
        <v>6342</v>
      </c>
      <c r="K1416" s="141"/>
      <c r="L1416" s="135" t="str">
        <f t="shared" si="82"/>
        <v>Oryx leucoryx</v>
      </c>
      <c r="M1416" s="133">
        <f t="shared" si="81"/>
        <v>4.9429995933660402</v>
      </c>
      <c r="N1416" s="133">
        <v>87700</v>
      </c>
      <c r="O1416" s="179" t="s">
        <v>7946</v>
      </c>
      <c r="P1416" s="108">
        <v>68</v>
      </c>
      <c r="Q1416" s="88" t="s">
        <v>6640</v>
      </c>
    </row>
    <row r="1417" spans="1:18">
      <c r="A1417" s="118" t="s">
        <v>2592</v>
      </c>
      <c r="B1417" s="130"/>
      <c r="C1417" s="118" t="s">
        <v>3817</v>
      </c>
      <c r="D1417" s="141"/>
      <c r="E1417" s="118"/>
      <c r="F1417" s="118"/>
      <c r="G1417" s="118" t="s">
        <v>3001</v>
      </c>
      <c r="H1417" s="118" t="s">
        <v>3358</v>
      </c>
      <c r="I1417" s="118" t="s">
        <v>7439</v>
      </c>
      <c r="J1417" s="118" t="s">
        <v>7440</v>
      </c>
      <c r="K1417" s="141"/>
      <c r="L1417" s="135" t="str">
        <f t="shared" si="82"/>
        <v>Oryx dammah</v>
      </c>
      <c r="M1417" s="133">
        <f t="shared" si="81"/>
        <v>5.3010299999999999</v>
      </c>
      <c r="N1417" s="133">
        <v>200000.00199681061</v>
      </c>
      <c r="O1417" s="179" t="s">
        <v>7081</v>
      </c>
      <c r="P1417" s="108">
        <v>60</v>
      </c>
      <c r="Q1417" s="90" t="s">
        <v>7008</v>
      </c>
    </row>
    <row r="1418" spans="1:18" ht="24" customHeight="1">
      <c r="A1418" s="213" t="s">
        <v>2592</v>
      </c>
      <c r="B1418" s="130"/>
      <c r="C1418" s="118" t="s">
        <v>3817</v>
      </c>
      <c r="D1418" s="141"/>
      <c r="E1418" s="118"/>
      <c r="F1418" s="118"/>
      <c r="G1418" s="118" t="s">
        <v>3001</v>
      </c>
      <c r="H1418" s="118" t="s">
        <v>3358</v>
      </c>
      <c r="I1418" s="118" t="s">
        <v>7462</v>
      </c>
      <c r="J1418" s="118" t="s">
        <v>7233</v>
      </c>
      <c r="K1418" s="141"/>
      <c r="L1418" s="135" t="str">
        <f t="shared" si="82"/>
        <v>Ovibos moschatus</v>
      </c>
      <c r="M1418" s="133">
        <f t="shared" si="81"/>
        <v>5.4948500216800937</v>
      </c>
      <c r="N1418" s="133">
        <f>AVERAGE(225000, 400000)</f>
        <v>312500</v>
      </c>
      <c r="O1418" s="183"/>
      <c r="P1418" s="108">
        <v>111</v>
      </c>
      <c r="Q1418" s="80"/>
      <c r="R1418" s="89"/>
    </row>
    <row r="1419" spans="1:18" ht="36" customHeight="1">
      <c r="A1419" s="213" t="s">
        <v>2592</v>
      </c>
      <c r="B1419" s="130"/>
      <c r="C1419" s="118" t="s">
        <v>3817</v>
      </c>
      <c r="D1419" s="141"/>
      <c r="E1419" s="118"/>
      <c r="F1419" s="118"/>
      <c r="G1419" s="118" t="s">
        <v>3001</v>
      </c>
      <c r="H1419" s="118" t="s">
        <v>3358</v>
      </c>
      <c r="I1419" s="118" t="s">
        <v>4120</v>
      </c>
      <c r="J1419" s="118" t="s">
        <v>5702</v>
      </c>
      <c r="K1419" s="141"/>
      <c r="L1419" s="135" t="str">
        <f t="shared" si="82"/>
        <v>Ovis aries</v>
      </c>
      <c r="M1419" s="133">
        <f t="shared" si="81"/>
        <v>4.6989700043360187</v>
      </c>
      <c r="N1419" s="133">
        <v>50000</v>
      </c>
      <c r="O1419" s="179" t="s">
        <v>6736</v>
      </c>
      <c r="P1419" s="108">
        <v>68</v>
      </c>
      <c r="Q1419" s="88"/>
    </row>
    <row r="1420" spans="1:18" ht="38.25">
      <c r="A1420" s="213" t="s">
        <v>2592</v>
      </c>
      <c r="B1420" s="141" t="s">
        <v>7665</v>
      </c>
      <c r="C1420" s="118" t="s">
        <v>3817</v>
      </c>
      <c r="D1420" s="141"/>
      <c r="E1420" s="118"/>
      <c r="F1420" s="118"/>
      <c r="G1420" s="118" t="s">
        <v>3001</v>
      </c>
      <c r="H1420" s="118" t="s">
        <v>3358</v>
      </c>
      <c r="I1420" s="118" t="s">
        <v>4120</v>
      </c>
      <c r="J1420" s="118" t="s">
        <v>5700</v>
      </c>
      <c r="K1420" s="141"/>
      <c r="L1420" s="135" t="str">
        <f t="shared" si="82"/>
        <v>Ovis vignei</v>
      </c>
      <c r="M1420" s="133">
        <f t="shared" si="81"/>
        <v>4.7781512503836439</v>
      </c>
      <c r="N1420" s="133">
        <v>60000</v>
      </c>
      <c r="O1420" s="179" t="s">
        <v>3356</v>
      </c>
      <c r="P1420" s="108">
        <v>56</v>
      </c>
      <c r="Q1420" s="80"/>
    </row>
    <row r="1421" spans="1:18" ht="108" customHeight="1">
      <c r="A1421" s="213" t="s">
        <v>2592</v>
      </c>
      <c r="B1421" s="141" t="s">
        <v>3049</v>
      </c>
      <c r="C1421" s="118" t="s">
        <v>3817</v>
      </c>
      <c r="D1421" s="141"/>
      <c r="E1421" s="118"/>
      <c r="F1421" s="118"/>
      <c r="G1421" s="118" t="s">
        <v>3001</v>
      </c>
      <c r="H1421" s="118" t="s">
        <v>3358</v>
      </c>
      <c r="I1421" s="118" t="s">
        <v>4120</v>
      </c>
      <c r="J1421" s="118" t="s">
        <v>5773</v>
      </c>
      <c r="K1421" s="141"/>
      <c r="L1421" s="135" t="str">
        <f t="shared" si="82"/>
        <v>Ovis nivicola</v>
      </c>
      <c r="M1421" s="133">
        <f t="shared" si="81"/>
        <v>4.9542425094393252</v>
      </c>
      <c r="N1421" s="133">
        <v>90000</v>
      </c>
      <c r="O1421" s="179" t="s">
        <v>7018</v>
      </c>
      <c r="P1421" s="108">
        <v>135</v>
      </c>
      <c r="Q1421" s="88" t="s">
        <v>6642</v>
      </c>
      <c r="R1421" s="79" t="s">
        <v>1347</v>
      </c>
    </row>
    <row r="1422" spans="1:18" ht="24" customHeight="1">
      <c r="A1422" s="213" t="s">
        <v>2592</v>
      </c>
      <c r="B1422" s="144"/>
      <c r="C1422" s="118" t="s">
        <v>3817</v>
      </c>
      <c r="D1422" s="141"/>
      <c r="E1422" s="118"/>
      <c r="F1422" s="118"/>
      <c r="G1422" s="118" t="s">
        <v>3001</v>
      </c>
      <c r="H1422" s="118" t="s">
        <v>3358</v>
      </c>
      <c r="I1422" s="118" t="s">
        <v>4120</v>
      </c>
      <c r="J1422" s="118" t="s">
        <v>8059</v>
      </c>
      <c r="K1422" s="141"/>
      <c r="L1422" s="135" t="str">
        <f t="shared" si="82"/>
        <v>Ovis ammon</v>
      </c>
      <c r="M1422" s="133">
        <f t="shared" si="81"/>
        <v>5.2552725051033065</v>
      </c>
      <c r="N1422" s="133">
        <v>180000</v>
      </c>
      <c r="O1422" s="179" t="s">
        <v>1193</v>
      </c>
      <c r="P1422" s="108">
        <v>68</v>
      </c>
      <c r="Q1422" s="88" t="s">
        <v>6988</v>
      </c>
    </row>
    <row r="1423" spans="1:18" ht="24" customHeight="1">
      <c r="A1423" s="213" t="s">
        <v>2592</v>
      </c>
      <c r="B1423" s="130"/>
      <c r="C1423" s="118" t="s">
        <v>3817</v>
      </c>
      <c r="D1423" s="141"/>
      <c r="E1423" s="118"/>
      <c r="F1423" s="118"/>
      <c r="G1423" s="118" t="s">
        <v>3001</v>
      </c>
      <c r="H1423" s="118" t="s">
        <v>3358</v>
      </c>
      <c r="I1423" s="118" t="s">
        <v>5947</v>
      </c>
      <c r="J1423" s="118" t="s">
        <v>5767</v>
      </c>
      <c r="K1423" s="141"/>
      <c r="L1423" s="135" t="str">
        <f t="shared" si="82"/>
        <v>Pantholops hodgsonii</v>
      </c>
      <c r="M1423" s="133">
        <f t="shared" si="81"/>
        <v>4.4393326938302629</v>
      </c>
      <c r="N1423" s="133">
        <v>27500</v>
      </c>
      <c r="O1423" s="179" t="s">
        <v>7019</v>
      </c>
      <c r="P1423" s="108">
        <v>68</v>
      </c>
      <c r="Q1423" s="88" t="s">
        <v>6640</v>
      </c>
    </row>
    <row r="1424" spans="1:18">
      <c r="A1424" s="213" t="s">
        <v>2592</v>
      </c>
      <c r="B1424" s="141" t="s">
        <v>7586</v>
      </c>
      <c r="C1424" s="118" t="s">
        <v>3817</v>
      </c>
      <c r="D1424" s="141"/>
      <c r="E1424" s="118"/>
      <c r="F1424" s="118"/>
      <c r="G1424" s="118" t="s">
        <v>3001</v>
      </c>
      <c r="H1424" s="118" t="s">
        <v>3358</v>
      </c>
      <c r="I1424" s="118" t="s">
        <v>5727</v>
      </c>
      <c r="J1424" s="118" t="s">
        <v>5717</v>
      </c>
      <c r="K1424" s="141"/>
      <c r="L1424" s="135" t="str">
        <f t="shared" si="82"/>
        <v>Procapra picticaudata</v>
      </c>
      <c r="M1424" s="133">
        <f t="shared" si="81"/>
        <v>4.3010299956639813</v>
      </c>
      <c r="N1424" s="133">
        <v>20000</v>
      </c>
      <c r="O1424" s="179" t="s">
        <v>1625</v>
      </c>
      <c r="P1424" s="108">
        <v>136</v>
      </c>
      <c r="Q1424" s="90" t="s">
        <v>6642</v>
      </c>
    </row>
    <row r="1425" spans="1:22" ht="36" customHeight="1">
      <c r="A1425" s="213" t="s">
        <v>2592</v>
      </c>
      <c r="B1425" s="141" t="s">
        <v>7509</v>
      </c>
      <c r="C1425" s="118" t="s">
        <v>3817</v>
      </c>
      <c r="D1425" s="141"/>
      <c r="E1425" s="118"/>
      <c r="F1425" s="118"/>
      <c r="G1425" s="118" t="s">
        <v>3001</v>
      </c>
      <c r="H1425" s="118" t="s">
        <v>3358</v>
      </c>
      <c r="I1425" s="118" t="s">
        <v>5727</v>
      </c>
      <c r="J1425" s="118" t="s">
        <v>5916</v>
      </c>
      <c r="K1425" s="141"/>
      <c r="L1425" s="135" t="str">
        <f t="shared" si="82"/>
        <v>Procapra przewalskii</v>
      </c>
      <c r="M1425" s="133">
        <f t="shared" si="81"/>
        <v>4.4393326938302629</v>
      </c>
      <c r="N1425" s="133">
        <f>AVERAGE(20000, 35000)</f>
        <v>27500</v>
      </c>
      <c r="O1425" s="179" t="s">
        <v>1420</v>
      </c>
      <c r="P1425" s="108">
        <v>141</v>
      </c>
      <c r="Q1425" s="88" t="s">
        <v>7071</v>
      </c>
    </row>
    <row r="1426" spans="1:22" ht="63.75">
      <c r="A1426" s="213" t="s">
        <v>2592</v>
      </c>
      <c r="B1426" s="141" t="s">
        <v>5021</v>
      </c>
      <c r="C1426" s="118" t="s">
        <v>3817</v>
      </c>
      <c r="D1426" s="141"/>
      <c r="E1426" s="118"/>
      <c r="F1426" s="118"/>
      <c r="G1426" s="118" t="s">
        <v>3001</v>
      </c>
      <c r="H1426" s="118" t="s">
        <v>3358</v>
      </c>
      <c r="I1426" s="118" t="s">
        <v>5727</v>
      </c>
      <c r="J1426" s="118" t="s">
        <v>5728</v>
      </c>
      <c r="K1426" s="141"/>
      <c r="L1426" s="135" t="str">
        <f t="shared" si="82"/>
        <v>Procapra gutturosa</v>
      </c>
      <c r="M1426" s="133">
        <f t="shared" ref="M1426:M1457" si="83">LOG(N1426)</f>
        <v>4.4432629874586951</v>
      </c>
      <c r="N1426" s="133">
        <f>AVERAGE(24000, 31500)</f>
        <v>27750</v>
      </c>
      <c r="O1426" s="179" t="s">
        <v>1625</v>
      </c>
      <c r="P1426" s="108">
        <v>95</v>
      </c>
      <c r="Q1426" s="90" t="s">
        <v>6642</v>
      </c>
      <c r="R1426" s="79" t="s">
        <v>6925</v>
      </c>
    </row>
    <row r="1427" spans="1:22" ht="51">
      <c r="A1427" s="213" t="s">
        <v>2592</v>
      </c>
      <c r="B1427" s="141" t="s">
        <v>1988</v>
      </c>
      <c r="C1427" s="118" t="s">
        <v>3817</v>
      </c>
      <c r="D1427" s="141"/>
      <c r="E1427" s="118"/>
      <c r="F1427" s="118"/>
      <c r="G1427" s="118" t="s">
        <v>3001</v>
      </c>
      <c r="H1427" s="118" t="s">
        <v>3358</v>
      </c>
      <c r="I1427" s="118" t="s">
        <v>5768</v>
      </c>
      <c r="J1427" s="118" t="s">
        <v>5534</v>
      </c>
      <c r="K1427" s="141"/>
      <c r="L1427" s="135" t="str">
        <f t="shared" si="82"/>
        <v>Pseudois schaeferi</v>
      </c>
      <c r="M1427" s="133">
        <f t="shared" si="83"/>
        <v>4.4661258704181996</v>
      </c>
      <c r="N1427" s="133">
        <f>AVERAGE(33500, 25000)</f>
        <v>29250</v>
      </c>
      <c r="O1427" s="179" t="s">
        <v>6773</v>
      </c>
      <c r="P1427" s="108">
        <v>80</v>
      </c>
      <c r="Q1427" s="80" t="s">
        <v>6640</v>
      </c>
      <c r="R1427" s="79" t="s">
        <v>8287</v>
      </c>
    </row>
    <row r="1428" spans="1:22" ht="24" customHeight="1">
      <c r="A1428" s="213" t="s">
        <v>2592</v>
      </c>
      <c r="B1428" s="130"/>
      <c r="C1428" s="118" t="s">
        <v>3817</v>
      </c>
      <c r="D1428" s="141"/>
      <c r="E1428" s="118"/>
      <c r="F1428" s="118"/>
      <c r="G1428" s="118" t="s">
        <v>3001</v>
      </c>
      <c r="H1428" s="118" t="s">
        <v>3358</v>
      </c>
      <c r="I1428" s="118" t="s">
        <v>5768</v>
      </c>
      <c r="J1428" s="118" t="s">
        <v>5769</v>
      </c>
      <c r="K1428" s="141"/>
      <c r="L1428" s="135" t="str">
        <f t="shared" si="82"/>
        <v>Pseudois nayaur</v>
      </c>
      <c r="M1428" s="133">
        <f t="shared" si="83"/>
        <v>4.653212513775344</v>
      </c>
      <c r="N1428" s="133">
        <v>45000</v>
      </c>
      <c r="O1428" s="179" t="s">
        <v>7081</v>
      </c>
      <c r="P1428" s="108">
        <v>68</v>
      </c>
      <c r="Q1428" s="88" t="s">
        <v>6642</v>
      </c>
    </row>
    <row r="1429" spans="1:22" ht="24" customHeight="1">
      <c r="A1429" s="213" t="s">
        <v>2592</v>
      </c>
      <c r="B1429" s="130"/>
      <c r="C1429" s="118" t="s">
        <v>3817</v>
      </c>
      <c r="D1429" s="141"/>
      <c r="E1429" s="118"/>
      <c r="F1429" s="118"/>
      <c r="G1429" s="118" t="s">
        <v>3001</v>
      </c>
      <c r="H1429" s="118" t="s">
        <v>3358</v>
      </c>
      <c r="I1429" s="118" t="s">
        <v>5757</v>
      </c>
      <c r="J1429" s="118" t="s">
        <v>5761</v>
      </c>
      <c r="K1429" s="141"/>
      <c r="L1429" s="135" t="str">
        <f t="shared" si="82"/>
        <v>Rupicapra rupicapra</v>
      </c>
      <c r="M1429" s="133">
        <f t="shared" si="83"/>
        <v>4.4166405073382808</v>
      </c>
      <c r="N1429" s="133">
        <v>26100</v>
      </c>
      <c r="O1429" s="179" t="s">
        <v>6736</v>
      </c>
      <c r="P1429" s="108">
        <v>68</v>
      </c>
      <c r="Q1429" s="88"/>
      <c r="U1429"/>
      <c r="V1429"/>
    </row>
    <row r="1430" spans="1:22">
      <c r="A1430" s="213" t="s">
        <v>2592</v>
      </c>
      <c r="B1430" s="141" t="s">
        <v>5220</v>
      </c>
      <c r="C1430" s="118" t="s">
        <v>3817</v>
      </c>
      <c r="D1430" s="141"/>
      <c r="E1430" s="118"/>
      <c r="F1430" s="118"/>
      <c r="G1430" s="118" t="s">
        <v>3001</v>
      </c>
      <c r="H1430" s="118" t="s">
        <v>3358</v>
      </c>
      <c r="I1430" s="118" t="s">
        <v>5757</v>
      </c>
      <c r="J1430" s="118" t="s">
        <v>8058</v>
      </c>
      <c r="K1430" s="141"/>
      <c r="L1430" s="135" t="str">
        <f t="shared" si="82"/>
        <v>Rupicapra pyrenaica</v>
      </c>
      <c r="M1430" s="133">
        <f t="shared" si="83"/>
        <v>4.4771212547196626</v>
      </c>
      <c r="N1430" s="133">
        <v>30000</v>
      </c>
      <c r="O1430" s="179" t="s">
        <v>3356</v>
      </c>
      <c r="P1430" s="108">
        <v>141</v>
      </c>
      <c r="Q1430" s="80" t="s">
        <v>6642</v>
      </c>
      <c r="U1430"/>
      <c r="V1430"/>
    </row>
    <row r="1431" spans="1:22" ht="24" customHeight="1">
      <c r="A1431" s="213" t="s">
        <v>2592</v>
      </c>
      <c r="B1431" s="130"/>
      <c r="C1431" s="118" t="s">
        <v>3817</v>
      </c>
      <c r="D1431" s="141"/>
      <c r="E1431" s="118"/>
      <c r="F1431" s="118"/>
      <c r="G1431" s="118" t="s">
        <v>3001</v>
      </c>
      <c r="H1431" s="118" t="s">
        <v>3358</v>
      </c>
      <c r="I1431" s="118" t="s">
        <v>6111</v>
      </c>
      <c r="J1431" s="118" t="s">
        <v>4883</v>
      </c>
      <c r="K1431" s="141"/>
      <c r="L1431" s="135" t="str">
        <f t="shared" si="82"/>
        <v>Saiga tatarica</v>
      </c>
      <c r="M1431" s="133">
        <f t="shared" si="83"/>
        <v>4.4623979978989565</v>
      </c>
      <c r="N1431" s="133">
        <v>29000</v>
      </c>
      <c r="O1431" s="179" t="s">
        <v>1361</v>
      </c>
      <c r="P1431" s="108">
        <v>68</v>
      </c>
      <c r="Q1431" s="88" t="s">
        <v>7071</v>
      </c>
    </row>
    <row r="1432" spans="1:22" ht="60" customHeight="1">
      <c r="A1432" s="213" t="s">
        <v>2592</v>
      </c>
      <c r="B1432" s="130"/>
      <c r="C1432" s="118" t="s">
        <v>3817</v>
      </c>
      <c r="D1432" s="141"/>
      <c r="E1432" s="118"/>
      <c r="F1432" s="118"/>
      <c r="G1432" s="118" t="s">
        <v>3001</v>
      </c>
      <c r="H1432" s="118" t="s">
        <v>3358</v>
      </c>
      <c r="I1432" s="118" t="s">
        <v>7711</v>
      </c>
      <c r="J1432" s="118" t="s">
        <v>5430</v>
      </c>
      <c r="K1432" s="141"/>
      <c r="L1432" s="135" t="str">
        <f t="shared" si="82"/>
        <v>Tetracerus quadricornis</v>
      </c>
      <c r="M1432" s="133">
        <f t="shared" si="83"/>
        <v>4.2787536009528289</v>
      </c>
      <c r="N1432" s="133">
        <v>19000</v>
      </c>
      <c r="O1432" s="182" t="s">
        <v>7081</v>
      </c>
      <c r="P1432" s="111">
        <v>68</v>
      </c>
      <c r="Q1432" s="88" t="s">
        <v>6988</v>
      </c>
    </row>
    <row r="1433" spans="1:22">
      <c r="A1433" s="216" t="s">
        <v>2592</v>
      </c>
      <c r="B1433" s="138"/>
      <c r="C1433" s="139" t="s">
        <v>3817</v>
      </c>
      <c r="D1433" s="222"/>
      <c r="E1433" s="139"/>
      <c r="F1433" s="139"/>
      <c r="G1433" s="139" t="s">
        <v>3001</v>
      </c>
      <c r="H1433" s="139" t="s">
        <v>7465</v>
      </c>
      <c r="I1433" s="139" t="s">
        <v>7466</v>
      </c>
      <c r="J1433" s="139" t="s">
        <v>7467</v>
      </c>
      <c r="K1433" s="222"/>
      <c r="L1433" s="135" t="str">
        <f t="shared" si="82"/>
        <v>Camelus dromedarius</v>
      </c>
      <c r="M1433" s="133">
        <f t="shared" si="83"/>
        <v>5.6042260530844699</v>
      </c>
      <c r="N1433" s="140">
        <v>402000</v>
      </c>
      <c r="O1433" s="181"/>
      <c r="P1433" s="112">
        <v>75</v>
      </c>
    </row>
    <row r="1434" spans="1:22" ht="38.25">
      <c r="A1434" s="213" t="s">
        <v>2592</v>
      </c>
      <c r="B1434" s="130"/>
      <c r="C1434" s="118" t="s">
        <v>3817</v>
      </c>
      <c r="D1434" s="141"/>
      <c r="E1434" s="118"/>
      <c r="F1434" s="118"/>
      <c r="G1434" s="118" t="s">
        <v>3001</v>
      </c>
      <c r="H1434" s="118" t="s">
        <v>7465</v>
      </c>
      <c r="I1434" s="118" t="s">
        <v>7466</v>
      </c>
      <c r="J1434" s="118" t="s">
        <v>5431</v>
      </c>
      <c r="K1434" s="141"/>
      <c r="L1434" s="135" t="str">
        <f t="shared" si="82"/>
        <v>Camelus bactrianus</v>
      </c>
      <c r="M1434" s="133">
        <f t="shared" si="83"/>
        <v>5.8388490907372557</v>
      </c>
      <c r="N1434" s="133">
        <v>690000</v>
      </c>
      <c r="O1434" s="179" t="s">
        <v>1339</v>
      </c>
      <c r="P1434" s="108">
        <v>-999</v>
      </c>
      <c r="Q1434" s="80" t="s">
        <v>7071</v>
      </c>
      <c r="R1434" s="79" t="s">
        <v>6736</v>
      </c>
    </row>
    <row r="1435" spans="1:22" ht="72" customHeight="1">
      <c r="A1435" s="213" t="s">
        <v>2592</v>
      </c>
      <c r="B1435" s="130"/>
      <c r="C1435" s="118" t="s">
        <v>3817</v>
      </c>
      <c r="D1435" s="141"/>
      <c r="E1435" s="118"/>
      <c r="F1435" s="118"/>
      <c r="G1435" s="118" t="s">
        <v>3001</v>
      </c>
      <c r="H1435" s="118" t="s">
        <v>3905</v>
      </c>
      <c r="I1435" s="118" t="s">
        <v>4317</v>
      </c>
      <c r="J1435" s="118" t="s">
        <v>4332</v>
      </c>
      <c r="K1435" s="141"/>
      <c r="L1435" s="135" t="str">
        <f t="shared" si="82"/>
        <v>Alces alces</v>
      </c>
      <c r="M1435" s="133">
        <f t="shared" si="83"/>
        <v>5.5502283530550942</v>
      </c>
      <c r="N1435" s="133">
        <f>AVERAGE(385000, 325000)</f>
        <v>355000</v>
      </c>
      <c r="O1435" s="179" t="s">
        <v>3356</v>
      </c>
      <c r="P1435" s="111">
        <v>111</v>
      </c>
      <c r="Q1435" s="88"/>
    </row>
    <row r="1436" spans="1:22" ht="36" customHeight="1">
      <c r="A1436" s="213" t="s">
        <v>2592</v>
      </c>
      <c r="B1436" s="130"/>
      <c r="C1436" s="118" t="s">
        <v>3817</v>
      </c>
      <c r="D1436" s="141"/>
      <c r="E1436" s="118"/>
      <c r="F1436" s="118"/>
      <c r="G1436" s="118" t="s">
        <v>3001</v>
      </c>
      <c r="H1436" s="118" t="s">
        <v>3905</v>
      </c>
      <c r="I1436" s="118" t="s">
        <v>3864</v>
      </c>
      <c r="J1436" s="118" t="s">
        <v>3865</v>
      </c>
      <c r="K1436" s="141"/>
      <c r="L1436" s="135" t="str">
        <f t="shared" si="82"/>
        <v>Axis porcinus</v>
      </c>
      <c r="M1436" s="133">
        <f t="shared" si="83"/>
        <v>4.5440680443502757</v>
      </c>
      <c r="N1436" s="133">
        <v>35000</v>
      </c>
      <c r="O1436" s="179"/>
      <c r="P1436" s="108" t="s">
        <v>1689</v>
      </c>
      <c r="Q1436" s="88"/>
    </row>
    <row r="1437" spans="1:22">
      <c r="A1437" s="216" t="s">
        <v>2592</v>
      </c>
      <c r="B1437" s="138"/>
      <c r="C1437" s="139" t="s">
        <v>3817</v>
      </c>
      <c r="D1437" s="222"/>
      <c r="E1437" s="139"/>
      <c r="F1437" s="139"/>
      <c r="G1437" s="139" t="s">
        <v>3001</v>
      </c>
      <c r="H1437" s="139" t="s">
        <v>3905</v>
      </c>
      <c r="I1437" s="139" t="s">
        <v>3864</v>
      </c>
      <c r="J1437" s="139" t="s">
        <v>3908</v>
      </c>
      <c r="K1437" s="222"/>
      <c r="L1437" s="135" t="str">
        <f t="shared" si="82"/>
        <v>Axis axis</v>
      </c>
      <c r="M1437" s="133">
        <f t="shared" si="83"/>
        <v>4.8450980400142569</v>
      </c>
      <c r="N1437" s="140">
        <v>70000</v>
      </c>
      <c r="O1437" s="181"/>
      <c r="P1437" s="112">
        <v>75</v>
      </c>
    </row>
    <row r="1438" spans="1:22">
      <c r="A1438" s="118" t="s">
        <v>2592</v>
      </c>
      <c r="B1438" s="130"/>
      <c r="C1438" s="118" t="s">
        <v>3817</v>
      </c>
      <c r="D1438" s="141"/>
      <c r="E1438" s="118"/>
      <c r="F1438" s="118"/>
      <c r="G1438" s="118" t="s">
        <v>3001</v>
      </c>
      <c r="H1438" s="118" t="s">
        <v>3905</v>
      </c>
      <c r="I1438" s="118" t="s">
        <v>5965</v>
      </c>
      <c r="J1438" s="118" t="s">
        <v>7224</v>
      </c>
      <c r="K1438" s="285" t="s">
        <v>8328</v>
      </c>
      <c r="L1438" s="135" t="str">
        <f t="shared" si="82"/>
        <v>Capreolus capreolus</v>
      </c>
      <c r="M1438" s="133">
        <f t="shared" si="83"/>
        <v>4.3521825181113627</v>
      </c>
      <c r="N1438" s="133">
        <v>22500</v>
      </c>
      <c r="O1438" s="179" t="s">
        <v>6736</v>
      </c>
      <c r="P1438" s="108">
        <v>68</v>
      </c>
    </row>
    <row r="1439" spans="1:22">
      <c r="A1439" s="131" t="s">
        <v>2592</v>
      </c>
      <c r="B1439" s="130"/>
      <c r="C1439" s="118" t="s">
        <v>3817</v>
      </c>
      <c r="D1439" s="141"/>
      <c r="E1439" s="118"/>
      <c r="F1439" s="118"/>
      <c r="G1439" s="118" t="s">
        <v>3001</v>
      </c>
      <c r="H1439" s="118" t="s">
        <v>3905</v>
      </c>
      <c r="I1439" s="118" t="s">
        <v>5965</v>
      </c>
      <c r="J1439" s="118" t="s">
        <v>1998</v>
      </c>
      <c r="K1439" s="141"/>
      <c r="L1439" s="135" t="str">
        <f t="shared" si="82"/>
        <v>Capreolus pygargus</v>
      </c>
      <c r="M1439" s="133">
        <f t="shared" si="83"/>
        <v>4.641</v>
      </c>
      <c r="N1439" s="133">
        <v>43752.210515825202</v>
      </c>
      <c r="O1439" s="179" t="s">
        <v>3356</v>
      </c>
      <c r="P1439" s="108">
        <v>165</v>
      </c>
      <c r="Q1439" s="80"/>
    </row>
    <row r="1440" spans="1:22">
      <c r="A1440" s="118" t="s">
        <v>2592</v>
      </c>
      <c r="B1440" s="130"/>
      <c r="C1440" s="118" t="s">
        <v>3817</v>
      </c>
      <c r="D1440" s="141"/>
      <c r="E1440" s="118"/>
      <c r="F1440" s="118"/>
      <c r="G1440" s="118" t="s">
        <v>3001</v>
      </c>
      <c r="H1440" s="118" t="s">
        <v>3905</v>
      </c>
      <c r="I1440" s="118" t="s">
        <v>3906</v>
      </c>
      <c r="J1440" s="118" t="s">
        <v>5968</v>
      </c>
      <c r="K1440" s="141"/>
      <c r="L1440" s="135" t="str">
        <f t="shared" si="82"/>
        <v>Cervus nippon</v>
      </c>
      <c r="M1440" s="133">
        <f t="shared" si="83"/>
        <v>4.7242758696007892</v>
      </c>
      <c r="N1440" s="133">
        <v>53000</v>
      </c>
      <c r="O1440" s="179" t="s">
        <v>6736</v>
      </c>
      <c r="P1440" s="108">
        <v>68</v>
      </c>
    </row>
    <row r="1441" spans="1:19">
      <c r="A1441" s="118" t="s">
        <v>2592</v>
      </c>
      <c r="B1441" s="130"/>
      <c r="C1441" s="118" t="s">
        <v>3817</v>
      </c>
      <c r="D1441" s="141"/>
      <c r="E1441" s="118"/>
      <c r="F1441" s="118"/>
      <c r="G1441" s="118" t="s">
        <v>3001</v>
      </c>
      <c r="H1441" s="118" t="s">
        <v>3905</v>
      </c>
      <c r="I1441" s="118" t="s">
        <v>3906</v>
      </c>
      <c r="J1441" s="118" t="s">
        <v>5967</v>
      </c>
      <c r="K1441" s="141"/>
      <c r="L1441" s="135" t="str">
        <f t="shared" si="82"/>
        <v>Cervus eldii</v>
      </c>
      <c r="M1441" s="133">
        <f t="shared" si="83"/>
        <v>4.8633228601204559</v>
      </c>
      <c r="N1441" s="133">
        <v>73000</v>
      </c>
      <c r="O1441" s="179" t="s">
        <v>7081</v>
      </c>
      <c r="P1441" s="108">
        <v>68</v>
      </c>
      <c r="Q1441" s="80" t="s">
        <v>6988</v>
      </c>
    </row>
    <row r="1442" spans="1:19" ht="25.5">
      <c r="A1442" s="118" t="s">
        <v>2592</v>
      </c>
      <c r="B1442" s="130"/>
      <c r="C1442" s="118" t="s">
        <v>3817</v>
      </c>
      <c r="D1442" s="141"/>
      <c r="E1442" s="118"/>
      <c r="F1442" s="118"/>
      <c r="G1442" s="118" t="s">
        <v>3001</v>
      </c>
      <c r="H1442" s="118" t="s">
        <v>3905</v>
      </c>
      <c r="I1442" s="118" t="s">
        <v>3906</v>
      </c>
      <c r="J1442" s="118" t="s">
        <v>5966</v>
      </c>
      <c r="K1442" s="141"/>
      <c r="L1442" s="135" t="str">
        <f t="shared" si="82"/>
        <v>Cervus albirostris</v>
      </c>
      <c r="M1442" s="133">
        <f t="shared" si="83"/>
        <v>5.0969100130080562</v>
      </c>
      <c r="N1442" s="133">
        <v>125000</v>
      </c>
      <c r="O1442" s="179" t="s">
        <v>1244</v>
      </c>
      <c r="P1442" s="111">
        <v>68</v>
      </c>
      <c r="Q1442" s="90" t="s">
        <v>6988</v>
      </c>
    </row>
    <row r="1443" spans="1:19">
      <c r="A1443" s="118" t="s">
        <v>2592</v>
      </c>
      <c r="B1443" s="130"/>
      <c r="C1443" s="118" t="s">
        <v>3817</v>
      </c>
      <c r="D1443" s="141"/>
      <c r="E1443" s="118"/>
      <c r="F1443" s="118"/>
      <c r="G1443" s="118" t="s">
        <v>3001</v>
      </c>
      <c r="H1443" s="118" t="s">
        <v>3905</v>
      </c>
      <c r="I1443" s="118" t="s">
        <v>3906</v>
      </c>
      <c r="J1443" s="118" t="s">
        <v>6096</v>
      </c>
      <c r="K1443" s="141"/>
      <c r="L1443" s="135" t="str">
        <f t="shared" si="82"/>
        <v>Cervus duvaucelii</v>
      </c>
      <c r="M1443" s="133">
        <f t="shared" si="83"/>
        <v>5.1553360374650614</v>
      </c>
      <c r="N1443" s="133">
        <v>143000</v>
      </c>
      <c r="O1443" s="179" t="s">
        <v>7081</v>
      </c>
      <c r="P1443" s="111">
        <v>68</v>
      </c>
      <c r="Q1443" s="90" t="s">
        <v>6988</v>
      </c>
    </row>
    <row r="1444" spans="1:19">
      <c r="A1444" s="118" t="s">
        <v>2592</v>
      </c>
      <c r="B1444" s="130"/>
      <c r="C1444" s="118" t="s">
        <v>3817</v>
      </c>
      <c r="D1444" s="141"/>
      <c r="E1444" s="118"/>
      <c r="F1444" s="118"/>
      <c r="G1444" s="118" t="s">
        <v>3001</v>
      </c>
      <c r="H1444" s="118" t="s">
        <v>3905</v>
      </c>
      <c r="I1444" s="118" t="s">
        <v>3906</v>
      </c>
      <c r="J1444" s="118" t="s">
        <v>3863</v>
      </c>
      <c r="K1444" s="141"/>
      <c r="L1444" s="135" t="str">
        <f t="shared" si="82"/>
        <v>Cervus elaphus</v>
      </c>
      <c r="M1444" s="133">
        <f t="shared" si="83"/>
        <v>5.2215772307066661</v>
      </c>
      <c r="N1444" s="133">
        <f>AVERAGE(150000, 175000, 120000, 170000, 127500, 190000, 250000, 150000)</f>
        <v>166562.5</v>
      </c>
      <c r="O1444" s="179" t="s">
        <v>3356</v>
      </c>
      <c r="P1444" s="108" t="s">
        <v>5905</v>
      </c>
      <c r="Q1444" s="80"/>
    </row>
    <row r="1445" spans="1:19">
      <c r="A1445" s="131" t="s">
        <v>2592</v>
      </c>
      <c r="B1445" s="130"/>
      <c r="C1445" s="131" t="s">
        <v>3817</v>
      </c>
      <c r="D1445" s="130"/>
      <c r="E1445" s="131"/>
      <c r="F1445" s="131"/>
      <c r="G1445" s="131" t="s">
        <v>3001</v>
      </c>
      <c r="H1445" s="131" t="s">
        <v>3905</v>
      </c>
      <c r="I1445" s="131" t="s">
        <v>3906</v>
      </c>
      <c r="J1445" s="131" t="s">
        <v>3652</v>
      </c>
      <c r="K1445" s="130"/>
      <c r="L1445" s="135" t="str">
        <f t="shared" si="82"/>
        <v>Cervus unicolor</v>
      </c>
      <c r="M1445" s="133">
        <f t="shared" si="83"/>
        <v>5.3255567100511332</v>
      </c>
      <c r="N1445" s="132">
        <f>AVERAGE(169000, (454*560))</f>
        <v>211620</v>
      </c>
      <c r="O1445" s="184"/>
      <c r="P1445" s="117" t="s">
        <v>1692</v>
      </c>
      <c r="Q1445" s="78"/>
    </row>
    <row r="1446" spans="1:19">
      <c r="A1446" s="118" t="s">
        <v>2592</v>
      </c>
      <c r="B1446" s="130"/>
      <c r="C1446" s="118" t="s">
        <v>3817</v>
      </c>
      <c r="D1446" s="141"/>
      <c r="E1446" s="118"/>
      <c r="F1446" s="118"/>
      <c r="G1446" s="118" t="s">
        <v>3001</v>
      </c>
      <c r="H1446" s="118" t="s">
        <v>3905</v>
      </c>
      <c r="I1446" s="118" t="s">
        <v>3866</v>
      </c>
      <c r="J1446" s="118" t="s">
        <v>4891</v>
      </c>
      <c r="K1446" s="141"/>
      <c r="L1446" s="135" t="str">
        <f t="shared" si="82"/>
        <v>Dama dama</v>
      </c>
      <c r="M1446" s="133">
        <f t="shared" si="83"/>
        <v>4.7501225267834002</v>
      </c>
      <c r="N1446" s="133">
        <f>AVERAGE(72500, 40000)</f>
        <v>56250</v>
      </c>
      <c r="O1446" s="179"/>
      <c r="P1446" s="111">
        <v>111</v>
      </c>
      <c r="Q1446" s="80"/>
    </row>
    <row r="1447" spans="1:19">
      <c r="A1447" s="213" t="s">
        <v>2592</v>
      </c>
      <c r="B1447" s="130"/>
      <c r="C1447" s="118" t="s">
        <v>3817</v>
      </c>
      <c r="D1447" s="141"/>
      <c r="E1447" s="118"/>
      <c r="F1447" s="118"/>
      <c r="G1447" s="118" t="s">
        <v>3001</v>
      </c>
      <c r="H1447" s="118" t="s">
        <v>3905</v>
      </c>
      <c r="I1447" s="118" t="s">
        <v>3866</v>
      </c>
      <c r="J1447" s="118" t="s">
        <v>5878</v>
      </c>
      <c r="K1447" s="141"/>
      <c r="L1447" s="135" t="str">
        <f t="shared" si="82"/>
        <v>Dama mesopotamica</v>
      </c>
      <c r="M1447" s="133">
        <f t="shared" si="83"/>
        <v>4.860338006570994</v>
      </c>
      <c r="N1447" s="133">
        <f>AVERAGE(50000, 95000)</f>
        <v>72500</v>
      </c>
      <c r="O1447" s="179" t="s">
        <v>3356</v>
      </c>
      <c r="P1447" s="108" t="s">
        <v>210</v>
      </c>
      <c r="Q1447" s="80"/>
    </row>
    <row r="1448" spans="1:19">
      <c r="A1448" s="118" t="s">
        <v>2592</v>
      </c>
      <c r="B1448" s="130"/>
      <c r="C1448" s="118" t="s">
        <v>3817</v>
      </c>
      <c r="D1448" s="141"/>
      <c r="E1448" s="118"/>
      <c r="F1448" s="118"/>
      <c r="G1448" s="118" t="s">
        <v>3001</v>
      </c>
      <c r="H1448" s="118" t="s">
        <v>3905</v>
      </c>
      <c r="I1448" s="118" t="s">
        <v>6098</v>
      </c>
      <c r="J1448" s="118" t="s">
        <v>5095</v>
      </c>
      <c r="K1448" s="141"/>
      <c r="L1448" s="135" t="str">
        <f t="shared" si="82"/>
        <v>Elaphodus cephalophus</v>
      </c>
      <c r="M1448" s="133">
        <f t="shared" si="83"/>
        <v>4.5250448070368456</v>
      </c>
      <c r="N1448" s="133">
        <v>33500</v>
      </c>
      <c r="O1448" s="179" t="s">
        <v>6773</v>
      </c>
      <c r="P1448" s="108">
        <v>68</v>
      </c>
      <c r="Q1448" s="80" t="s">
        <v>6987</v>
      </c>
    </row>
    <row r="1449" spans="1:19">
      <c r="A1449" s="118" t="s">
        <v>2592</v>
      </c>
      <c r="B1449" s="130"/>
      <c r="C1449" s="118" t="s">
        <v>3817</v>
      </c>
      <c r="D1449" s="141"/>
      <c r="E1449" s="118"/>
      <c r="F1449" s="118"/>
      <c r="G1449" s="118" t="s">
        <v>3001</v>
      </c>
      <c r="H1449" s="118" t="s">
        <v>3905</v>
      </c>
      <c r="I1449" s="118" t="s">
        <v>5096</v>
      </c>
      <c r="J1449" s="118" t="s">
        <v>5097</v>
      </c>
      <c r="K1449" s="141"/>
      <c r="L1449" s="135" t="str">
        <f t="shared" si="82"/>
        <v>Elaphurus davidianus</v>
      </c>
      <c r="M1449" s="133">
        <f t="shared" si="83"/>
        <v>5.173186268412274</v>
      </c>
      <c r="N1449" s="133">
        <v>149000</v>
      </c>
      <c r="O1449" s="179" t="s">
        <v>6736</v>
      </c>
      <c r="P1449" s="108">
        <v>68</v>
      </c>
      <c r="Q1449" s="80" t="s">
        <v>7071</v>
      </c>
    </row>
    <row r="1450" spans="1:19">
      <c r="A1450" s="118" t="s">
        <v>2592</v>
      </c>
      <c r="B1450" s="130"/>
      <c r="C1450" s="118" t="s">
        <v>3817</v>
      </c>
      <c r="D1450" s="141"/>
      <c r="E1450" s="118"/>
      <c r="F1450" s="118"/>
      <c r="G1450" s="118" t="s">
        <v>3001</v>
      </c>
      <c r="H1450" s="118" t="s">
        <v>3905</v>
      </c>
      <c r="I1450" s="118" t="s">
        <v>5178</v>
      </c>
      <c r="J1450" s="118" t="s">
        <v>5760</v>
      </c>
      <c r="K1450" s="141"/>
      <c r="L1450" s="135" t="str">
        <f t="shared" si="82"/>
        <v>Hydropotes inermis</v>
      </c>
      <c r="M1450" s="133">
        <f t="shared" si="83"/>
        <v>4.1461280356782382</v>
      </c>
      <c r="N1450" s="133">
        <v>14000</v>
      </c>
      <c r="O1450" s="179" t="s">
        <v>6736</v>
      </c>
      <c r="P1450" s="108">
        <v>68</v>
      </c>
      <c r="Q1450" s="90" t="s">
        <v>6642</v>
      </c>
      <c r="S1450" s="80"/>
    </row>
    <row r="1451" spans="1:19" ht="12" customHeight="1">
      <c r="A1451" s="118" t="s">
        <v>2592</v>
      </c>
      <c r="B1451" s="141" t="s">
        <v>1988</v>
      </c>
      <c r="C1451" s="118" t="s">
        <v>3817</v>
      </c>
      <c r="D1451" s="141"/>
      <c r="E1451" s="118"/>
      <c r="F1451" s="118"/>
      <c r="G1451" s="118" t="s">
        <v>3001</v>
      </c>
      <c r="H1451" s="118" t="s">
        <v>3905</v>
      </c>
      <c r="I1451" s="118" t="s">
        <v>5910</v>
      </c>
      <c r="J1451" s="118" t="s">
        <v>5732</v>
      </c>
      <c r="K1451" s="141"/>
      <c r="L1451" s="135" t="str">
        <f t="shared" si="82"/>
        <v>Muntiacus reevesi</v>
      </c>
      <c r="M1451" s="133">
        <f t="shared" si="83"/>
        <v>4.1303337684950066</v>
      </c>
      <c r="N1451" s="133">
        <f>13.5*1000</f>
        <v>13500</v>
      </c>
      <c r="O1451" s="179" t="s">
        <v>3356</v>
      </c>
      <c r="P1451" s="108">
        <v>134</v>
      </c>
      <c r="Q1451" s="88" t="s">
        <v>7882</v>
      </c>
      <c r="R1451" s="91"/>
    </row>
    <row r="1452" spans="1:19">
      <c r="A1452" s="118" t="s">
        <v>2592</v>
      </c>
      <c r="B1452" s="130"/>
      <c r="C1452" s="118" t="s">
        <v>3817</v>
      </c>
      <c r="D1452" s="141"/>
      <c r="E1452" s="118"/>
      <c r="F1452" s="118"/>
      <c r="G1452" s="118" t="s">
        <v>3001</v>
      </c>
      <c r="H1452" s="118" t="s">
        <v>3905</v>
      </c>
      <c r="I1452" s="118" t="s">
        <v>5910</v>
      </c>
      <c r="J1452" s="118" t="s">
        <v>6791</v>
      </c>
      <c r="K1452" s="141"/>
      <c r="L1452" s="135" t="str">
        <f t="shared" si="82"/>
        <v>Muntiacus muntjak</v>
      </c>
      <c r="M1452" s="133">
        <f t="shared" si="83"/>
        <v>4.1461280356782382</v>
      </c>
      <c r="N1452" s="133">
        <v>14000</v>
      </c>
      <c r="O1452" s="179" t="s">
        <v>6736</v>
      </c>
      <c r="P1452" s="108">
        <v>68</v>
      </c>
    </row>
    <row r="1453" spans="1:19">
      <c r="A1453" s="213" t="s">
        <v>2592</v>
      </c>
      <c r="B1453" s="141" t="s">
        <v>2160</v>
      </c>
      <c r="C1453" s="118" t="s">
        <v>3817</v>
      </c>
      <c r="D1453" s="141"/>
      <c r="E1453" s="118"/>
      <c r="F1453" s="118"/>
      <c r="G1453" s="118" t="s">
        <v>3001</v>
      </c>
      <c r="H1453" s="118" t="s">
        <v>3905</v>
      </c>
      <c r="I1453" s="118" t="s">
        <v>5910</v>
      </c>
      <c r="J1453" s="118" t="s">
        <v>5502</v>
      </c>
      <c r="K1453" s="141"/>
      <c r="L1453" s="135" t="str">
        <f t="shared" si="82"/>
        <v>Muntiacus gongshanensis</v>
      </c>
      <c r="M1453" s="133">
        <f t="shared" si="83"/>
        <v>4.2990000000000004</v>
      </c>
      <c r="N1453" s="133">
        <v>19906.733389871901</v>
      </c>
      <c r="O1453" s="179" t="s">
        <v>6773</v>
      </c>
      <c r="P1453" s="108">
        <v>165</v>
      </c>
      <c r="Q1453" s="80" t="s">
        <v>6987</v>
      </c>
    </row>
    <row r="1454" spans="1:19" ht="12" customHeight="1">
      <c r="A1454" s="213" t="s">
        <v>2592</v>
      </c>
      <c r="B1454" s="141" t="s">
        <v>2159</v>
      </c>
      <c r="C1454" s="118" t="s">
        <v>3817</v>
      </c>
      <c r="D1454" s="141"/>
      <c r="E1454" s="118"/>
      <c r="F1454" s="118"/>
      <c r="G1454" s="118" t="s">
        <v>3001</v>
      </c>
      <c r="H1454" s="118" t="s">
        <v>3905</v>
      </c>
      <c r="I1454" s="118" t="s">
        <v>5910</v>
      </c>
      <c r="J1454" s="118" t="s">
        <v>8038</v>
      </c>
      <c r="K1454" s="141"/>
      <c r="L1454" s="135" t="str">
        <f t="shared" si="82"/>
        <v>Muntiacus feae</v>
      </c>
      <c r="M1454" s="133">
        <f t="shared" si="83"/>
        <v>4.3424226808222066</v>
      </c>
      <c r="N1454" s="133">
        <v>22000</v>
      </c>
      <c r="O1454" s="179" t="s">
        <v>3356</v>
      </c>
      <c r="P1454" s="108" t="s">
        <v>7914</v>
      </c>
      <c r="Q1454" s="80" t="s">
        <v>6987</v>
      </c>
      <c r="R1454" s="89"/>
    </row>
    <row r="1455" spans="1:19">
      <c r="A1455" s="213" t="s">
        <v>2592</v>
      </c>
      <c r="B1455" s="141" t="s">
        <v>2601</v>
      </c>
      <c r="C1455" s="118" t="s">
        <v>3817</v>
      </c>
      <c r="D1455" s="141"/>
      <c r="E1455" s="118"/>
      <c r="F1455" s="118"/>
      <c r="G1455" s="118" t="s">
        <v>3001</v>
      </c>
      <c r="H1455" s="118" t="s">
        <v>3905</v>
      </c>
      <c r="I1455" s="118" t="s">
        <v>5910</v>
      </c>
      <c r="J1455" s="118" t="s">
        <v>8037</v>
      </c>
      <c r="K1455" s="141"/>
      <c r="L1455" s="135" t="str">
        <f t="shared" si="82"/>
        <v>Muntiacus crinifrons</v>
      </c>
      <c r="M1455" s="133">
        <f t="shared" si="83"/>
        <v>4.5579999999999998</v>
      </c>
      <c r="N1455" s="143">
        <v>36140.986263961298</v>
      </c>
      <c r="O1455" s="179" t="s">
        <v>6773</v>
      </c>
      <c r="P1455" s="108">
        <v>165</v>
      </c>
      <c r="Q1455" s="80" t="s">
        <v>6988</v>
      </c>
    </row>
    <row r="1456" spans="1:19" ht="24" customHeight="1">
      <c r="A1456" s="213" t="s">
        <v>2592</v>
      </c>
      <c r="B1456" s="141" t="s">
        <v>2055</v>
      </c>
      <c r="C1456" s="118" t="s">
        <v>3817</v>
      </c>
      <c r="D1456" s="141"/>
      <c r="E1456" s="118"/>
      <c r="F1456" s="118"/>
      <c r="G1456" s="118" t="s">
        <v>3001</v>
      </c>
      <c r="H1456" s="118" t="s">
        <v>3341</v>
      </c>
      <c r="I1456" s="118" t="s">
        <v>6792</v>
      </c>
      <c r="J1456" s="118" t="s">
        <v>4847</v>
      </c>
      <c r="K1456" s="141"/>
      <c r="L1456" s="135" t="str">
        <f t="shared" si="82"/>
        <v>Moschus fuscus</v>
      </c>
      <c r="M1456" s="133">
        <f t="shared" si="83"/>
        <v>1.0969100130080565</v>
      </c>
      <c r="N1456" s="133">
        <f>AVERAGE(10,15)</f>
        <v>12.5</v>
      </c>
      <c r="O1456" s="179" t="s">
        <v>3356</v>
      </c>
      <c r="P1456" s="108" t="s">
        <v>171</v>
      </c>
      <c r="Q1456" s="78" t="s">
        <v>6642</v>
      </c>
    </row>
    <row r="1457" spans="1:19" ht="25.5">
      <c r="A1457" s="213" t="s">
        <v>2592</v>
      </c>
      <c r="B1457" s="141" t="s">
        <v>4667</v>
      </c>
      <c r="C1457" s="118" t="s">
        <v>3817</v>
      </c>
      <c r="D1457" s="141"/>
      <c r="E1457" s="118"/>
      <c r="F1457" s="118"/>
      <c r="G1457" s="118" t="s">
        <v>3001</v>
      </c>
      <c r="H1457" s="118" t="s">
        <v>3341</v>
      </c>
      <c r="I1457" s="118" t="s">
        <v>6792</v>
      </c>
      <c r="J1457" s="118" t="s">
        <v>5437</v>
      </c>
      <c r="K1457" s="141"/>
      <c r="L1457" s="135" t="str">
        <f t="shared" si="82"/>
        <v>Moschus berezovskii</v>
      </c>
      <c r="M1457" s="133">
        <f t="shared" si="83"/>
        <v>3.9542425094393248</v>
      </c>
      <c r="N1457" s="133">
        <v>9000</v>
      </c>
      <c r="O1457" s="179" t="s">
        <v>3356</v>
      </c>
      <c r="P1457" s="108">
        <v>172</v>
      </c>
      <c r="Q1457" s="80" t="s">
        <v>6642</v>
      </c>
    </row>
    <row r="1458" spans="1:19">
      <c r="A1458" s="118" t="s">
        <v>2592</v>
      </c>
      <c r="B1458" s="130"/>
      <c r="C1458" s="118" t="s">
        <v>3817</v>
      </c>
      <c r="D1458" s="141"/>
      <c r="E1458" s="118"/>
      <c r="F1458" s="118"/>
      <c r="G1458" s="118" t="s">
        <v>3001</v>
      </c>
      <c r="H1458" s="118" t="s">
        <v>3341</v>
      </c>
      <c r="I1458" s="118" t="s">
        <v>6792</v>
      </c>
      <c r="J1458" s="118" t="s">
        <v>6101</v>
      </c>
      <c r="K1458" s="141"/>
      <c r="L1458" s="135" t="str">
        <f t="shared" si="82"/>
        <v>Moschus moschiferus</v>
      </c>
      <c r="M1458" s="133">
        <f t="shared" ref="M1458:M1459" si="84">LOG(N1458)</f>
        <v>4.1139433523068369</v>
      </c>
      <c r="N1458" s="133">
        <v>13000</v>
      </c>
      <c r="O1458" s="179" t="s">
        <v>6773</v>
      </c>
      <c r="P1458" s="108">
        <v>68</v>
      </c>
      <c r="Q1458" s="80" t="s">
        <v>6988</v>
      </c>
      <c r="S1458" s="80"/>
    </row>
    <row r="1459" spans="1:19" ht="51">
      <c r="A1459" s="118" t="s">
        <v>2592</v>
      </c>
      <c r="B1459" s="141" t="s">
        <v>2736</v>
      </c>
      <c r="C1459" s="118" t="s">
        <v>3817</v>
      </c>
      <c r="D1459" s="141"/>
      <c r="E1459" s="118"/>
      <c r="F1459" s="118"/>
      <c r="G1459" s="118" t="s">
        <v>3001</v>
      </c>
      <c r="H1459" s="118" t="s">
        <v>3341</v>
      </c>
      <c r="I1459" s="118" t="s">
        <v>6792</v>
      </c>
      <c r="J1459" s="118" t="s">
        <v>4276</v>
      </c>
      <c r="K1459" s="141"/>
      <c r="L1459" s="135" t="str">
        <f t="shared" si="82"/>
        <v>Moschus chrysogaster</v>
      </c>
      <c r="M1459" s="133">
        <f t="shared" si="84"/>
        <v>4.1613680022349753</v>
      </c>
      <c r="N1459" s="133">
        <f>AVERAGE(11000, 18000)</f>
        <v>14500</v>
      </c>
      <c r="O1459" s="179" t="s">
        <v>3356</v>
      </c>
      <c r="P1459" s="108">
        <v>147</v>
      </c>
      <c r="Q1459" s="78" t="s">
        <v>6642</v>
      </c>
    </row>
    <row r="1460" spans="1:19" ht="25.5">
      <c r="A1460" s="213" t="s">
        <v>2592</v>
      </c>
      <c r="B1460" s="141" t="s">
        <v>7654</v>
      </c>
      <c r="C1460" s="118" t="s">
        <v>3817</v>
      </c>
      <c r="D1460" s="141"/>
      <c r="E1460" s="118"/>
      <c r="F1460" s="118"/>
      <c r="G1460" s="118" t="s">
        <v>3001</v>
      </c>
      <c r="H1460" s="118" t="s">
        <v>3267</v>
      </c>
      <c r="I1460" s="118" t="s">
        <v>3484</v>
      </c>
      <c r="J1460" s="118" t="s">
        <v>6657</v>
      </c>
      <c r="K1460" s="141"/>
      <c r="L1460" s="135" t="str">
        <f t="shared" si="82"/>
        <v>Sus bucculentus</v>
      </c>
      <c r="M1460" s="133">
        <v>-999</v>
      </c>
      <c r="N1460" s="133">
        <v>-999</v>
      </c>
      <c r="O1460" s="179" t="s">
        <v>3356</v>
      </c>
      <c r="P1460" s="111">
        <v>-999</v>
      </c>
      <c r="Q1460" s="80" t="s">
        <v>6987</v>
      </c>
      <c r="R1460" s="85" t="s">
        <v>1569</v>
      </c>
    </row>
    <row r="1461" spans="1:19" ht="15" customHeight="1">
      <c r="A1461" s="213" t="s">
        <v>2592</v>
      </c>
      <c r="B1461" s="141" t="s">
        <v>7655</v>
      </c>
      <c r="C1461" s="118" t="s">
        <v>3817</v>
      </c>
      <c r="D1461" s="141"/>
      <c r="E1461" s="118"/>
      <c r="F1461" s="118"/>
      <c r="G1461" s="118" t="s">
        <v>3001</v>
      </c>
      <c r="H1461" s="118" t="s">
        <v>3267</v>
      </c>
      <c r="I1461" s="118" t="s">
        <v>3484</v>
      </c>
      <c r="J1461" s="118" t="s">
        <v>2993</v>
      </c>
      <c r="K1461" s="141"/>
      <c r="L1461" s="135" t="str">
        <f t="shared" si="82"/>
        <v>Sus salvanius</v>
      </c>
      <c r="M1461" s="133">
        <f t="shared" ref="M1461:M1499" si="85">LOG(N1461)</f>
        <v>3.8875047742353779</v>
      </c>
      <c r="N1461" s="133">
        <f>17*454</f>
        <v>7718</v>
      </c>
      <c r="O1461" s="179" t="s">
        <v>7081</v>
      </c>
      <c r="P1461" s="108">
        <v>133</v>
      </c>
      <c r="Q1461" s="78" t="s">
        <v>7071</v>
      </c>
    </row>
    <row r="1462" spans="1:19" ht="15" customHeight="1">
      <c r="A1462" s="213" t="s">
        <v>2592</v>
      </c>
      <c r="B1462" s="141" t="s">
        <v>2474</v>
      </c>
      <c r="C1462" s="118" t="s">
        <v>3817</v>
      </c>
      <c r="D1462" s="141"/>
      <c r="E1462" s="118"/>
      <c r="F1462" s="118"/>
      <c r="G1462" s="118" t="s">
        <v>3001</v>
      </c>
      <c r="H1462" s="118" t="s">
        <v>3267</v>
      </c>
      <c r="I1462" s="118" t="s">
        <v>3484</v>
      </c>
      <c r="J1462" s="118" t="s">
        <v>6242</v>
      </c>
      <c r="K1462" s="141"/>
      <c r="L1462" s="135" t="str">
        <f t="shared" si="82"/>
        <v>Sus barbatus</v>
      </c>
      <c r="M1462" s="133">
        <f t="shared" si="85"/>
        <v>4.9852767431792939</v>
      </c>
      <c r="N1462" s="133">
        <f>AVERAGE(57000, 83000, 150000)</f>
        <v>96666.666666666672</v>
      </c>
      <c r="O1462" s="179" t="s">
        <v>3356</v>
      </c>
      <c r="P1462" s="108" t="s">
        <v>1529</v>
      </c>
      <c r="Q1462" s="80"/>
    </row>
    <row r="1463" spans="1:19">
      <c r="A1463" s="213" t="s">
        <v>2592</v>
      </c>
      <c r="B1463" s="130"/>
      <c r="C1463" s="118" t="s">
        <v>3817</v>
      </c>
      <c r="D1463" s="141"/>
      <c r="E1463" s="118"/>
      <c r="F1463" s="118"/>
      <c r="G1463" s="118" t="s">
        <v>3001</v>
      </c>
      <c r="H1463" s="118" t="s">
        <v>3267</v>
      </c>
      <c r="I1463" s="118" t="s">
        <v>3484</v>
      </c>
      <c r="J1463" s="118" t="s">
        <v>3485</v>
      </c>
      <c r="K1463" s="141"/>
      <c r="L1463" s="135" t="str">
        <f t="shared" si="82"/>
        <v>Sus scrofa</v>
      </c>
      <c r="M1463" s="133">
        <f t="shared" si="85"/>
        <v>5.0692451171051838</v>
      </c>
      <c r="N1463" s="133">
        <f>AVERAGE(112500, 92500, 60000, 153000, 45000, 128000, 230000)</f>
        <v>117285.71428571429</v>
      </c>
      <c r="O1463" s="179"/>
      <c r="P1463" s="108" t="s">
        <v>1352</v>
      </c>
      <c r="Q1463" s="80"/>
    </row>
    <row r="1464" spans="1:19" ht="12" customHeight="1">
      <c r="A1464" s="213" t="s">
        <v>2592</v>
      </c>
      <c r="B1464" s="130"/>
      <c r="C1464" s="118" t="s">
        <v>3817</v>
      </c>
      <c r="D1464" s="141"/>
      <c r="E1464" s="118"/>
      <c r="F1464" s="118"/>
      <c r="G1464" s="118" t="s">
        <v>3001</v>
      </c>
      <c r="H1464" s="118" t="s">
        <v>3951</v>
      </c>
      <c r="I1464" s="118" t="s">
        <v>5766</v>
      </c>
      <c r="J1464" s="118" t="s">
        <v>8269</v>
      </c>
      <c r="K1464" s="141"/>
      <c r="L1464" s="135" t="str">
        <f t="shared" si="82"/>
        <v>Moschiola meminna</v>
      </c>
      <c r="M1464" s="133">
        <f t="shared" si="85"/>
        <v>3.3891660843645326</v>
      </c>
      <c r="N1464" s="133">
        <v>2450</v>
      </c>
      <c r="O1464" s="179" t="s">
        <v>6736</v>
      </c>
      <c r="P1464" s="108">
        <v>68</v>
      </c>
      <c r="Q1464" s="88"/>
    </row>
    <row r="1465" spans="1:19">
      <c r="A1465" s="213" t="s">
        <v>2592</v>
      </c>
      <c r="B1465" s="130"/>
      <c r="C1465" s="118" t="s">
        <v>3817</v>
      </c>
      <c r="D1465" s="141"/>
      <c r="E1465" s="118"/>
      <c r="F1465" s="118"/>
      <c r="G1465" s="118" t="s">
        <v>3001</v>
      </c>
      <c r="H1465" s="118" t="s">
        <v>3951</v>
      </c>
      <c r="I1465" s="118" t="s">
        <v>8270</v>
      </c>
      <c r="J1465" s="118" t="s">
        <v>7469</v>
      </c>
      <c r="K1465" s="141"/>
      <c r="L1465" s="135" t="str">
        <f t="shared" si="82"/>
        <v>Tragulus javanicus</v>
      </c>
      <c r="M1465" s="133">
        <f t="shared" si="85"/>
        <v>3.5185139398778875</v>
      </c>
      <c r="N1465" s="133">
        <v>3300</v>
      </c>
      <c r="O1465" s="179" t="s">
        <v>6736</v>
      </c>
      <c r="P1465" s="108">
        <v>68</v>
      </c>
    </row>
    <row r="1466" spans="1:19">
      <c r="A1466" s="213" t="s">
        <v>2592</v>
      </c>
      <c r="B1466" s="130"/>
      <c r="C1466" s="118" t="s">
        <v>3817</v>
      </c>
      <c r="D1466" s="141"/>
      <c r="E1466" s="118"/>
      <c r="F1466" s="118"/>
      <c r="G1466" s="118" t="s">
        <v>3001</v>
      </c>
      <c r="H1466" s="118" t="s">
        <v>3951</v>
      </c>
      <c r="I1466" s="118" t="s">
        <v>8270</v>
      </c>
      <c r="J1466" s="118" t="s">
        <v>6099</v>
      </c>
      <c r="K1466" s="141"/>
      <c r="L1466" s="135" t="str">
        <f t="shared" si="82"/>
        <v>Tragulus napu</v>
      </c>
      <c r="M1466" s="133">
        <f t="shared" si="85"/>
        <v>3.7708520116421442</v>
      </c>
      <c r="N1466" s="133">
        <v>5900</v>
      </c>
      <c r="O1466" s="179" t="s">
        <v>6736</v>
      </c>
      <c r="P1466" s="108">
        <v>68</v>
      </c>
    </row>
    <row r="1467" spans="1:19">
      <c r="A1467" s="213" t="s">
        <v>2592</v>
      </c>
      <c r="B1467" s="130" t="s">
        <v>6063</v>
      </c>
      <c r="C1467" s="118" t="s">
        <v>5092</v>
      </c>
      <c r="D1467" s="141"/>
      <c r="E1467" s="118"/>
      <c r="F1467" s="118"/>
      <c r="G1467" s="118" t="s">
        <v>3954</v>
      </c>
      <c r="H1467" s="118" t="s">
        <v>7321</v>
      </c>
      <c r="I1467" s="118" t="s">
        <v>4860</v>
      </c>
      <c r="J1467" s="118" t="s">
        <v>4870</v>
      </c>
      <c r="K1467" s="141"/>
      <c r="L1467" s="135" t="str">
        <f t="shared" si="82"/>
        <v>Panthera spelaea</v>
      </c>
      <c r="M1467" s="133">
        <f t="shared" si="85"/>
        <v>5.58</v>
      </c>
      <c r="N1467" s="133">
        <v>380189.39632056101</v>
      </c>
      <c r="O1467" s="179"/>
      <c r="P1467" s="108">
        <v>165</v>
      </c>
      <c r="Q1467" s="80"/>
    </row>
    <row r="1468" spans="1:19">
      <c r="A1468" s="213" t="s">
        <v>2592</v>
      </c>
      <c r="B1468" s="130" t="s">
        <v>8019</v>
      </c>
      <c r="C1468" s="118" t="s">
        <v>5092</v>
      </c>
      <c r="D1468" s="141"/>
      <c r="E1468" s="118"/>
      <c r="F1468" s="118"/>
      <c r="G1468" s="118" t="s">
        <v>3954</v>
      </c>
      <c r="H1468" s="118" t="s">
        <v>7097</v>
      </c>
      <c r="I1468" s="118" t="s">
        <v>4190</v>
      </c>
      <c r="J1468" s="118" t="s">
        <v>4011</v>
      </c>
      <c r="K1468" s="141"/>
      <c r="L1468" s="135" t="str">
        <f t="shared" si="82"/>
        <v>Crocuta crocuta</v>
      </c>
      <c r="M1468" s="133">
        <f t="shared" si="85"/>
        <v>4.8449999999999998</v>
      </c>
      <c r="N1468" s="133">
        <v>69984.199600227294</v>
      </c>
      <c r="O1468" s="179"/>
      <c r="P1468" s="108" t="s">
        <v>8018</v>
      </c>
      <c r="Q1468" s="90" t="s">
        <v>6642</v>
      </c>
    </row>
    <row r="1469" spans="1:19" ht="15" customHeight="1">
      <c r="A1469" s="213" t="s">
        <v>2592</v>
      </c>
      <c r="B1469" s="130" t="s">
        <v>31</v>
      </c>
      <c r="C1469" s="118" t="s">
        <v>45</v>
      </c>
      <c r="D1469" s="141"/>
      <c r="E1469" s="118"/>
      <c r="F1469" s="118"/>
      <c r="G1469" s="118" t="s">
        <v>3954</v>
      </c>
      <c r="H1469" s="118" t="s">
        <v>7321</v>
      </c>
      <c r="I1469" s="118" t="s">
        <v>4860</v>
      </c>
      <c r="J1469" s="118" t="s">
        <v>4861</v>
      </c>
      <c r="K1469" s="141" t="s">
        <v>94</v>
      </c>
      <c r="L1469" s="135" t="str">
        <f t="shared" si="82"/>
        <v>Panthera leo</v>
      </c>
      <c r="M1469" s="133">
        <f t="shared" si="85"/>
        <v>5.2081700000000009</v>
      </c>
      <c r="N1469" s="133">
        <v>161499.06041736645</v>
      </c>
      <c r="O1469" s="179" t="s">
        <v>6916</v>
      </c>
      <c r="P1469" s="108" t="s">
        <v>1688</v>
      </c>
      <c r="Q1469" s="80" t="s">
        <v>6988</v>
      </c>
    </row>
    <row r="1470" spans="1:19">
      <c r="A1470" s="213" t="s">
        <v>2592</v>
      </c>
      <c r="B1470" s="130"/>
      <c r="C1470" s="118" t="s">
        <v>3817</v>
      </c>
      <c r="D1470" s="141"/>
      <c r="E1470" s="118"/>
      <c r="F1470" s="118"/>
      <c r="G1470" s="118" t="s">
        <v>3954</v>
      </c>
      <c r="H1470" s="118" t="s">
        <v>3955</v>
      </c>
      <c r="I1470" s="118" t="s">
        <v>2047</v>
      </c>
      <c r="J1470" s="118" t="s">
        <v>2048</v>
      </c>
      <c r="K1470" s="141"/>
      <c r="L1470" s="135" t="str">
        <f t="shared" si="82"/>
        <v>Alopex lagopus</v>
      </c>
      <c r="M1470" s="133">
        <f t="shared" si="85"/>
        <v>3.7983283147966049</v>
      </c>
      <c r="N1470" s="133">
        <f>AVERAGE(4500, 8000, (454*14))</f>
        <v>6285.333333333333</v>
      </c>
      <c r="O1470" s="179" t="s">
        <v>1633</v>
      </c>
      <c r="P1470" s="108" t="s">
        <v>1634</v>
      </c>
      <c r="Q1470" s="80"/>
    </row>
    <row r="1471" spans="1:19" ht="15" customHeight="1">
      <c r="A1471" s="213" t="s">
        <v>2592</v>
      </c>
      <c r="B1471" s="130"/>
      <c r="C1471" s="118" t="s">
        <v>3817</v>
      </c>
      <c r="D1471" s="141"/>
      <c r="E1471" s="118"/>
      <c r="F1471" s="118"/>
      <c r="G1471" s="118" t="s">
        <v>3954</v>
      </c>
      <c r="H1471" s="118" t="s">
        <v>3955</v>
      </c>
      <c r="I1471" s="118" t="s">
        <v>3956</v>
      </c>
      <c r="J1471" s="118" t="s">
        <v>7364</v>
      </c>
      <c r="K1471" s="141"/>
      <c r="L1471" s="135" t="str">
        <f t="shared" si="82"/>
        <v>Canis aureus</v>
      </c>
      <c r="M1471" s="133">
        <f t="shared" si="85"/>
        <v>4.077670655022386</v>
      </c>
      <c r="N1471" s="133">
        <f>AVERAGE(10000, 15000, 16400, 8000, 11000, 11350)</f>
        <v>11958.333333333334</v>
      </c>
      <c r="O1471" s="182"/>
      <c r="P1471" s="111" t="s">
        <v>1685</v>
      </c>
      <c r="Q1471" s="80"/>
      <c r="R1471" s="85" t="s">
        <v>7870</v>
      </c>
    </row>
    <row r="1472" spans="1:19">
      <c r="A1472" s="213" t="s">
        <v>2592</v>
      </c>
      <c r="B1472" s="130"/>
      <c r="C1472" s="118" t="s">
        <v>3817</v>
      </c>
      <c r="D1472" s="141"/>
      <c r="E1472" s="118"/>
      <c r="F1472" s="118"/>
      <c r="G1472" s="118" t="s">
        <v>3954</v>
      </c>
      <c r="H1472" s="118" t="s">
        <v>3955</v>
      </c>
      <c r="I1472" s="118" t="s">
        <v>3956</v>
      </c>
      <c r="J1472" s="118" t="s">
        <v>4674</v>
      </c>
      <c r="K1472" s="141"/>
      <c r="L1472" s="135" t="str">
        <f t="shared" si="82"/>
        <v>Canis lupus</v>
      </c>
      <c r="M1472" s="133">
        <f t="shared" si="85"/>
        <v>4.568201724066995</v>
      </c>
      <c r="N1472" s="143">
        <f>AVERAGE(25000, 50000, 30000, 72000, 18000, 27000)</f>
        <v>37000</v>
      </c>
      <c r="O1472" s="187"/>
      <c r="P1472" s="111" t="s">
        <v>1352</v>
      </c>
      <c r="Q1472" s="80"/>
      <c r="R1472" s="85" t="s">
        <v>7800</v>
      </c>
    </row>
    <row r="1473" spans="1:19" ht="140.25">
      <c r="A1473" s="213" t="s">
        <v>2592</v>
      </c>
      <c r="B1473" s="130" t="s">
        <v>6140</v>
      </c>
      <c r="C1473" s="118" t="s">
        <v>3817</v>
      </c>
      <c r="D1473" s="141"/>
      <c r="E1473" s="118"/>
      <c r="F1473" s="118"/>
      <c r="G1473" s="118" t="s">
        <v>3954</v>
      </c>
      <c r="H1473" s="118" t="s">
        <v>3955</v>
      </c>
      <c r="I1473" s="118" t="s">
        <v>5969</v>
      </c>
      <c r="J1473" s="118" t="s">
        <v>3092</v>
      </c>
      <c r="K1473" s="141"/>
      <c r="L1473" s="135" t="str">
        <f t="shared" si="82"/>
        <v>Cuon alpinus</v>
      </c>
      <c r="M1473" s="133">
        <f t="shared" si="85"/>
        <v>4.1058506743851435</v>
      </c>
      <c r="N1473" s="133">
        <v>12760</v>
      </c>
      <c r="O1473" s="179" t="s">
        <v>6969</v>
      </c>
      <c r="P1473" s="108">
        <v>68</v>
      </c>
      <c r="Q1473" s="90" t="s">
        <v>6988</v>
      </c>
    </row>
    <row r="1474" spans="1:19" ht="38.25">
      <c r="A1474" s="213" t="s">
        <v>2592</v>
      </c>
      <c r="B1474" s="130" t="s">
        <v>2596</v>
      </c>
      <c r="C1474" s="118" t="s">
        <v>3817</v>
      </c>
      <c r="D1474" s="141"/>
      <c r="E1474" s="118"/>
      <c r="F1474" s="118"/>
      <c r="G1474" s="118" t="s">
        <v>3954</v>
      </c>
      <c r="H1474" s="118" t="s">
        <v>3955</v>
      </c>
      <c r="I1474" s="118" t="s">
        <v>5970</v>
      </c>
      <c r="J1474" s="118" t="s">
        <v>6110</v>
      </c>
      <c r="K1474" s="141"/>
      <c r="L1474" s="135" t="str">
        <f t="shared" si="82"/>
        <v>Nyctereutes procyonoides</v>
      </c>
      <c r="M1474" s="133">
        <f t="shared" si="85"/>
        <v>3.6063813651106051</v>
      </c>
      <c r="N1474" s="133">
        <v>4040</v>
      </c>
      <c r="O1474" s="179" t="s">
        <v>6736</v>
      </c>
      <c r="P1474" s="108">
        <v>68</v>
      </c>
    </row>
    <row r="1475" spans="1:19" ht="38.25">
      <c r="A1475" s="213" t="s">
        <v>2592</v>
      </c>
      <c r="B1475" s="130" t="s">
        <v>2205</v>
      </c>
      <c r="C1475" s="118" t="s">
        <v>3817</v>
      </c>
      <c r="D1475" s="141"/>
      <c r="E1475" s="118"/>
      <c r="F1475" s="118"/>
      <c r="G1475" s="118" t="s">
        <v>3954</v>
      </c>
      <c r="H1475" s="118" t="s">
        <v>3955</v>
      </c>
      <c r="I1475" s="118" t="s">
        <v>4544</v>
      </c>
      <c r="J1475" s="118" t="s">
        <v>6107</v>
      </c>
      <c r="K1475" s="141"/>
      <c r="L1475" s="135" t="str">
        <f t="shared" si="82"/>
        <v>Vulpes cana</v>
      </c>
      <c r="M1475" s="133">
        <f t="shared" si="85"/>
        <v>2.9716700611256046</v>
      </c>
      <c r="N1475" s="133">
        <f>AVERAGE(1000, 873.7)</f>
        <v>936.85</v>
      </c>
      <c r="O1475" s="179" t="s">
        <v>7523</v>
      </c>
      <c r="P1475" s="108" t="s">
        <v>7732</v>
      </c>
      <c r="Q1475" s="90" t="s">
        <v>6987</v>
      </c>
      <c r="R1475" s="85" t="s">
        <v>7729</v>
      </c>
    </row>
    <row r="1476" spans="1:19">
      <c r="A1476" s="213" t="s">
        <v>2592</v>
      </c>
      <c r="B1476" s="130"/>
      <c r="C1476" s="121" t="s">
        <v>3817</v>
      </c>
      <c r="D1476" s="156"/>
      <c r="E1476" s="121"/>
      <c r="F1476" s="121"/>
      <c r="G1476" s="121" t="s">
        <v>3954</v>
      </c>
      <c r="H1476" s="121" t="s">
        <v>3955</v>
      </c>
      <c r="I1476" s="121" t="s">
        <v>4544</v>
      </c>
      <c r="J1476" s="121" t="s">
        <v>4677</v>
      </c>
      <c r="K1476" s="156"/>
      <c r="L1476" s="135" t="str">
        <f t="shared" si="82"/>
        <v>Vulpes zerda</v>
      </c>
      <c r="M1476" s="133">
        <f t="shared" si="85"/>
        <v>3.0413926851582249</v>
      </c>
      <c r="N1476" s="133">
        <v>1100</v>
      </c>
      <c r="O1476" s="179" t="s">
        <v>6773</v>
      </c>
      <c r="P1476" s="114">
        <v>75</v>
      </c>
      <c r="Q1476" s="90" t="s">
        <v>6987</v>
      </c>
    </row>
    <row r="1477" spans="1:19" ht="51">
      <c r="A1477" s="213" t="s">
        <v>2592</v>
      </c>
      <c r="B1477" s="141" t="s">
        <v>5144</v>
      </c>
      <c r="C1477" s="118" t="s">
        <v>3817</v>
      </c>
      <c r="D1477" s="141"/>
      <c r="E1477" s="118"/>
      <c r="F1477" s="118"/>
      <c r="G1477" s="118" t="s">
        <v>3954</v>
      </c>
      <c r="H1477" s="118" t="s">
        <v>3955</v>
      </c>
      <c r="I1477" s="118" t="s">
        <v>4544</v>
      </c>
      <c r="J1477" s="118" t="s">
        <v>3349</v>
      </c>
      <c r="K1477" s="141"/>
      <c r="L1477" s="135" t="str">
        <f t="shared" ref="L1477:L1540" si="86">I1477&amp;" "&amp;J1477</f>
        <v>Vulpes corsac</v>
      </c>
      <c r="M1477" s="133">
        <f t="shared" si="85"/>
        <v>3.3802112417116059</v>
      </c>
      <c r="N1477" s="133">
        <v>2400</v>
      </c>
      <c r="O1477" s="179" t="s">
        <v>6773</v>
      </c>
      <c r="P1477" s="108">
        <v>75</v>
      </c>
      <c r="Q1477" s="90" t="s">
        <v>6987</v>
      </c>
      <c r="S1477" s="80"/>
    </row>
    <row r="1478" spans="1:19" ht="25.5">
      <c r="A1478" s="213" t="s">
        <v>2592</v>
      </c>
      <c r="B1478" s="130"/>
      <c r="C1478" s="118" t="s">
        <v>3817</v>
      </c>
      <c r="D1478" s="141"/>
      <c r="E1478" s="118"/>
      <c r="F1478" s="118"/>
      <c r="G1478" s="118" t="s">
        <v>3954</v>
      </c>
      <c r="H1478" s="118" t="s">
        <v>3955</v>
      </c>
      <c r="I1478" s="118" t="s">
        <v>4544</v>
      </c>
      <c r="J1478" s="118" t="s">
        <v>4675</v>
      </c>
      <c r="K1478" s="141"/>
      <c r="L1478" s="135" t="str">
        <f t="shared" si="86"/>
        <v>Vulpes rueppelli</v>
      </c>
      <c r="M1478" s="133">
        <f t="shared" si="85"/>
        <v>3.3944494785748516</v>
      </c>
      <c r="N1478" s="133">
        <f>AVERAGE(3249.9748485428, 1710)</f>
        <v>2479.9874242714</v>
      </c>
      <c r="O1478" s="179" t="s">
        <v>1245</v>
      </c>
      <c r="P1478" s="108" t="s">
        <v>7731</v>
      </c>
      <c r="Q1478" s="80" t="s">
        <v>6987</v>
      </c>
      <c r="R1478" s="85" t="s">
        <v>7728</v>
      </c>
    </row>
    <row r="1479" spans="1:19">
      <c r="A1479" s="213" t="s">
        <v>2592</v>
      </c>
      <c r="B1479" s="141" t="s">
        <v>6958</v>
      </c>
      <c r="C1479" s="118" t="s">
        <v>3817</v>
      </c>
      <c r="D1479" s="141"/>
      <c r="E1479" s="118"/>
      <c r="F1479" s="118"/>
      <c r="G1479" s="118" t="s">
        <v>3954</v>
      </c>
      <c r="H1479" s="118" t="s">
        <v>3955</v>
      </c>
      <c r="I1479" s="118" t="s">
        <v>4544</v>
      </c>
      <c r="J1479" s="118" t="s">
        <v>6178</v>
      </c>
      <c r="K1479" s="141"/>
      <c r="L1479" s="135" t="str">
        <f t="shared" si="86"/>
        <v>Vulpes bengalensis</v>
      </c>
      <c r="M1479" s="133">
        <f t="shared" si="85"/>
        <v>3.4355258514986549</v>
      </c>
      <c r="N1479" s="133">
        <f>AVERAGE(1800, 3200, (454*7))</f>
        <v>2726</v>
      </c>
      <c r="O1479" s="179" t="s">
        <v>7081</v>
      </c>
      <c r="P1479" s="108" t="s">
        <v>1196</v>
      </c>
      <c r="Q1479" s="80" t="s">
        <v>6987</v>
      </c>
    </row>
    <row r="1480" spans="1:19">
      <c r="A1480" s="213" t="s">
        <v>2592</v>
      </c>
      <c r="B1480" s="141" t="s">
        <v>5145</v>
      </c>
      <c r="C1480" s="118" t="s">
        <v>3817</v>
      </c>
      <c r="D1480" s="141"/>
      <c r="E1480" s="118"/>
      <c r="F1480" s="118"/>
      <c r="G1480" s="118" t="s">
        <v>3954</v>
      </c>
      <c r="H1480" s="118" t="s">
        <v>3955</v>
      </c>
      <c r="I1480" s="118" t="s">
        <v>4544</v>
      </c>
      <c r="J1480" s="118" t="s">
        <v>6494</v>
      </c>
      <c r="K1480" s="141"/>
      <c r="L1480" s="135" t="str">
        <f t="shared" si="86"/>
        <v>Vulpes ferrilata</v>
      </c>
      <c r="M1480" s="133">
        <f t="shared" si="85"/>
        <v>3.6989700043360187</v>
      </c>
      <c r="N1480" s="133">
        <v>5000</v>
      </c>
      <c r="O1480" s="179" t="s">
        <v>3356</v>
      </c>
      <c r="P1480" s="108">
        <v>137</v>
      </c>
      <c r="Q1480" s="80"/>
    </row>
    <row r="1481" spans="1:19">
      <c r="A1481" s="213" t="s">
        <v>2592</v>
      </c>
      <c r="B1481" s="130"/>
      <c r="C1481" s="118" t="s">
        <v>3817</v>
      </c>
      <c r="D1481" s="141"/>
      <c r="E1481" s="118"/>
      <c r="F1481" s="118"/>
      <c r="G1481" s="118" t="s">
        <v>3954</v>
      </c>
      <c r="H1481" s="118" t="s">
        <v>3955</v>
      </c>
      <c r="I1481" s="118" t="s">
        <v>4544</v>
      </c>
      <c r="J1481" s="118" t="s">
        <v>4676</v>
      </c>
      <c r="K1481" s="285" t="s">
        <v>8472</v>
      </c>
      <c r="L1481" s="135" t="str">
        <f t="shared" si="86"/>
        <v>Vulpes vulpes</v>
      </c>
      <c r="M1481" s="133">
        <f t="shared" si="85"/>
        <v>3.7651467901080253</v>
      </c>
      <c r="N1481" s="133">
        <f>AVERAGE(6000, 10000, 4700, 7300, 4500, 5500, 2761)</f>
        <v>5823</v>
      </c>
      <c r="O1481" s="179"/>
      <c r="P1481" s="108" t="s">
        <v>7730</v>
      </c>
      <c r="Q1481" s="80"/>
      <c r="R1481" s="85" t="s">
        <v>7801</v>
      </c>
    </row>
    <row r="1482" spans="1:19">
      <c r="A1482" s="213" t="s">
        <v>2592</v>
      </c>
      <c r="B1482" s="130"/>
      <c r="C1482" s="118" t="s">
        <v>3817</v>
      </c>
      <c r="D1482" s="141"/>
      <c r="E1482" s="118"/>
      <c r="F1482" s="118"/>
      <c r="G1482" s="118" t="s">
        <v>3954</v>
      </c>
      <c r="H1482" s="118" t="s">
        <v>7321</v>
      </c>
      <c r="I1482" s="118" t="s">
        <v>4684</v>
      </c>
      <c r="J1482" s="118" t="s">
        <v>4836</v>
      </c>
      <c r="K1482" s="141"/>
      <c r="L1482" s="135" t="str">
        <f t="shared" si="86"/>
        <v>Acinonyx jubatus</v>
      </c>
      <c r="M1482" s="133">
        <f t="shared" si="85"/>
        <v>4.698970000000001</v>
      </c>
      <c r="N1482" s="133">
        <v>49999.999500797465</v>
      </c>
      <c r="O1482" s="179" t="s">
        <v>6916</v>
      </c>
      <c r="P1482" s="108" t="s">
        <v>1688</v>
      </c>
      <c r="Q1482" s="80" t="s">
        <v>6988</v>
      </c>
    </row>
    <row r="1483" spans="1:19">
      <c r="A1483" s="213" t="s">
        <v>2592</v>
      </c>
      <c r="B1483" s="130"/>
      <c r="C1483" s="118" t="s">
        <v>3817</v>
      </c>
      <c r="D1483" s="141"/>
      <c r="E1483" s="118"/>
      <c r="F1483" s="118"/>
      <c r="G1483" s="118" t="s">
        <v>3954</v>
      </c>
      <c r="H1483" s="118" t="s">
        <v>7321</v>
      </c>
      <c r="I1483" s="118" t="s">
        <v>4837</v>
      </c>
      <c r="J1483" s="118" t="s">
        <v>4838</v>
      </c>
      <c r="K1483" s="141"/>
      <c r="L1483" s="135" t="str">
        <f t="shared" si="86"/>
        <v>Caracal caracal</v>
      </c>
      <c r="M1483" s="133">
        <f t="shared" si="85"/>
        <v>4.138300000000001</v>
      </c>
      <c r="N1483" s="133">
        <v>13749.91457485034</v>
      </c>
      <c r="O1483" s="179" t="s">
        <v>3356</v>
      </c>
      <c r="P1483" s="108" t="s">
        <v>1688</v>
      </c>
      <c r="Q1483" s="80"/>
      <c r="R1483" s="85" t="s">
        <v>7592</v>
      </c>
    </row>
    <row r="1484" spans="1:19" ht="24" customHeight="1">
      <c r="A1484" s="213" t="s">
        <v>2592</v>
      </c>
      <c r="B1484" s="144" t="s">
        <v>5051</v>
      </c>
      <c r="C1484" s="121" t="s">
        <v>3817</v>
      </c>
      <c r="D1484" s="156"/>
      <c r="E1484" s="121"/>
      <c r="F1484" s="121"/>
      <c r="G1484" s="121" t="s">
        <v>3954</v>
      </c>
      <c r="H1484" s="118" t="s">
        <v>7321</v>
      </c>
      <c r="I1484" s="121" t="s">
        <v>5971</v>
      </c>
      <c r="J1484" s="121" t="s">
        <v>2133</v>
      </c>
      <c r="K1484" s="156"/>
      <c r="L1484" s="135" t="str">
        <f t="shared" si="86"/>
        <v>Catopuma temminckii</v>
      </c>
      <c r="M1484" s="133">
        <f t="shared" si="85"/>
        <v>4.0606978403536118</v>
      </c>
      <c r="N1484" s="143">
        <v>11500</v>
      </c>
      <c r="O1484" s="179" t="s">
        <v>7081</v>
      </c>
      <c r="P1484" s="108">
        <v>68</v>
      </c>
      <c r="Q1484" s="88" t="s">
        <v>6988</v>
      </c>
    </row>
    <row r="1485" spans="1:19" ht="25.5">
      <c r="A1485" s="213" t="s">
        <v>2592</v>
      </c>
      <c r="B1485" s="130"/>
      <c r="C1485" s="118" t="s">
        <v>3817</v>
      </c>
      <c r="D1485" s="141"/>
      <c r="E1485" s="118"/>
      <c r="F1485" s="118"/>
      <c r="G1485" s="118" t="s">
        <v>3954</v>
      </c>
      <c r="H1485" s="118" t="s">
        <v>7321</v>
      </c>
      <c r="I1485" s="118" t="s">
        <v>4839</v>
      </c>
      <c r="J1485" s="118" t="s">
        <v>4855</v>
      </c>
      <c r="K1485" s="141"/>
      <c r="L1485" s="135" t="str">
        <f t="shared" si="86"/>
        <v>Felis margarita</v>
      </c>
      <c r="M1485" s="133">
        <f t="shared" si="85"/>
        <v>3.4022600000000005</v>
      </c>
      <c r="N1485" s="133">
        <v>2524.9919623834612</v>
      </c>
      <c r="O1485" s="179" t="s">
        <v>1462</v>
      </c>
      <c r="P1485" s="108">
        <v>117</v>
      </c>
      <c r="Q1485" s="80" t="s">
        <v>6985</v>
      </c>
      <c r="R1485" s="85" t="s">
        <v>7590</v>
      </c>
    </row>
    <row r="1486" spans="1:19" ht="25.5">
      <c r="A1486" s="213" t="s">
        <v>2592</v>
      </c>
      <c r="B1486" s="141" t="s">
        <v>2164</v>
      </c>
      <c r="C1486" s="118" t="s">
        <v>3817</v>
      </c>
      <c r="D1486" s="141"/>
      <c r="E1486" s="118"/>
      <c r="F1486" s="118"/>
      <c r="G1486" s="118" t="s">
        <v>3954</v>
      </c>
      <c r="H1486" s="118" t="s">
        <v>7321</v>
      </c>
      <c r="I1486" s="118" t="s">
        <v>4839</v>
      </c>
      <c r="J1486" s="118" t="s">
        <v>3542</v>
      </c>
      <c r="K1486" s="141"/>
      <c r="L1486" s="135" t="str">
        <f t="shared" si="86"/>
        <v>Felis bieti</v>
      </c>
      <c r="M1486" s="133">
        <f t="shared" si="85"/>
        <v>3.7403626894942437</v>
      </c>
      <c r="N1486" s="133">
        <v>5500</v>
      </c>
      <c r="O1486" s="179" t="s">
        <v>1247</v>
      </c>
      <c r="P1486" s="108">
        <v>141</v>
      </c>
      <c r="Q1486" s="80" t="s">
        <v>6988</v>
      </c>
    </row>
    <row r="1487" spans="1:19">
      <c r="A1487" s="213" t="s">
        <v>2592</v>
      </c>
      <c r="B1487" s="144"/>
      <c r="C1487" s="118" t="s">
        <v>3817</v>
      </c>
      <c r="D1487" s="141"/>
      <c r="E1487" s="118"/>
      <c r="F1487" s="118"/>
      <c r="G1487" s="118" t="s">
        <v>3954</v>
      </c>
      <c r="H1487" s="118" t="s">
        <v>7321</v>
      </c>
      <c r="I1487" s="118" t="s">
        <v>4839</v>
      </c>
      <c r="J1487" s="118" t="s">
        <v>4857</v>
      </c>
      <c r="K1487" s="141"/>
      <c r="L1487" s="135" t="str">
        <f t="shared" si="86"/>
        <v>Felis silvestris</v>
      </c>
      <c r="M1487" s="133">
        <f t="shared" si="85"/>
        <v>3.8061799739838871</v>
      </c>
      <c r="N1487" s="133">
        <f>AVERAGE(5000,10000, 3500, 7100)</f>
        <v>6400</v>
      </c>
      <c r="O1487" s="182"/>
      <c r="P1487" s="111" t="s">
        <v>5905</v>
      </c>
      <c r="Q1487" s="80"/>
      <c r="R1487" s="85" t="s">
        <v>7589</v>
      </c>
    </row>
    <row r="1488" spans="1:19">
      <c r="A1488" s="213" t="s">
        <v>2592</v>
      </c>
      <c r="B1488" s="130"/>
      <c r="C1488" s="118" t="s">
        <v>3817</v>
      </c>
      <c r="D1488" s="141"/>
      <c r="E1488" s="118"/>
      <c r="F1488" s="118"/>
      <c r="G1488" s="118" t="s">
        <v>3954</v>
      </c>
      <c r="H1488" s="118" t="s">
        <v>7321</v>
      </c>
      <c r="I1488" s="118" t="s">
        <v>4839</v>
      </c>
      <c r="J1488" s="118" t="s">
        <v>4840</v>
      </c>
      <c r="K1488" s="141"/>
      <c r="L1488" s="135" t="str">
        <f t="shared" si="86"/>
        <v>Felis chaus</v>
      </c>
      <c r="M1488" s="133">
        <f t="shared" si="85"/>
        <v>3.8607571230815423</v>
      </c>
      <c r="N1488" s="133">
        <f>AVERAGE(5500, 9000, (454*14), (454*18))</f>
        <v>7257</v>
      </c>
      <c r="O1488" s="179" t="s">
        <v>3356</v>
      </c>
      <c r="P1488" s="108" t="s">
        <v>1353</v>
      </c>
      <c r="Q1488" s="80"/>
      <c r="R1488" s="85" t="s">
        <v>7591</v>
      </c>
    </row>
    <row r="1489" spans="1:18" ht="38.25">
      <c r="A1489" s="213" t="s">
        <v>2592</v>
      </c>
      <c r="B1489" s="130" t="s">
        <v>6362</v>
      </c>
      <c r="C1489" s="118" t="s">
        <v>3817</v>
      </c>
      <c r="D1489" s="141"/>
      <c r="E1489" s="118"/>
      <c r="F1489" s="118"/>
      <c r="G1489" s="118" t="s">
        <v>3954</v>
      </c>
      <c r="H1489" s="118" t="s">
        <v>7321</v>
      </c>
      <c r="I1489" s="118" t="s">
        <v>7379</v>
      </c>
      <c r="J1489" s="118" t="s">
        <v>5778</v>
      </c>
      <c r="K1489" s="141"/>
      <c r="L1489" s="135" t="str">
        <f t="shared" si="86"/>
        <v>Lynx pardinus</v>
      </c>
      <c r="M1489" s="133">
        <f t="shared" si="85"/>
        <v>3.9731278535996988</v>
      </c>
      <c r="N1489" s="133">
        <v>9400</v>
      </c>
      <c r="O1489" s="179" t="s">
        <v>1700</v>
      </c>
      <c r="P1489" s="108">
        <v>68</v>
      </c>
      <c r="Q1489" s="90" t="s">
        <v>7071</v>
      </c>
    </row>
    <row r="1490" spans="1:18" ht="12" customHeight="1">
      <c r="A1490" s="213" t="s">
        <v>2592</v>
      </c>
      <c r="B1490" s="130" t="s">
        <v>6361</v>
      </c>
      <c r="C1490" s="118" t="s">
        <v>3817</v>
      </c>
      <c r="D1490" s="141"/>
      <c r="E1490" s="118"/>
      <c r="F1490" s="118"/>
      <c r="G1490" s="118" t="s">
        <v>3954</v>
      </c>
      <c r="H1490" s="118" t="s">
        <v>7321</v>
      </c>
      <c r="I1490" s="118" t="s">
        <v>7379</v>
      </c>
      <c r="J1490" s="118" t="s">
        <v>5972</v>
      </c>
      <c r="K1490" s="141"/>
      <c r="L1490" s="135" t="str">
        <f t="shared" si="86"/>
        <v>Lynx lynx</v>
      </c>
      <c r="M1490" s="133">
        <f t="shared" si="85"/>
        <v>4.2540644529143377</v>
      </c>
      <c r="N1490" s="133">
        <v>17950</v>
      </c>
      <c r="O1490" s="179" t="s">
        <v>1501</v>
      </c>
      <c r="P1490" s="108">
        <v>68</v>
      </c>
      <c r="Q1490" s="88" t="s">
        <v>6985</v>
      </c>
    </row>
    <row r="1491" spans="1:18" ht="51">
      <c r="A1491" s="213" t="s">
        <v>2592</v>
      </c>
      <c r="B1491" s="130" t="s">
        <v>5977</v>
      </c>
      <c r="C1491" s="118" t="s">
        <v>3817</v>
      </c>
      <c r="D1491" s="141"/>
      <c r="E1491" s="118"/>
      <c r="F1491" s="118"/>
      <c r="G1491" s="118" t="s">
        <v>3954</v>
      </c>
      <c r="H1491" s="118" t="s">
        <v>7321</v>
      </c>
      <c r="I1491" s="118" t="s">
        <v>5779</v>
      </c>
      <c r="J1491" s="118" t="s">
        <v>5328</v>
      </c>
      <c r="K1491" s="141"/>
      <c r="L1491" s="135" t="str">
        <f t="shared" si="86"/>
        <v>Neofelis nebulosa</v>
      </c>
      <c r="M1491" s="133">
        <f t="shared" si="85"/>
        <v>4.2900346113625183</v>
      </c>
      <c r="N1491" s="133">
        <v>19500</v>
      </c>
      <c r="O1491" s="179" t="s">
        <v>6736</v>
      </c>
      <c r="P1491" s="108">
        <v>68</v>
      </c>
    </row>
    <row r="1492" spans="1:18" ht="76.5">
      <c r="A1492" s="213" t="s">
        <v>2592</v>
      </c>
      <c r="B1492" s="130" t="s">
        <v>2438</v>
      </c>
      <c r="C1492" s="118" t="s">
        <v>3817</v>
      </c>
      <c r="D1492" s="141"/>
      <c r="E1492" s="118"/>
      <c r="F1492" s="118"/>
      <c r="G1492" s="118" t="s">
        <v>3954</v>
      </c>
      <c r="H1492" s="121" t="s">
        <v>7321</v>
      </c>
      <c r="I1492" s="118" t="s">
        <v>5408</v>
      </c>
      <c r="J1492" s="118" t="s">
        <v>5374</v>
      </c>
      <c r="K1492" s="141"/>
      <c r="L1492" s="135" t="str">
        <f t="shared" si="86"/>
        <v>Otocolobus manul</v>
      </c>
      <c r="M1492" s="133">
        <f t="shared" si="85"/>
        <v>3.5440680443502757</v>
      </c>
      <c r="N1492" s="133">
        <v>3500</v>
      </c>
      <c r="O1492" s="179" t="s">
        <v>1346</v>
      </c>
      <c r="P1492" s="108">
        <v>68</v>
      </c>
      <c r="Q1492" s="90" t="s">
        <v>6985</v>
      </c>
    </row>
    <row r="1493" spans="1:18" ht="12" customHeight="1">
      <c r="A1493" s="213" t="s">
        <v>2592</v>
      </c>
      <c r="B1493" s="130"/>
      <c r="C1493" s="118" t="s">
        <v>3817</v>
      </c>
      <c r="D1493" s="141"/>
      <c r="E1493" s="118"/>
      <c r="F1493" s="118"/>
      <c r="G1493" s="118" t="s">
        <v>3954</v>
      </c>
      <c r="H1493" s="118" t="s">
        <v>7321</v>
      </c>
      <c r="I1493" s="118" t="s">
        <v>4860</v>
      </c>
      <c r="J1493" s="118" t="s">
        <v>2184</v>
      </c>
      <c r="K1493" s="141"/>
      <c r="L1493" s="135" t="str">
        <f t="shared" si="86"/>
        <v>Panthera pardus</v>
      </c>
      <c r="M1493" s="133">
        <f t="shared" si="85"/>
        <v>4.6580113966571126</v>
      </c>
      <c r="N1493" s="133">
        <f>AVERAGE(52000, 39000)</f>
        <v>45500</v>
      </c>
      <c r="O1493" s="179" t="s">
        <v>3356</v>
      </c>
      <c r="P1493" s="108">
        <v>115</v>
      </c>
      <c r="Q1493" s="80"/>
      <c r="R1493" s="89"/>
    </row>
    <row r="1494" spans="1:18" ht="140.25">
      <c r="A1494" s="213" t="s">
        <v>2592</v>
      </c>
      <c r="B1494" s="130" t="s">
        <v>6139</v>
      </c>
      <c r="C1494" s="118" t="s">
        <v>3817</v>
      </c>
      <c r="D1494" s="141"/>
      <c r="E1494" s="118"/>
      <c r="F1494" s="118"/>
      <c r="G1494" s="118" t="s">
        <v>3954</v>
      </c>
      <c r="H1494" s="118" t="s">
        <v>7321</v>
      </c>
      <c r="I1494" s="118" t="s">
        <v>4860</v>
      </c>
      <c r="J1494" s="118" t="s">
        <v>5375</v>
      </c>
      <c r="K1494" s="141"/>
      <c r="L1494" s="135" t="str">
        <f t="shared" si="86"/>
        <v>Panthera tigris</v>
      </c>
      <c r="M1494" s="133">
        <f t="shared" si="85"/>
        <v>5.2110243768523192</v>
      </c>
      <c r="N1494" s="133">
        <f>AVERAGE(209000, (454*350), (454*360), (454*380), (454*240))</f>
        <v>162564</v>
      </c>
      <c r="O1494" s="179" t="s">
        <v>1094</v>
      </c>
      <c r="P1494" s="108" t="s">
        <v>3234</v>
      </c>
      <c r="Q1494" s="90" t="s">
        <v>6640</v>
      </c>
    </row>
    <row r="1495" spans="1:18" ht="25.5">
      <c r="A1495" s="213" t="s">
        <v>2592</v>
      </c>
      <c r="B1495" s="130" t="s">
        <v>7552</v>
      </c>
      <c r="C1495" s="118" t="s">
        <v>3817</v>
      </c>
      <c r="D1495" s="141"/>
      <c r="E1495" s="118"/>
      <c r="F1495" s="118"/>
      <c r="G1495" s="118" t="s">
        <v>3954</v>
      </c>
      <c r="H1495" s="118" t="s">
        <v>7321</v>
      </c>
      <c r="I1495" s="118" t="s">
        <v>3543</v>
      </c>
      <c r="J1495" s="118" t="s">
        <v>7941</v>
      </c>
      <c r="K1495" s="141"/>
      <c r="L1495" s="135" t="str">
        <f t="shared" si="86"/>
        <v>Pardofelis marmorata</v>
      </c>
      <c r="M1495" s="133">
        <f t="shared" si="85"/>
        <v>3.5118833609788744</v>
      </c>
      <c r="N1495" s="133">
        <f>AVERAGE(4000, 2500)</f>
        <v>3250</v>
      </c>
      <c r="O1495" s="179" t="s">
        <v>6641</v>
      </c>
      <c r="P1495" s="108" t="s">
        <v>2975</v>
      </c>
      <c r="Q1495" s="80" t="s">
        <v>6988</v>
      </c>
    </row>
    <row r="1496" spans="1:18">
      <c r="A1496" s="213" t="s">
        <v>2592</v>
      </c>
      <c r="B1496" s="130" t="s">
        <v>2527</v>
      </c>
      <c r="C1496" s="118" t="s">
        <v>3817</v>
      </c>
      <c r="D1496" s="141"/>
      <c r="E1496" s="118"/>
      <c r="F1496" s="118"/>
      <c r="G1496" s="118" t="s">
        <v>3954</v>
      </c>
      <c r="H1496" s="118" t="s">
        <v>7321</v>
      </c>
      <c r="I1496" s="118" t="s">
        <v>6118</v>
      </c>
      <c r="J1496" s="118" t="s">
        <v>6119</v>
      </c>
      <c r="K1496" s="141"/>
      <c r="L1496" s="135" t="str">
        <f t="shared" si="86"/>
        <v>Prionailurus rubiginosus</v>
      </c>
      <c r="M1496" s="133">
        <f t="shared" si="85"/>
        <v>3.1303337684950061</v>
      </c>
      <c r="N1496" s="133">
        <v>1350</v>
      </c>
      <c r="O1496" s="179" t="s">
        <v>6920</v>
      </c>
      <c r="P1496" s="108">
        <v>68</v>
      </c>
      <c r="Q1496" s="90" t="s">
        <v>6988</v>
      </c>
    </row>
    <row r="1497" spans="1:18" ht="127.5">
      <c r="A1497" s="213" t="s">
        <v>2592</v>
      </c>
      <c r="B1497" s="130" t="s">
        <v>2882</v>
      </c>
      <c r="C1497" s="118" t="s">
        <v>3817</v>
      </c>
      <c r="D1497" s="141"/>
      <c r="E1497" s="118"/>
      <c r="F1497" s="118"/>
      <c r="G1497" s="118" t="s">
        <v>3954</v>
      </c>
      <c r="H1497" s="118" t="s">
        <v>7321</v>
      </c>
      <c r="I1497" s="118" t="s">
        <v>6118</v>
      </c>
      <c r="J1497" s="118" t="s">
        <v>6178</v>
      </c>
      <c r="K1497" s="141"/>
      <c r="L1497" s="135" t="str">
        <f t="shared" si="86"/>
        <v>Prionailurus bengalensis</v>
      </c>
      <c r="M1497" s="133">
        <f t="shared" si="85"/>
        <v>3.5185139398778875</v>
      </c>
      <c r="N1497" s="133">
        <v>3300</v>
      </c>
      <c r="O1497" s="179" t="s">
        <v>6736</v>
      </c>
      <c r="P1497" s="108">
        <v>68</v>
      </c>
    </row>
    <row r="1498" spans="1:18" ht="12" customHeight="1">
      <c r="A1498" s="213" t="s">
        <v>2592</v>
      </c>
      <c r="B1498" s="130" t="s">
        <v>2383</v>
      </c>
      <c r="C1498" s="118" t="s">
        <v>3817</v>
      </c>
      <c r="D1498" s="141"/>
      <c r="E1498" s="118"/>
      <c r="F1498" s="118"/>
      <c r="G1498" s="118" t="s">
        <v>3954</v>
      </c>
      <c r="H1498" s="118" t="s">
        <v>7321</v>
      </c>
      <c r="I1498" s="118" t="s">
        <v>6118</v>
      </c>
      <c r="J1498" s="118" t="s">
        <v>3935</v>
      </c>
      <c r="K1498" s="141"/>
      <c r="L1498" s="135" t="str">
        <f t="shared" si="86"/>
        <v>Prionailurus viverrinus</v>
      </c>
      <c r="M1498" s="133">
        <f t="shared" si="85"/>
        <v>4.0354297381845488</v>
      </c>
      <c r="N1498" s="133">
        <v>10850</v>
      </c>
      <c r="O1498" s="179" t="s">
        <v>6955</v>
      </c>
      <c r="P1498" s="108">
        <v>68</v>
      </c>
      <c r="Q1498" s="88" t="s">
        <v>6988</v>
      </c>
    </row>
    <row r="1499" spans="1:18" ht="51">
      <c r="A1499" s="213" t="s">
        <v>2592</v>
      </c>
      <c r="B1499" s="130" t="s">
        <v>2647</v>
      </c>
      <c r="C1499" s="118" t="s">
        <v>3817</v>
      </c>
      <c r="D1499" s="141"/>
      <c r="E1499" s="118"/>
      <c r="F1499" s="118"/>
      <c r="G1499" s="118" t="s">
        <v>3954</v>
      </c>
      <c r="H1499" s="118" t="s">
        <v>7321</v>
      </c>
      <c r="I1499" s="118" t="s">
        <v>6120</v>
      </c>
      <c r="J1499" s="118" t="s">
        <v>4960</v>
      </c>
      <c r="K1499" s="141"/>
      <c r="L1499" s="135" t="str">
        <f t="shared" si="86"/>
        <v>Uncia uncia</v>
      </c>
      <c r="M1499" s="133">
        <f t="shared" si="85"/>
        <v>4.6450979012349984</v>
      </c>
      <c r="N1499" s="133">
        <v>44167</v>
      </c>
      <c r="O1499" s="179" t="s">
        <v>4698</v>
      </c>
      <c r="P1499" s="108">
        <v>68</v>
      </c>
      <c r="Q1499" s="90" t="s">
        <v>6640</v>
      </c>
    </row>
    <row r="1500" spans="1:18" ht="12" customHeight="1">
      <c r="A1500" s="213" t="s">
        <v>2592</v>
      </c>
      <c r="B1500" s="141" t="s">
        <v>2527</v>
      </c>
      <c r="C1500" s="118" t="s">
        <v>3817</v>
      </c>
      <c r="D1500" s="141"/>
      <c r="E1500" s="118"/>
      <c r="F1500" s="118"/>
      <c r="G1500" s="118" t="s">
        <v>3954</v>
      </c>
      <c r="H1500" s="118" t="s">
        <v>4180</v>
      </c>
      <c r="I1500" s="118" t="s">
        <v>7086</v>
      </c>
      <c r="J1500" s="118" t="s">
        <v>2182</v>
      </c>
      <c r="K1500" s="141"/>
      <c r="L1500" s="135" t="str">
        <f t="shared" si="86"/>
        <v>Herpestes palustris</v>
      </c>
      <c r="M1500" s="133">
        <v>-999</v>
      </c>
      <c r="N1500" s="133">
        <v>-999</v>
      </c>
      <c r="O1500" s="179" t="s">
        <v>6641</v>
      </c>
      <c r="P1500" s="108">
        <v>-999</v>
      </c>
      <c r="Q1500" s="88" t="s">
        <v>6640</v>
      </c>
      <c r="R1500" s="89"/>
    </row>
    <row r="1501" spans="1:18" ht="165.75">
      <c r="A1501" s="213" t="s">
        <v>2592</v>
      </c>
      <c r="B1501" s="130" t="s">
        <v>2573</v>
      </c>
      <c r="C1501" s="118" t="s">
        <v>3817</v>
      </c>
      <c r="D1501" s="141"/>
      <c r="E1501" s="118"/>
      <c r="F1501" s="118"/>
      <c r="G1501" s="118" t="s">
        <v>3954</v>
      </c>
      <c r="H1501" s="118" t="s">
        <v>4180</v>
      </c>
      <c r="I1501" s="118" t="s">
        <v>7086</v>
      </c>
      <c r="J1501" s="118" t="s">
        <v>7469</v>
      </c>
      <c r="K1501" s="141"/>
      <c r="L1501" s="135" t="str">
        <f t="shared" si="86"/>
        <v>Herpestes javanicus</v>
      </c>
      <c r="M1501" s="133">
        <f t="shared" ref="M1501:M1532" si="87">LOG(N1501)</f>
        <v>2.8750612633917001</v>
      </c>
      <c r="N1501" s="133">
        <v>750</v>
      </c>
      <c r="O1501" s="179" t="s">
        <v>6736</v>
      </c>
      <c r="P1501" s="108">
        <v>68</v>
      </c>
    </row>
    <row r="1502" spans="1:18">
      <c r="A1502" s="213" t="s">
        <v>2592</v>
      </c>
      <c r="B1502" s="130"/>
      <c r="C1502" s="118" t="s">
        <v>3817</v>
      </c>
      <c r="D1502" s="141"/>
      <c r="E1502" s="118"/>
      <c r="F1502" s="118"/>
      <c r="G1502" s="118" t="s">
        <v>3954</v>
      </c>
      <c r="H1502" s="118" t="s">
        <v>4180</v>
      </c>
      <c r="I1502" s="118" t="s">
        <v>7086</v>
      </c>
      <c r="J1502" s="118" t="s">
        <v>4656</v>
      </c>
      <c r="K1502" s="141"/>
      <c r="L1502" s="135" t="str">
        <f t="shared" si="86"/>
        <v>Herpestes edwardsii</v>
      </c>
      <c r="M1502" s="133">
        <f t="shared" si="87"/>
        <v>3.1219535835452987</v>
      </c>
      <c r="N1502" s="133">
        <f>AVERAGE(1400, 1816, 1248.5, 1248.5, 908)</f>
        <v>1324.2</v>
      </c>
      <c r="O1502" s="179"/>
      <c r="P1502" s="108" t="s">
        <v>3095</v>
      </c>
      <c r="Q1502" s="80"/>
    </row>
    <row r="1503" spans="1:18" ht="12" customHeight="1">
      <c r="A1503" s="213" t="s">
        <v>2592</v>
      </c>
      <c r="B1503" s="141" t="s">
        <v>2527</v>
      </c>
      <c r="C1503" s="118" t="s">
        <v>3817</v>
      </c>
      <c r="D1503" s="141"/>
      <c r="E1503" s="118"/>
      <c r="F1503" s="118"/>
      <c r="G1503" s="118" t="s">
        <v>3954</v>
      </c>
      <c r="H1503" s="118" t="s">
        <v>4180</v>
      </c>
      <c r="I1503" s="118" t="s">
        <v>7086</v>
      </c>
      <c r="J1503" s="118" t="s">
        <v>4168</v>
      </c>
      <c r="K1503" s="141"/>
      <c r="L1503" s="135" t="str">
        <f t="shared" si="86"/>
        <v>Herpestes smithii</v>
      </c>
      <c r="M1503" s="133">
        <f t="shared" si="87"/>
        <v>3.2698397095768392</v>
      </c>
      <c r="N1503" s="133">
        <f>AVERAGE(1816, 1702.5, 1589, 2724, 2724, 1135, 1929.5, 1816, 1589, 1589)</f>
        <v>1861.4</v>
      </c>
      <c r="O1503" s="179"/>
      <c r="P1503" s="108">
        <v>131</v>
      </c>
      <c r="Q1503" s="88"/>
      <c r="R1503" s="89"/>
    </row>
    <row r="1504" spans="1:18">
      <c r="A1504" s="213" t="s">
        <v>2592</v>
      </c>
      <c r="B1504" s="130"/>
      <c r="C1504" s="118" t="s">
        <v>3817</v>
      </c>
      <c r="D1504" s="141"/>
      <c r="E1504" s="118"/>
      <c r="F1504" s="118"/>
      <c r="G1504" s="118" t="s">
        <v>3954</v>
      </c>
      <c r="H1504" s="118" t="s">
        <v>4180</v>
      </c>
      <c r="I1504" s="118" t="s">
        <v>7086</v>
      </c>
      <c r="J1504" s="118" t="s">
        <v>8195</v>
      </c>
      <c r="K1504" s="141"/>
      <c r="L1504" s="135" t="str">
        <f t="shared" si="86"/>
        <v>Herpestes urva</v>
      </c>
      <c r="M1504" s="133">
        <f t="shared" si="87"/>
        <v>3.2702594755266241</v>
      </c>
      <c r="N1504" s="133">
        <f>AVERAGE(1800, 2300, 1150, 2250, (454*4))</f>
        <v>1863.2</v>
      </c>
      <c r="O1504" s="179"/>
      <c r="P1504" s="108" t="s">
        <v>3135</v>
      </c>
      <c r="Q1504" s="80"/>
    </row>
    <row r="1505" spans="1:20" ht="25.5">
      <c r="A1505" s="213" t="s">
        <v>2592</v>
      </c>
      <c r="B1505" s="141" t="s">
        <v>2167</v>
      </c>
      <c r="C1505" s="118" t="s">
        <v>3817</v>
      </c>
      <c r="D1505" s="141"/>
      <c r="E1505" s="118"/>
      <c r="F1505" s="118"/>
      <c r="G1505" s="118" t="s">
        <v>3954</v>
      </c>
      <c r="H1505" s="118" t="s">
        <v>4180</v>
      </c>
      <c r="I1505" s="118" t="s">
        <v>7086</v>
      </c>
      <c r="J1505" s="118" t="s">
        <v>2207</v>
      </c>
      <c r="K1505" s="141"/>
      <c r="L1505" s="135" t="str">
        <f t="shared" si="86"/>
        <v>Herpestes brachyurus</v>
      </c>
      <c r="M1505" s="133">
        <f t="shared" si="87"/>
        <v>3.3010299956639813</v>
      </c>
      <c r="N1505" s="133">
        <v>2000</v>
      </c>
      <c r="O1505" s="179" t="s">
        <v>3356</v>
      </c>
      <c r="P1505" s="108">
        <v>119</v>
      </c>
      <c r="Q1505" s="80"/>
    </row>
    <row r="1506" spans="1:20">
      <c r="A1506" s="213" t="s">
        <v>2592</v>
      </c>
      <c r="B1506" s="130"/>
      <c r="C1506" s="118" t="s">
        <v>3817</v>
      </c>
      <c r="D1506" s="141"/>
      <c r="E1506" s="118"/>
      <c r="F1506" s="118"/>
      <c r="G1506" s="118" t="s">
        <v>3954</v>
      </c>
      <c r="H1506" s="118" t="s">
        <v>4180</v>
      </c>
      <c r="I1506" s="118" t="s">
        <v>7086</v>
      </c>
      <c r="J1506" s="118" t="s">
        <v>8161</v>
      </c>
      <c r="K1506" s="141"/>
      <c r="L1506" s="135" t="str">
        <f t="shared" si="86"/>
        <v>Herpestes vitticollis</v>
      </c>
      <c r="M1506" s="133">
        <f t="shared" si="87"/>
        <v>3.4763502149903709</v>
      </c>
      <c r="N1506" s="133">
        <f>AVERAGE(3200, 3405, 2951, 2610.5, 3064.5, 2724, (6.625*454))</f>
        <v>2994.6785714285716</v>
      </c>
      <c r="O1506" s="179"/>
      <c r="P1506" s="108" t="s">
        <v>2974</v>
      </c>
      <c r="Q1506" s="80"/>
    </row>
    <row r="1507" spans="1:20" ht="12" customHeight="1">
      <c r="A1507" s="213" t="s">
        <v>2592</v>
      </c>
      <c r="B1507" s="130"/>
      <c r="C1507" s="118" t="s">
        <v>3817</v>
      </c>
      <c r="D1507" s="141"/>
      <c r="E1507" s="118"/>
      <c r="F1507" s="118"/>
      <c r="G1507" s="118" t="s">
        <v>3954</v>
      </c>
      <c r="H1507" s="118" t="s">
        <v>4180</v>
      </c>
      <c r="I1507" s="118" t="s">
        <v>7086</v>
      </c>
      <c r="J1507" s="118" t="s">
        <v>7087</v>
      </c>
      <c r="K1507" s="141"/>
      <c r="L1507" s="135" t="str">
        <f t="shared" si="86"/>
        <v>Herpestes ichneumon</v>
      </c>
      <c r="M1507" s="133">
        <f t="shared" si="87"/>
        <v>3.8750612633917001</v>
      </c>
      <c r="N1507" s="133">
        <f>AVERAGE(7000, 8000)</f>
        <v>7500</v>
      </c>
      <c r="O1507" s="179" t="s">
        <v>3356</v>
      </c>
      <c r="P1507" s="108">
        <v>111</v>
      </c>
      <c r="Q1507" s="88"/>
    </row>
    <row r="1508" spans="1:20">
      <c r="A1508" s="213" t="s">
        <v>2592</v>
      </c>
      <c r="B1508" s="130"/>
      <c r="C1508" s="118" t="s">
        <v>3817</v>
      </c>
      <c r="D1508" s="141"/>
      <c r="E1508" s="118"/>
      <c r="F1508" s="118"/>
      <c r="G1508" s="118" t="s">
        <v>3954</v>
      </c>
      <c r="H1508" s="118" t="s">
        <v>4180</v>
      </c>
      <c r="I1508" s="118" t="s">
        <v>4253</v>
      </c>
      <c r="J1508" s="118" t="s">
        <v>7096</v>
      </c>
      <c r="K1508" s="141"/>
      <c r="L1508" s="135" t="str">
        <f t="shared" si="86"/>
        <v>Ichneumia albicauda</v>
      </c>
      <c r="M1508" s="133">
        <f t="shared" si="87"/>
        <v>3.5440700000000001</v>
      </c>
      <c r="N1508" s="133">
        <v>3500.0157607101446</v>
      </c>
      <c r="O1508" s="179" t="s">
        <v>3356</v>
      </c>
      <c r="P1508" s="108" t="s">
        <v>2835</v>
      </c>
      <c r="T1508" s="82"/>
    </row>
    <row r="1509" spans="1:20" ht="25.5">
      <c r="A1509" s="213" t="s">
        <v>2592</v>
      </c>
      <c r="B1509" s="130"/>
      <c r="C1509" s="118" t="s">
        <v>3817</v>
      </c>
      <c r="D1509" s="141"/>
      <c r="E1509" s="118"/>
      <c r="F1509" s="118"/>
      <c r="G1509" s="118" t="s">
        <v>3954</v>
      </c>
      <c r="H1509" s="118" t="s">
        <v>7097</v>
      </c>
      <c r="I1509" s="118" t="s">
        <v>4012</v>
      </c>
      <c r="J1509" s="118" t="s">
        <v>4013</v>
      </c>
      <c r="K1509" s="141"/>
      <c r="L1509" s="135" t="str">
        <f t="shared" si="86"/>
        <v>Hyaena hyaena</v>
      </c>
      <c r="M1509" s="133">
        <f t="shared" si="87"/>
        <v>4.5729877081982053</v>
      </c>
      <c r="N1509" s="133">
        <f>AVERAGE(36000, 41000, 38590, 34050)</f>
        <v>37410</v>
      </c>
      <c r="O1509" s="179" t="s">
        <v>6947</v>
      </c>
      <c r="P1509" s="108" t="s">
        <v>3233</v>
      </c>
      <c r="Q1509" s="90" t="s">
        <v>6642</v>
      </c>
      <c r="R1509" s="85" t="s">
        <v>7736</v>
      </c>
      <c r="S1509" s="80"/>
    </row>
    <row r="1510" spans="1:20" ht="25.5">
      <c r="A1510" s="213" t="s">
        <v>2592</v>
      </c>
      <c r="B1510" s="130" t="s">
        <v>4949</v>
      </c>
      <c r="C1510" s="118" t="s">
        <v>3817</v>
      </c>
      <c r="D1510" s="141"/>
      <c r="E1510" s="118"/>
      <c r="F1510" s="118"/>
      <c r="G1510" s="118" t="s">
        <v>3954</v>
      </c>
      <c r="H1510" s="118" t="s">
        <v>4257</v>
      </c>
      <c r="I1510" s="118" t="s">
        <v>6668</v>
      </c>
      <c r="J1510" s="118" t="s">
        <v>4485</v>
      </c>
      <c r="K1510" s="141"/>
      <c r="L1510" s="135" t="str">
        <f t="shared" si="86"/>
        <v>Amblonyx cinereus</v>
      </c>
      <c r="M1510" s="133">
        <f t="shared" si="87"/>
        <v>3.6010195413537178</v>
      </c>
      <c r="N1510" s="133">
        <f>AVERAGE(1000, 3000, 6000, 5902, 4994, 4313, 2724)</f>
        <v>3990.4285714285716</v>
      </c>
      <c r="O1510" s="179" t="s">
        <v>1237</v>
      </c>
      <c r="P1510" s="108" t="s">
        <v>1417</v>
      </c>
      <c r="Q1510" s="79" t="s">
        <v>6642</v>
      </c>
    </row>
    <row r="1511" spans="1:20" ht="38.25">
      <c r="A1511" s="213" t="s">
        <v>2592</v>
      </c>
      <c r="B1511" s="130" t="s">
        <v>2224</v>
      </c>
      <c r="C1511" s="118" t="s">
        <v>3817</v>
      </c>
      <c r="D1511" s="141"/>
      <c r="E1511" s="118"/>
      <c r="F1511" s="118"/>
      <c r="G1511" s="118" t="s">
        <v>3954</v>
      </c>
      <c r="H1511" s="118" t="s">
        <v>4257</v>
      </c>
      <c r="I1511" s="118" t="s">
        <v>6671</v>
      </c>
      <c r="J1511" s="118" t="s">
        <v>4240</v>
      </c>
      <c r="K1511" s="141"/>
      <c r="L1511" s="135" t="str">
        <f t="shared" si="86"/>
        <v>Arctonyx collaris</v>
      </c>
      <c r="M1511" s="133">
        <f t="shared" si="87"/>
        <v>3.8031838885353419</v>
      </c>
      <c r="N1511" s="133">
        <f>454*14</f>
        <v>6356</v>
      </c>
      <c r="O1511" s="179" t="s">
        <v>3356</v>
      </c>
      <c r="P1511" s="108">
        <v>131</v>
      </c>
      <c r="Q1511" s="80"/>
    </row>
    <row r="1512" spans="1:20" ht="12" customHeight="1">
      <c r="A1512" s="213" t="s">
        <v>2592</v>
      </c>
      <c r="B1512" s="130"/>
      <c r="C1512" s="118" t="s">
        <v>3817</v>
      </c>
      <c r="D1512" s="141"/>
      <c r="E1512" s="118"/>
      <c r="F1512" s="118"/>
      <c r="G1512" s="118" t="s">
        <v>3954</v>
      </c>
      <c r="H1512" s="118" t="s">
        <v>4257</v>
      </c>
      <c r="I1512" s="118" t="s">
        <v>3823</v>
      </c>
      <c r="J1512" s="118" t="s">
        <v>3824</v>
      </c>
      <c r="K1512" s="141"/>
      <c r="L1512" s="135" t="str">
        <f t="shared" si="86"/>
        <v>Gulo gulo</v>
      </c>
      <c r="M1512" s="133">
        <f t="shared" si="87"/>
        <v>4.2900346113625183</v>
      </c>
      <c r="N1512" s="133">
        <f>AVERAGE(9000, 30000)</f>
        <v>19500</v>
      </c>
      <c r="O1512" s="179" t="s">
        <v>7081</v>
      </c>
      <c r="P1512" s="108">
        <v>111</v>
      </c>
      <c r="Q1512" s="80" t="s">
        <v>6988</v>
      </c>
      <c r="R1512" s="89"/>
    </row>
    <row r="1513" spans="1:20">
      <c r="A1513" s="213" t="s">
        <v>2592</v>
      </c>
      <c r="B1513" s="130"/>
      <c r="C1513" s="118" t="s">
        <v>3817</v>
      </c>
      <c r="D1513" s="141"/>
      <c r="E1513" s="118"/>
      <c r="F1513" s="118"/>
      <c r="G1513" s="118" t="s">
        <v>3954</v>
      </c>
      <c r="H1513" s="118" t="s">
        <v>4257</v>
      </c>
      <c r="I1513" s="118" t="s">
        <v>3783</v>
      </c>
      <c r="J1513" s="118" t="s">
        <v>3589</v>
      </c>
      <c r="K1513" s="141"/>
      <c r="L1513" s="135" t="str">
        <f t="shared" si="86"/>
        <v>Ictonyx libyca</v>
      </c>
      <c r="M1513" s="133">
        <f t="shared" si="87"/>
        <v>3.5440680443502757</v>
      </c>
      <c r="N1513" s="133">
        <v>3500</v>
      </c>
      <c r="O1513" s="179" t="s">
        <v>3356</v>
      </c>
      <c r="P1513" s="108" t="s">
        <v>2976</v>
      </c>
      <c r="Q1513" s="80"/>
    </row>
    <row r="1514" spans="1:20" ht="12" customHeight="1">
      <c r="A1514" s="213" t="s">
        <v>2592</v>
      </c>
      <c r="B1514" s="130"/>
      <c r="C1514" s="118" t="s">
        <v>3817</v>
      </c>
      <c r="D1514" s="141"/>
      <c r="E1514" s="118"/>
      <c r="F1514" s="118"/>
      <c r="G1514" s="118" t="s">
        <v>3954</v>
      </c>
      <c r="H1514" s="118" t="s">
        <v>4257</v>
      </c>
      <c r="I1514" s="118" t="s">
        <v>4480</v>
      </c>
      <c r="J1514" s="118" t="s">
        <v>6670</v>
      </c>
      <c r="K1514" s="141"/>
      <c r="L1514" s="135" t="str">
        <f t="shared" si="86"/>
        <v>Lutra sumatrana</v>
      </c>
      <c r="M1514" s="133">
        <f t="shared" si="87"/>
        <v>3.7403626894942437</v>
      </c>
      <c r="N1514" s="133">
        <v>5500</v>
      </c>
      <c r="O1514" s="179" t="s">
        <v>1462</v>
      </c>
      <c r="P1514" s="108">
        <v>119</v>
      </c>
      <c r="Q1514" s="90" t="s">
        <v>6987</v>
      </c>
      <c r="R1514" s="89"/>
    </row>
    <row r="1515" spans="1:20" ht="38.25">
      <c r="A1515" s="213" t="s">
        <v>2592</v>
      </c>
      <c r="B1515" s="130"/>
      <c r="C1515" s="118" t="s">
        <v>3817</v>
      </c>
      <c r="D1515" s="141"/>
      <c r="E1515" s="118"/>
      <c r="F1515" s="118"/>
      <c r="G1515" s="118" t="s">
        <v>3954</v>
      </c>
      <c r="H1515" s="118" t="s">
        <v>4257</v>
      </c>
      <c r="I1515" s="118" t="s">
        <v>4480</v>
      </c>
      <c r="J1515" s="118" t="s">
        <v>3795</v>
      </c>
      <c r="K1515" s="141"/>
      <c r="L1515" s="135" t="str">
        <f t="shared" si="86"/>
        <v>Lutra lutra</v>
      </c>
      <c r="M1515" s="133">
        <f t="shared" si="87"/>
        <v>4.0413899999999998</v>
      </c>
      <c r="N1515" s="133">
        <v>10999.931989351941</v>
      </c>
      <c r="O1515" s="179" t="s">
        <v>6990</v>
      </c>
      <c r="P1515" s="108">
        <v>65</v>
      </c>
      <c r="Q1515" s="90" t="s">
        <v>6988</v>
      </c>
    </row>
    <row r="1516" spans="1:20" ht="76.5">
      <c r="A1516" s="213" t="s">
        <v>2592</v>
      </c>
      <c r="B1516" s="130" t="s">
        <v>2338</v>
      </c>
      <c r="C1516" s="118" t="s">
        <v>3817</v>
      </c>
      <c r="D1516" s="141"/>
      <c r="E1516" s="118"/>
      <c r="F1516" s="118"/>
      <c r="G1516" s="118" t="s">
        <v>3954</v>
      </c>
      <c r="H1516" s="118" t="s">
        <v>4257</v>
      </c>
      <c r="I1516" s="118" t="s">
        <v>5331</v>
      </c>
      <c r="J1516" s="118" t="s">
        <v>5370</v>
      </c>
      <c r="K1516" s="141"/>
      <c r="L1516" s="135" t="str">
        <f t="shared" si="86"/>
        <v>Lutrogale perspicillata</v>
      </c>
      <c r="M1516" s="133">
        <f t="shared" si="87"/>
        <v>3.9985499336047674</v>
      </c>
      <c r="N1516" s="133">
        <f>AVERAGE(9000, 10900, 10000)</f>
        <v>9966.6666666666661</v>
      </c>
      <c r="O1516" s="179" t="s">
        <v>1493</v>
      </c>
      <c r="P1516" s="108" t="s">
        <v>7842</v>
      </c>
      <c r="Q1516" s="90" t="s">
        <v>6988</v>
      </c>
    </row>
    <row r="1517" spans="1:20">
      <c r="A1517" s="213" t="s">
        <v>2592</v>
      </c>
      <c r="B1517" s="141" t="s">
        <v>2627</v>
      </c>
      <c r="C1517" s="118" t="s">
        <v>3817</v>
      </c>
      <c r="D1517" s="141"/>
      <c r="E1517" s="118"/>
      <c r="F1517" s="118"/>
      <c r="G1517" s="118" t="s">
        <v>3954</v>
      </c>
      <c r="H1517" s="118" t="s">
        <v>4257</v>
      </c>
      <c r="I1517" s="118" t="s">
        <v>3828</v>
      </c>
      <c r="J1517" s="118" t="s">
        <v>3362</v>
      </c>
      <c r="K1517" s="141"/>
      <c r="L1517" s="135" t="str">
        <f t="shared" si="86"/>
        <v>Martes melampus</v>
      </c>
      <c r="M1517" s="133">
        <f t="shared" si="87"/>
        <v>3</v>
      </c>
      <c r="N1517" s="133">
        <v>1000</v>
      </c>
      <c r="O1517" s="179" t="s">
        <v>3356</v>
      </c>
      <c r="P1517" s="108">
        <v>141</v>
      </c>
      <c r="Q1517" s="80"/>
    </row>
    <row r="1518" spans="1:20" ht="102">
      <c r="A1518" s="213" t="s">
        <v>2592</v>
      </c>
      <c r="B1518" s="130" t="s">
        <v>2509</v>
      </c>
      <c r="C1518" s="118" t="s">
        <v>3817</v>
      </c>
      <c r="D1518" s="141"/>
      <c r="E1518" s="118"/>
      <c r="F1518" s="118"/>
      <c r="G1518" s="118" t="s">
        <v>3954</v>
      </c>
      <c r="H1518" s="118" t="s">
        <v>4257</v>
      </c>
      <c r="I1518" s="118" t="s">
        <v>3828</v>
      </c>
      <c r="J1518" s="118" t="s">
        <v>6117</v>
      </c>
      <c r="K1518" s="141"/>
      <c r="L1518" s="135" t="str">
        <f t="shared" si="86"/>
        <v>Martes zibellina</v>
      </c>
      <c r="M1518" s="133">
        <f t="shared" si="87"/>
        <v>3.0530784434834195</v>
      </c>
      <c r="N1518" s="133">
        <v>1130</v>
      </c>
      <c r="O1518" s="179" t="s">
        <v>6736</v>
      </c>
      <c r="P1518" s="108">
        <v>68</v>
      </c>
    </row>
    <row r="1519" spans="1:20" ht="76.5">
      <c r="A1519" s="213" t="s">
        <v>2592</v>
      </c>
      <c r="B1519" s="130" t="s">
        <v>2287</v>
      </c>
      <c r="C1519" s="118" t="s">
        <v>3817</v>
      </c>
      <c r="D1519" s="141"/>
      <c r="E1519" s="118"/>
      <c r="F1519" s="118"/>
      <c r="G1519" s="118" t="s">
        <v>3954</v>
      </c>
      <c r="H1519" s="118" t="s">
        <v>4257</v>
      </c>
      <c r="I1519" s="118" t="s">
        <v>3828</v>
      </c>
      <c r="J1519" s="118" t="s">
        <v>5652</v>
      </c>
      <c r="K1519" s="141"/>
      <c r="L1519" s="135" t="str">
        <f t="shared" si="86"/>
        <v>Martes martes</v>
      </c>
      <c r="M1519" s="133">
        <f t="shared" si="87"/>
        <v>3.1139433523068369</v>
      </c>
      <c r="N1519" s="133">
        <v>1300</v>
      </c>
      <c r="O1519" s="179" t="s">
        <v>6736</v>
      </c>
      <c r="P1519" s="108">
        <v>68</v>
      </c>
    </row>
    <row r="1520" spans="1:20" ht="25.5">
      <c r="A1520" s="213" t="s">
        <v>2592</v>
      </c>
      <c r="B1520" s="130" t="s">
        <v>6023</v>
      </c>
      <c r="C1520" s="118" t="s">
        <v>3817</v>
      </c>
      <c r="D1520" s="141"/>
      <c r="E1520" s="118"/>
      <c r="F1520" s="118"/>
      <c r="G1520" s="118" t="s">
        <v>3954</v>
      </c>
      <c r="H1520" s="118" t="s">
        <v>4257</v>
      </c>
      <c r="I1520" s="118" t="s">
        <v>3828</v>
      </c>
      <c r="J1520" s="118" t="s">
        <v>6693</v>
      </c>
      <c r="K1520" s="141"/>
      <c r="L1520" s="135" t="str">
        <f t="shared" si="86"/>
        <v>Martes foina</v>
      </c>
      <c r="M1520" s="133">
        <f t="shared" si="87"/>
        <v>3.1877462697804595</v>
      </c>
      <c r="N1520" s="133">
        <f>AVERAGE(1300, 2300, 850, 1440, 1814)</f>
        <v>1540.8</v>
      </c>
      <c r="O1520" s="179"/>
      <c r="P1520" s="108" t="s">
        <v>1186</v>
      </c>
      <c r="Q1520" s="80"/>
      <c r="R1520" s="85" t="s">
        <v>7735</v>
      </c>
    </row>
    <row r="1521" spans="1:17" ht="25.5">
      <c r="A1521" s="213" t="s">
        <v>2592</v>
      </c>
      <c r="B1521" s="130"/>
      <c r="C1521" s="118" t="s">
        <v>3817</v>
      </c>
      <c r="D1521" s="141"/>
      <c r="E1521" s="118"/>
      <c r="F1521" s="118"/>
      <c r="G1521" s="118" t="s">
        <v>3954</v>
      </c>
      <c r="H1521" s="118" t="s">
        <v>4257</v>
      </c>
      <c r="I1521" s="118" t="s">
        <v>3828</v>
      </c>
      <c r="J1521" s="118" t="s">
        <v>6694</v>
      </c>
      <c r="K1521" s="141"/>
      <c r="L1521" s="135" t="str">
        <f t="shared" si="86"/>
        <v>Martes gwatkinsii</v>
      </c>
      <c r="M1521" s="133">
        <f t="shared" si="87"/>
        <v>3.3102683666324477</v>
      </c>
      <c r="N1521" s="133">
        <f>454*4.5</f>
        <v>2043</v>
      </c>
      <c r="O1521" s="179" t="s">
        <v>6908</v>
      </c>
      <c r="P1521" s="108">
        <v>131</v>
      </c>
      <c r="Q1521" s="80" t="s">
        <v>6988</v>
      </c>
    </row>
    <row r="1522" spans="1:17" ht="89.25">
      <c r="A1522" s="213" t="s">
        <v>2592</v>
      </c>
      <c r="B1522" s="130" t="s">
        <v>2411</v>
      </c>
      <c r="C1522" s="118" t="s">
        <v>3817</v>
      </c>
      <c r="D1522" s="141"/>
      <c r="E1522" s="118"/>
      <c r="F1522" s="118"/>
      <c r="G1522" s="118" t="s">
        <v>3954</v>
      </c>
      <c r="H1522" s="118" t="s">
        <v>4257</v>
      </c>
      <c r="I1522" s="118" t="s">
        <v>3828</v>
      </c>
      <c r="J1522" s="118" t="s">
        <v>5371</v>
      </c>
      <c r="K1522" s="141"/>
      <c r="L1522" s="135" t="str">
        <f t="shared" si="86"/>
        <v>Martes flavigula</v>
      </c>
      <c r="M1522" s="133">
        <f t="shared" si="87"/>
        <v>3.3979400086720375</v>
      </c>
      <c r="N1522" s="133">
        <v>2500</v>
      </c>
      <c r="O1522" s="179" t="s">
        <v>6736</v>
      </c>
      <c r="P1522" s="108">
        <v>68</v>
      </c>
    </row>
    <row r="1523" spans="1:17" ht="63.75">
      <c r="A1523" s="213" t="s">
        <v>2592</v>
      </c>
      <c r="B1523" s="130" t="s">
        <v>6036</v>
      </c>
      <c r="C1523" s="118" t="s">
        <v>3817</v>
      </c>
      <c r="D1523" s="141"/>
      <c r="E1523" s="118"/>
      <c r="F1523" s="118"/>
      <c r="G1523" s="118" t="s">
        <v>3954</v>
      </c>
      <c r="H1523" s="118" t="s">
        <v>4257</v>
      </c>
      <c r="I1523" s="118" t="s">
        <v>3703</v>
      </c>
      <c r="J1523" s="118" t="s">
        <v>3704</v>
      </c>
      <c r="K1523" s="141"/>
      <c r="L1523" s="135" t="str">
        <f t="shared" si="86"/>
        <v>Meles meles</v>
      </c>
      <c r="M1523" s="133">
        <f t="shared" si="87"/>
        <v>4.1139433523068369</v>
      </c>
      <c r="N1523" s="133">
        <v>13000</v>
      </c>
      <c r="O1523" s="179" t="s">
        <v>6736</v>
      </c>
      <c r="P1523" s="108">
        <v>68</v>
      </c>
    </row>
    <row r="1524" spans="1:17">
      <c r="A1524" s="213" t="s">
        <v>2592</v>
      </c>
      <c r="B1524" s="130"/>
      <c r="C1524" s="118" t="s">
        <v>3817</v>
      </c>
      <c r="D1524" s="141"/>
      <c r="E1524" s="118"/>
      <c r="F1524" s="118"/>
      <c r="G1524" s="118" t="s">
        <v>3954</v>
      </c>
      <c r="H1524" s="118" t="s">
        <v>4257</v>
      </c>
      <c r="I1524" s="118" t="s">
        <v>3354</v>
      </c>
      <c r="J1524" s="118" t="s">
        <v>4259</v>
      </c>
      <c r="K1524" s="141"/>
      <c r="L1524" s="135" t="str">
        <f t="shared" si="86"/>
        <v>Mellivora capensis</v>
      </c>
      <c r="M1524" s="133">
        <f t="shared" si="87"/>
        <v>3.9542425094393248</v>
      </c>
      <c r="N1524" s="133">
        <f>AVERAGE(8000, 10000)</f>
        <v>9000</v>
      </c>
      <c r="O1524" s="179" t="s">
        <v>3356</v>
      </c>
      <c r="P1524" s="108">
        <v>115</v>
      </c>
      <c r="Q1524" s="80"/>
    </row>
    <row r="1525" spans="1:17">
      <c r="A1525" s="213" t="s">
        <v>2592</v>
      </c>
      <c r="B1525" s="130"/>
      <c r="C1525" s="118" t="s">
        <v>3817</v>
      </c>
      <c r="D1525" s="141"/>
      <c r="E1525" s="118"/>
      <c r="F1525" s="118"/>
      <c r="G1525" s="118" t="s">
        <v>3954</v>
      </c>
      <c r="H1525" s="118" t="s">
        <v>4257</v>
      </c>
      <c r="I1525" s="118" t="s">
        <v>3447</v>
      </c>
      <c r="J1525" s="118" t="s">
        <v>6754</v>
      </c>
      <c r="K1525" s="141"/>
      <c r="L1525" s="135" t="str">
        <f t="shared" si="86"/>
        <v>Melogale moschata</v>
      </c>
      <c r="M1525" s="133">
        <f t="shared" si="87"/>
        <v>2.9724342769573653</v>
      </c>
      <c r="N1525" s="133">
        <f>AVERAGE(800, 1600, 573, 781)</f>
        <v>938.5</v>
      </c>
      <c r="O1525" s="179" t="s">
        <v>6859</v>
      </c>
      <c r="P1525" s="108">
        <v>101</v>
      </c>
    </row>
    <row r="1526" spans="1:17">
      <c r="A1526" s="213" t="s">
        <v>2592</v>
      </c>
      <c r="B1526" s="130"/>
      <c r="C1526" s="118" t="s">
        <v>3817</v>
      </c>
      <c r="D1526" s="141"/>
      <c r="E1526" s="118"/>
      <c r="F1526" s="118"/>
      <c r="G1526" s="118" t="s">
        <v>3954</v>
      </c>
      <c r="H1526" s="118" t="s">
        <v>4257</v>
      </c>
      <c r="I1526" s="118" t="s">
        <v>3447</v>
      </c>
      <c r="J1526" s="118" t="s">
        <v>3403</v>
      </c>
      <c r="K1526" s="141"/>
      <c r="L1526" s="135" t="str">
        <f t="shared" si="86"/>
        <v>Melogale personata</v>
      </c>
      <c r="M1526" s="133">
        <f t="shared" si="87"/>
        <v>3.2310871205848226</v>
      </c>
      <c r="N1526" s="133">
        <f>454*3.75</f>
        <v>1702.5</v>
      </c>
      <c r="O1526" s="179" t="s">
        <v>3356</v>
      </c>
      <c r="P1526" s="108">
        <v>131</v>
      </c>
      <c r="Q1526" s="80"/>
    </row>
    <row r="1527" spans="1:17" ht="12" customHeight="1">
      <c r="A1527" s="213" t="s">
        <v>2592</v>
      </c>
      <c r="B1527" s="130"/>
      <c r="C1527" s="118" t="s">
        <v>3817</v>
      </c>
      <c r="D1527" s="141"/>
      <c r="E1527" s="118"/>
      <c r="F1527" s="118"/>
      <c r="G1527" s="118" t="s">
        <v>3954</v>
      </c>
      <c r="H1527" s="118" t="s">
        <v>4257</v>
      </c>
      <c r="I1527" s="118" t="s">
        <v>4479</v>
      </c>
      <c r="J1527" s="118" t="s">
        <v>3806</v>
      </c>
      <c r="K1527" s="141"/>
      <c r="L1527" s="135" t="str">
        <f t="shared" si="86"/>
        <v>Mustela nivalis</v>
      </c>
      <c r="M1527" s="133">
        <f t="shared" si="87"/>
        <v>1.8878984880968723</v>
      </c>
      <c r="N1527" s="133">
        <f>AVERAGE(45, 60, 34, 170)</f>
        <v>77.25</v>
      </c>
      <c r="O1527" s="179"/>
      <c r="P1527" s="108" t="s">
        <v>5905</v>
      </c>
      <c r="Q1527" s="88"/>
    </row>
    <row r="1528" spans="1:17">
      <c r="A1528" s="213" t="s">
        <v>2592</v>
      </c>
      <c r="B1528" s="130"/>
      <c r="C1528" s="118" t="s">
        <v>3817</v>
      </c>
      <c r="D1528" s="141"/>
      <c r="E1528" s="118"/>
      <c r="F1528" s="118"/>
      <c r="G1528" s="118" t="s">
        <v>3954</v>
      </c>
      <c r="H1528" s="118" t="s">
        <v>4257</v>
      </c>
      <c r="I1528" s="118" t="s">
        <v>4479</v>
      </c>
      <c r="J1528" s="118" t="s">
        <v>3374</v>
      </c>
      <c r="K1528" s="141"/>
      <c r="L1528" s="135" t="str">
        <f t="shared" si="86"/>
        <v>Mustela erminea</v>
      </c>
      <c r="M1528" s="133">
        <f t="shared" si="87"/>
        <v>2.2272437815030623</v>
      </c>
      <c r="N1528" s="133">
        <f>AVERAGE(125, 300, 95, 155)</f>
        <v>168.75</v>
      </c>
      <c r="O1528" s="179"/>
      <c r="P1528" s="108" t="s">
        <v>5905</v>
      </c>
      <c r="Q1528" s="80"/>
    </row>
    <row r="1529" spans="1:17" ht="51">
      <c r="A1529" s="213" t="s">
        <v>2592</v>
      </c>
      <c r="B1529" s="130" t="s">
        <v>2532</v>
      </c>
      <c r="C1529" s="118" t="s">
        <v>3817</v>
      </c>
      <c r="D1529" s="141"/>
      <c r="E1529" s="118"/>
      <c r="F1529" s="118"/>
      <c r="G1529" s="118" t="s">
        <v>3954</v>
      </c>
      <c r="H1529" s="118" t="s">
        <v>4257</v>
      </c>
      <c r="I1529" s="118" t="s">
        <v>4479</v>
      </c>
      <c r="J1529" s="118" t="s">
        <v>8222</v>
      </c>
      <c r="K1529" s="141"/>
      <c r="L1529" s="135" t="str">
        <f t="shared" si="86"/>
        <v>Mustela altaica</v>
      </c>
      <c r="M1529" s="133">
        <f t="shared" si="87"/>
        <v>2.2329961103921536</v>
      </c>
      <c r="N1529" s="133">
        <v>171</v>
      </c>
      <c r="O1529" s="179" t="s">
        <v>6736</v>
      </c>
      <c r="P1529" s="108">
        <v>68</v>
      </c>
    </row>
    <row r="1530" spans="1:17">
      <c r="A1530" s="213" t="s">
        <v>2592</v>
      </c>
      <c r="B1530" s="130"/>
      <c r="C1530" s="118" t="s">
        <v>3817</v>
      </c>
      <c r="D1530" s="141"/>
      <c r="E1530" s="118"/>
      <c r="F1530" s="118"/>
      <c r="G1530" s="118" t="s">
        <v>3954</v>
      </c>
      <c r="H1530" s="118" t="s">
        <v>4257</v>
      </c>
      <c r="I1530" s="118" t="s">
        <v>4479</v>
      </c>
      <c r="J1530" s="118" t="s">
        <v>3034</v>
      </c>
      <c r="K1530" s="141"/>
      <c r="L1530" s="135" t="str">
        <f t="shared" si="86"/>
        <v>Mustela kathiah</v>
      </c>
      <c r="M1530" s="133">
        <f t="shared" si="87"/>
        <v>2.3182372959878723</v>
      </c>
      <c r="N1530" s="133">
        <f>454*0.458333333</f>
        <v>208.08333318200002</v>
      </c>
      <c r="O1530" s="179"/>
      <c r="P1530" s="108">
        <v>131</v>
      </c>
      <c r="Q1530" s="80"/>
    </row>
    <row r="1531" spans="1:17" ht="24" customHeight="1">
      <c r="A1531" s="213" t="s">
        <v>2592</v>
      </c>
      <c r="B1531" s="130" t="s">
        <v>2801</v>
      </c>
      <c r="C1531" s="118" t="s">
        <v>3817</v>
      </c>
      <c r="D1531" s="141"/>
      <c r="E1531" s="118"/>
      <c r="F1531" s="118"/>
      <c r="G1531" s="118" t="s">
        <v>3954</v>
      </c>
      <c r="H1531" s="118" t="s">
        <v>4257</v>
      </c>
      <c r="I1531" s="118" t="s">
        <v>4479</v>
      </c>
      <c r="J1531" s="118" t="s">
        <v>8225</v>
      </c>
      <c r="K1531" s="141"/>
      <c r="L1531" s="135" t="str">
        <f t="shared" si="86"/>
        <v>Mustela sibirica</v>
      </c>
      <c r="M1531" s="133">
        <f t="shared" si="87"/>
        <v>2.6074550232146687</v>
      </c>
      <c r="N1531" s="133">
        <v>405</v>
      </c>
      <c r="O1531" s="179" t="s">
        <v>6736</v>
      </c>
      <c r="P1531" s="108">
        <v>68</v>
      </c>
      <c r="Q1531" s="88"/>
    </row>
    <row r="1532" spans="1:17" ht="63.75">
      <c r="A1532" s="213" t="s">
        <v>2592</v>
      </c>
      <c r="B1532" s="130" t="s">
        <v>2584</v>
      </c>
      <c r="C1532" s="118" t="s">
        <v>3817</v>
      </c>
      <c r="D1532" s="141"/>
      <c r="E1532" s="118"/>
      <c r="F1532" s="118"/>
      <c r="G1532" s="118" t="s">
        <v>3954</v>
      </c>
      <c r="H1532" s="118" t="s">
        <v>4257</v>
      </c>
      <c r="I1532" s="118" t="s">
        <v>4479</v>
      </c>
      <c r="J1532" s="118" t="s">
        <v>8224</v>
      </c>
      <c r="K1532" s="141"/>
      <c r="L1532" s="135" t="str">
        <f t="shared" si="86"/>
        <v>Mustela lutreola</v>
      </c>
      <c r="M1532" s="133">
        <f t="shared" si="87"/>
        <v>2.6434526764861874</v>
      </c>
      <c r="N1532" s="133">
        <v>440</v>
      </c>
      <c r="O1532" s="179" t="s">
        <v>6504</v>
      </c>
      <c r="P1532" s="108">
        <v>68</v>
      </c>
      <c r="Q1532" s="90" t="s">
        <v>6640</v>
      </c>
    </row>
    <row r="1533" spans="1:17">
      <c r="A1533" s="213" t="s">
        <v>2592</v>
      </c>
      <c r="B1533" s="130"/>
      <c r="C1533" s="118" t="s">
        <v>3817</v>
      </c>
      <c r="D1533" s="141"/>
      <c r="E1533" s="118"/>
      <c r="F1533" s="118"/>
      <c r="G1533" s="118" t="s">
        <v>3954</v>
      </c>
      <c r="H1533" s="118" t="s">
        <v>4257</v>
      </c>
      <c r="I1533" s="118" t="s">
        <v>4479</v>
      </c>
      <c r="J1533" s="118" t="s">
        <v>6691</v>
      </c>
      <c r="K1533" s="141"/>
      <c r="L1533" s="135" t="str">
        <f t="shared" si="86"/>
        <v>Mustela nudipes</v>
      </c>
      <c r="M1533" s="133">
        <f t="shared" ref="M1533:M1561" si="88">LOG(N1533)</f>
        <v>2.6989700043360187</v>
      </c>
      <c r="N1533" s="133">
        <v>500</v>
      </c>
      <c r="O1533" s="179" t="s">
        <v>3356</v>
      </c>
      <c r="P1533" s="108">
        <v>119</v>
      </c>
      <c r="Q1533" s="80"/>
    </row>
    <row r="1534" spans="1:17">
      <c r="A1534" s="213" t="s">
        <v>2592</v>
      </c>
      <c r="B1534" s="130"/>
      <c r="C1534" s="121" t="s">
        <v>3817</v>
      </c>
      <c r="D1534" s="156"/>
      <c r="E1534" s="121"/>
      <c r="F1534" s="121"/>
      <c r="G1534" s="121" t="s">
        <v>3954</v>
      </c>
      <c r="H1534" s="118" t="s">
        <v>4257</v>
      </c>
      <c r="I1534" s="121" t="s">
        <v>4479</v>
      </c>
      <c r="J1534" s="121" t="s">
        <v>3597</v>
      </c>
      <c r="K1534" s="156"/>
      <c r="L1534" s="135" t="str">
        <f t="shared" si="86"/>
        <v>Mustela putorius</v>
      </c>
      <c r="M1534" s="133">
        <f t="shared" si="88"/>
        <v>2.8637688240294739</v>
      </c>
      <c r="N1534" s="143">
        <f>AVERAGE(500, 1200, 415, 808)</f>
        <v>730.75</v>
      </c>
      <c r="O1534" s="179"/>
      <c r="P1534" s="108" t="s">
        <v>5905</v>
      </c>
      <c r="Q1534" s="80"/>
    </row>
    <row r="1535" spans="1:17" ht="12" customHeight="1">
      <c r="A1535" s="213" t="s">
        <v>2592</v>
      </c>
      <c r="B1535" s="130" t="s">
        <v>2612</v>
      </c>
      <c r="C1535" s="118" t="s">
        <v>3817</v>
      </c>
      <c r="D1535" s="141"/>
      <c r="E1535" s="118"/>
      <c r="F1535" s="118"/>
      <c r="G1535" s="118" t="s">
        <v>3954</v>
      </c>
      <c r="H1535" s="121" t="s">
        <v>4257</v>
      </c>
      <c r="I1535" s="118" t="s">
        <v>4479</v>
      </c>
      <c r="J1535" s="118" t="s">
        <v>8223</v>
      </c>
      <c r="K1535" s="141"/>
      <c r="L1535" s="135" t="str">
        <f t="shared" si="86"/>
        <v>Mustela eversmannii</v>
      </c>
      <c r="M1535" s="133">
        <f t="shared" si="88"/>
        <v>3.1303337684950061</v>
      </c>
      <c r="N1535" s="133">
        <v>1350</v>
      </c>
      <c r="O1535" s="179" t="s">
        <v>6736</v>
      </c>
      <c r="P1535" s="108">
        <v>68</v>
      </c>
      <c r="Q1535" s="88"/>
    </row>
    <row r="1536" spans="1:17" ht="25.5">
      <c r="A1536" s="213" t="s">
        <v>2592</v>
      </c>
      <c r="B1536" s="130" t="s">
        <v>7753</v>
      </c>
      <c r="C1536" s="118" t="s">
        <v>3817</v>
      </c>
      <c r="D1536" s="141"/>
      <c r="E1536" s="118"/>
      <c r="F1536" s="118"/>
      <c r="G1536" s="118" t="s">
        <v>3954</v>
      </c>
      <c r="H1536" s="118" t="s">
        <v>4257</v>
      </c>
      <c r="I1536" s="118" t="s">
        <v>4479</v>
      </c>
      <c r="J1536" s="118" t="s">
        <v>5162</v>
      </c>
      <c r="K1536" s="141"/>
      <c r="L1536" s="135" t="str">
        <f t="shared" si="86"/>
        <v>Mustela strigidorsa</v>
      </c>
      <c r="M1536" s="133">
        <f t="shared" si="88"/>
        <v>3.1760912590556813</v>
      </c>
      <c r="N1536" s="133">
        <f>AVERAGE(1000, 2000)</f>
        <v>1500</v>
      </c>
      <c r="O1536" s="179" t="s">
        <v>3356</v>
      </c>
      <c r="P1536" s="108">
        <v>60</v>
      </c>
      <c r="Q1536" s="80" t="s">
        <v>6640</v>
      </c>
    </row>
    <row r="1537" spans="1:17" ht="63.75">
      <c r="A1537" s="213" t="s">
        <v>2592</v>
      </c>
      <c r="B1537" s="130" t="s">
        <v>2045</v>
      </c>
      <c r="C1537" s="118" t="s">
        <v>3817</v>
      </c>
      <c r="D1537" s="141"/>
      <c r="E1537" s="118"/>
      <c r="F1537" s="118"/>
      <c r="G1537" s="118" t="s">
        <v>3954</v>
      </c>
      <c r="H1537" s="118" t="s">
        <v>4257</v>
      </c>
      <c r="I1537" s="118" t="s">
        <v>8226</v>
      </c>
      <c r="J1537" s="118" t="s">
        <v>3472</v>
      </c>
      <c r="K1537" s="141"/>
      <c r="L1537" s="135" t="str">
        <f t="shared" si="86"/>
        <v>Vormela peregusna</v>
      </c>
      <c r="M1537" s="133">
        <f t="shared" si="88"/>
        <v>2.6535835471015452</v>
      </c>
      <c r="N1537" s="147">
        <f>AVERAGE(330, 520, 317, 295, 610, 715, 450, 600, 320, 493, 275, 310, 620)</f>
        <v>450.38461538461536</v>
      </c>
      <c r="O1537" s="179"/>
      <c r="P1537" s="108">
        <v>272</v>
      </c>
    </row>
    <row r="1538" spans="1:17" ht="76.5">
      <c r="A1538" s="213" t="s">
        <v>2592</v>
      </c>
      <c r="B1538" s="130" t="s">
        <v>2272</v>
      </c>
      <c r="C1538" s="118" t="s">
        <v>3817</v>
      </c>
      <c r="D1538" s="141"/>
      <c r="E1538" s="118"/>
      <c r="F1538" s="118"/>
      <c r="G1538" s="118" t="s">
        <v>3954</v>
      </c>
      <c r="H1538" s="118" t="s">
        <v>3531</v>
      </c>
      <c r="I1538" s="118" t="s">
        <v>3473</v>
      </c>
      <c r="J1538" s="118" t="s">
        <v>6570</v>
      </c>
      <c r="K1538" s="141"/>
      <c r="L1538" s="135" t="str">
        <f t="shared" si="86"/>
        <v>Odobenus rosmarus</v>
      </c>
      <c r="M1538" s="133">
        <f t="shared" si="88"/>
        <v>5.9164539485499255</v>
      </c>
      <c r="N1538" s="133">
        <v>825000</v>
      </c>
      <c r="O1538" s="179" t="s">
        <v>6736</v>
      </c>
      <c r="P1538" s="108">
        <v>68</v>
      </c>
    </row>
    <row r="1539" spans="1:17" ht="12" customHeight="1">
      <c r="A1539" s="213" t="s">
        <v>2592</v>
      </c>
      <c r="B1539" s="130" t="s">
        <v>4650</v>
      </c>
      <c r="C1539" s="118" t="s">
        <v>3817</v>
      </c>
      <c r="D1539" s="141"/>
      <c r="E1539" s="118"/>
      <c r="F1539" s="118"/>
      <c r="G1539" s="118" t="s">
        <v>3954</v>
      </c>
      <c r="H1539" s="118" t="s">
        <v>4468</v>
      </c>
      <c r="I1539" s="118" t="s">
        <v>3471</v>
      </c>
      <c r="J1539" s="118" t="s">
        <v>4836</v>
      </c>
      <c r="K1539" s="141"/>
      <c r="L1539" s="135" t="str">
        <f t="shared" si="86"/>
        <v>Eumetopias jubatus</v>
      </c>
      <c r="M1539" s="133">
        <f t="shared" si="88"/>
        <v>5.4913616938342731</v>
      </c>
      <c r="N1539" s="133">
        <v>310000</v>
      </c>
      <c r="O1539" s="179" t="s">
        <v>6553</v>
      </c>
      <c r="P1539" s="108">
        <v>68</v>
      </c>
      <c r="Q1539" s="88" t="s">
        <v>6640</v>
      </c>
    </row>
    <row r="1540" spans="1:17" ht="12" customHeight="1">
      <c r="A1540" s="213" t="s">
        <v>2592</v>
      </c>
      <c r="B1540" s="130" t="s">
        <v>6209</v>
      </c>
      <c r="C1540" s="118" t="s">
        <v>3817</v>
      </c>
      <c r="D1540" s="141"/>
      <c r="E1540" s="118"/>
      <c r="F1540" s="118"/>
      <c r="G1540" s="118" t="s">
        <v>3954</v>
      </c>
      <c r="H1540" s="118" t="s">
        <v>4613</v>
      </c>
      <c r="I1540" s="118" t="s">
        <v>6082</v>
      </c>
      <c r="J1540" s="118" t="s">
        <v>2461</v>
      </c>
      <c r="K1540" s="141"/>
      <c r="L1540" s="135" t="str">
        <f t="shared" si="86"/>
        <v>Cystophora cristata</v>
      </c>
      <c r="M1540" s="133">
        <f t="shared" si="88"/>
        <v>5.5740312677277188</v>
      </c>
      <c r="N1540" s="133">
        <f>AVERAGE(350000, 400000)</f>
        <v>375000</v>
      </c>
      <c r="O1540" s="179"/>
      <c r="P1540" s="108">
        <v>111</v>
      </c>
      <c r="Q1540" s="88"/>
    </row>
    <row r="1541" spans="1:17" ht="76.5">
      <c r="A1541" s="213" t="s">
        <v>2592</v>
      </c>
      <c r="B1541" s="130" t="s">
        <v>6123</v>
      </c>
      <c r="C1541" s="118" t="s">
        <v>3817</v>
      </c>
      <c r="D1541" s="141"/>
      <c r="E1541" s="118"/>
      <c r="F1541" s="118"/>
      <c r="G1541" s="118" t="s">
        <v>3954</v>
      </c>
      <c r="H1541" s="118" t="s">
        <v>4613</v>
      </c>
      <c r="I1541" s="118" t="s">
        <v>6241</v>
      </c>
      <c r="J1541" s="118" t="s">
        <v>6242</v>
      </c>
      <c r="K1541" s="141"/>
      <c r="L1541" s="135" t="str">
        <f t="shared" ref="L1541:L1604" si="89">I1541&amp;" "&amp;J1541</f>
        <v>Erignathus barbatus</v>
      </c>
      <c r="M1541" s="133">
        <f t="shared" si="88"/>
        <v>5.4471580313422194</v>
      </c>
      <c r="N1541" s="133">
        <v>280000</v>
      </c>
      <c r="O1541" s="179" t="s">
        <v>6736</v>
      </c>
      <c r="P1541" s="108">
        <v>68</v>
      </c>
    </row>
    <row r="1542" spans="1:17" ht="89.25">
      <c r="A1542" s="213" t="s">
        <v>2592</v>
      </c>
      <c r="B1542" s="130" t="s">
        <v>2563</v>
      </c>
      <c r="C1542" s="118" t="s">
        <v>3817</v>
      </c>
      <c r="D1542" s="141"/>
      <c r="E1542" s="118"/>
      <c r="F1542" s="118"/>
      <c r="G1542" s="118" t="s">
        <v>3954</v>
      </c>
      <c r="H1542" s="118" t="s">
        <v>4613</v>
      </c>
      <c r="I1542" s="118" t="s">
        <v>6079</v>
      </c>
      <c r="J1542" s="118" t="s">
        <v>6080</v>
      </c>
      <c r="K1542" s="141"/>
      <c r="L1542" s="135" t="str">
        <f t="shared" si="89"/>
        <v>Halichoerus grypus</v>
      </c>
      <c r="M1542" s="133">
        <f t="shared" si="88"/>
        <v>5.1977408041873305</v>
      </c>
      <c r="N1542" s="133">
        <v>157667</v>
      </c>
      <c r="O1542" s="179" t="s">
        <v>6736</v>
      </c>
      <c r="P1542" s="108">
        <v>68</v>
      </c>
    </row>
    <row r="1543" spans="1:17" ht="51">
      <c r="A1543" s="213" t="s">
        <v>2592</v>
      </c>
      <c r="B1543" s="130" t="s">
        <v>2511</v>
      </c>
      <c r="C1543" s="118" t="s">
        <v>3817</v>
      </c>
      <c r="D1543" s="141"/>
      <c r="E1543" s="118"/>
      <c r="F1543" s="118"/>
      <c r="G1543" s="118" t="s">
        <v>3954</v>
      </c>
      <c r="H1543" s="118" t="s">
        <v>4613</v>
      </c>
      <c r="I1543" s="118" t="s">
        <v>7918</v>
      </c>
      <c r="J1543" s="118" t="s">
        <v>7174</v>
      </c>
      <c r="K1543" s="141"/>
      <c r="L1543" s="135" t="str">
        <f t="shared" si="89"/>
        <v>Monachus monachus</v>
      </c>
      <c r="M1543" s="133">
        <f t="shared" si="88"/>
        <v>5.4913616938342731</v>
      </c>
      <c r="N1543" s="133">
        <f>AVERAGE(300000, 320000)</f>
        <v>310000</v>
      </c>
      <c r="O1543" s="179" t="s">
        <v>6929</v>
      </c>
      <c r="P1543" s="108">
        <v>11</v>
      </c>
      <c r="Q1543" s="90" t="s">
        <v>7071</v>
      </c>
    </row>
    <row r="1544" spans="1:17">
      <c r="A1544" s="213" t="s">
        <v>2592</v>
      </c>
      <c r="B1544" s="130" t="s">
        <v>6134</v>
      </c>
      <c r="C1544" s="118" t="s">
        <v>3817</v>
      </c>
      <c r="D1544" s="141"/>
      <c r="E1544" s="118"/>
      <c r="F1544" s="118"/>
      <c r="G1544" s="118" t="s">
        <v>3954</v>
      </c>
      <c r="H1544" s="118" t="s">
        <v>4613</v>
      </c>
      <c r="I1544" s="118" t="s">
        <v>7919</v>
      </c>
      <c r="J1544" s="118" t="s">
        <v>7920</v>
      </c>
      <c r="K1544" s="141"/>
      <c r="L1544" s="135" t="str">
        <f t="shared" si="89"/>
        <v>Phoca caspica</v>
      </c>
      <c r="M1544" s="133">
        <f t="shared" si="88"/>
        <v>4.9344984512435675</v>
      </c>
      <c r="N1544" s="133">
        <v>86000</v>
      </c>
      <c r="O1544" s="179" t="s">
        <v>6641</v>
      </c>
      <c r="P1544" s="108">
        <v>68</v>
      </c>
      <c r="Q1544" s="90" t="s">
        <v>6988</v>
      </c>
    </row>
    <row r="1545" spans="1:17" ht="25.5">
      <c r="A1545" s="213" t="s">
        <v>2592</v>
      </c>
      <c r="B1545" s="130" t="s">
        <v>2649</v>
      </c>
      <c r="C1545" s="118" t="s">
        <v>3817</v>
      </c>
      <c r="D1545" s="141"/>
      <c r="E1545" s="118"/>
      <c r="F1545" s="118"/>
      <c r="G1545" s="118" t="s">
        <v>3954</v>
      </c>
      <c r="H1545" s="118" t="s">
        <v>4613</v>
      </c>
      <c r="I1545" s="118" t="s">
        <v>7919</v>
      </c>
      <c r="J1545" s="118" t="s">
        <v>7921</v>
      </c>
      <c r="K1545" s="141"/>
      <c r="L1545" s="135" t="str">
        <f t="shared" si="89"/>
        <v>Phoca fasciata</v>
      </c>
      <c r="M1545" s="133">
        <f t="shared" si="88"/>
        <v>4.9542425094393252</v>
      </c>
      <c r="N1545" s="133">
        <v>90000</v>
      </c>
      <c r="O1545" s="179" t="s">
        <v>6736</v>
      </c>
      <c r="P1545" s="108">
        <v>68</v>
      </c>
    </row>
    <row r="1546" spans="1:17" ht="25.5">
      <c r="A1546" s="213" t="s">
        <v>2592</v>
      </c>
      <c r="B1546" s="130" t="s">
        <v>2459</v>
      </c>
      <c r="C1546" s="118" t="s">
        <v>3817</v>
      </c>
      <c r="D1546" s="141"/>
      <c r="E1546" s="118"/>
      <c r="F1546" s="118"/>
      <c r="G1546" s="118" t="s">
        <v>3954</v>
      </c>
      <c r="H1546" s="118" t="s">
        <v>4613</v>
      </c>
      <c r="I1546" s="118" t="s">
        <v>7919</v>
      </c>
      <c r="J1546" s="118" t="s">
        <v>8225</v>
      </c>
      <c r="K1546" s="141"/>
      <c r="L1546" s="135" t="str">
        <f t="shared" si="89"/>
        <v>Phoca sibirica</v>
      </c>
      <c r="M1546" s="133">
        <f t="shared" si="88"/>
        <v>4.9542425094393252</v>
      </c>
      <c r="N1546" s="133">
        <v>90000</v>
      </c>
      <c r="O1546" s="179" t="s">
        <v>4641</v>
      </c>
      <c r="P1546" s="108">
        <v>68</v>
      </c>
      <c r="Q1546" s="90" t="s">
        <v>6642</v>
      </c>
    </row>
    <row r="1547" spans="1:17">
      <c r="A1547" s="213" t="s">
        <v>2592</v>
      </c>
      <c r="B1547" s="141" t="s">
        <v>2648</v>
      </c>
      <c r="C1547" s="118" t="s">
        <v>3817</v>
      </c>
      <c r="D1547" s="141"/>
      <c r="E1547" s="118"/>
      <c r="F1547" s="118"/>
      <c r="G1547" s="118" t="s">
        <v>3954</v>
      </c>
      <c r="H1547" s="118" t="s">
        <v>4613</v>
      </c>
      <c r="I1547" s="118" t="s">
        <v>7919</v>
      </c>
      <c r="J1547" s="118" t="s">
        <v>5337</v>
      </c>
      <c r="K1547" s="141"/>
      <c r="L1547" s="135" t="str">
        <f t="shared" si="89"/>
        <v>Phoca hispida</v>
      </c>
      <c r="M1547" s="133">
        <f t="shared" si="88"/>
        <v>4.9585638832219674</v>
      </c>
      <c r="N1547" s="133">
        <v>90900</v>
      </c>
      <c r="O1547" s="179" t="s">
        <v>6736</v>
      </c>
      <c r="P1547" s="108">
        <v>68</v>
      </c>
    </row>
    <row r="1548" spans="1:17" ht="12" customHeight="1">
      <c r="A1548" s="213" t="s">
        <v>2592</v>
      </c>
      <c r="B1548" s="130" t="s">
        <v>2604</v>
      </c>
      <c r="C1548" s="118" t="s">
        <v>3817</v>
      </c>
      <c r="D1548" s="141"/>
      <c r="E1548" s="118"/>
      <c r="F1548" s="118"/>
      <c r="G1548" s="118" t="s">
        <v>3954</v>
      </c>
      <c r="H1548" s="118" t="s">
        <v>4613</v>
      </c>
      <c r="I1548" s="118" t="s">
        <v>7919</v>
      </c>
      <c r="J1548" s="118" t="s">
        <v>5338</v>
      </c>
      <c r="K1548" s="141"/>
      <c r="L1548" s="135" t="str">
        <f t="shared" si="89"/>
        <v>Phoca vitulina</v>
      </c>
      <c r="M1548" s="133">
        <f t="shared" si="88"/>
        <v>5</v>
      </c>
      <c r="N1548" s="133">
        <v>100000</v>
      </c>
      <c r="O1548" s="179" t="s">
        <v>6736</v>
      </c>
      <c r="P1548" s="108">
        <v>68</v>
      </c>
      <c r="Q1548" s="88"/>
    </row>
    <row r="1549" spans="1:17" ht="38.25">
      <c r="A1549" s="253" t="s">
        <v>2592</v>
      </c>
      <c r="B1549" s="130" t="s">
        <v>2458</v>
      </c>
      <c r="C1549" s="118" t="s">
        <v>3817</v>
      </c>
      <c r="D1549" s="141"/>
      <c r="E1549" s="118"/>
      <c r="F1549" s="118"/>
      <c r="G1549" s="118" t="s">
        <v>3954</v>
      </c>
      <c r="H1549" s="118" t="s">
        <v>4613</v>
      </c>
      <c r="I1549" s="118" t="s">
        <v>7919</v>
      </c>
      <c r="J1549" s="118" t="s">
        <v>5336</v>
      </c>
      <c r="K1549" s="141"/>
      <c r="L1549" s="135" t="str">
        <f t="shared" si="89"/>
        <v>Phoca groenlandica</v>
      </c>
      <c r="M1549" s="133">
        <f t="shared" si="88"/>
        <v>5.0791812460476251</v>
      </c>
      <c r="N1549" s="133">
        <v>120000</v>
      </c>
      <c r="O1549" s="179" t="s">
        <v>6736</v>
      </c>
      <c r="P1549" s="108">
        <v>68</v>
      </c>
    </row>
    <row r="1550" spans="1:17" ht="25.5">
      <c r="A1550" s="253" t="s">
        <v>2592</v>
      </c>
      <c r="B1550" s="141" t="s">
        <v>7553</v>
      </c>
      <c r="C1550" s="118" t="s">
        <v>3817</v>
      </c>
      <c r="D1550" s="141"/>
      <c r="E1550" s="118"/>
      <c r="F1550" s="118"/>
      <c r="G1550" s="118" t="s">
        <v>3954</v>
      </c>
      <c r="H1550" s="118" t="s">
        <v>4613</v>
      </c>
      <c r="I1550" s="118" t="s">
        <v>7919</v>
      </c>
      <c r="J1550" s="118" t="s">
        <v>5941</v>
      </c>
      <c r="K1550" s="141"/>
      <c r="L1550" s="135" t="str">
        <f t="shared" si="89"/>
        <v>Phoca largha</v>
      </c>
      <c r="M1550" s="133">
        <f t="shared" si="88"/>
        <v>5.1760912590556813</v>
      </c>
      <c r="N1550" s="133">
        <v>150000</v>
      </c>
      <c r="O1550" s="179" t="s">
        <v>3356</v>
      </c>
      <c r="P1550" s="108">
        <v>137</v>
      </c>
      <c r="Q1550" s="80"/>
    </row>
    <row r="1551" spans="1:17" ht="38.25">
      <c r="A1551" s="253" t="s">
        <v>2592</v>
      </c>
      <c r="B1551" s="130" t="s">
        <v>1988</v>
      </c>
      <c r="C1551" s="118" t="s">
        <v>3817</v>
      </c>
      <c r="D1551" s="141"/>
      <c r="E1551" s="118"/>
      <c r="F1551" s="118"/>
      <c r="G1551" s="118" t="s">
        <v>3954</v>
      </c>
      <c r="H1551" s="118" t="s">
        <v>7434</v>
      </c>
      <c r="I1551" s="118" t="s">
        <v>5339</v>
      </c>
      <c r="J1551" s="118" t="s">
        <v>5343</v>
      </c>
      <c r="K1551" s="141"/>
      <c r="L1551" s="135" t="str">
        <f t="shared" si="89"/>
        <v>Ailuropoda melanoleuca</v>
      </c>
      <c r="M1551" s="133">
        <f t="shared" si="88"/>
        <v>5.0350292822023679</v>
      </c>
      <c r="N1551" s="133">
        <v>108400</v>
      </c>
      <c r="O1551" s="179" t="s">
        <v>1679</v>
      </c>
      <c r="P1551" s="108">
        <v>68</v>
      </c>
      <c r="Q1551" s="80" t="s">
        <v>6640</v>
      </c>
    </row>
    <row r="1552" spans="1:17" ht="38.25">
      <c r="A1552" s="253" t="s">
        <v>2592</v>
      </c>
      <c r="B1552" s="144" t="s">
        <v>1989</v>
      </c>
      <c r="C1552" s="118" t="s">
        <v>3817</v>
      </c>
      <c r="D1552" s="141"/>
      <c r="E1552" s="118"/>
      <c r="F1552" s="118"/>
      <c r="G1552" s="118" t="s">
        <v>3954</v>
      </c>
      <c r="H1552" s="118" t="s">
        <v>7434</v>
      </c>
      <c r="I1552" s="118" t="s">
        <v>5344</v>
      </c>
      <c r="J1552" s="118" t="s">
        <v>5345</v>
      </c>
      <c r="K1552" s="141"/>
      <c r="L1552" s="135" t="str">
        <f t="shared" si="89"/>
        <v>Ailurus fulgens</v>
      </c>
      <c r="M1552" s="133">
        <f t="shared" si="88"/>
        <v>3.6901960800285138</v>
      </c>
      <c r="N1552" s="133">
        <v>4900</v>
      </c>
      <c r="O1552" s="179" t="s">
        <v>1450</v>
      </c>
      <c r="P1552" s="108">
        <v>68</v>
      </c>
      <c r="Q1552" s="80" t="s">
        <v>6640</v>
      </c>
    </row>
    <row r="1553" spans="1:19" ht="76.5">
      <c r="A1553" s="253" t="s">
        <v>2592</v>
      </c>
      <c r="B1553" s="130" t="s">
        <v>2752</v>
      </c>
      <c r="C1553" s="118" t="s">
        <v>3817</v>
      </c>
      <c r="D1553" s="141"/>
      <c r="E1553" s="118"/>
      <c r="F1553" s="118"/>
      <c r="G1553" s="118" t="s">
        <v>3954</v>
      </c>
      <c r="H1553" s="118" t="s">
        <v>7434</v>
      </c>
      <c r="I1553" s="118" t="s">
        <v>5346</v>
      </c>
      <c r="J1553" s="118" t="s">
        <v>5347</v>
      </c>
      <c r="K1553" s="141"/>
      <c r="L1553" s="135" t="str">
        <f t="shared" si="89"/>
        <v>Helarctos malayanus</v>
      </c>
      <c r="M1553" s="133">
        <f t="shared" si="88"/>
        <v>4.6627578316815743</v>
      </c>
      <c r="N1553" s="133">
        <v>46000</v>
      </c>
      <c r="O1553" s="179" t="s">
        <v>7081</v>
      </c>
      <c r="P1553" s="108">
        <v>68</v>
      </c>
      <c r="Q1553" s="80" t="s">
        <v>6987</v>
      </c>
    </row>
    <row r="1554" spans="1:19" ht="12" customHeight="1">
      <c r="A1554" s="253" t="s">
        <v>2592</v>
      </c>
      <c r="B1554" s="130" t="s">
        <v>6146</v>
      </c>
      <c r="C1554" s="118" t="s">
        <v>3817</v>
      </c>
      <c r="D1554" s="141"/>
      <c r="E1554" s="118"/>
      <c r="F1554" s="118"/>
      <c r="G1554" s="118" t="s">
        <v>3954</v>
      </c>
      <c r="H1554" s="118" t="s">
        <v>7434</v>
      </c>
      <c r="I1554" s="118" t="s">
        <v>5348</v>
      </c>
      <c r="J1554" s="118" t="s">
        <v>4470</v>
      </c>
      <c r="K1554" s="141"/>
      <c r="L1554" s="135" t="str">
        <f t="shared" si="89"/>
        <v>Melursus ursinus</v>
      </c>
      <c r="M1554" s="133">
        <f t="shared" si="88"/>
        <v>5</v>
      </c>
      <c r="N1554" s="133">
        <v>100000</v>
      </c>
      <c r="O1554" s="179" t="s">
        <v>7081</v>
      </c>
      <c r="P1554" s="108">
        <v>68</v>
      </c>
      <c r="Q1554" s="88" t="s">
        <v>6988</v>
      </c>
    </row>
    <row r="1555" spans="1:19" ht="76.5">
      <c r="A1555" s="253" t="s">
        <v>2592</v>
      </c>
      <c r="B1555" s="130" t="s">
        <v>2251</v>
      </c>
      <c r="C1555" s="118" t="s">
        <v>3817</v>
      </c>
      <c r="D1555" s="141"/>
      <c r="E1555" s="118"/>
      <c r="F1555" s="118"/>
      <c r="G1555" s="118" t="s">
        <v>3954</v>
      </c>
      <c r="H1555" s="118" t="s">
        <v>7434</v>
      </c>
      <c r="I1555" s="118" t="s">
        <v>7435</v>
      </c>
      <c r="J1555" s="118" t="s">
        <v>7975</v>
      </c>
      <c r="K1555" s="141"/>
      <c r="L1555" s="135" t="str">
        <f t="shared" si="89"/>
        <v>Ursus thibetanus</v>
      </c>
      <c r="M1555" s="133">
        <f t="shared" si="88"/>
        <v>4.8893017025063106</v>
      </c>
      <c r="N1555" s="133">
        <v>77500</v>
      </c>
      <c r="O1555" s="179" t="s">
        <v>7081</v>
      </c>
      <c r="P1555" s="108">
        <v>68</v>
      </c>
      <c r="Q1555" s="80" t="s">
        <v>6988</v>
      </c>
    </row>
    <row r="1556" spans="1:19">
      <c r="A1556" s="253" t="s">
        <v>2592</v>
      </c>
      <c r="B1556" s="130"/>
      <c r="C1556" s="118" t="s">
        <v>3817</v>
      </c>
      <c r="D1556" s="141"/>
      <c r="E1556" s="118"/>
      <c r="F1556" s="118"/>
      <c r="G1556" s="118" t="s">
        <v>3954</v>
      </c>
      <c r="H1556" s="118" t="s">
        <v>7434</v>
      </c>
      <c r="I1556" s="118" t="s">
        <v>7435</v>
      </c>
      <c r="J1556" s="118" t="s">
        <v>7436</v>
      </c>
      <c r="K1556" s="141"/>
      <c r="L1556" s="135" t="str">
        <f t="shared" si="89"/>
        <v>Ursus arctos</v>
      </c>
      <c r="M1556" s="133">
        <f t="shared" si="88"/>
        <v>5.345569756056392</v>
      </c>
      <c r="N1556" s="133">
        <f>AVERAGE(105000, 265000, 248000, 190000, 300000)</f>
        <v>221600</v>
      </c>
      <c r="O1556" s="179"/>
      <c r="P1556" s="108" t="s">
        <v>7733</v>
      </c>
      <c r="Q1556" s="80"/>
      <c r="R1556" s="85" t="s">
        <v>7734</v>
      </c>
    </row>
    <row r="1557" spans="1:19" ht="12" customHeight="1">
      <c r="A1557" s="253" t="s">
        <v>2592</v>
      </c>
      <c r="B1557" s="130"/>
      <c r="C1557" s="118" t="s">
        <v>3817</v>
      </c>
      <c r="D1557" s="141"/>
      <c r="E1557" s="118"/>
      <c r="F1557" s="118"/>
      <c r="G1557" s="118" t="s">
        <v>3954</v>
      </c>
      <c r="H1557" s="118" t="s">
        <v>7434</v>
      </c>
      <c r="I1557" s="118" t="s">
        <v>7435</v>
      </c>
      <c r="J1557" s="118" t="s">
        <v>7437</v>
      </c>
      <c r="K1557" s="141"/>
      <c r="L1557" s="135" t="str">
        <f t="shared" si="89"/>
        <v>Ursus maritimus</v>
      </c>
      <c r="M1557" s="133">
        <f t="shared" si="88"/>
        <v>5.6283889300503116</v>
      </c>
      <c r="N1557" s="133">
        <f>AVERAGE(400000, 450000)</f>
        <v>425000</v>
      </c>
      <c r="O1557" s="179" t="s">
        <v>6955</v>
      </c>
      <c r="P1557" s="108">
        <v>111</v>
      </c>
      <c r="Q1557" s="80" t="s">
        <v>6642</v>
      </c>
      <c r="R1557" s="89"/>
    </row>
    <row r="1558" spans="1:19" ht="51">
      <c r="A1558" s="253" t="s">
        <v>2592</v>
      </c>
      <c r="B1558" s="130" t="s">
        <v>2391</v>
      </c>
      <c r="C1558" s="118" t="s">
        <v>3817</v>
      </c>
      <c r="D1558" s="141"/>
      <c r="E1558" s="118"/>
      <c r="F1558" s="118"/>
      <c r="G1558" s="118" t="s">
        <v>3954</v>
      </c>
      <c r="H1558" s="118" t="s">
        <v>4908</v>
      </c>
      <c r="I1558" s="118" t="s">
        <v>7976</v>
      </c>
      <c r="J1558" s="118" t="s">
        <v>7977</v>
      </c>
      <c r="K1558" s="141"/>
      <c r="L1558" s="135" t="str">
        <f t="shared" si="89"/>
        <v>Arctictis binturong</v>
      </c>
      <c r="M1558" s="133">
        <f t="shared" si="88"/>
        <v>4.1139433523068369</v>
      </c>
      <c r="N1558" s="133">
        <v>13000</v>
      </c>
      <c r="O1558" s="179" t="s">
        <v>6736</v>
      </c>
      <c r="P1558" s="108">
        <v>68</v>
      </c>
      <c r="S1558" s="92"/>
    </row>
    <row r="1559" spans="1:19" ht="12" customHeight="1">
      <c r="A1559" s="253" t="s">
        <v>2592</v>
      </c>
      <c r="B1559" s="130" t="s">
        <v>2804</v>
      </c>
      <c r="C1559" s="118" t="s">
        <v>3817</v>
      </c>
      <c r="D1559" s="141"/>
      <c r="E1559" s="118"/>
      <c r="F1559" s="118"/>
      <c r="G1559" s="118" t="s">
        <v>3954</v>
      </c>
      <c r="H1559" s="118" t="s">
        <v>4908</v>
      </c>
      <c r="I1559" s="118" t="s">
        <v>5605</v>
      </c>
      <c r="J1559" s="118" t="s">
        <v>3788</v>
      </c>
      <c r="K1559" s="141"/>
      <c r="L1559" s="135" t="str">
        <f t="shared" si="89"/>
        <v>Arctogalidia trivirgata</v>
      </c>
      <c r="M1559" s="133">
        <f t="shared" si="88"/>
        <v>3.3521825181113627</v>
      </c>
      <c r="N1559" s="133">
        <v>2250</v>
      </c>
      <c r="O1559" s="179" t="s">
        <v>6736</v>
      </c>
      <c r="P1559" s="108">
        <v>68</v>
      </c>
      <c r="Q1559" s="88"/>
    </row>
    <row r="1560" spans="1:19">
      <c r="A1560" s="253" t="s">
        <v>2592</v>
      </c>
      <c r="B1560" s="130" t="s">
        <v>5052</v>
      </c>
      <c r="C1560" s="118" t="s">
        <v>3817</v>
      </c>
      <c r="D1560" s="141"/>
      <c r="E1560" s="118"/>
      <c r="F1560" s="118"/>
      <c r="G1560" s="118" t="s">
        <v>3954</v>
      </c>
      <c r="H1560" s="118" t="s">
        <v>4908</v>
      </c>
      <c r="I1560" s="118" t="s">
        <v>5606</v>
      </c>
      <c r="J1560" s="118" t="s">
        <v>5607</v>
      </c>
      <c r="K1560" s="141"/>
      <c r="L1560" s="135" t="str">
        <f t="shared" si="89"/>
        <v>Chrotogale owstoni</v>
      </c>
      <c r="M1560" s="133">
        <f t="shared" si="88"/>
        <v>3.5118833609788744</v>
      </c>
      <c r="N1560" s="133">
        <v>3250</v>
      </c>
      <c r="O1560" s="179" t="s">
        <v>7081</v>
      </c>
      <c r="P1560" s="108">
        <v>68</v>
      </c>
      <c r="Q1560" s="90" t="s">
        <v>6988</v>
      </c>
    </row>
    <row r="1561" spans="1:19" ht="25.5">
      <c r="A1561" s="253" t="s">
        <v>2592</v>
      </c>
      <c r="B1561" s="141" t="s">
        <v>3153</v>
      </c>
      <c r="C1561" s="118" t="s">
        <v>3817</v>
      </c>
      <c r="D1561" s="141"/>
      <c r="E1561" s="118"/>
      <c r="F1561" s="118"/>
      <c r="G1561" s="118" t="s">
        <v>3954</v>
      </c>
      <c r="H1561" s="118" t="s">
        <v>4908</v>
      </c>
      <c r="I1561" s="118" t="s">
        <v>6678</v>
      </c>
      <c r="J1561" s="118" t="s">
        <v>5734</v>
      </c>
      <c r="K1561" s="141"/>
      <c r="L1561" s="135" t="str">
        <f t="shared" si="89"/>
        <v>Cynogale bennettii</v>
      </c>
      <c r="M1561" s="133">
        <f t="shared" si="88"/>
        <v>3.6532125137753435</v>
      </c>
      <c r="N1561" s="133">
        <f>AVERAGE(3500, 5500)</f>
        <v>4500</v>
      </c>
      <c r="O1561" s="179" t="s">
        <v>7081</v>
      </c>
      <c r="P1561" s="108">
        <v>119</v>
      </c>
      <c r="Q1561" s="90" t="s">
        <v>6640</v>
      </c>
    </row>
    <row r="1562" spans="1:19" ht="25.5">
      <c r="A1562" s="253" t="s">
        <v>2592</v>
      </c>
      <c r="B1562" s="141" t="s">
        <v>2308</v>
      </c>
      <c r="C1562" s="118" t="s">
        <v>3817</v>
      </c>
      <c r="D1562" s="141"/>
      <c r="E1562" s="118"/>
      <c r="F1562" s="118"/>
      <c r="G1562" s="118" t="s">
        <v>3954</v>
      </c>
      <c r="H1562" s="118" t="s">
        <v>4908</v>
      </c>
      <c r="I1562" s="118" t="s">
        <v>3035</v>
      </c>
      <c r="J1562" s="118" t="s">
        <v>5637</v>
      </c>
      <c r="K1562" s="141"/>
      <c r="L1562" s="135" t="str">
        <f t="shared" si="89"/>
        <v>Diplogale hosei</v>
      </c>
      <c r="M1562" s="133">
        <v>-999</v>
      </c>
      <c r="N1562" s="133">
        <v>-999</v>
      </c>
      <c r="O1562" s="179" t="s">
        <v>6641</v>
      </c>
      <c r="P1562" s="108">
        <v>-999</v>
      </c>
      <c r="Q1562" s="90" t="s">
        <v>6988</v>
      </c>
    </row>
    <row r="1563" spans="1:19">
      <c r="A1563" s="253" t="s">
        <v>2592</v>
      </c>
      <c r="B1563" s="130"/>
      <c r="C1563" s="118" t="s">
        <v>3817</v>
      </c>
      <c r="D1563" s="141"/>
      <c r="E1563" s="118"/>
      <c r="F1563" s="118"/>
      <c r="G1563" s="118" t="s">
        <v>3954</v>
      </c>
      <c r="H1563" s="118" t="s">
        <v>4908</v>
      </c>
      <c r="I1563" s="118" t="s">
        <v>2120</v>
      </c>
      <c r="J1563" s="118" t="s">
        <v>4912</v>
      </c>
      <c r="K1563" s="141"/>
      <c r="L1563" s="135" t="str">
        <f t="shared" si="89"/>
        <v>Genetta genetta</v>
      </c>
      <c r="M1563" s="133">
        <f t="shared" ref="M1563:M1588" si="90">LOG(N1563)</f>
        <v>3.2041199826559246</v>
      </c>
      <c r="N1563" s="133">
        <f>AVERAGE(1000, 2200)</f>
        <v>1600</v>
      </c>
      <c r="O1563" s="179" t="s">
        <v>1429</v>
      </c>
      <c r="P1563" s="108">
        <v>111</v>
      </c>
      <c r="Q1563" s="80"/>
    </row>
    <row r="1564" spans="1:19" ht="25.5">
      <c r="A1564" s="253" t="s">
        <v>2592</v>
      </c>
      <c r="B1564" s="141" t="s">
        <v>2448</v>
      </c>
      <c r="C1564" s="118" t="s">
        <v>3817</v>
      </c>
      <c r="D1564" s="141"/>
      <c r="E1564" s="118"/>
      <c r="F1564" s="118"/>
      <c r="G1564" s="118" t="s">
        <v>3954</v>
      </c>
      <c r="H1564" s="118" t="s">
        <v>4908</v>
      </c>
      <c r="I1564" s="118" t="s">
        <v>5714</v>
      </c>
      <c r="J1564" s="118" t="s">
        <v>6698</v>
      </c>
      <c r="K1564" s="141"/>
      <c r="L1564" s="135" t="str">
        <f t="shared" si="89"/>
        <v>Hemigalus derbyanus</v>
      </c>
      <c r="M1564" s="133">
        <f t="shared" si="90"/>
        <v>3.3979400086720375</v>
      </c>
      <c r="N1564" s="133">
        <v>2500</v>
      </c>
      <c r="O1564" s="179" t="s">
        <v>3356</v>
      </c>
      <c r="P1564" s="108">
        <v>119</v>
      </c>
    </row>
    <row r="1565" spans="1:19" ht="153">
      <c r="A1565" s="253" t="s">
        <v>2592</v>
      </c>
      <c r="B1565" s="130" t="s">
        <v>2632</v>
      </c>
      <c r="C1565" s="118" t="s">
        <v>3817</v>
      </c>
      <c r="D1565" s="141"/>
      <c r="E1565" s="118"/>
      <c r="F1565" s="118"/>
      <c r="G1565" s="118" t="s">
        <v>3954</v>
      </c>
      <c r="H1565" s="118" t="s">
        <v>4908</v>
      </c>
      <c r="I1565" s="118" t="s">
        <v>5556</v>
      </c>
      <c r="J1565" s="118" t="s">
        <v>5557</v>
      </c>
      <c r="K1565" s="141"/>
      <c r="L1565" s="135" t="str">
        <f t="shared" si="89"/>
        <v>Paguma larvata</v>
      </c>
      <c r="M1565" s="133">
        <f t="shared" si="90"/>
        <v>3.6334684555795866</v>
      </c>
      <c r="N1565" s="133">
        <v>4300</v>
      </c>
      <c r="O1565" s="179" t="s">
        <v>6736</v>
      </c>
      <c r="P1565" s="108">
        <v>68</v>
      </c>
    </row>
    <row r="1566" spans="1:19">
      <c r="A1566" s="253" t="s">
        <v>2592</v>
      </c>
      <c r="B1566" s="141" t="s">
        <v>2566</v>
      </c>
      <c r="C1566" s="118" t="s">
        <v>3817</v>
      </c>
      <c r="D1566" s="141"/>
      <c r="E1566" s="118"/>
      <c r="F1566" s="118"/>
      <c r="G1566" s="118" t="s">
        <v>3954</v>
      </c>
      <c r="H1566" s="118" t="s">
        <v>4908</v>
      </c>
      <c r="I1566" s="118" t="s">
        <v>5558</v>
      </c>
      <c r="J1566" s="118" t="s">
        <v>5704</v>
      </c>
      <c r="K1566" s="141"/>
      <c r="L1566" s="135" t="str">
        <f t="shared" si="89"/>
        <v>Paradoxurus jerdoni</v>
      </c>
      <c r="M1566" s="133">
        <f t="shared" si="90"/>
        <v>3.4441619458936739</v>
      </c>
      <c r="N1566" s="133">
        <f>AVERAGE((7.25*454), (5*454))</f>
        <v>2780.75</v>
      </c>
      <c r="O1566" s="179" t="s">
        <v>7081</v>
      </c>
      <c r="P1566" s="108">
        <v>133</v>
      </c>
      <c r="Q1566" s="90" t="s">
        <v>6988</v>
      </c>
      <c r="S1566" s="80"/>
    </row>
    <row r="1567" spans="1:19" ht="140.25">
      <c r="A1567" s="253" t="s">
        <v>2592</v>
      </c>
      <c r="B1567" s="130" t="s">
        <v>6139</v>
      </c>
      <c r="C1567" s="118" t="s">
        <v>3817</v>
      </c>
      <c r="D1567" s="141"/>
      <c r="E1567" s="118"/>
      <c r="F1567" s="118"/>
      <c r="G1567" s="118" t="s">
        <v>3954</v>
      </c>
      <c r="H1567" s="118" t="s">
        <v>4908</v>
      </c>
      <c r="I1567" s="118" t="s">
        <v>5558</v>
      </c>
      <c r="J1567" s="118" t="s">
        <v>5559</v>
      </c>
      <c r="K1567" s="141"/>
      <c r="L1567" s="135" t="str">
        <f t="shared" si="89"/>
        <v>Paradoxurus hermaphroditus</v>
      </c>
      <c r="M1567" s="133">
        <f t="shared" si="90"/>
        <v>3.5051499783199058</v>
      </c>
      <c r="N1567" s="133">
        <v>3200</v>
      </c>
      <c r="O1567" s="179" t="s">
        <v>6736</v>
      </c>
      <c r="P1567" s="108" t="s">
        <v>6581</v>
      </c>
    </row>
    <row r="1568" spans="1:19" ht="38.25">
      <c r="A1568" s="253" t="s">
        <v>2592</v>
      </c>
      <c r="B1568" s="141" t="s">
        <v>7636</v>
      </c>
      <c r="C1568" s="118" t="s">
        <v>3817</v>
      </c>
      <c r="D1568" s="141"/>
      <c r="E1568" s="118"/>
      <c r="F1568" s="118"/>
      <c r="G1568" s="118" t="s">
        <v>3954</v>
      </c>
      <c r="H1568" s="118" t="s">
        <v>4908</v>
      </c>
      <c r="I1568" s="118" t="s">
        <v>5706</v>
      </c>
      <c r="J1568" s="118" t="s">
        <v>5949</v>
      </c>
      <c r="K1568" s="141"/>
      <c r="L1568" s="135" t="str">
        <f t="shared" si="89"/>
        <v>Prionodon pardicolor</v>
      </c>
      <c r="M1568" s="133">
        <f t="shared" si="90"/>
        <v>2.7092699609758308</v>
      </c>
      <c r="N1568" s="133">
        <f>AVERAGE(570, (454*1))</f>
        <v>512</v>
      </c>
      <c r="O1568" s="179" t="s">
        <v>3356</v>
      </c>
      <c r="P1568" s="111" t="s">
        <v>1196</v>
      </c>
      <c r="Q1568" s="80"/>
    </row>
    <row r="1569" spans="1:20" ht="12" customHeight="1">
      <c r="A1569" s="253" t="s">
        <v>2592</v>
      </c>
      <c r="B1569" s="141" t="s">
        <v>7511</v>
      </c>
      <c r="C1569" s="118" t="s">
        <v>3817</v>
      </c>
      <c r="D1569" s="141"/>
      <c r="E1569" s="118"/>
      <c r="F1569" s="118"/>
      <c r="G1569" s="118" t="s">
        <v>3954</v>
      </c>
      <c r="H1569" s="118" t="s">
        <v>4908</v>
      </c>
      <c r="I1569" s="118" t="s">
        <v>5706</v>
      </c>
      <c r="J1569" s="118" t="s">
        <v>5707</v>
      </c>
      <c r="K1569" s="141"/>
      <c r="L1569" s="135" t="str">
        <f t="shared" si="89"/>
        <v>Prionodon linsang</v>
      </c>
      <c r="M1569" s="133">
        <f t="shared" si="90"/>
        <v>2.8450980400142569</v>
      </c>
      <c r="N1569" s="133">
        <v>700</v>
      </c>
      <c r="O1569" s="179" t="s">
        <v>3356</v>
      </c>
      <c r="P1569" s="108">
        <v>119</v>
      </c>
      <c r="Q1569" s="88"/>
    </row>
    <row r="1570" spans="1:20" ht="76.5">
      <c r="A1570" s="253" t="s">
        <v>2592</v>
      </c>
      <c r="B1570" s="130" t="s">
        <v>2525</v>
      </c>
      <c r="C1570" s="118" t="s">
        <v>3817</v>
      </c>
      <c r="D1570" s="141"/>
      <c r="E1570" s="118"/>
      <c r="F1570" s="118"/>
      <c r="G1570" s="118" t="s">
        <v>3954</v>
      </c>
      <c r="H1570" s="118" t="s">
        <v>4908</v>
      </c>
      <c r="I1570" s="118" t="s">
        <v>5560</v>
      </c>
      <c r="J1570" s="118" t="s">
        <v>5566</v>
      </c>
      <c r="K1570" s="141"/>
      <c r="L1570" s="135" t="str">
        <f t="shared" si="89"/>
        <v>Viverra zibetha</v>
      </c>
      <c r="M1570" s="133">
        <f t="shared" si="90"/>
        <v>3.9542425094393248</v>
      </c>
      <c r="N1570" s="133">
        <f>AVERAGE(10000, 8000, 9000)</f>
        <v>9000</v>
      </c>
      <c r="O1570" s="179" t="s">
        <v>6736</v>
      </c>
      <c r="P1570" s="108" t="s">
        <v>6581</v>
      </c>
    </row>
    <row r="1571" spans="1:20" ht="25.5">
      <c r="A1571" s="253" t="s">
        <v>2592</v>
      </c>
      <c r="B1571" s="141" t="s">
        <v>6903</v>
      </c>
      <c r="C1571" s="118" t="s">
        <v>3817</v>
      </c>
      <c r="D1571" s="141"/>
      <c r="E1571" s="118"/>
      <c r="F1571" s="118"/>
      <c r="G1571" s="118" t="s">
        <v>3954</v>
      </c>
      <c r="H1571" s="118" t="s">
        <v>4908</v>
      </c>
      <c r="I1571" s="118" t="s">
        <v>5560</v>
      </c>
      <c r="J1571" s="118" t="s">
        <v>6094</v>
      </c>
      <c r="K1571" s="141"/>
      <c r="L1571" s="135" t="str">
        <f t="shared" si="89"/>
        <v>Viverra megaspila</v>
      </c>
      <c r="M1571" s="133">
        <f t="shared" si="90"/>
        <v>3.9661417327390325</v>
      </c>
      <c r="N1571" s="133">
        <f>AVERAGE(10000, 8500)</f>
        <v>9250</v>
      </c>
      <c r="O1571" s="179" t="s">
        <v>3356</v>
      </c>
      <c r="P1571" s="108" t="s">
        <v>6580</v>
      </c>
      <c r="Q1571" s="80"/>
    </row>
    <row r="1572" spans="1:20" ht="114.75">
      <c r="A1572" s="253" t="s">
        <v>2592</v>
      </c>
      <c r="B1572" s="130" t="s">
        <v>2494</v>
      </c>
      <c r="C1572" s="118" t="s">
        <v>3817</v>
      </c>
      <c r="D1572" s="141"/>
      <c r="E1572" s="118"/>
      <c r="F1572" s="118"/>
      <c r="G1572" s="118" t="s">
        <v>3954</v>
      </c>
      <c r="H1572" s="118" t="s">
        <v>4908</v>
      </c>
      <c r="I1572" s="118" t="s">
        <v>5560</v>
      </c>
      <c r="J1572" s="118" t="s">
        <v>5565</v>
      </c>
      <c r="K1572" s="141"/>
      <c r="L1572" s="135" t="str">
        <f t="shared" si="89"/>
        <v>Viverra tangalunga</v>
      </c>
      <c r="M1572" s="133">
        <f t="shared" si="90"/>
        <v>4</v>
      </c>
      <c r="N1572" s="133">
        <v>10000</v>
      </c>
      <c r="O1572" s="179" t="s">
        <v>6736</v>
      </c>
      <c r="P1572" s="111">
        <v>119</v>
      </c>
    </row>
    <row r="1573" spans="1:20" ht="12" customHeight="1">
      <c r="A1573" s="253" t="s">
        <v>2592</v>
      </c>
      <c r="B1573" s="141" t="s">
        <v>2527</v>
      </c>
      <c r="C1573" s="121" t="s">
        <v>3817</v>
      </c>
      <c r="D1573" s="156"/>
      <c r="E1573" s="121"/>
      <c r="F1573" s="121"/>
      <c r="G1573" s="121" t="s">
        <v>3954</v>
      </c>
      <c r="H1573" s="121" t="s">
        <v>4908</v>
      </c>
      <c r="I1573" s="121" t="s">
        <v>5560</v>
      </c>
      <c r="J1573" s="121" t="s">
        <v>5909</v>
      </c>
      <c r="K1573" s="156"/>
      <c r="L1573" s="135" t="str">
        <f t="shared" si="89"/>
        <v>Viverra civettina</v>
      </c>
      <c r="M1573" s="133">
        <f t="shared" si="90"/>
        <v>4.107000000000002</v>
      </c>
      <c r="N1573" s="143">
        <v>12793.8130415753</v>
      </c>
      <c r="O1573" s="179" t="s">
        <v>7523</v>
      </c>
      <c r="P1573" s="108">
        <v>165</v>
      </c>
      <c r="Q1573" s="88" t="s">
        <v>7071</v>
      </c>
    </row>
    <row r="1574" spans="1:20" ht="15" customHeight="1">
      <c r="A1574" s="253" t="s">
        <v>2592</v>
      </c>
      <c r="B1574" s="141" t="s">
        <v>4885</v>
      </c>
      <c r="C1574" s="121" t="s">
        <v>3817</v>
      </c>
      <c r="D1574" s="156"/>
      <c r="E1574" s="121"/>
      <c r="F1574" s="121"/>
      <c r="G1574" s="121" t="s">
        <v>3954</v>
      </c>
      <c r="H1574" s="118" t="s">
        <v>4908</v>
      </c>
      <c r="I1574" s="121" t="s">
        <v>6095</v>
      </c>
      <c r="J1574" s="121" t="s">
        <v>4108</v>
      </c>
      <c r="K1574" s="156"/>
      <c r="L1574" s="135" t="str">
        <f t="shared" si="89"/>
        <v>Viverricula indica</v>
      </c>
      <c r="M1574" s="133">
        <f t="shared" si="90"/>
        <v>3.4742162640762553</v>
      </c>
      <c r="N1574" s="133">
        <f>AVERAGE(3500, 2200, 3000, 2150, 3630, 3400)</f>
        <v>2980</v>
      </c>
      <c r="O1574" s="179" t="s">
        <v>3356</v>
      </c>
      <c r="P1574" s="108" t="s">
        <v>6845</v>
      </c>
      <c r="Q1574" s="80"/>
    </row>
    <row r="1575" spans="1:20">
      <c r="A1575" s="286" t="s">
        <v>2592</v>
      </c>
      <c r="B1575" s="141" t="s">
        <v>2276</v>
      </c>
      <c r="C1575" s="148" t="s">
        <v>3817</v>
      </c>
      <c r="D1575" s="223"/>
      <c r="E1575" s="148"/>
      <c r="F1575" s="148"/>
      <c r="G1575" s="109" t="s">
        <v>2663</v>
      </c>
      <c r="H1575" s="148" t="s">
        <v>1504</v>
      </c>
      <c r="I1575" s="148" t="s">
        <v>1505</v>
      </c>
      <c r="J1575" s="148" t="s">
        <v>1506</v>
      </c>
      <c r="K1575" s="223"/>
      <c r="L1575" s="135" t="str">
        <f t="shared" si="89"/>
        <v>Craseonycteris thonglongyai</v>
      </c>
      <c r="M1575" s="133">
        <f t="shared" si="90"/>
        <v>0.3331112632753544</v>
      </c>
      <c r="N1575" s="149">
        <v>2.1533333333329998</v>
      </c>
      <c r="O1575" s="191"/>
      <c r="P1575" s="109">
        <v>153</v>
      </c>
      <c r="R1575" s="92"/>
      <c r="S1575" s="82"/>
    </row>
    <row r="1576" spans="1:20" ht="51">
      <c r="A1576" s="286" t="s">
        <v>2592</v>
      </c>
      <c r="B1576" s="141" t="s">
        <v>1636</v>
      </c>
      <c r="C1576" s="148" t="s">
        <v>3817</v>
      </c>
      <c r="D1576" s="223"/>
      <c r="E1576" s="148"/>
      <c r="F1576" s="148"/>
      <c r="G1576" s="109" t="s">
        <v>2663</v>
      </c>
      <c r="H1576" s="148" t="s">
        <v>2839</v>
      </c>
      <c r="I1576" s="148" t="s">
        <v>1734</v>
      </c>
      <c r="J1576" s="148" t="s">
        <v>3490</v>
      </c>
      <c r="K1576" s="223"/>
      <c r="L1576" s="135" t="str">
        <f t="shared" si="89"/>
        <v>Coleura afra</v>
      </c>
      <c r="M1576" s="133">
        <f t="shared" si="90"/>
        <v>1.0280287236002572</v>
      </c>
      <c r="N1576" s="149">
        <v>10.666666666667</v>
      </c>
      <c r="O1576" s="191"/>
      <c r="P1576" s="109">
        <v>153</v>
      </c>
      <c r="Q1576" s="91"/>
      <c r="R1576" s="82" t="s">
        <v>7900</v>
      </c>
    </row>
    <row r="1577" spans="1:20" ht="89.25">
      <c r="A1577" s="286" t="s">
        <v>2592</v>
      </c>
      <c r="B1577" s="141" t="s">
        <v>1507</v>
      </c>
      <c r="C1577" s="148" t="s">
        <v>3817</v>
      </c>
      <c r="D1577" s="223"/>
      <c r="E1577" s="148"/>
      <c r="F1577" s="148"/>
      <c r="G1577" s="109" t="s">
        <v>2663</v>
      </c>
      <c r="H1577" s="148" t="s">
        <v>2839</v>
      </c>
      <c r="I1577" s="148" t="s">
        <v>2840</v>
      </c>
      <c r="J1577" s="148" t="s">
        <v>4047</v>
      </c>
      <c r="K1577" s="223"/>
      <c r="L1577" s="135" t="str">
        <f t="shared" si="89"/>
        <v>Emballonura monticola</v>
      </c>
      <c r="M1577" s="133">
        <f t="shared" si="90"/>
        <v>0.72970462131221425</v>
      </c>
      <c r="N1577" s="149">
        <v>5.3666666666670002</v>
      </c>
      <c r="O1577" s="191"/>
      <c r="P1577" s="109">
        <v>153</v>
      </c>
      <c r="Q1577" s="91"/>
      <c r="R1577" s="82"/>
      <c r="S1577" s="82"/>
    </row>
    <row r="1578" spans="1:20" ht="89.25">
      <c r="A1578" s="286" t="s">
        <v>2592</v>
      </c>
      <c r="B1578" s="141" t="s">
        <v>4864</v>
      </c>
      <c r="C1578" s="150" t="s">
        <v>3817</v>
      </c>
      <c r="D1578" s="221"/>
      <c r="E1578" s="150"/>
      <c r="F1578" s="150"/>
      <c r="G1578" s="110" t="s">
        <v>2663</v>
      </c>
      <c r="H1578" s="150" t="s">
        <v>2839</v>
      </c>
      <c r="I1578" s="150" t="s">
        <v>3133</v>
      </c>
      <c r="J1578" s="150" t="s">
        <v>3102</v>
      </c>
      <c r="K1578" s="221"/>
      <c r="L1578" s="135" t="str">
        <f t="shared" si="89"/>
        <v>Saccolaimus saccolaimus</v>
      </c>
      <c r="M1578" s="133">
        <f t="shared" si="90"/>
        <v>1.6404814369704219</v>
      </c>
      <c r="N1578" s="152">
        <v>43.7</v>
      </c>
      <c r="O1578" s="191"/>
      <c r="P1578" s="109">
        <v>153</v>
      </c>
      <c r="Q1578" s="91"/>
      <c r="S1578" s="92"/>
    </row>
    <row r="1579" spans="1:20" ht="63.75">
      <c r="A1579" s="286" t="s">
        <v>2592</v>
      </c>
      <c r="B1579" s="141" t="s">
        <v>1362</v>
      </c>
      <c r="C1579" s="150" t="s">
        <v>3817</v>
      </c>
      <c r="D1579" s="221"/>
      <c r="E1579" s="150"/>
      <c r="F1579" s="150"/>
      <c r="G1579" s="110" t="s">
        <v>2663</v>
      </c>
      <c r="H1579" s="150" t="s">
        <v>2839</v>
      </c>
      <c r="I1579" s="150" t="s">
        <v>6197</v>
      </c>
      <c r="J1579" s="150" t="s">
        <v>1341</v>
      </c>
      <c r="K1579" s="221"/>
      <c r="L1579" s="135" t="str">
        <f t="shared" si="89"/>
        <v>Taphozous longimanus</v>
      </c>
      <c r="M1579" s="133">
        <f t="shared" si="90"/>
        <v>1.4300750555519393</v>
      </c>
      <c r="N1579" s="152">
        <v>26.92</v>
      </c>
      <c r="O1579" s="191"/>
      <c r="P1579" s="109">
        <v>153</v>
      </c>
      <c r="Q1579" s="82"/>
    </row>
    <row r="1580" spans="1:20" ht="51">
      <c r="A1580" s="286" t="s">
        <v>2592</v>
      </c>
      <c r="B1580" s="141" t="s">
        <v>1437</v>
      </c>
      <c r="C1580" s="150" t="s">
        <v>3817</v>
      </c>
      <c r="D1580" s="221"/>
      <c r="E1580" s="150"/>
      <c r="F1580" s="150"/>
      <c r="G1580" s="110" t="s">
        <v>2663</v>
      </c>
      <c r="H1580" s="150" t="s">
        <v>2839</v>
      </c>
      <c r="I1580" s="150" t="s">
        <v>6197</v>
      </c>
      <c r="J1580" s="150" t="s">
        <v>1345</v>
      </c>
      <c r="K1580" s="221"/>
      <c r="L1580" s="135" t="str">
        <f t="shared" si="89"/>
        <v>Taphozous perforatus</v>
      </c>
      <c r="M1580" s="133">
        <f t="shared" si="90"/>
        <v>1.436692597664049</v>
      </c>
      <c r="N1580" s="152">
        <v>27.333333333333002</v>
      </c>
      <c r="O1580" s="191"/>
      <c r="P1580" s="109">
        <v>153</v>
      </c>
      <c r="Q1580" s="82"/>
      <c r="R1580" s="85" t="s">
        <v>7902</v>
      </c>
    </row>
    <row r="1581" spans="1:20" ht="102">
      <c r="A1581" s="286" t="s">
        <v>2592</v>
      </c>
      <c r="B1581" s="141" t="s">
        <v>2135</v>
      </c>
      <c r="C1581" s="150" t="s">
        <v>3817</v>
      </c>
      <c r="D1581" s="221"/>
      <c r="E1581" s="150"/>
      <c r="F1581" s="150"/>
      <c r="G1581" s="110" t="s">
        <v>2663</v>
      </c>
      <c r="H1581" s="150" t="s">
        <v>2839</v>
      </c>
      <c r="I1581" s="150" t="s">
        <v>6197</v>
      </c>
      <c r="J1581" s="150" t="s">
        <v>2136</v>
      </c>
      <c r="K1581" s="221"/>
      <c r="L1581" s="135" t="str">
        <f t="shared" si="89"/>
        <v>Taphozous melanopogon</v>
      </c>
      <c r="M1581" s="133">
        <f t="shared" si="90"/>
        <v>1.4403842548328896</v>
      </c>
      <c r="N1581" s="152">
        <v>27.566666666667</v>
      </c>
      <c r="O1581" s="191"/>
      <c r="P1581" s="109">
        <v>153</v>
      </c>
      <c r="S1581" s="92"/>
      <c r="T1581" s="80"/>
    </row>
    <row r="1582" spans="1:20" ht="51">
      <c r="A1582" s="286" t="s">
        <v>2592</v>
      </c>
      <c r="B1582" s="141" t="s">
        <v>4441</v>
      </c>
      <c r="C1582" s="150" t="s">
        <v>3817</v>
      </c>
      <c r="D1582" s="221"/>
      <c r="E1582" s="150"/>
      <c r="F1582" s="150"/>
      <c r="G1582" s="110" t="s">
        <v>2663</v>
      </c>
      <c r="H1582" s="150" t="s">
        <v>2839</v>
      </c>
      <c r="I1582" s="150" t="s">
        <v>6197</v>
      </c>
      <c r="J1582" s="150" t="s">
        <v>4035</v>
      </c>
      <c r="K1582" s="221"/>
      <c r="L1582" s="135" t="str">
        <f t="shared" si="89"/>
        <v>Taphozous nudiventris</v>
      </c>
      <c r="M1582" s="133">
        <f t="shared" si="90"/>
        <v>1.5331787019201453</v>
      </c>
      <c r="N1582" s="152">
        <v>34.133333333332999</v>
      </c>
      <c r="O1582" s="191"/>
      <c r="P1582" s="109">
        <v>153</v>
      </c>
      <c r="Q1582" s="91"/>
      <c r="R1582" s="92" t="s">
        <v>7901</v>
      </c>
      <c r="S1582" s="92"/>
    </row>
    <row r="1583" spans="1:20" ht="25.5">
      <c r="A1583" s="286" t="s">
        <v>2592</v>
      </c>
      <c r="B1583" s="141" t="s">
        <v>1648</v>
      </c>
      <c r="C1583" s="150" t="s">
        <v>3817</v>
      </c>
      <c r="D1583" s="221"/>
      <c r="E1583" s="150"/>
      <c r="F1583" s="150"/>
      <c r="G1583" s="110" t="s">
        <v>2663</v>
      </c>
      <c r="H1583" s="150" t="s">
        <v>2839</v>
      </c>
      <c r="I1583" s="150" t="s">
        <v>6197</v>
      </c>
      <c r="J1583" s="150" t="s">
        <v>1611</v>
      </c>
      <c r="K1583" s="221"/>
      <c r="L1583" s="135" t="str">
        <f t="shared" si="89"/>
        <v>Taphozous theobaldi</v>
      </c>
      <c r="M1583" s="133">
        <f t="shared" si="90"/>
        <v>1.5998830720736879</v>
      </c>
      <c r="N1583" s="152">
        <v>39.799999999999997</v>
      </c>
      <c r="O1583" s="191"/>
      <c r="P1583" s="109">
        <v>153</v>
      </c>
      <c r="Q1583" s="91"/>
      <c r="R1583" s="92"/>
    </row>
    <row r="1584" spans="1:20" ht="63.75">
      <c r="A1584" s="286" t="s">
        <v>2592</v>
      </c>
      <c r="B1584" s="141" t="s">
        <v>1445</v>
      </c>
      <c r="C1584" s="150" t="s">
        <v>3817</v>
      </c>
      <c r="D1584" s="221"/>
      <c r="E1584" s="150"/>
      <c r="F1584" s="150"/>
      <c r="G1584" s="110" t="s">
        <v>2663</v>
      </c>
      <c r="H1584" s="150" t="s">
        <v>1392</v>
      </c>
      <c r="I1584" s="150" t="s">
        <v>1446</v>
      </c>
      <c r="J1584" s="150" t="s">
        <v>1447</v>
      </c>
      <c r="K1584" s="221"/>
      <c r="L1584" s="135" t="str">
        <f t="shared" si="89"/>
        <v>Megaderma spasma</v>
      </c>
      <c r="M1584" s="133">
        <f t="shared" si="90"/>
        <v>1.3935752032695876</v>
      </c>
      <c r="N1584" s="152">
        <v>24.75</v>
      </c>
      <c r="O1584" s="191"/>
      <c r="P1584" s="109">
        <v>153</v>
      </c>
      <c r="Q1584" s="91"/>
      <c r="R1584" s="92"/>
      <c r="S1584" s="92"/>
    </row>
    <row r="1585" spans="1:30" ht="38.25">
      <c r="A1585" s="286" t="s">
        <v>2592</v>
      </c>
      <c r="B1585" s="141" t="s">
        <v>1623</v>
      </c>
      <c r="C1585" s="150" t="s">
        <v>3817</v>
      </c>
      <c r="D1585" s="221"/>
      <c r="E1585" s="150"/>
      <c r="F1585" s="150"/>
      <c r="G1585" s="110" t="s">
        <v>2663</v>
      </c>
      <c r="H1585" s="150" t="s">
        <v>1392</v>
      </c>
      <c r="I1585" s="150" t="s">
        <v>1446</v>
      </c>
      <c r="J1585" s="150" t="s">
        <v>1624</v>
      </c>
      <c r="K1585" s="221"/>
      <c r="L1585" s="135" t="str">
        <f t="shared" si="89"/>
        <v>Megaderma lyra</v>
      </c>
      <c r="M1585" s="133">
        <f t="shared" si="90"/>
        <v>1.658349676161617</v>
      </c>
      <c r="N1585" s="152">
        <v>45.535454545455003</v>
      </c>
      <c r="O1585" s="191"/>
      <c r="P1585" s="109">
        <v>153</v>
      </c>
      <c r="Q1585" s="91"/>
      <c r="R1585" s="92"/>
    </row>
    <row r="1586" spans="1:30" ht="76.5">
      <c r="A1586" s="286" t="s">
        <v>2592</v>
      </c>
      <c r="B1586" s="141" t="s">
        <v>1976</v>
      </c>
      <c r="C1586" s="148" t="s">
        <v>3817</v>
      </c>
      <c r="D1586" s="223"/>
      <c r="E1586" s="148"/>
      <c r="F1586" s="148"/>
      <c r="G1586" s="109" t="s">
        <v>2663</v>
      </c>
      <c r="H1586" s="148" t="s">
        <v>2533</v>
      </c>
      <c r="I1586" s="148" t="s">
        <v>6040</v>
      </c>
      <c r="J1586" s="148" t="s">
        <v>5487</v>
      </c>
      <c r="K1586" s="223"/>
      <c r="L1586" s="135" t="str">
        <f t="shared" si="89"/>
        <v>Chaerephon pumila</v>
      </c>
      <c r="M1586" s="133">
        <f t="shared" si="90"/>
        <v>1.0529716716372919</v>
      </c>
      <c r="N1586" s="149">
        <v>11.297222222222</v>
      </c>
      <c r="O1586" s="191"/>
      <c r="P1586" s="109">
        <v>153</v>
      </c>
      <c r="Q1586" s="91"/>
      <c r="R1586" s="92" t="s">
        <v>7845</v>
      </c>
    </row>
    <row r="1587" spans="1:30" ht="51">
      <c r="A1587" s="286" t="s">
        <v>2592</v>
      </c>
      <c r="B1587" s="141" t="s">
        <v>1781</v>
      </c>
      <c r="C1587" s="150" t="s">
        <v>3817</v>
      </c>
      <c r="D1587" s="221"/>
      <c r="E1587" s="150"/>
      <c r="F1587" s="150"/>
      <c r="G1587" s="110" t="s">
        <v>2663</v>
      </c>
      <c r="H1587" s="148" t="s">
        <v>2533</v>
      </c>
      <c r="I1587" s="150" t="s">
        <v>6040</v>
      </c>
      <c r="J1587" s="150" t="s">
        <v>4165</v>
      </c>
      <c r="K1587" s="221"/>
      <c r="L1587" s="135" t="str">
        <f t="shared" si="89"/>
        <v>Chaerephon nigeriae</v>
      </c>
      <c r="M1587" s="133">
        <f t="shared" si="90"/>
        <v>1.2966651902615312</v>
      </c>
      <c r="N1587" s="152">
        <v>19.8</v>
      </c>
      <c r="O1587" s="191"/>
      <c r="P1587" s="109">
        <v>153</v>
      </c>
      <c r="R1587" s="85" t="s">
        <v>7846</v>
      </c>
    </row>
    <row r="1588" spans="1:30" ht="15" customHeight="1">
      <c r="A1588" s="286" t="s">
        <v>2592</v>
      </c>
      <c r="B1588" s="141" t="s">
        <v>4765</v>
      </c>
      <c r="C1588" s="150" t="s">
        <v>3817</v>
      </c>
      <c r="D1588" s="221"/>
      <c r="E1588" s="150"/>
      <c r="F1588" s="150"/>
      <c r="G1588" s="110" t="s">
        <v>2663</v>
      </c>
      <c r="H1588" s="150" t="s">
        <v>2533</v>
      </c>
      <c r="I1588" s="150" t="s">
        <v>4439</v>
      </c>
      <c r="J1588" s="150" t="s">
        <v>7493</v>
      </c>
      <c r="K1588" s="221"/>
      <c r="L1588" s="135" t="str">
        <f t="shared" si="89"/>
        <v>Mops midas</v>
      </c>
      <c r="M1588" s="133">
        <f t="shared" si="90"/>
        <v>1.6553305580093409</v>
      </c>
      <c r="N1588" s="152">
        <v>45.22</v>
      </c>
      <c r="O1588" s="191"/>
      <c r="P1588" s="109">
        <v>153</v>
      </c>
      <c r="R1588" s="85" t="s">
        <v>7847</v>
      </c>
    </row>
    <row r="1589" spans="1:30">
      <c r="A1589" s="286" t="s">
        <v>2592</v>
      </c>
      <c r="B1589" s="141" t="s">
        <v>2566</v>
      </c>
      <c r="C1589" s="148" t="s">
        <v>3817</v>
      </c>
      <c r="D1589" s="223"/>
      <c r="E1589" s="148"/>
      <c r="F1589" s="148"/>
      <c r="G1589" s="109" t="s">
        <v>2663</v>
      </c>
      <c r="H1589" s="148" t="s">
        <v>2533</v>
      </c>
      <c r="I1589" s="148" t="s">
        <v>1189</v>
      </c>
      <c r="J1589" s="148" t="s">
        <v>575</v>
      </c>
      <c r="K1589" s="223"/>
      <c r="L1589" s="135" t="str">
        <f t="shared" si="89"/>
        <v>Otomops wroughtoni</v>
      </c>
      <c r="M1589" s="151">
        <v>-999</v>
      </c>
      <c r="N1589" s="151">
        <v>-999</v>
      </c>
      <c r="O1589" s="189"/>
      <c r="P1589" s="109">
        <v>-999</v>
      </c>
      <c r="S1589" s="92"/>
      <c r="T1589" s="80"/>
    </row>
    <row r="1590" spans="1:30" ht="51">
      <c r="A1590" s="110" t="s">
        <v>2592</v>
      </c>
      <c r="B1590" s="141" t="s">
        <v>4350</v>
      </c>
      <c r="C1590" s="150" t="s">
        <v>3817</v>
      </c>
      <c r="D1590" s="221"/>
      <c r="E1590" s="150"/>
      <c r="F1590" s="150"/>
      <c r="G1590" s="110" t="s">
        <v>2663</v>
      </c>
      <c r="H1590" s="150" t="s">
        <v>2533</v>
      </c>
      <c r="I1590" s="150" t="s">
        <v>2501</v>
      </c>
      <c r="J1590" s="150" t="s">
        <v>4351</v>
      </c>
      <c r="K1590" s="221"/>
      <c r="L1590" s="135" t="str">
        <f t="shared" si="89"/>
        <v>Tadarida aegyptiaca</v>
      </c>
      <c r="M1590" s="133">
        <f t="shared" ref="M1590:M1601" si="91">LOG(N1590)</f>
        <v>1.2248534211176516</v>
      </c>
      <c r="N1590" s="152">
        <v>16.782374999999998</v>
      </c>
      <c r="O1590" s="191"/>
      <c r="P1590" s="109">
        <v>153</v>
      </c>
      <c r="R1590" s="85" t="s">
        <v>7845</v>
      </c>
      <c r="T1590" s="80"/>
    </row>
    <row r="1591" spans="1:30" ht="63.75">
      <c r="A1591" s="110" t="s">
        <v>2592</v>
      </c>
      <c r="B1591" s="141" t="s">
        <v>4352</v>
      </c>
      <c r="C1591" s="150" t="s">
        <v>3817</v>
      </c>
      <c r="D1591" s="221"/>
      <c r="E1591" s="150"/>
      <c r="F1591" s="150"/>
      <c r="G1591" s="110" t="s">
        <v>2663</v>
      </c>
      <c r="H1591" s="150" t="s">
        <v>2533</v>
      </c>
      <c r="I1591" s="150" t="s">
        <v>2501</v>
      </c>
      <c r="J1591" s="150" t="s">
        <v>2065</v>
      </c>
      <c r="K1591" s="221"/>
      <c r="L1591" s="135" t="str">
        <f t="shared" si="89"/>
        <v>Tadarida teniotis</v>
      </c>
      <c r="M1591" s="133">
        <f t="shared" si="91"/>
        <v>1.4319938381303527</v>
      </c>
      <c r="N1591" s="152">
        <v>27.039200000000001</v>
      </c>
      <c r="O1591" s="191"/>
      <c r="P1591" s="109">
        <v>153</v>
      </c>
      <c r="R1591" s="85" t="s">
        <v>7844</v>
      </c>
    </row>
    <row r="1592" spans="1:30" ht="89.25">
      <c r="A1592" s="110" t="s">
        <v>2592</v>
      </c>
      <c r="B1592" s="141" t="s">
        <v>1540</v>
      </c>
      <c r="C1592" s="148" t="s">
        <v>3817</v>
      </c>
      <c r="D1592" s="223"/>
      <c r="E1592" s="148"/>
      <c r="F1592" s="148"/>
      <c r="G1592" s="109" t="s">
        <v>2663</v>
      </c>
      <c r="H1592" s="148" t="s">
        <v>6200</v>
      </c>
      <c r="I1592" s="148" t="s">
        <v>6201</v>
      </c>
      <c r="J1592" s="148" t="s">
        <v>1438</v>
      </c>
      <c r="K1592" s="223"/>
      <c r="L1592" s="135" t="str">
        <f t="shared" si="89"/>
        <v>Nycteris thebaica</v>
      </c>
      <c r="M1592" s="133">
        <f t="shared" si="91"/>
        <v>0.99171819413823881</v>
      </c>
      <c r="N1592" s="149">
        <v>9.8111111111109999</v>
      </c>
      <c r="O1592" s="191"/>
      <c r="P1592" s="109">
        <v>153</v>
      </c>
      <c r="R1592" s="85" t="s">
        <v>7903</v>
      </c>
    </row>
    <row r="1593" spans="1:30" ht="38.25">
      <c r="A1593" s="110" t="s">
        <v>2592</v>
      </c>
      <c r="B1593" s="141" t="s">
        <v>603</v>
      </c>
      <c r="C1593" s="148" t="s">
        <v>3817</v>
      </c>
      <c r="D1593" s="223"/>
      <c r="E1593" s="148"/>
      <c r="F1593" s="148"/>
      <c r="G1593" s="109" t="s">
        <v>2663</v>
      </c>
      <c r="H1593" s="148" t="s">
        <v>6200</v>
      </c>
      <c r="I1593" s="148" t="s">
        <v>6201</v>
      </c>
      <c r="J1593" s="148" t="s">
        <v>604</v>
      </c>
      <c r="K1593" s="223"/>
      <c r="L1593" s="135" t="str">
        <f t="shared" si="89"/>
        <v>Nycteris tragata</v>
      </c>
      <c r="M1593" s="133">
        <f t="shared" si="91"/>
        <v>1.1583624920952498</v>
      </c>
      <c r="N1593" s="149">
        <v>14.4</v>
      </c>
      <c r="O1593" s="191"/>
      <c r="P1593" s="109">
        <v>153</v>
      </c>
    </row>
    <row r="1594" spans="1:30" ht="38.25">
      <c r="A1594" s="110" t="s">
        <v>2592</v>
      </c>
      <c r="B1594" s="141" t="s">
        <v>4930</v>
      </c>
      <c r="C1594" s="150" t="s">
        <v>3817</v>
      </c>
      <c r="D1594" s="221"/>
      <c r="E1594" s="150"/>
      <c r="F1594" s="150"/>
      <c r="G1594" s="110" t="s">
        <v>2663</v>
      </c>
      <c r="H1594" s="148" t="s">
        <v>6203</v>
      </c>
      <c r="I1594" s="150" t="s">
        <v>4931</v>
      </c>
      <c r="J1594" s="150" t="s">
        <v>6087</v>
      </c>
      <c r="K1594" s="221"/>
      <c r="L1594" s="135" t="str">
        <f t="shared" si="89"/>
        <v>Aethalops alecto</v>
      </c>
      <c r="M1594" s="133">
        <f t="shared" si="91"/>
        <v>1.1760912590556813</v>
      </c>
      <c r="N1594" s="152">
        <v>15</v>
      </c>
      <c r="O1594" s="191"/>
      <c r="P1594" s="109">
        <v>153</v>
      </c>
    </row>
    <row r="1595" spans="1:30" ht="38.25">
      <c r="A1595" s="110" t="s">
        <v>2592</v>
      </c>
      <c r="B1595" s="141" t="s">
        <v>4920</v>
      </c>
      <c r="C1595" s="148" t="s">
        <v>3817</v>
      </c>
      <c r="D1595" s="223"/>
      <c r="E1595" s="148"/>
      <c r="F1595" s="148"/>
      <c r="G1595" s="109" t="s">
        <v>2663</v>
      </c>
      <c r="H1595" s="148" t="s">
        <v>6203</v>
      </c>
      <c r="I1595" s="148" t="s">
        <v>4921</v>
      </c>
      <c r="J1595" s="148" t="s">
        <v>4913</v>
      </c>
      <c r="K1595" s="223"/>
      <c r="L1595" s="135" t="str">
        <f t="shared" si="89"/>
        <v>Balionycteris maculata</v>
      </c>
      <c r="M1595" s="133">
        <f t="shared" si="91"/>
        <v>1.1530522750671088</v>
      </c>
      <c r="N1595" s="149">
        <v>14.225</v>
      </c>
      <c r="O1595" s="191"/>
      <c r="P1595" s="109">
        <v>153</v>
      </c>
    </row>
    <row r="1596" spans="1:30" ht="38.25">
      <c r="A1596" s="110" t="s">
        <v>2592</v>
      </c>
      <c r="B1596" s="141" t="s">
        <v>4927</v>
      </c>
      <c r="C1596" s="150" t="s">
        <v>3817</v>
      </c>
      <c r="D1596" s="221"/>
      <c r="E1596" s="150"/>
      <c r="F1596" s="150"/>
      <c r="G1596" s="110" t="s">
        <v>2663</v>
      </c>
      <c r="H1596" s="148" t="s">
        <v>6203</v>
      </c>
      <c r="I1596" s="150" t="s">
        <v>4939</v>
      </c>
      <c r="J1596" s="150" t="s">
        <v>4779</v>
      </c>
      <c r="K1596" s="221"/>
      <c r="L1596" s="135" t="str">
        <f t="shared" si="89"/>
        <v>Chironax melanocephalus</v>
      </c>
      <c r="M1596" s="133">
        <f t="shared" si="91"/>
        <v>1.2463344173155151</v>
      </c>
      <c r="N1596" s="152">
        <v>17.633333333332999</v>
      </c>
      <c r="O1596" s="191"/>
      <c r="P1596" s="109">
        <v>153</v>
      </c>
    </row>
    <row r="1597" spans="1:30" ht="15" customHeight="1">
      <c r="A1597" s="110" t="s">
        <v>2592</v>
      </c>
      <c r="B1597" s="141" t="s">
        <v>2060</v>
      </c>
      <c r="C1597" s="150" t="s">
        <v>3817</v>
      </c>
      <c r="D1597" s="221"/>
      <c r="E1597" s="150"/>
      <c r="F1597" s="150"/>
      <c r="G1597" s="110" t="s">
        <v>2663</v>
      </c>
      <c r="H1597" s="150" t="s">
        <v>6203</v>
      </c>
      <c r="I1597" s="150" t="s">
        <v>1956</v>
      </c>
      <c r="J1597" s="150" t="s">
        <v>7539</v>
      </c>
      <c r="K1597" s="221"/>
      <c r="L1597" s="135" t="str">
        <f t="shared" si="89"/>
        <v>Cynopterus brachyotis</v>
      </c>
      <c r="M1597" s="133">
        <f t="shared" si="91"/>
        <v>1.5017437296279945</v>
      </c>
      <c r="N1597" s="152">
        <v>31.75</v>
      </c>
      <c r="O1597" s="191"/>
      <c r="P1597" s="109">
        <v>153</v>
      </c>
    </row>
    <row r="1598" spans="1:30" s="62" customFormat="1" ht="63.75">
      <c r="A1598" s="110" t="s">
        <v>2592</v>
      </c>
      <c r="B1598" s="141" t="s">
        <v>597</v>
      </c>
      <c r="C1598" s="150" t="s">
        <v>3817</v>
      </c>
      <c r="D1598" s="221"/>
      <c r="E1598" s="150"/>
      <c r="F1598" s="150"/>
      <c r="G1598" s="110" t="s">
        <v>2663</v>
      </c>
      <c r="H1598" s="150" t="s">
        <v>6203</v>
      </c>
      <c r="I1598" s="150" t="s">
        <v>1956</v>
      </c>
      <c r="J1598" s="150" t="s">
        <v>6347</v>
      </c>
      <c r="K1598" s="221"/>
      <c r="L1598" s="135" t="str">
        <f t="shared" si="89"/>
        <v>Cynopterus sphinx</v>
      </c>
      <c r="M1598" s="133">
        <f t="shared" si="91"/>
        <v>1.6401058356857277</v>
      </c>
      <c r="N1598" s="152">
        <v>43.662222222221999</v>
      </c>
      <c r="O1598" s="191"/>
      <c r="P1598" s="109">
        <v>153</v>
      </c>
      <c r="Q1598" s="90"/>
      <c r="R1598" s="85"/>
      <c r="S1598" s="85"/>
      <c r="T1598" s="85"/>
      <c r="U1598" s="16"/>
      <c r="V1598" s="16"/>
      <c r="W1598" s="61"/>
      <c r="X1598" s="61"/>
      <c r="Y1598" s="61"/>
      <c r="Z1598" s="61"/>
      <c r="AA1598" s="61"/>
      <c r="AB1598" s="61"/>
      <c r="AC1598" s="61"/>
      <c r="AD1598" s="64"/>
    </row>
    <row r="1599" spans="1:30" ht="51">
      <c r="A1599" s="110" t="s">
        <v>2592</v>
      </c>
      <c r="B1599" s="141" t="s">
        <v>930</v>
      </c>
      <c r="C1599" s="150" t="s">
        <v>3817</v>
      </c>
      <c r="D1599" s="221"/>
      <c r="E1599" s="150"/>
      <c r="F1599" s="150"/>
      <c r="G1599" s="110" t="s">
        <v>2663</v>
      </c>
      <c r="H1599" s="150" t="s">
        <v>6203</v>
      </c>
      <c r="I1599" s="150" t="s">
        <v>1956</v>
      </c>
      <c r="J1599" s="150" t="s">
        <v>6441</v>
      </c>
      <c r="K1599" s="221"/>
      <c r="L1599" s="135" t="str">
        <f t="shared" si="89"/>
        <v>Cynopterus horsfieldi</v>
      </c>
      <c r="M1599" s="133">
        <f t="shared" si="91"/>
        <v>1.7385163087154019</v>
      </c>
      <c r="N1599" s="152">
        <v>54.766666666667</v>
      </c>
      <c r="O1599" s="191"/>
      <c r="P1599" s="109">
        <v>153</v>
      </c>
    </row>
    <row r="1600" spans="1:30" ht="51">
      <c r="A1600" s="110" t="s">
        <v>2592</v>
      </c>
      <c r="B1600" s="130" t="s">
        <v>4736</v>
      </c>
      <c r="C1600" s="155" t="s">
        <v>3817</v>
      </c>
      <c r="D1600" s="225"/>
      <c r="E1600" s="155"/>
      <c r="F1600" s="155"/>
      <c r="G1600" s="110" t="s">
        <v>2663</v>
      </c>
      <c r="H1600" s="155" t="s">
        <v>6203</v>
      </c>
      <c r="I1600" s="155" t="s">
        <v>4583</v>
      </c>
      <c r="J1600" s="155" t="s">
        <v>4584</v>
      </c>
      <c r="K1600" s="225"/>
      <c r="L1600" s="135" t="str">
        <f t="shared" si="89"/>
        <v>Eidolon helvum</v>
      </c>
      <c r="M1600" s="133">
        <f t="shared" si="91"/>
        <v>2.4036523349113295</v>
      </c>
      <c r="N1600" s="152">
        <v>253.31</v>
      </c>
      <c r="O1600" s="192"/>
      <c r="P1600" s="109">
        <v>153</v>
      </c>
      <c r="R1600" s="85" t="s">
        <v>7782</v>
      </c>
    </row>
    <row r="1601" spans="1:30" ht="89.25">
      <c r="A1601" s="110" t="s">
        <v>2592</v>
      </c>
      <c r="B1601" s="141" t="s">
        <v>5013</v>
      </c>
      <c r="C1601" s="150" t="s">
        <v>3817</v>
      </c>
      <c r="D1601" s="221"/>
      <c r="E1601" s="150"/>
      <c r="F1601" s="150"/>
      <c r="G1601" s="110" t="s">
        <v>2663</v>
      </c>
      <c r="H1601" s="150" t="s">
        <v>6203</v>
      </c>
      <c r="I1601" s="150" t="s">
        <v>5014</v>
      </c>
      <c r="J1601" s="150" t="s">
        <v>4870</v>
      </c>
      <c r="K1601" s="221"/>
      <c r="L1601" s="135" t="str">
        <f t="shared" si="89"/>
        <v>Eonycteris spelaea</v>
      </c>
      <c r="M1601" s="133">
        <f t="shared" si="91"/>
        <v>1.7538481150390031</v>
      </c>
      <c r="N1601" s="152">
        <v>56.734615384614997</v>
      </c>
      <c r="O1601" s="192"/>
      <c r="P1601" s="109">
        <v>153</v>
      </c>
    </row>
    <row r="1602" spans="1:30">
      <c r="A1602" s="212" t="s">
        <v>2592</v>
      </c>
      <c r="B1602" s="141" t="s">
        <v>2566</v>
      </c>
      <c r="C1602" s="150" t="s">
        <v>3817</v>
      </c>
      <c r="D1602" s="221"/>
      <c r="E1602" s="150"/>
      <c r="F1602" s="150"/>
      <c r="G1602" s="110" t="s">
        <v>2663</v>
      </c>
      <c r="H1602" s="148" t="s">
        <v>6203</v>
      </c>
      <c r="I1602" s="150" t="s">
        <v>726</v>
      </c>
      <c r="J1602" s="150" t="s">
        <v>2776</v>
      </c>
      <c r="K1602" s="221"/>
      <c r="L1602" s="135" t="str">
        <f t="shared" si="89"/>
        <v>Latidens salimalii</v>
      </c>
      <c r="M1602" s="146">
        <v>-999</v>
      </c>
      <c r="N1602" s="146">
        <v>-999</v>
      </c>
      <c r="O1602" s="183"/>
      <c r="P1602" s="109">
        <v>-999</v>
      </c>
    </row>
    <row r="1603" spans="1:30" ht="63.75">
      <c r="A1603" s="212" t="s">
        <v>2592</v>
      </c>
      <c r="B1603" s="141" t="s">
        <v>2881</v>
      </c>
      <c r="C1603" s="148" t="s">
        <v>3817</v>
      </c>
      <c r="D1603" s="223"/>
      <c r="E1603" s="148"/>
      <c r="F1603" s="148"/>
      <c r="G1603" s="109" t="s">
        <v>2663</v>
      </c>
      <c r="H1603" s="148" t="s">
        <v>6203</v>
      </c>
      <c r="I1603" s="148" t="s">
        <v>1525</v>
      </c>
      <c r="J1603" s="148" t="s">
        <v>4171</v>
      </c>
      <c r="K1603" s="223"/>
      <c r="L1603" s="135" t="str">
        <f t="shared" si="89"/>
        <v>Macroglossus minimus</v>
      </c>
      <c r="M1603" s="133">
        <f t="shared" ref="M1603:M1617" si="92">LOG(N1603)</f>
        <v>1.2001205912269823</v>
      </c>
      <c r="N1603" s="149">
        <v>15.853333333333</v>
      </c>
      <c r="O1603" s="192"/>
      <c r="P1603" s="109">
        <v>153</v>
      </c>
    </row>
    <row r="1604" spans="1:30" s="62" customFormat="1" ht="38.25">
      <c r="A1604" s="212" t="s">
        <v>2592</v>
      </c>
      <c r="B1604" s="141" t="s">
        <v>895</v>
      </c>
      <c r="C1604" s="150" t="s">
        <v>3817</v>
      </c>
      <c r="D1604" s="221"/>
      <c r="E1604" s="150"/>
      <c r="F1604" s="150"/>
      <c r="G1604" s="110" t="s">
        <v>2663</v>
      </c>
      <c r="H1604" s="148" t="s">
        <v>6203</v>
      </c>
      <c r="I1604" s="150" t="s">
        <v>1525</v>
      </c>
      <c r="J1604" s="150" t="s">
        <v>2951</v>
      </c>
      <c r="K1604" s="221"/>
      <c r="L1604" s="135" t="str">
        <f t="shared" si="89"/>
        <v>Macroglossus sobrinus</v>
      </c>
      <c r="M1604" s="133">
        <f t="shared" si="92"/>
        <v>1.3450468246483485</v>
      </c>
      <c r="N1604" s="152">
        <v>22.133333333332999</v>
      </c>
      <c r="O1604" s="192"/>
      <c r="P1604" s="109">
        <v>153</v>
      </c>
      <c r="Q1604" s="90"/>
      <c r="R1604" s="85"/>
      <c r="S1604" s="85"/>
      <c r="T1604" s="85"/>
      <c r="U1604" s="16"/>
      <c r="V1604" s="16"/>
      <c r="W1604" s="61"/>
      <c r="X1604" s="61"/>
      <c r="Y1604" s="61"/>
      <c r="Z1604" s="61"/>
      <c r="AA1604" s="61"/>
      <c r="AB1604" s="61"/>
      <c r="AC1604" s="61"/>
      <c r="AD1604" s="64"/>
    </row>
    <row r="1605" spans="1:30" ht="38.25">
      <c r="A1605" s="212" t="s">
        <v>2592</v>
      </c>
      <c r="B1605" s="141" t="s">
        <v>2862</v>
      </c>
      <c r="C1605" s="150" t="s">
        <v>3817</v>
      </c>
      <c r="D1605" s="221"/>
      <c r="E1605" s="150"/>
      <c r="F1605" s="150"/>
      <c r="G1605" s="110" t="s">
        <v>2663</v>
      </c>
      <c r="H1605" s="150" t="s">
        <v>6203</v>
      </c>
      <c r="I1605" s="150" t="s">
        <v>2859</v>
      </c>
      <c r="J1605" s="150" t="s">
        <v>5815</v>
      </c>
      <c r="K1605" s="221"/>
      <c r="L1605" s="135" t="str">
        <f t="shared" ref="L1605:L1668" si="93">I1605&amp;" "&amp;J1605</f>
        <v>Megaerops ecaudatus</v>
      </c>
      <c r="M1605" s="133">
        <f t="shared" si="92"/>
        <v>1.3921104650113196</v>
      </c>
      <c r="N1605" s="152">
        <v>24.666666666666998</v>
      </c>
      <c r="O1605" s="192"/>
      <c r="P1605" s="109">
        <v>153</v>
      </c>
    </row>
    <row r="1606" spans="1:30" s="62" customFormat="1" ht="25.5">
      <c r="A1606" s="212" t="s">
        <v>2592</v>
      </c>
      <c r="B1606" s="141" t="s">
        <v>2863</v>
      </c>
      <c r="C1606" s="150" t="s">
        <v>3817</v>
      </c>
      <c r="D1606" s="221"/>
      <c r="E1606" s="150"/>
      <c r="F1606" s="150"/>
      <c r="G1606" s="110" t="s">
        <v>2663</v>
      </c>
      <c r="H1606" s="150" t="s">
        <v>6203</v>
      </c>
      <c r="I1606" s="150" t="s">
        <v>2859</v>
      </c>
      <c r="J1606" s="150" t="s">
        <v>2869</v>
      </c>
      <c r="K1606" s="221"/>
      <c r="L1606" s="135" t="str">
        <f t="shared" si="93"/>
        <v>Megaerops niphanae</v>
      </c>
      <c r="M1606" s="133">
        <f t="shared" si="92"/>
        <v>1.5132176000679389</v>
      </c>
      <c r="N1606" s="152">
        <v>32.6</v>
      </c>
      <c r="O1606" s="192"/>
      <c r="P1606" s="109">
        <v>153</v>
      </c>
      <c r="Q1606" s="90"/>
      <c r="R1606" s="85"/>
      <c r="S1606" s="85"/>
      <c r="T1606" s="85"/>
      <c r="U1606" s="16"/>
      <c r="V1606" s="16"/>
      <c r="W1606" s="61"/>
      <c r="X1606" s="61"/>
      <c r="Y1606" s="61"/>
      <c r="Z1606" s="61"/>
      <c r="AA1606" s="61"/>
      <c r="AB1606" s="61"/>
      <c r="AC1606" s="61"/>
      <c r="AD1606" s="64"/>
    </row>
    <row r="1607" spans="1:30">
      <c r="A1607" s="212" t="s">
        <v>2592</v>
      </c>
      <c r="B1607" s="141" t="s">
        <v>527</v>
      </c>
      <c r="C1607" s="150" t="s">
        <v>3817</v>
      </c>
      <c r="D1607" s="221"/>
      <c r="E1607" s="150"/>
      <c r="F1607" s="150"/>
      <c r="G1607" s="110" t="s">
        <v>2663</v>
      </c>
      <c r="H1607" s="150" t="s">
        <v>6203</v>
      </c>
      <c r="I1607" s="150" t="s">
        <v>6204</v>
      </c>
      <c r="J1607" s="150" t="s">
        <v>528</v>
      </c>
      <c r="K1607" s="221"/>
      <c r="L1607" s="135" t="str">
        <f t="shared" si="93"/>
        <v>Pteropus lylei</v>
      </c>
      <c r="M1607" s="133">
        <f t="shared" si="92"/>
        <v>2.5006023505691761</v>
      </c>
      <c r="N1607" s="152">
        <v>316.66666666665998</v>
      </c>
      <c r="O1607" s="192"/>
      <c r="P1607" s="109">
        <v>153</v>
      </c>
    </row>
    <row r="1608" spans="1:30" ht="63.75">
      <c r="A1608" s="212" t="s">
        <v>2592</v>
      </c>
      <c r="B1608" s="141" t="s">
        <v>809</v>
      </c>
      <c r="C1608" s="150" t="s">
        <v>3817</v>
      </c>
      <c r="D1608" s="221"/>
      <c r="E1608" s="150"/>
      <c r="F1608" s="150"/>
      <c r="G1608" s="110" t="s">
        <v>2663</v>
      </c>
      <c r="H1608" s="150" t="s">
        <v>6203</v>
      </c>
      <c r="I1608" s="150" t="s">
        <v>6204</v>
      </c>
      <c r="J1608" s="150" t="s">
        <v>3109</v>
      </c>
      <c r="K1608" s="221"/>
      <c r="L1608" s="135" t="str">
        <f t="shared" si="93"/>
        <v>Pteropus hypomelanus</v>
      </c>
      <c r="M1608" s="133">
        <f t="shared" si="92"/>
        <v>2.633488654853184</v>
      </c>
      <c r="N1608" s="152">
        <v>430.02</v>
      </c>
      <c r="O1608" s="192"/>
      <c r="P1608" s="109">
        <v>153</v>
      </c>
    </row>
    <row r="1609" spans="1:30" ht="51">
      <c r="A1609" s="212" t="s">
        <v>2592</v>
      </c>
      <c r="B1609" s="141" t="s">
        <v>634</v>
      </c>
      <c r="C1609" s="150" t="s">
        <v>3817</v>
      </c>
      <c r="D1609" s="221"/>
      <c r="E1609" s="150"/>
      <c r="F1609" s="150"/>
      <c r="G1609" s="110" t="s">
        <v>2663</v>
      </c>
      <c r="H1609" s="150" t="s">
        <v>6203</v>
      </c>
      <c r="I1609" s="150" t="s">
        <v>6204</v>
      </c>
      <c r="J1609" s="150" t="s">
        <v>4255</v>
      </c>
      <c r="K1609" s="221"/>
      <c r="L1609" s="135" t="str">
        <f t="shared" si="93"/>
        <v>Pteropus giganteus</v>
      </c>
      <c r="M1609" s="133">
        <f t="shared" si="92"/>
        <v>2.9053486389805219</v>
      </c>
      <c r="N1609" s="152">
        <v>804.17142857142005</v>
      </c>
      <c r="O1609" s="192"/>
      <c r="P1609" s="109">
        <v>153</v>
      </c>
      <c r="T1609" s="80"/>
    </row>
    <row r="1610" spans="1:30" ht="63.75">
      <c r="A1610" s="212" t="s">
        <v>2592</v>
      </c>
      <c r="B1610" s="141" t="s">
        <v>738</v>
      </c>
      <c r="C1610" s="150" t="s">
        <v>3817</v>
      </c>
      <c r="D1610" s="221"/>
      <c r="E1610" s="150"/>
      <c r="F1610" s="150"/>
      <c r="G1610" s="110" t="s">
        <v>2663</v>
      </c>
      <c r="H1610" s="150" t="s">
        <v>6203</v>
      </c>
      <c r="I1610" s="150" t="s">
        <v>6204</v>
      </c>
      <c r="J1610" s="150" t="s">
        <v>721</v>
      </c>
      <c r="K1610" s="221"/>
      <c r="L1610" s="135" t="str">
        <f t="shared" si="93"/>
        <v>Pteropus vampyrus</v>
      </c>
      <c r="M1610" s="133">
        <f t="shared" si="92"/>
        <v>3.0167200331782524</v>
      </c>
      <c r="N1610" s="152">
        <v>1039.25</v>
      </c>
      <c r="O1610" s="192"/>
      <c r="P1610" s="110">
        <v>153</v>
      </c>
      <c r="T1610" s="80"/>
    </row>
    <row r="1611" spans="1:30" ht="15" customHeight="1">
      <c r="A1611" s="212" t="s">
        <v>2592</v>
      </c>
      <c r="B1611" s="141" t="s">
        <v>2892</v>
      </c>
      <c r="C1611" s="150" t="s">
        <v>3817</v>
      </c>
      <c r="D1611" s="221"/>
      <c r="E1611" s="150"/>
      <c r="F1611" s="150"/>
      <c r="G1611" s="110" t="s">
        <v>2663</v>
      </c>
      <c r="H1611" s="150" t="s">
        <v>6203</v>
      </c>
      <c r="I1611" s="150" t="s">
        <v>2716</v>
      </c>
      <c r="J1611" s="150" t="s">
        <v>2948</v>
      </c>
      <c r="K1611" s="221"/>
      <c r="L1611" s="135" t="str">
        <f t="shared" si="93"/>
        <v>Rousettus amplexicaudatus</v>
      </c>
      <c r="M1611" s="133">
        <f t="shared" si="92"/>
        <v>1.8972494391086494</v>
      </c>
      <c r="N1611" s="152">
        <v>78.931333333333001</v>
      </c>
      <c r="O1611" s="192"/>
      <c r="P1611" s="109">
        <v>153</v>
      </c>
    </row>
    <row r="1612" spans="1:30" ht="51">
      <c r="A1612" s="212" t="s">
        <v>2592</v>
      </c>
      <c r="B1612" s="141" t="s">
        <v>671</v>
      </c>
      <c r="C1612" s="150" t="s">
        <v>3817</v>
      </c>
      <c r="D1612" s="221"/>
      <c r="E1612" s="150"/>
      <c r="F1612" s="150"/>
      <c r="G1612" s="110" t="s">
        <v>2663</v>
      </c>
      <c r="H1612" s="150" t="s">
        <v>6203</v>
      </c>
      <c r="I1612" s="150" t="s">
        <v>2716</v>
      </c>
      <c r="J1612" s="150" t="s">
        <v>672</v>
      </c>
      <c r="K1612" s="221"/>
      <c r="L1612" s="135" t="str">
        <f t="shared" si="93"/>
        <v>Rousettus leschenaulti</v>
      </c>
      <c r="M1612" s="133">
        <f t="shared" si="92"/>
        <v>1.9872192299080049</v>
      </c>
      <c r="N1612" s="152">
        <v>97.1</v>
      </c>
      <c r="O1612" s="192"/>
      <c r="P1612" s="109">
        <v>153</v>
      </c>
    </row>
    <row r="1613" spans="1:30" ht="63.75">
      <c r="A1613" s="212" t="s">
        <v>2592</v>
      </c>
      <c r="B1613" s="141" t="s">
        <v>682</v>
      </c>
      <c r="C1613" s="150" t="s">
        <v>3817</v>
      </c>
      <c r="D1613" s="221"/>
      <c r="E1613" s="150"/>
      <c r="F1613" s="150"/>
      <c r="G1613" s="110" t="s">
        <v>2663</v>
      </c>
      <c r="H1613" s="150" t="s">
        <v>6203</v>
      </c>
      <c r="I1613" s="150" t="s">
        <v>2716</v>
      </c>
      <c r="J1613" s="150" t="s">
        <v>1220</v>
      </c>
      <c r="K1613" s="221"/>
      <c r="L1613" s="135" t="str">
        <f t="shared" si="93"/>
        <v>Rousettus aegyptiacus</v>
      </c>
      <c r="M1613" s="133">
        <f t="shared" si="92"/>
        <v>2.1213570449860772</v>
      </c>
      <c r="N1613" s="152">
        <v>132.23823529411001</v>
      </c>
      <c r="O1613" s="192"/>
      <c r="P1613" s="109">
        <v>153</v>
      </c>
    </row>
    <row r="1614" spans="1:30">
      <c r="A1614" s="212" t="s">
        <v>2592</v>
      </c>
      <c r="B1614" s="141" t="s">
        <v>2909</v>
      </c>
      <c r="C1614" s="150" t="s">
        <v>3817</v>
      </c>
      <c r="D1614" s="221"/>
      <c r="E1614" s="150"/>
      <c r="F1614" s="150"/>
      <c r="G1614" s="110" t="s">
        <v>2663</v>
      </c>
      <c r="H1614" s="150" t="s">
        <v>6203</v>
      </c>
      <c r="I1614" s="150" t="s">
        <v>2910</v>
      </c>
      <c r="J1614" s="150" t="s">
        <v>6452</v>
      </c>
      <c r="K1614" s="221"/>
      <c r="L1614" s="135" t="str">
        <f t="shared" si="93"/>
        <v>Sphaerias blanfordi</v>
      </c>
      <c r="M1614" s="133">
        <f t="shared" si="92"/>
        <v>1.4498639247181442</v>
      </c>
      <c r="N1614" s="152">
        <v>28.175000000000001</v>
      </c>
      <c r="O1614" s="192"/>
      <c r="P1614" s="109">
        <v>153</v>
      </c>
    </row>
    <row r="1615" spans="1:30" ht="89.25">
      <c r="A1615" s="212" t="s">
        <v>2592</v>
      </c>
      <c r="B1615" s="141" t="s">
        <v>2851</v>
      </c>
      <c r="C1615" s="150" t="s">
        <v>3817</v>
      </c>
      <c r="D1615" s="221"/>
      <c r="E1615" s="150"/>
      <c r="F1615" s="150"/>
      <c r="G1615" s="110" t="s">
        <v>2663</v>
      </c>
      <c r="H1615" s="150" t="s">
        <v>1684</v>
      </c>
      <c r="I1615" s="150" t="s">
        <v>2742</v>
      </c>
      <c r="J1615" s="150" t="s">
        <v>2830</v>
      </c>
      <c r="K1615" s="221"/>
      <c r="L1615" s="135" t="str">
        <f t="shared" si="93"/>
        <v>Asellia tridens</v>
      </c>
      <c r="M1615" s="133">
        <f t="shared" si="92"/>
        <v>1.0765621689608755</v>
      </c>
      <c r="N1615" s="152">
        <v>11.927849999999999</v>
      </c>
      <c r="O1615" s="192"/>
      <c r="P1615" s="109">
        <v>153</v>
      </c>
      <c r="R1615" s="85" t="s">
        <v>7910</v>
      </c>
    </row>
    <row r="1616" spans="1:30" ht="38.25">
      <c r="A1616" s="212" t="s">
        <v>2592</v>
      </c>
      <c r="B1616" s="141" t="s">
        <v>517</v>
      </c>
      <c r="C1616" s="150" t="s">
        <v>3817</v>
      </c>
      <c r="D1616" s="221"/>
      <c r="E1616" s="150"/>
      <c r="F1616" s="150"/>
      <c r="G1616" s="110" t="s">
        <v>2663</v>
      </c>
      <c r="H1616" s="150" t="s">
        <v>1684</v>
      </c>
      <c r="I1616" s="150" t="s">
        <v>2967</v>
      </c>
      <c r="J1616" s="150" t="s">
        <v>6476</v>
      </c>
      <c r="K1616" s="221"/>
      <c r="L1616" s="135" t="str">
        <f t="shared" si="93"/>
        <v>Aselliscus stoliczkanus</v>
      </c>
      <c r="M1616" s="133">
        <f t="shared" si="92"/>
        <v>0.69019608002851374</v>
      </c>
      <c r="N1616" s="152">
        <v>4.9000000000000004</v>
      </c>
      <c r="O1616" s="192"/>
      <c r="P1616" s="109">
        <v>153</v>
      </c>
    </row>
    <row r="1617" spans="1:30" ht="51">
      <c r="A1617" s="212" t="s">
        <v>2592</v>
      </c>
      <c r="B1617" s="141" t="s">
        <v>4434</v>
      </c>
      <c r="C1617" s="150" t="s">
        <v>3817</v>
      </c>
      <c r="D1617" s="221"/>
      <c r="E1617" s="150"/>
      <c r="F1617" s="150"/>
      <c r="G1617" s="110" t="s">
        <v>2663</v>
      </c>
      <c r="H1617" s="150" t="s">
        <v>1684</v>
      </c>
      <c r="I1617" s="150" t="s">
        <v>2006</v>
      </c>
      <c r="J1617" s="150" t="s">
        <v>4415</v>
      </c>
      <c r="K1617" s="221"/>
      <c r="L1617" s="135" t="str">
        <f t="shared" si="93"/>
        <v>Coelops frithi</v>
      </c>
      <c r="M1617" s="133">
        <f t="shared" si="92"/>
        <v>0.86923171973097624</v>
      </c>
      <c r="N1617" s="152">
        <v>7.4</v>
      </c>
      <c r="O1617" s="192"/>
      <c r="P1617" s="109">
        <v>153</v>
      </c>
    </row>
    <row r="1618" spans="1:30" ht="38.25">
      <c r="A1618" s="212" t="s">
        <v>2592</v>
      </c>
      <c r="B1618" s="141" t="s">
        <v>594</v>
      </c>
      <c r="C1618" s="150" t="s">
        <v>3817</v>
      </c>
      <c r="D1618" s="221"/>
      <c r="E1618" s="150"/>
      <c r="F1618" s="150"/>
      <c r="G1618" s="110" t="s">
        <v>2663</v>
      </c>
      <c r="H1618" s="150" t="s">
        <v>1684</v>
      </c>
      <c r="I1618" s="150" t="s">
        <v>1724</v>
      </c>
      <c r="J1618" s="150" t="s">
        <v>2000</v>
      </c>
      <c r="K1618" s="221"/>
      <c r="L1618" s="135" t="str">
        <f t="shared" si="93"/>
        <v>Hipposideros megalotis</v>
      </c>
      <c r="M1618" s="146">
        <v>-999</v>
      </c>
      <c r="N1618" s="146">
        <v>-999</v>
      </c>
      <c r="O1618" s="183"/>
      <c r="P1618" s="109">
        <v>-999</v>
      </c>
    </row>
    <row r="1619" spans="1:30" ht="25.5">
      <c r="A1619" s="212" t="s">
        <v>2592</v>
      </c>
      <c r="B1619" s="141" t="s">
        <v>965</v>
      </c>
      <c r="C1619" s="150" t="s">
        <v>3817</v>
      </c>
      <c r="D1619" s="221"/>
      <c r="E1619" s="150"/>
      <c r="F1619" s="150"/>
      <c r="G1619" s="110" t="s">
        <v>2663</v>
      </c>
      <c r="H1619" s="150" t="s">
        <v>1684</v>
      </c>
      <c r="I1619" s="150" t="s">
        <v>1724</v>
      </c>
      <c r="J1619" s="150" t="s">
        <v>966</v>
      </c>
      <c r="K1619" s="221"/>
      <c r="L1619" s="135" t="str">
        <f t="shared" si="93"/>
        <v>Hipposideros pratti</v>
      </c>
      <c r="M1619" s="146">
        <v>-999</v>
      </c>
      <c r="N1619" s="146">
        <v>-999</v>
      </c>
      <c r="O1619" s="183"/>
      <c r="P1619" s="109">
        <v>-999</v>
      </c>
    </row>
    <row r="1620" spans="1:30">
      <c r="A1620" s="212" t="s">
        <v>2592</v>
      </c>
      <c r="B1620" s="141" t="s">
        <v>2566</v>
      </c>
      <c r="C1620" s="150" t="s">
        <v>3817</v>
      </c>
      <c r="D1620" s="221"/>
      <c r="E1620" s="150"/>
      <c r="F1620" s="150"/>
      <c r="G1620" s="110" t="s">
        <v>2663</v>
      </c>
      <c r="H1620" s="150" t="s">
        <v>1684</v>
      </c>
      <c r="I1620" s="150" t="s">
        <v>1724</v>
      </c>
      <c r="J1620" s="150" t="s">
        <v>967</v>
      </c>
      <c r="K1620" s="221"/>
      <c r="L1620" s="135" t="str">
        <f t="shared" si="93"/>
        <v>Hipposideros schistaceus</v>
      </c>
      <c r="M1620" s="146">
        <v>-999</v>
      </c>
      <c r="N1620" s="146">
        <v>-999</v>
      </c>
      <c r="O1620" s="183"/>
      <c r="P1620" s="109">
        <v>-999</v>
      </c>
    </row>
    <row r="1621" spans="1:30">
      <c r="A1621" s="212" t="s">
        <v>2592</v>
      </c>
      <c r="B1621" s="141" t="s">
        <v>2276</v>
      </c>
      <c r="C1621" s="150" t="s">
        <v>3817</v>
      </c>
      <c r="D1621" s="221"/>
      <c r="E1621" s="150"/>
      <c r="F1621" s="150"/>
      <c r="G1621" s="110" t="s">
        <v>2663</v>
      </c>
      <c r="H1621" s="150" t="s">
        <v>1684</v>
      </c>
      <c r="I1621" s="150" t="s">
        <v>1724</v>
      </c>
      <c r="J1621" s="150" t="s">
        <v>640</v>
      </c>
      <c r="K1621" s="221"/>
      <c r="L1621" s="135" t="str">
        <f t="shared" si="93"/>
        <v>Hipposideros halophyllus</v>
      </c>
      <c r="M1621" s="133">
        <f t="shared" ref="M1621:M1640" si="94">LOG(N1621)</f>
        <v>0.6020599913279624</v>
      </c>
      <c r="N1621" s="152">
        <v>4</v>
      </c>
      <c r="O1621" s="192"/>
      <c r="P1621" s="109">
        <v>153</v>
      </c>
    </row>
    <row r="1622" spans="1:30" ht="51">
      <c r="A1622" s="212" t="s">
        <v>2592</v>
      </c>
      <c r="B1622" s="141" t="s">
        <v>469</v>
      </c>
      <c r="C1622" s="150" t="s">
        <v>3817</v>
      </c>
      <c r="D1622" s="221"/>
      <c r="E1622" s="150"/>
      <c r="F1622" s="150"/>
      <c r="G1622" s="110" t="s">
        <v>2663</v>
      </c>
      <c r="H1622" s="150" t="s">
        <v>1684</v>
      </c>
      <c r="I1622" s="150" t="s">
        <v>1724</v>
      </c>
      <c r="J1622" s="150" t="s">
        <v>6395</v>
      </c>
      <c r="K1622" s="221"/>
      <c r="L1622" s="135" t="str">
        <f t="shared" si="93"/>
        <v>Hipposideros cineraceus</v>
      </c>
      <c r="M1622" s="133">
        <f t="shared" si="94"/>
        <v>0.60566411559675182</v>
      </c>
      <c r="N1622" s="152">
        <v>4.0333333333330001</v>
      </c>
      <c r="O1622" s="192"/>
      <c r="P1622" s="109">
        <v>153</v>
      </c>
    </row>
    <row r="1623" spans="1:30" ht="25.5">
      <c r="A1623" s="212" t="s">
        <v>2592</v>
      </c>
      <c r="B1623" s="141" t="s">
        <v>529</v>
      </c>
      <c r="C1623" s="150" t="s">
        <v>3817</v>
      </c>
      <c r="D1623" s="221"/>
      <c r="E1623" s="150"/>
      <c r="F1623" s="150"/>
      <c r="G1623" s="110" t="s">
        <v>2663</v>
      </c>
      <c r="H1623" s="150" t="s">
        <v>1684</v>
      </c>
      <c r="I1623" s="150" t="s">
        <v>1724</v>
      </c>
      <c r="J1623" s="150" t="s">
        <v>3387</v>
      </c>
      <c r="K1623" s="221"/>
      <c r="L1623" s="135" t="str">
        <f t="shared" si="93"/>
        <v>Hipposideros sabanus</v>
      </c>
      <c r="M1623" s="133">
        <f t="shared" si="94"/>
        <v>0.62324929039790045</v>
      </c>
      <c r="N1623" s="152">
        <v>4.2</v>
      </c>
      <c r="O1623" s="192"/>
      <c r="P1623" s="109">
        <v>153</v>
      </c>
    </row>
    <row r="1624" spans="1:30" ht="89.25">
      <c r="A1624" s="212" t="s">
        <v>2592</v>
      </c>
      <c r="B1624" s="130" t="s">
        <v>714</v>
      </c>
      <c r="C1624" s="155" t="s">
        <v>3817</v>
      </c>
      <c r="D1624" s="225"/>
      <c r="E1624" s="155"/>
      <c r="F1624" s="155"/>
      <c r="G1624" s="110" t="s">
        <v>2663</v>
      </c>
      <c r="H1624" s="155" t="s">
        <v>1684</v>
      </c>
      <c r="I1624" s="155" t="s">
        <v>1724</v>
      </c>
      <c r="J1624" s="155" t="s">
        <v>5946</v>
      </c>
      <c r="K1624" s="225"/>
      <c r="L1624" s="135" t="str">
        <f t="shared" si="93"/>
        <v>Hipposideros ater</v>
      </c>
      <c r="M1624" s="133">
        <f t="shared" si="94"/>
        <v>0.76566855475901408</v>
      </c>
      <c r="N1624" s="152">
        <v>5.83</v>
      </c>
      <c r="O1624" s="192"/>
      <c r="P1624" s="109">
        <v>153</v>
      </c>
    </row>
    <row r="1625" spans="1:30" ht="25.5">
      <c r="A1625" s="212" t="s">
        <v>2592</v>
      </c>
      <c r="B1625" s="141" t="s">
        <v>678</v>
      </c>
      <c r="C1625" s="150" t="s">
        <v>3817</v>
      </c>
      <c r="D1625" s="221"/>
      <c r="E1625" s="150"/>
      <c r="F1625" s="150"/>
      <c r="G1625" s="110" t="s">
        <v>2663</v>
      </c>
      <c r="H1625" s="150" t="s">
        <v>1684</v>
      </c>
      <c r="I1625" s="150" t="s">
        <v>1724</v>
      </c>
      <c r="J1625" s="150" t="s">
        <v>679</v>
      </c>
      <c r="K1625" s="221"/>
      <c r="L1625" s="135" t="str">
        <f t="shared" si="93"/>
        <v>Hipposideros dyacorum</v>
      </c>
      <c r="M1625" s="146">
        <f t="shared" si="94"/>
        <v>0.78175537465246892</v>
      </c>
      <c r="N1625" s="146">
        <f>AVERAGE(4.5, 7.6)</f>
        <v>6.05</v>
      </c>
      <c r="O1625" s="183"/>
      <c r="P1625" s="109">
        <v>257</v>
      </c>
    </row>
    <row r="1626" spans="1:30" ht="25.5">
      <c r="A1626" s="212" t="s">
        <v>2592</v>
      </c>
      <c r="B1626" s="141" t="s">
        <v>552</v>
      </c>
      <c r="C1626" s="150" t="s">
        <v>3817</v>
      </c>
      <c r="D1626" s="221"/>
      <c r="E1626" s="150"/>
      <c r="F1626" s="150"/>
      <c r="G1626" s="110" t="s">
        <v>2663</v>
      </c>
      <c r="H1626" s="150" t="s">
        <v>1684</v>
      </c>
      <c r="I1626" s="150" t="s">
        <v>1724</v>
      </c>
      <c r="J1626" s="150" t="s">
        <v>553</v>
      </c>
      <c r="K1626" s="221"/>
      <c r="L1626" s="135" t="str">
        <f t="shared" si="93"/>
        <v>Hipposideros pomona</v>
      </c>
      <c r="M1626" s="133">
        <f t="shared" si="94"/>
        <v>0.79239168949825389</v>
      </c>
      <c r="N1626" s="152">
        <v>6.2</v>
      </c>
      <c r="O1626" s="192"/>
      <c r="P1626" s="109">
        <v>153</v>
      </c>
      <c r="T1626" s="90"/>
    </row>
    <row r="1627" spans="1:30" ht="51">
      <c r="A1627" s="212" t="s">
        <v>2592</v>
      </c>
      <c r="B1627" s="141" t="s">
        <v>466</v>
      </c>
      <c r="C1627" s="150" t="s">
        <v>3817</v>
      </c>
      <c r="D1627" s="221"/>
      <c r="E1627" s="150"/>
      <c r="F1627" s="150"/>
      <c r="G1627" s="110" t="s">
        <v>2663</v>
      </c>
      <c r="H1627" s="150" t="s">
        <v>1684</v>
      </c>
      <c r="I1627" s="150" t="s">
        <v>1724</v>
      </c>
      <c r="J1627" s="150" t="s">
        <v>4010</v>
      </c>
      <c r="K1627" s="221"/>
      <c r="L1627" s="135" t="str">
        <f t="shared" si="93"/>
        <v>Hipposideros bicolor</v>
      </c>
      <c r="M1627" s="133">
        <f t="shared" si="94"/>
        <v>0.88318808962241524</v>
      </c>
      <c r="N1627" s="152">
        <v>7.6416666666669997</v>
      </c>
      <c r="O1627" s="192"/>
      <c r="P1627" s="109">
        <v>153</v>
      </c>
    </row>
    <row r="1628" spans="1:30" ht="25.5">
      <c r="A1628" s="212" t="s">
        <v>2592</v>
      </c>
      <c r="B1628" s="141" t="s">
        <v>864</v>
      </c>
      <c r="C1628" s="150" t="s">
        <v>3817</v>
      </c>
      <c r="D1628" s="221"/>
      <c r="E1628" s="150"/>
      <c r="F1628" s="150"/>
      <c r="G1628" s="110" t="s">
        <v>2663</v>
      </c>
      <c r="H1628" s="150" t="s">
        <v>1684</v>
      </c>
      <c r="I1628" s="150" t="s">
        <v>1724</v>
      </c>
      <c r="J1628" s="150" t="s">
        <v>6528</v>
      </c>
      <c r="K1628" s="221"/>
      <c r="L1628" s="135" t="str">
        <f t="shared" si="93"/>
        <v>Hipposideros fulvus</v>
      </c>
      <c r="M1628" s="133">
        <f t="shared" si="94"/>
        <v>0.92941892571429274</v>
      </c>
      <c r="N1628" s="152">
        <v>8.5</v>
      </c>
      <c r="O1628" s="192"/>
      <c r="P1628" s="109">
        <v>153</v>
      </c>
    </row>
    <row r="1629" spans="1:30" ht="38.25">
      <c r="A1629" s="212" t="s">
        <v>2592</v>
      </c>
      <c r="B1629" s="141" t="s">
        <v>865</v>
      </c>
      <c r="C1629" s="150" t="s">
        <v>3817</v>
      </c>
      <c r="D1629" s="221"/>
      <c r="E1629" s="150"/>
      <c r="F1629" s="150"/>
      <c r="G1629" s="110" t="s">
        <v>2663</v>
      </c>
      <c r="H1629" s="150" t="s">
        <v>1684</v>
      </c>
      <c r="I1629" s="150" t="s">
        <v>1724</v>
      </c>
      <c r="J1629" s="150" t="s">
        <v>3003</v>
      </c>
      <c r="K1629" s="221"/>
      <c r="L1629" s="135" t="str">
        <f t="shared" si="93"/>
        <v>Hipposideros galeritus</v>
      </c>
      <c r="M1629" s="133">
        <f t="shared" si="94"/>
        <v>0.95182303531591195</v>
      </c>
      <c r="N1629" s="152">
        <v>8.9499999999999993</v>
      </c>
      <c r="O1629" s="192"/>
      <c r="P1629" s="109">
        <v>153</v>
      </c>
    </row>
    <row r="1630" spans="1:30" ht="63.75">
      <c r="A1630" s="212" t="s">
        <v>2592</v>
      </c>
      <c r="B1630" s="141" t="s">
        <v>549</v>
      </c>
      <c r="C1630" s="150" t="s">
        <v>3817</v>
      </c>
      <c r="D1630" s="221"/>
      <c r="E1630" s="150"/>
      <c r="F1630" s="150"/>
      <c r="G1630" s="110" t="s">
        <v>2663</v>
      </c>
      <c r="H1630" s="150" t="s">
        <v>1684</v>
      </c>
      <c r="I1630" s="150" t="s">
        <v>1724</v>
      </c>
      <c r="J1630" s="150" t="s">
        <v>6514</v>
      </c>
      <c r="K1630" s="221"/>
      <c r="L1630" s="135" t="str">
        <f t="shared" si="93"/>
        <v>Hipposideros caffer</v>
      </c>
      <c r="M1630" s="133">
        <f t="shared" si="94"/>
        <v>0.97530048268973135</v>
      </c>
      <c r="N1630" s="152">
        <v>9.4471428571429996</v>
      </c>
      <c r="O1630" s="192"/>
      <c r="P1630" s="109">
        <v>153</v>
      </c>
      <c r="R1630" s="85" t="s">
        <v>7909</v>
      </c>
    </row>
    <row r="1631" spans="1:30" s="62" customFormat="1">
      <c r="A1631" s="212" t="s">
        <v>2592</v>
      </c>
      <c r="B1631" s="141" t="s">
        <v>1936</v>
      </c>
      <c r="C1631" s="150" t="s">
        <v>3817</v>
      </c>
      <c r="D1631" s="221"/>
      <c r="E1631" s="150"/>
      <c r="F1631" s="150"/>
      <c r="G1631" s="110" t="s">
        <v>2663</v>
      </c>
      <c r="H1631" s="150" t="s">
        <v>1684</v>
      </c>
      <c r="I1631" s="150" t="s">
        <v>1724</v>
      </c>
      <c r="J1631" s="150" t="s">
        <v>550</v>
      </c>
      <c r="K1631" s="221"/>
      <c r="L1631" s="135" t="str">
        <f t="shared" si="93"/>
        <v>Hipposideros ridleyi</v>
      </c>
      <c r="M1631" s="133">
        <f t="shared" si="94"/>
        <v>0.98452731334379262</v>
      </c>
      <c r="N1631" s="149">
        <v>9.65</v>
      </c>
      <c r="O1631" s="192"/>
      <c r="P1631" s="109">
        <v>153</v>
      </c>
      <c r="Q1631" s="90"/>
      <c r="R1631" s="85"/>
      <c r="S1631" s="85"/>
      <c r="T1631" s="85"/>
      <c r="U1631" s="16"/>
      <c r="V1631" s="16"/>
      <c r="W1631" s="61"/>
      <c r="X1631" s="61"/>
      <c r="Y1631" s="61"/>
      <c r="Z1631" s="61"/>
      <c r="AA1631" s="61"/>
      <c r="AB1631" s="61"/>
      <c r="AC1631" s="61"/>
      <c r="AD1631" s="64"/>
    </row>
    <row r="1632" spans="1:30" s="62" customFormat="1">
      <c r="A1632" s="212" t="s">
        <v>2592</v>
      </c>
      <c r="B1632" s="141" t="s">
        <v>1003</v>
      </c>
      <c r="C1632" s="150" t="s">
        <v>3817</v>
      </c>
      <c r="D1632" s="221"/>
      <c r="E1632" s="150"/>
      <c r="F1632" s="150"/>
      <c r="G1632" s="110" t="s">
        <v>2663</v>
      </c>
      <c r="H1632" s="150" t="s">
        <v>1684</v>
      </c>
      <c r="I1632" s="150" t="s">
        <v>1724</v>
      </c>
      <c r="J1632" s="150" t="s">
        <v>2960</v>
      </c>
      <c r="K1632" s="221"/>
      <c r="L1632" s="135" t="str">
        <f t="shared" si="93"/>
        <v>Hipposideros speoris</v>
      </c>
      <c r="M1632" s="133">
        <f t="shared" si="94"/>
        <v>1.0182248201061812</v>
      </c>
      <c r="N1632" s="152">
        <v>10.428571428571001</v>
      </c>
      <c r="O1632" s="192"/>
      <c r="P1632" s="109">
        <v>153</v>
      </c>
      <c r="Q1632" s="90"/>
      <c r="R1632" s="85"/>
      <c r="S1632" s="85"/>
      <c r="T1632" s="85"/>
      <c r="U1632" s="16"/>
      <c r="V1632" s="16"/>
      <c r="W1632" s="61"/>
      <c r="X1632" s="61"/>
      <c r="Y1632" s="61"/>
      <c r="Z1632" s="61"/>
      <c r="AA1632" s="61"/>
      <c r="AB1632" s="61"/>
      <c r="AC1632" s="61"/>
      <c r="AD1632" s="64"/>
    </row>
    <row r="1633" spans="1:22" ht="89.25">
      <c r="A1633" s="212" t="s">
        <v>2592</v>
      </c>
      <c r="B1633" s="141" t="s">
        <v>2791</v>
      </c>
      <c r="C1633" s="150" t="s">
        <v>3817</v>
      </c>
      <c r="D1633" s="221"/>
      <c r="E1633" s="150"/>
      <c r="F1633" s="150"/>
      <c r="G1633" s="110" t="s">
        <v>2663</v>
      </c>
      <c r="H1633" s="150" t="s">
        <v>1684</v>
      </c>
      <c r="I1633" s="150" t="s">
        <v>1724</v>
      </c>
      <c r="J1633" s="150" t="s">
        <v>5823</v>
      </c>
      <c r="K1633" s="221"/>
      <c r="L1633" s="135" t="str">
        <f t="shared" si="93"/>
        <v>Hipposideros larvatus</v>
      </c>
      <c r="M1633" s="133">
        <f t="shared" si="94"/>
        <v>1.2977605110991339</v>
      </c>
      <c r="N1633" s="152">
        <v>19.850000000000001</v>
      </c>
      <c r="O1633" s="192"/>
      <c r="P1633" s="109">
        <v>153</v>
      </c>
    </row>
    <row r="1634" spans="1:22">
      <c r="A1634" s="212" t="s">
        <v>2592</v>
      </c>
      <c r="B1634" s="141" t="s">
        <v>2276</v>
      </c>
      <c r="C1634" s="150" t="s">
        <v>3817</v>
      </c>
      <c r="D1634" s="221"/>
      <c r="E1634" s="150"/>
      <c r="F1634" s="150"/>
      <c r="G1634" s="110" t="s">
        <v>2663</v>
      </c>
      <c r="H1634" s="150" t="s">
        <v>1684</v>
      </c>
      <c r="I1634" s="150" t="s">
        <v>1724</v>
      </c>
      <c r="J1634" s="150" t="s">
        <v>2792</v>
      </c>
      <c r="K1634" s="221"/>
      <c r="L1634" s="135" t="str">
        <f t="shared" si="93"/>
        <v>Hipposideros lekaguli</v>
      </c>
      <c r="M1634" s="133">
        <f t="shared" si="94"/>
        <v>1.4927603890268375</v>
      </c>
      <c r="N1634" s="152">
        <v>31.1</v>
      </c>
      <c r="O1634" s="192"/>
      <c r="P1634" s="109">
        <v>153</v>
      </c>
    </row>
    <row r="1635" spans="1:22" ht="51">
      <c r="A1635" s="212" t="s">
        <v>2592</v>
      </c>
      <c r="B1635" s="141" t="s">
        <v>820</v>
      </c>
      <c r="C1635" s="150" t="s">
        <v>3817</v>
      </c>
      <c r="D1635" s="221"/>
      <c r="E1635" s="150"/>
      <c r="F1635" s="150"/>
      <c r="G1635" s="110" t="s">
        <v>2663</v>
      </c>
      <c r="H1635" s="150" t="s">
        <v>1684</v>
      </c>
      <c r="I1635" s="150" t="s">
        <v>1724</v>
      </c>
      <c r="J1635" s="150" t="s">
        <v>821</v>
      </c>
      <c r="K1635" s="221"/>
      <c r="L1635" s="135" t="str">
        <f t="shared" si="93"/>
        <v>Hipposideros turpis</v>
      </c>
      <c r="M1635" s="133">
        <f t="shared" si="94"/>
        <v>1.5230958382525679</v>
      </c>
      <c r="N1635" s="152">
        <v>33.35</v>
      </c>
      <c r="O1635" s="192"/>
      <c r="P1635" s="109">
        <v>153</v>
      </c>
    </row>
    <row r="1636" spans="1:22" ht="25.5">
      <c r="A1636" s="212" t="s">
        <v>2592</v>
      </c>
      <c r="B1636" s="141" t="s">
        <v>735</v>
      </c>
      <c r="C1636" s="150" t="s">
        <v>3817</v>
      </c>
      <c r="D1636" s="221"/>
      <c r="E1636" s="150"/>
      <c r="F1636" s="150"/>
      <c r="G1636" s="110" t="s">
        <v>2663</v>
      </c>
      <c r="H1636" s="150" t="s">
        <v>1684</v>
      </c>
      <c r="I1636" s="150" t="s">
        <v>1724</v>
      </c>
      <c r="J1636" s="150" t="s">
        <v>528</v>
      </c>
      <c r="K1636" s="221"/>
      <c r="L1636" s="135" t="str">
        <f t="shared" si="93"/>
        <v>Hipposideros lylei</v>
      </c>
      <c r="M1636" s="133">
        <f t="shared" si="94"/>
        <v>1.6020599913279623</v>
      </c>
      <c r="N1636" s="152">
        <v>40</v>
      </c>
      <c r="O1636" s="192"/>
      <c r="P1636" s="109">
        <v>153</v>
      </c>
    </row>
    <row r="1637" spans="1:22" ht="89.25">
      <c r="A1637" s="212" t="s">
        <v>2592</v>
      </c>
      <c r="B1637" s="141" t="s">
        <v>822</v>
      </c>
      <c r="C1637" s="150" t="s">
        <v>3817</v>
      </c>
      <c r="D1637" s="221"/>
      <c r="E1637" s="150"/>
      <c r="F1637" s="150"/>
      <c r="G1637" s="110" t="s">
        <v>2663</v>
      </c>
      <c r="H1637" s="150" t="s">
        <v>1684</v>
      </c>
      <c r="I1637" s="150" t="s">
        <v>1724</v>
      </c>
      <c r="J1637" s="150" t="s">
        <v>5519</v>
      </c>
      <c r="K1637" s="221"/>
      <c r="L1637" s="135" t="str">
        <f t="shared" si="93"/>
        <v>Hipposideros diadema</v>
      </c>
      <c r="M1637" s="133">
        <f t="shared" si="94"/>
        <v>1.6411134007807826</v>
      </c>
      <c r="N1637" s="152">
        <v>43.763636363636003</v>
      </c>
      <c r="O1637" s="192"/>
      <c r="P1637" s="109">
        <v>153</v>
      </c>
    </row>
    <row r="1638" spans="1:22" ht="60" customHeight="1">
      <c r="A1638" s="212" t="s">
        <v>2592</v>
      </c>
      <c r="B1638" s="141" t="s">
        <v>823</v>
      </c>
      <c r="C1638" s="150" t="s">
        <v>3817</v>
      </c>
      <c r="D1638" s="221"/>
      <c r="E1638" s="150"/>
      <c r="F1638" s="150"/>
      <c r="G1638" s="110" t="s">
        <v>2663</v>
      </c>
      <c r="H1638" s="150" t="s">
        <v>1684</v>
      </c>
      <c r="I1638" s="150" t="s">
        <v>1724</v>
      </c>
      <c r="J1638" s="150" t="s">
        <v>1946</v>
      </c>
      <c r="K1638" s="221"/>
      <c r="L1638" s="135" t="str">
        <f t="shared" si="93"/>
        <v>Hipposideros lankadiva</v>
      </c>
      <c r="M1638" s="133">
        <f t="shared" si="94"/>
        <v>1.7193312869837267</v>
      </c>
      <c r="N1638" s="152">
        <v>52.4</v>
      </c>
      <c r="O1638" s="192"/>
      <c r="P1638" s="109">
        <v>153</v>
      </c>
    </row>
    <row r="1639" spans="1:22" ht="51">
      <c r="A1639" s="212" t="s">
        <v>2592</v>
      </c>
      <c r="B1639" s="141" t="s">
        <v>441</v>
      </c>
      <c r="C1639" s="150" t="s">
        <v>3817</v>
      </c>
      <c r="D1639" s="221"/>
      <c r="E1639" s="150"/>
      <c r="F1639" s="150"/>
      <c r="G1639" s="110" t="s">
        <v>2663</v>
      </c>
      <c r="H1639" s="150" t="s">
        <v>1684</v>
      </c>
      <c r="I1639" s="150" t="s">
        <v>1724</v>
      </c>
      <c r="J1639" s="150" t="s">
        <v>442</v>
      </c>
      <c r="K1639" s="221"/>
      <c r="L1639" s="135" t="str">
        <f t="shared" si="93"/>
        <v>Hipposideros armiger</v>
      </c>
      <c r="M1639" s="133">
        <f t="shared" si="94"/>
        <v>1.7242758696007889</v>
      </c>
      <c r="N1639" s="152">
        <v>53</v>
      </c>
      <c r="O1639" s="192"/>
      <c r="P1639" s="109">
        <v>153</v>
      </c>
    </row>
    <row r="1640" spans="1:22">
      <c r="A1640" s="212" t="s">
        <v>2592</v>
      </c>
      <c r="B1640" s="141" t="s">
        <v>968</v>
      </c>
      <c r="C1640" s="150" t="s">
        <v>3817</v>
      </c>
      <c r="D1640" s="221"/>
      <c r="E1640" s="150"/>
      <c r="F1640" s="150"/>
      <c r="G1640" s="110" t="s">
        <v>2663</v>
      </c>
      <c r="H1640" s="150" t="s">
        <v>1684</v>
      </c>
      <c r="I1640" s="150" t="s">
        <v>969</v>
      </c>
      <c r="J1640" s="150" t="s">
        <v>2000</v>
      </c>
      <c r="K1640" s="221"/>
      <c r="L1640" s="135" t="str">
        <f t="shared" si="93"/>
        <v>Paracoelops megalotis</v>
      </c>
      <c r="M1640" s="146">
        <f t="shared" si="94"/>
        <v>0.75357570569657195</v>
      </c>
      <c r="N1640" s="146">
        <f>0.2*28.34952</f>
        <v>5.6699039999999998</v>
      </c>
      <c r="O1640" s="183"/>
      <c r="P1640" s="109">
        <v>215</v>
      </c>
    </row>
    <row r="1641" spans="1:22">
      <c r="A1641" s="212" t="s">
        <v>2592</v>
      </c>
      <c r="B1641" s="141" t="s">
        <v>998</v>
      </c>
      <c r="C1641" s="150" t="s">
        <v>3817</v>
      </c>
      <c r="D1641" s="221"/>
      <c r="E1641" s="150"/>
      <c r="F1641" s="150"/>
      <c r="G1641" s="110" t="s">
        <v>2663</v>
      </c>
      <c r="H1641" s="150" t="s">
        <v>1684</v>
      </c>
      <c r="I1641" s="150" t="s">
        <v>1332</v>
      </c>
      <c r="J1641" s="150" t="s">
        <v>999</v>
      </c>
      <c r="K1641" s="221"/>
      <c r="L1641" s="135" t="str">
        <f t="shared" si="93"/>
        <v>Rhinolophus canuti</v>
      </c>
      <c r="M1641" s="146">
        <v>-999</v>
      </c>
      <c r="N1641" s="146">
        <v>-999</v>
      </c>
      <c r="O1641" s="183"/>
      <c r="P1641" s="109">
        <v>-999</v>
      </c>
    </row>
    <row r="1642" spans="1:22">
      <c r="A1642" s="212" t="s">
        <v>2592</v>
      </c>
      <c r="B1642" s="141" t="s">
        <v>792</v>
      </c>
      <c r="C1642" s="150" t="s">
        <v>3817</v>
      </c>
      <c r="D1642" s="221"/>
      <c r="E1642" s="150"/>
      <c r="F1642" s="150"/>
      <c r="G1642" s="110" t="s">
        <v>2663</v>
      </c>
      <c r="H1642" s="150" t="s">
        <v>1684</v>
      </c>
      <c r="I1642" s="150" t="s">
        <v>1332</v>
      </c>
      <c r="J1642" s="150" t="s">
        <v>793</v>
      </c>
      <c r="K1642" s="221"/>
      <c r="L1642" s="135" t="str">
        <f t="shared" si="93"/>
        <v>Rhinolophus mitratus</v>
      </c>
      <c r="M1642" s="146">
        <v>-999</v>
      </c>
      <c r="N1642" s="146">
        <v>-999</v>
      </c>
      <c r="O1642" s="183"/>
      <c r="P1642" s="109">
        <v>-999</v>
      </c>
    </row>
    <row r="1643" spans="1:22" ht="30" customHeight="1">
      <c r="A1643" s="212" t="s">
        <v>2592</v>
      </c>
      <c r="B1643" s="141" t="s">
        <v>1942</v>
      </c>
      <c r="C1643" s="150" t="s">
        <v>3817</v>
      </c>
      <c r="D1643" s="221"/>
      <c r="E1643" s="150"/>
      <c r="F1643" s="150"/>
      <c r="G1643" s="110" t="s">
        <v>2663</v>
      </c>
      <c r="H1643" s="150" t="s">
        <v>1684</v>
      </c>
      <c r="I1643" s="150" t="s">
        <v>1332</v>
      </c>
      <c r="J1643" s="150" t="s">
        <v>8143</v>
      </c>
      <c r="K1643" s="221"/>
      <c r="L1643" s="135" t="str">
        <f t="shared" si="93"/>
        <v>Rhinolophus monoceros</v>
      </c>
      <c r="M1643" s="146">
        <v>-999</v>
      </c>
      <c r="N1643" s="146">
        <v>-999</v>
      </c>
      <c r="O1643" s="183"/>
      <c r="P1643" s="109">
        <v>-999</v>
      </c>
      <c r="U1643" s="61"/>
      <c r="V1643" s="61"/>
    </row>
    <row r="1644" spans="1:22" ht="24" customHeight="1">
      <c r="A1644" s="212" t="s">
        <v>2592</v>
      </c>
      <c r="B1644" s="141" t="s">
        <v>2855</v>
      </c>
      <c r="C1644" s="150" t="s">
        <v>3817</v>
      </c>
      <c r="D1644" s="221"/>
      <c r="E1644" s="150"/>
      <c r="F1644" s="150"/>
      <c r="G1644" s="110" t="s">
        <v>2663</v>
      </c>
      <c r="H1644" s="150" t="s">
        <v>1684</v>
      </c>
      <c r="I1644" s="150" t="s">
        <v>1332</v>
      </c>
      <c r="J1644" s="150" t="s">
        <v>4683</v>
      </c>
      <c r="K1644" s="221"/>
      <c r="L1644" s="135" t="str">
        <f t="shared" si="93"/>
        <v>Rhinolophus osgoodi</v>
      </c>
      <c r="M1644" s="146">
        <v>-999</v>
      </c>
      <c r="N1644" s="146">
        <v>-999</v>
      </c>
      <c r="O1644" s="183"/>
      <c r="P1644" s="109">
        <v>-999</v>
      </c>
    </row>
    <row r="1645" spans="1:22">
      <c r="A1645" s="212" t="s">
        <v>2592</v>
      </c>
      <c r="B1645" s="141" t="s">
        <v>2923</v>
      </c>
      <c r="C1645" s="150" t="s">
        <v>3817</v>
      </c>
      <c r="D1645" s="221"/>
      <c r="E1645" s="150"/>
      <c r="F1645" s="150"/>
      <c r="G1645" s="110" t="s">
        <v>2663</v>
      </c>
      <c r="H1645" s="150" t="s">
        <v>1684</v>
      </c>
      <c r="I1645" s="150" t="s">
        <v>1332</v>
      </c>
      <c r="J1645" s="150" t="s">
        <v>2050</v>
      </c>
      <c r="K1645" s="221"/>
      <c r="L1645" s="135" t="str">
        <f t="shared" si="93"/>
        <v>Rhinolophus rex</v>
      </c>
      <c r="M1645" s="146">
        <v>-999</v>
      </c>
      <c r="N1645" s="146">
        <v>-999</v>
      </c>
      <c r="O1645" s="183"/>
      <c r="P1645" s="109">
        <v>-999</v>
      </c>
      <c r="U1645" s="61"/>
      <c r="V1645" s="61"/>
    </row>
    <row r="1646" spans="1:22" ht="48" customHeight="1">
      <c r="A1646" s="212" t="s">
        <v>2592</v>
      </c>
      <c r="B1646" s="141" t="s">
        <v>2829</v>
      </c>
      <c r="C1646" s="150" t="s">
        <v>3817</v>
      </c>
      <c r="D1646" s="221"/>
      <c r="E1646" s="150"/>
      <c r="F1646" s="150"/>
      <c r="G1646" s="110" t="s">
        <v>2663</v>
      </c>
      <c r="H1646" s="150" t="s">
        <v>1684</v>
      </c>
      <c r="I1646" s="150" t="s">
        <v>1332</v>
      </c>
      <c r="J1646" s="150" t="s">
        <v>3060</v>
      </c>
      <c r="K1646" s="221"/>
      <c r="L1646" s="135" t="str">
        <f t="shared" si="93"/>
        <v>Rhinolophus subbadius</v>
      </c>
      <c r="M1646" s="146">
        <v>-999</v>
      </c>
      <c r="N1646" s="146">
        <v>-999</v>
      </c>
      <c r="O1646" s="183"/>
      <c r="P1646" s="109">
        <v>-999</v>
      </c>
    </row>
    <row r="1647" spans="1:22" ht="63.75">
      <c r="A1647" s="212" t="s">
        <v>2592</v>
      </c>
      <c r="B1647" s="141" t="s">
        <v>970</v>
      </c>
      <c r="C1647" s="150" t="s">
        <v>3817</v>
      </c>
      <c r="D1647" s="221"/>
      <c r="E1647" s="150"/>
      <c r="F1647" s="150"/>
      <c r="G1647" s="110" t="s">
        <v>2663</v>
      </c>
      <c r="H1647" s="150" t="s">
        <v>1684</v>
      </c>
      <c r="I1647" s="150" t="s">
        <v>1332</v>
      </c>
      <c r="J1647" s="150" t="s">
        <v>971</v>
      </c>
      <c r="K1647" s="221"/>
      <c r="L1647" s="135" t="str">
        <f t="shared" si="93"/>
        <v>Rhinolophus hipposideros</v>
      </c>
      <c r="M1647" s="133">
        <f t="shared" ref="M1647:M1679" si="95">LOG(N1647)</f>
        <v>0.67294997295450032</v>
      </c>
      <c r="N1647" s="152">
        <v>4.7092307692309996</v>
      </c>
      <c r="O1647" s="192"/>
      <c r="P1647" s="109">
        <v>153</v>
      </c>
      <c r="R1647" s="90" t="s">
        <v>7906</v>
      </c>
    </row>
    <row r="1648" spans="1:22">
      <c r="A1648" s="212" t="s">
        <v>2592</v>
      </c>
      <c r="B1648" s="141" t="s">
        <v>2276</v>
      </c>
      <c r="C1648" s="150" t="s">
        <v>3817</v>
      </c>
      <c r="D1648" s="221"/>
      <c r="E1648" s="150"/>
      <c r="F1648" s="150"/>
      <c r="G1648" s="110" t="s">
        <v>2663</v>
      </c>
      <c r="H1648" s="150" t="s">
        <v>1684</v>
      </c>
      <c r="I1648" s="150" t="s">
        <v>1332</v>
      </c>
      <c r="J1648" s="150" t="s">
        <v>919</v>
      </c>
      <c r="K1648" s="221"/>
      <c r="L1648" s="135" t="str">
        <f t="shared" si="93"/>
        <v>Rhinolophus marshalli</v>
      </c>
      <c r="M1648" s="133">
        <f t="shared" si="95"/>
        <v>0.70070371714501933</v>
      </c>
      <c r="N1648" s="152">
        <v>5.0199999999999996</v>
      </c>
      <c r="O1648" s="192"/>
      <c r="P1648" s="109">
        <v>153</v>
      </c>
    </row>
    <row r="1649" spans="1:30" ht="63.75">
      <c r="A1649" s="212" t="s">
        <v>2592</v>
      </c>
      <c r="B1649" s="141" t="s">
        <v>675</v>
      </c>
      <c r="C1649" s="150" t="s">
        <v>3817</v>
      </c>
      <c r="D1649" s="221"/>
      <c r="E1649" s="150"/>
      <c r="F1649" s="150"/>
      <c r="G1649" s="110" t="s">
        <v>2663</v>
      </c>
      <c r="H1649" s="150" t="s">
        <v>1684</v>
      </c>
      <c r="I1649" s="150" t="s">
        <v>1332</v>
      </c>
      <c r="J1649" s="150" t="s">
        <v>4473</v>
      </c>
      <c r="K1649" s="221"/>
      <c r="L1649" s="135" t="str">
        <f t="shared" si="93"/>
        <v>Rhinolophus pusillus</v>
      </c>
      <c r="M1649" s="133">
        <f t="shared" si="95"/>
        <v>0.71180722904119109</v>
      </c>
      <c r="N1649" s="152">
        <v>5.15</v>
      </c>
      <c r="O1649" s="192"/>
      <c r="P1649" s="109">
        <v>153</v>
      </c>
    </row>
    <row r="1650" spans="1:30" ht="24" customHeight="1">
      <c r="A1650" s="212" t="s">
        <v>2592</v>
      </c>
      <c r="B1650" s="141" t="s">
        <v>2914</v>
      </c>
      <c r="C1650" s="150" t="s">
        <v>3817</v>
      </c>
      <c r="D1650" s="221"/>
      <c r="E1650" s="150"/>
      <c r="F1650" s="150"/>
      <c r="G1650" s="110" t="s">
        <v>2663</v>
      </c>
      <c r="H1650" s="150" t="s">
        <v>1684</v>
      </c>
      <c r="I1650" s="150" t="s">
        <v>1332</v>
      </c>
      <c r="J1650" s="150" t="s">
        <v>2175</v>
      </c>
      <c r="K1650" s="221"/>
      <c r="L1650" s="135" t="str">
        <f t="shared" si="93"/>
        <v>Rhinolophus lepidus</v>
      </c>
      <c r="M1650" s="133">
        <f t="shared" si="95"/>
        <v>0.75587485567249146</v>
      </c>
      <c r="N1650" s="152">
        <v>5.7</v>
      </c>
      <c r="O1650" s="192"/>
      <c r="P1650" s="109">
        <v>153</v>
      </c>
    </row>
    <row r="1651" spans="1:30" ht="38.25">
      <c r="A1651" s="212" t="s">
        <v>2592</v>
      </c>
      <c r="B1651" s="141" t="s">
        <v>2904</v>
      </c>
      <c r="C1651" s="150" t="s">
        <v>3817</v>
      </c>
      <c r="D1651" s="221"/>
      <c r="E1651" s="150"/>
      <c r="F1651" s="150"/>
      <c r="G1651" s="110" t="s">
        <v>2663</v>
      </c>
      <c r="H1651" s="150" t="s">
        <v>1684</v>
      </c>
      <c r="I1651" s="150" t="s">
        <v>1332</v>
      </c>
      <c r="J1651" s="150" t="s">
        <v>4141</v>
      </c>
      <c r="K1651" s="221"/>
      <c r="L1651" s="135" t="str">
        <f t="shared" si="93"/>
        <v>Rhinolophus macrotis</v>
      </c>
      <c r="M1651" s="133">
        <f t="shared" si="95"/>
        <v>0.7888751157754168</v>
      </c>
      <c r="N1651" s="152">
        <v>6.15</v>
      </c>
      <c r="O1651" s="192"/>
      <c r="P1651" s="109">
        <v>153</v>
      </c>
    </row>
    <row r="1652" spans="1:30" ht="25.5">
      <c r="A1652" s="212" t="s">
        <v>2592</v>
      </c>
      <c r="B1652" s="141" t="s">
        <v>2907</v>
      </c>
      <c r="C1652" s="150" t="s">
        <v>3817</v>
      </c>
      <c r="D1652" s="221"/>
      <c r="E1652" s="150"/>
      <c r="F1652" s="150"/>
      <c r="G1652" s="110" t="s">
        <v>2663</v>
      </c>
      <c r="H1652" s="150" t="s">
        <v>1684</v>
      </c>
      <c r="I1652" s="150" t="s">
        <v>1332</v>
      </c>
      <c r="J1652" s="150" t="s">
        <v>5347</v>
      </c>
      <c r="K1652" s="221"/>
      <c r="L1652" s="135" t="str">
        <f t="shared" si="93"/>
        <v>Rhinolophus malayanus</v>
      </c>
      <c r="M1652" s="133">
        <f t="shared" si="95"/>
        <v>0.82607480270082645</v>
      </c>
      <c r="N1652" s="152">
        <v>6.7</v>
      </c>
      <c r="O1652" s="192"/>
      <c r="P1652" s="109">
        <v>153</v>
      </c>
    </row>
    <row r="1653" spans="1:30" ht="48" customHeight="1">
      <c r="A1653" s="212" t="s">
        <v>2592</v>
      </c>
      <c r="B1653" s="141" t="s">
        <v>2908</v>
      </c>
      <c r="C1653" s="150" t="s">
        <v>3817</v>
      </c>
      <c r="D1653" s="221"/>
      <c r="E1653" s="150"/>
      <c r="F1653" s="150"/>
      <c r="G1653" s="110" t="s">
        <v>2663</v>
      </c>
      <c r="H1653" s="150" t="s">
        <v>1684</v>
      </c>
      <c r="I1653" s="150" t="s">
        <v>1332</v>
      </c>
      <c r="J1653" s="150" t="s">
        <v>2819</v>
      </c>
      <c r="K1653" s="221"/>
      <c r="L1653" s="135" t="str">
        <f t="shared" si="93"/>
        <v>Rhinolophus coelophyllus</v>
      </c>
      <c r="M1653" s="133">
        <f t="shared" si="95"/>
        <v>0.85125834871907524</v>
      </c>
      <c r="N1653" s="152">
        <v>7.1</v>
      </c>
      <c r="O1653" s="192"/>
      <c r="P1653" s="109">
        <v>153</v>
      </c>
    </row>
    <row r="1654" spans="1:30" ht="25.5">
      <c r="A1654" s="212" t="s">
        <v>2592</v>
      </c>
      <c r="B1654" s="141" t="s">
        <v>2702</v>
      </c>
      <c r="C1654" s="150" t="s">
        <v>3817</v>
      </c>
      <c r="D1654" s="221"/>
      <c r="E1654" s="150"/>
      <c r="F1654" s="150"/>
      <c r="G1654" s="110" t="s">
        <v>2663</v>
      </c>
      <c r="H1654" s="150" t="s">
        <v>1684</v>
      </c>
      <c r="I1654" s="150" t="s">
        <v>1332</v>
      </c>
      <c r="J1654" s="150" t="s">
        <v>2703</v>
      </c>
      <c r="K1654" s="221"/>
      <c r="L1654" s="135" t="str">
        <f t="shared" si="93"/>
        <v>Rhinolophus cornutus</v>
      </c>
      <c r="M1654" s="133">
        <f t="shared" si="95"/>
        <v>0.85733249643126852</v>
      </c>
      <c r="N1654" s="152">
        <v>7.2</v>
      </c>
      <c r="O1654" s="192"/>
      <c r="P1654" s="109">
        <v>153</v>
      </c>
    </row>
    <row r="1655" spans="1:30" s="60" customFormat="1" ht="76.5">
      <c r="A1655" s="212" t="s">
        <v>2592</v>
      </c>
      <c r="B1655" s="141" t="s">
        <v>926</v>
      </c>
      <c r="C1655" s="150" t="s">
        <v>3817</v>
      </c>
      <c r="D1655" s="221"/>
      <c r="E1655" s="150"/>
      <c r="F1655" s="150"/>
      <c r="G1655" s="110" t="s">
        <v>2663</v>
      </c>
      <c r="H1655" s="150" t="s">
        <v>1684</v>
      </c>
      <c r="I1655" s="150" t="s">
        <v>1332</v>
      </c>
      <c r="J1655" s="150" t="s">
        <v>927</v>
      </c>
      <c r="K1655" s="221"/>
      <c r="L1655" s="135" t="str">
        <f t="shared" si="93"/>
        <v>Rhinolophus borneensis</v>
      </c>
      <c r="M1655" s="146">
        <f t="shared" si="95"/>
        <v>0.89762709129044149</v>
      </c>
      <c r="N1655" s="146">
        <f>AVERAGE(6.4, 9.4)</f>
        <v>7.9</v>
      </c>
      <c r="O1655" s="183"/>
      <c r="P1655" s="109">
        <v>257</v>
      </c>
      <c r="Q1655" s="90"/>
      <c r="R1655" s="85"/>
      <c r="S1655" s="85"/>
      <c r="T1655" s="85"/>
      <c r="U1655" s="16"/>
      <c r="V1655" s="16"/>
      <c r="W1655" s="59"/>
      <c r="X1655" s="59"/>
      <c r="Y1655" s="59"/>
      <c r="Z1655" s="59"/>
      <c r="AA1655" s="59"/>
      <c r="AB1655" s="59"/>
      <c r="AC1655" s="59"/>
      <c r="AD1655" s="63"/>
    </row>
    <row r="1656" spans="1:30" ht="24" customHeight="1">
      <c r="A1656" s="212" t="s">
        <v>2592</v>
      </c>
      <c r="B1656" s="141" t="s">
        <v>779</v>
      </c>
      <c r="C1656" s="150" t="s">
        <v>3817</v>
      </c>
      <c r="D1656" s="221"/>
      <c r="E1656" s="150"/>
      <c r="F1656" s="150"/>
      <c r="G1656" s="110" t="s">
        <v>2663</v>
      </c>
      <c r="H1656" s="150" t="s">
        <v>1684</v>
      </c>
      <c r="I1656" s="150" t="s">
        <v>1332</v>
      </c>
      <c r="J1656" s="150" t="s">
        <v>780</v>
      </c>
      <c r="K1656" s="221"/>
      <c r="L1656" s="135" t="str">
        <f t="shared" si="93"/>
        <v>Rhinolophus stheno</v>
      </c>
      <c r="M1656" s="133">
        <f t="shared" si="95"/>
        <v>0.89762709129044149</v>
      </c>
      <c r="N1656" s="152">
        <v>7.9</v>
      </c>
      <c r="O1656" s="192"/>
      <c r="P1656" s="109">
        <v>153</v>
      </c>
    </row>
    <row r="1657" spans="1:30" ht="76.5">
      <c r="A1657" s="212" t="s">
        <v>2592</v>
      </c>
      <c r="B1657" s="141" t="s">
        <v>540</v>
      </c>
      <c r="C1657" s="150" t="s">
        <v>3817</v>
      </c>
      <c r="D1657" s="221"/>
      <c r="E1657" s="150"/>
      <c r="F1657" s="150"/>
      <c r="G1657" s="110" t="s">
        <v>2663</v>
      </c>
      <c r="H1657" s="150" t="s">
        <v>1684</v>
      </c>
      <c r="I1657" s="150" t="s">
        <v>1332</v>
      </c>
      <c r="J1657" s="150" t="s">
        <v>541</v>
      </c>
      <c r="K1657" s="221"/>
      <c r="L1657" s="135" t="str">
        <f t="shared" si="93"/>
        <v>Rhinolophus euryale</v>
      </c>
      <c r="M1657" s="133">
        <f t="shared" si="95"/>
        <v>0.91115760873997664</v>
      </c>
      <c r="N1657" s="152">
        <v>8.15</v>
      </c>
      <c r="O1657" s="192"/>
      <c r="P1657" s="109">
        <v>153</v>
      </c>
      <c r="R1657" s="90" t="s">
        <v>7907</v>
      </c>
    </row>
    <row r="1658" spans="1:30" ht="15" customHeight="1">
      <c r="A1658" s="212" t="s">
        <v>2592</v>
      </c>
      <c r="B1658" s="141" t="s">
        <v>542</v>
      </c>
      <c r="C1658" s="150" t="s">
        <v>3817</v>
      </c>
      <c r="D1658" s="221"/>
      <c r="E1658" s="150"/>
      <c r="F1658" s="150"/>
      <c r="G1658" s="110" t="s">
        <v>2663</v>
      </c>
      <c r="H1658" s="150" t="s">
        <v>1684</v>
      </c>
      <c r="I1658" s="150" t="s">
        <v>1332</v>
      </c>
      <c r="J1658" s="150" t="s">
        <v>543</v>
      </c>
      <c r="K1658" s="221"/>
      <c r="L1658" s="135" t="str">
        <f t="shared" si="93"/>
        <v>Rhinolophus paradoxolophus</v>
      </c>
      <c r="M1658" s="133">
        <f t="shared" si="95"/>
        <v>0.91592721169711577</v>
      </c>
      <c r="N1658" s="152">
        <v>8.24</v>
      </c>
      <c r="O1658" s="192"/>
      <c r="P1658" s="109">
        <v>153</v>
      </c>
    </row>
    <row r="1659" spans="1:30" ht="15" customHeight="1">
      <c r="A1659" s="212" t="s">
        <v>2592</v>
      </c>
      <c r="B1659" s="141" t="s">
        <v>459</v>
      </c>
      <c r="C1659" s="150" t="s">
        <v>3817</v>
      </c>
      <c r="D1659" s="221"/>
      <c r="E1659" s="150"/>
      <c r="F1659" s="150"/>
      <c r="G1659" s="110" t="s">
        <v>2663</v>
      </c>
      <c r="H1659" s="150" t="s">
        <v>1684</v>
      </c>
      <c r="I1659" s="150" t="s">
        <v>1332</v>
      </c>
      <c r="J1659" s="150" t="s">
        <v>4852</v>
      </c>
      <c r="K1659" s="221"/>
      <c r="L1659" s="135" t="str">
        <f t="shared" si="93"/>
        <v>Rhinolophus thomasi</v>
      </c>
      <c r="M1659" s="133">
        <f t="shared" si="95"/>
        <v>0.91881639036037954</v>
      </c>
      <c r="N1659" s="152">
        <v>8.2949999999999999</v>
      </c>
      <c r="O1659" s="192"/>
      <c r="P1659" s="109">
        <v>153</v>
      </c>
    </row>
    <row r="1660" spans="1:30" ht="24" customHeight="1">
      <c r="A1660" s="212" t="s">
        <v>2592</v>
      </c>
      <c r="B1660" s="141" t="s">
        <v>460</v>
      </c>
      <c r="C1660" s="150" t="s">
        <v>3817</v>
      </c>
      <c r="D1660" s="221"/>
      <c r="E1660" s="150"/>
      <c r="F1660" s="150"/>
      <c r="G1660" s="110" t="s">
        <v>2663</v>
      </c>
      <c r="H1660" s="150" t="s">
        <v>1684</v>
      </c>
      <c r="I1660" s="150" t="s">
        <v>1332</v>
      </c>
      <c r="J1660" s="150" t="s">
        <v>4542</v>
      </c>
      <c r="K1660" s="221"/>
      <c r="L1660" s="135" t="str">
        <f t="shared" si="93"/>
        <v>Rhinolophus robinsoni</v>
      </c>
      <c r="M1660" s="133">
        <f t="shared" si="95"/>
        <v>0.92941892571429274</v>
      </c>
      <c r="N1660" s="152">
        <v>8.5</v>
      </c>
      <c r="O1660" s="192"/>
      <c r="P1660" s="109">
        <v>153</v>
      </c>
    </row>
    <row r="1661" spans="1:30">
      <c r="A1661" s="212" t="s">
        <v>2592</v>
      </c>
      <c r="B1661" s="141" t="s">
        <v>1936</v>
      </c>
      <c r="C1661" s="150" t="s">
        <v>3817</v>
      </c>
      <c r="D1661" s="221"/>
      <c r="E1661" s="150"/>
      <c r="F1661" s="150"/>
      <c r="G1661" s="110" t="s">
        <v>2663</v>
      </c>
      <c r="H1661" s="150" t="s">
        <v>1684</v>
      </c>
      <c r="I1661" s="150" t="s">
        <v>1332</v>
      </c>
      <c r="J1661" s="150" t="s">
        <v>551</v>
      </c>
      <c r="K1661" s="221"/>
      <c r="L1661" s="135" t="str">
        <f t="shared" si="93"/>
        <v>Rhinolophus sedulus</v>
      </c>
      <c r="M1661" s="133">
        <f t="shared" si="95"/>
        <v>0.94200805302231327</v>
      </c>
      <c r="N1661" s="152">
        <v>8.75</v>
      </c>
      <c r="O1661" s="192"/>
      <c r="P1661" s="109">
        <v>153</v>
      </c>
    </row>
    <row r="1662" spans="1:30" ht="15" customHeight="1">
      <c r="A1662" s="212" t="s">
        <v>2592</v>
      </c>
      <c r="B1662" s="141" t="s">
        <v>873</v>
      </c>
      <c r="C1662" s="150" t="s">
        <v>3817</v>
      </c>
      <c r="D1662" s="221"/>
      <c r="E1662" s="150"/>
      <c r="F1662" s="150"/>
      <c r="G1662" s="110" t="s">
        <v>2663</v>
      </c>
      <c r="H1662" s="150" t="s">
        <v>1684</v>
      </c>
      <c r="I1662" s="150" t="s">
        <v>1332</v>
      </c>
      <c r="J1662" s="150" t="s">
        <v>781</v>
      </c>
      <c r="K1662" s="221"/>
      <c r="L1662" s="135" t="str">
        <f t="shared" si="93"/>
        <v>Rhinolophus shameli</v>
      </c>
      <c r="M1662" s="133">
        <f t="shared" si="95"/>
        <v>0.98272338766854528</v>
      </c>
      <c r="N1662" s="152">
        <v>9.61</v>
      </c>
      <c r="O1662" s="192"/>
      <c r="P1662" s="109">
        <v>153</v>
      </c>
    </row>
    <row r="1663" spans="1:30" ht="15" customHeight="1">
      <c r="A1663" s="212" t="s">
        <v>2592</v>
      </c>
      <c r="B1663" s="141" t="s">
        <v>2857</v>
      </c>
      <c r="C1663" s="150" t="s">
        <v>3817</v>
      </c>
      <c r="D1663" s="221"/>
      <c r="E1663" s="150"/>
      <c r="F1663" s="150"/>
      <c r="G1663" s="110" t="s">
        <v>2663</v>
      </c>
      <c r="H1663" s="150" t="s">
        <v>1684</v>
      </c>
      <c r="I1663" s="150" t="s">
        <v>1332</v>
      </c>
      <c r="J1663" s="150" t="s">
        <v>2858</v>
      </c>
      <c r="K1663" s="221"/>
      <c r="L1663" s="135" t="str">
        <f t="shared" si="93"/>
        <v>Rhinolophus blasii</v>
      </c>
      <c r="M1663" s="133">
        <f t="shared" si="95"/>
        <v>0.98677173426624487</v>
      </c>
      <c r="N1663" s="152">
        <v>9.6999999999999993</v>
      </c>
      <c r="O1663" s="192"/>
      <c r="P1663" s="109">
        <v>153</v>
      </c>
      <c r="R1663" s="85" t="s">
        <v>7907</v>
      </c>
      <c r="U1663" s="59"/>
      <c r="V1663" s="59"/>
    </row>
    <row r="1664" spans="1:30" ht="63.75">
      <c r="A1664" s="212" t="s">
        <v>2592</v>
      </c>
      <c r="B1664" s="141" t="s">
        <v>2880</v>
      </c>
      <c r="C1664" s="150" t="s">
        <v>3817</v>
      </c>
      <c r="D1664" s="221"/>
      <c r="E1664" s="150"/>
      <c r="F1664" s="150"/>
      <c r="G1664" s="110" t="s">
        <v>2663</v>
      </c>
      <c r="H1664" s="150" t="s">
        <v>1684</v>
      </c>
      <c r="I1664" s="150" t="s">
        <v>1332</v>
      </c>
      <c r="J1664" s="150" t="s">
        <v>3670</v>
      </c>
      <c r="K1664" s="221"/>
      <c r="L1664" s="135" t="str">
        <f t="shared" si="93"/>
        <v>Rhinolophus pearsoni</v>
      </c>
      <c r="M1664" s="133">
        <f t="shared" si="95"/>
        <v>1.0702226334609581</v>
      </c>
      <c r="N1664" s="152">
        <v>11.755000000000001</v>
      </c>
      <c r="O1664" s="192"/>
      <c r="P1664" s="109">
        <v>153</v>
      </c>
    </row>
    <row r="1665" spans="1:19" ht="24.95" customHeight="1">
      <c r="A1665" s="212" t="s">
        <v>2592</v>
      </c>
      <c r="B1665" s="141" t="s">
        <v>901</v>
      </c>
      <c r="C1665" s="150" t="s">
        <v>3817</v>
      </c>
      <c r="D1665" s="221"/>
      <c r="E1665" s="150"/>
      <c r="F1665" s="150"/>
      <c r="G1665" s="110" t="s">
        <v>2663</v>
      </c>
      <c r="H1665" s="150" t="s">
        <v>1684</v>
      </c>
      <c r="I1665" s="150" t="s">
        <v>1332</v>
      </c>
      <c r="J1665" s="150" t="s">
        <v>980</v>
      </c>
      <c r="K1665" s="221"/>
      <c r="L1665" s="135" t="str">
        <f t="shared" si="93"/>
        <v>Rhinolophus acuminatus</v>
      </c>
      <c r="M1665" s="133">
        <f t="shared" si="95"/>
        <v>1.0706534506681724</v>
      </c>
      <c r="N1665" s="152">
        <v>11.766666666667</v>
      </c>
      <c r="O1665" s="192"/>
      <c r="P1665" s="109">
        <v>153</v>
      </c>
    </row>
    <row r="1666" spans="1:19" ht="48" customHeight="1">
      <c r="A1666" s="212" t="s">
        <v>2592</v>
      </c>
      <c r="B1666" s="141" t="s">
        <v>2886</v>
      </c>
      <c r="C1666" s="150" t="s">
        <v>3817</v>
      </c>
      <c r="D1666" s="221"/>
      <c r="E1666" s="150"/>
      <c r="F1666" s="150"/>
      <c r="G1666" s="110" t="s">
        <v>2663</v>
      </c>
      <c r="H1666" s="150" t="s">
        <v>1684</v>
      </c>
      <c r="I1666" s="150" t="s">
        <v>1332</v>
      </c>
      <c r="J1666" s="150" t="s">
        <v>2887</v>
      </c>
      <c r="K1666" s="221"/>
      <c r="L1666" s="135" t="str">
        <f t="shared" si="93"/>
        <v>Rhinolophus rouxi</v>
      </c>
      <c r="M1666" s="133">
        <f t="shared" si="95"/>
        <v>1.0713910016213852</v>
      </c>
      <c r="N1666" s="152">
        <v>11.786666666666999</v>
      </c>
      <c r="O1666" s="192"/>
      <c r="P1666" s="109">
        <v>153</v>
      </c>
    </row>
    <row r="1667" spans="1:19" ht="24" customHeight="1">
      <c r="A1667" s="212" t="s">
        <v>2592</v>
      </c>
      <c r="B1667" s="141" t="s">
        <v>1092</v>
      </c>
      <c r="C1667" s="150" t="s">
        <v>3817</v>
      </c>
      <c r="D1667" s="221"/>
      <c r="E1667" s="150"/>
      <c r="F1667" s="150"/>
      <c r="G1667" s="110" t="s">
        <v>2663</v>
      </c>
      <c r="H1667" s="150" t="s">
        <v>1684</v>
      </c>
      <c r="I1667" s="150" t="s">
        <v>1332</v>
      </c>
      <c r="J1667" s="150" t="s">
        <v>1093</v>
      </c>
      <c r="K1667" s="221"/>
      <c r="L1667" s="135" t="str">
        <f t="shared" si="93"/>
        <v>Rhinolophus mehelyi</v>
      </c>
      <c r="M1667" s="133">
        <f t="shared" si="95"/>
        <v>1.0910804693473208</v>
      </c>
      <c r="N1667" s="152">
        <v>12.333333333333</v>
      </c>
      <c r="O1667" s="192"/>
      <c r="P1667" s="109">
        <v>153</v>
      </c>
      <c r="R1667" s="85" t="s">
        <v>7908</v>
      </c>
    </row>
    <row r="1668" spans="1:19" ht="63.75">
      <c r="A1668" s="212" t="s">
        <v>2592</v>
      </c>
      <c r="B1668" s="141" t="s">
        <v>2865</v>
      </c>
      <c r="C1668" s="150" t="s">
        <v>3817</v>
      </c>
      <c r="D1668" s="221"/>
      <c r="E1668" s="150"/>
      <c r="F1668" s="150"/>
      <c r="G1668" s="110" t="s">
        <v>2663</v>
      </c>
      <c r="H1668" s="150" t="s">
        <v>1684</v>
      </c>
      <c r="I1668" s="150" t="s">
        <v>1332</v>
      </c>
      <c r="J1668" s="150" t="s">
        <v>7453</v>
      </c>
      <c r="K1668" s="221"/>
      <c r="L1668" s="135" t="str">
        <f t="shared" si="93"/>
        <v>Rhinolophus affinis</v>
      </c>
      <c r="M1668" s="133">
        <f t="shared" si="95"/>
        <v>1.146128035678238</v>
      </c>
      <c r="N1668" s="152">
        <v>14</v>
      </c>
      <c r="O1668" s="192"/>
      <c r="P1668" s="109">
        <v>153</v>
      </c>
    </row>
    <row r="1669" spans="1:19" ht="36" customHeight="1">
      <c r="A1669" s="212" t="s">
        <v>2592</v>
      </c>
      <c r="B1669" s="141" t="s">
        <v>732</v>
      </c>
      <c r="C1669" s="150" t="s">
        <v>3817</v>
      </c>
      <c r="D1669" s="221"/>
      <c r="E1669" s="150"/>
      <c r="F1669" s="150"/>
      <c r="G1669" s="110" t="s">
        <v>2663</v>
      </c>
      <c r="H1669" s="150" t="s">
        <v>1684</v>
      </c>
      <c r="I1669" s="150" t="s">
        <v>1332</v>
      </c>
      <c r="J1669" s="150" t="s">
        <v>733</v>
      </c>
      <c r="K1669" s="221"/>
      <c r="L1669" s="135" t="str">
        <f t="shared" ref="L1669:L1732" si="96">I1669&amp;" "&amp;J1669</f>
        <v>Rhinolophus trifoliatus</v>
      </c>
      <c r="M1669" s="133">
        <f t="shared" si="95"/>
        <v>1.1702617153949575</v>
      </c>
      <c r="N1669" s="152">
        <v>14.8</v>
      </c>
      <c r="O1669" s="192"/>
      <c r="P1669" s="109">
        <v>153</v>
      </c>
    </row>
    <row r="1670" spans="1:19" ht="63.75">
      <c r="A1670" s="212" t="s">
        <v>2592</v>
      </c>
      <c r="B1670" s="141" t="s">
        <v>670</v>
      </c>
      <c r="C1670" s="150" t="s">
        <v>3817</v>
      </c>
      <c r="D1670" s="221"/>
      <c r="E1670" s="150"/>
      <c r="F1670" s="150"/>
      <c r="G1670" s="110" t="s">
        <v>2663</v>
      </c>
      <c r="H1670" s="150" t="s">
        <v>1684</v>
      </c>
      <c r="I1670" s="150" t="s">
        <v>1332</v>
      </c>
      <c r="J1670" s="150" t="s">
        <v>583</v>
      </c>
      <c r="K1670" s="221"/>
      <c r="L1670" s="135" t="str">
        <f t="shared" si="96"/>
        <v>Rhinolophus clivosus</v>
      </c>
      <c r="M1670" s="133">
        <f t="shared" si="95"/>
        <v>1.1946877475473396</v>
      </c>
      <c r="N1670" s="152">
        <v>15.65625</v>
      </c>
      <c r="O1670" s="192"/>
      <c r="P1670" s="109">
        <v>153</v>
      </c>
      <c r="R1670" s="85" t="s">
        <v>7905</v>
      </c>
    </row>
    <row r="1671" spans="1:19" ht="25.5">
      <c r="A1671" s="212" t="s">
        <v>2592</v>
      </c>
      <c r="B1671" s="141" t="s">
        <v>3023</v>
      </c>
      <c r="C1671" s="150" t="s">
        <v>3817</v>
      </c>
      <c r="D1671" s="221"/>
      <c r="E1671" s="150"/>
      <c r="F1671" s="150"/>
      <c r="G1671" s="110" t="s">
        <v>2663</v>
      </c>
      <c r="H1671" s="150" t="s">
        <v>1684</v>
      </c>
      <c r="I1671" s="150" t="s">
        <v>1332</v>
      </c>
      <c r="J1671" s="150" t="s">
        <v>3024</v>
      </c>
      <c r="K1671" s="221"/>
      <c r="L1671" s="135" t="str">
        <f t="shared" si="96"/>
        <v>Rhinolophus yunanensis</v>
      </c>
      <c r="M1671" s="133">
        <f t="shared" si="95"/>
        <v>1.2944662261615929</v>
      </c>
      <c r="N1671" s="152">
        <v>19.7</v>
      </c>
      <c r="O1671" s="192"/>
      <c r="P1671" s="109">
        <v>153</v>
      </c>
    </row>
    <row r="1672" spans="1:19" ht="15" customHeight="1">
      <c r="A1672" s="212" t="s">
        <v>2592</v>
      </c>
      <c r="B1672" s="141" t="s">
        <v>1317</v>
      </c>
      <c r="C1672" s="150" t="s">
        <v>3817</v>
      </c>
      <c r="D1672" s="221"/>
      <c r="E1672" s="150"/>
      <c r="F1672" s="150"/>
      <c r="G1672" s="110" t="s">
        <v>2663</v>
      </c>
      <c r="H1672" s="150" t="s">
        <v>1684</v>
      </c>
      <c r="I1672" s="150" t="s">
        <v>1332</v>
      </c>
      <c r="J1672" s="150" t="s">
        <v>1020</v>
      </c>
      <c r="K1672" s="221"/>
      <c r="L1672" s="135" t="str">
        <f t="shared" si="96"/>
        <v>Rhinolophus ferrumequinum</v>
      </c>
      <c r="M1672" s="133">
        <f t="shared" si="95"/>
        <v>1.3234730964355814</v>
      </c>
      <c r="N1672" s="152">
        <v>21.060714285713999</v>
      </c>
      <c r="O1672" s="192"/>
      <c r="P1672" s="109">
        <v>153</v>
      </c>
      <c r="R1672" s="85" t="s">
        <v>7904</v>
      </c>
    </row>
    <row r="1673" spans="1:19" ht="15" customHeight="1">
      <c r="A1673" s="212" t="s">
        <v>2592</v>
      </c>
      <c r="B1673" s="141" t="s">
        <v>2981</v>
      </c>
      <c r="C1673" s="150" t="s">
        <v>3817</v>
      </c>
      <c r="D1673" s="221"/>
      <c r="E1673" s="150"/>
      <c r="F1673" s="150"/>
      <c r="G1673" s="110" t="s">
        <v>2663</v>
      </c>
      <c r="H1673" s="150" t="s">
        <v>1684</v>
      </c>
      <c r="I1673" s="150" t="s">
        <v>1332</v>
      </c>
      <c r="J1673" s="150" t="s">
        <v>972</v>
      </c>
      <c r="K1673" s="221"/>
      <c r="L1673" s="135" t="str">
        <f t="shared" si="96"/>
        <v>Rhinolophus luctus</v>
      </c>
      <c r="M1673" s="133">
        <f t="shared" si="95"/>
        <v>1.5301996982030821</v>
      </c>
      <c r="N1673" s="152">
        <v>33.9</v>
      </c>
      <c r="O1673" s="192"/>
      <c r="P1673" s="109">
        <v>153</v>
      </c>
    </row>
    <row r="1674" spans="1:19" ht="76.5">
      <c r="A1674" s="212" t="s">
        <v>2592</v>
      </c>
      <c r="B1674" s="141" t="s">
        <v>630</v>
      </c>
      <c r="C1674" s="150" t="s">
        <v>3817</v>
      </c>
      <c r="D1674" s="221"/>
      <c r="E1674" s="150"/>
      <c r="F1674" s="150"/>
      <c r="G1674" s="110" t="s">
        <v>2663</v>
      </c>
      <c r="H1674" s="150" t="s">
        <v>1684</v>
      </c>
      <c r="I1674" s="150" t="s">
        <v>5807</v>
      </c>
      <c r="J1674" s="150" t="s">
        <v>5497</v>
      </c>
      <c r="K1674" s="221"/>
      <c r="L1674" s="135" t="str">
        <f t="shared" si="96"/>
        <v>Triaenops persicus</v>
      </c>
      <c r="M1674" s="133">
        <f t="shared" si="95"/>
        <v>1.099611590392529</v>
      </c>
      <c r="N1674" s="152">
        <v>12.577999999999999</v>
      </c>
      <c r="O1674" s="192"/>
      <c r="P1674" s="109">
        <v>153</v>
      </c>
      <c r="S1674" s="85" t="s">
        <v>7843</v>
      </c>
    </row>
    <row r="1675" spans="1:19" ht="36" customHeight="1">
      <c r="A1675" s="212" t="s">
        <v>2592</v>
      </c>
      <c r="B1675" s="141" t="s">
        <v>929</v>
      </c>
      <c r="C1675" s="150" t="s">
        <v>3817</v>
      </c>
      <c r="D1675" s="221"/>
      <c r="E1675" s="150"/>
      <c r="F1675" s="150"/>
      <c r="G1675" s="110" t="s">
        <v>2663</v>
      </c>
      <c r="H1675" s="150" t="s">
        <v>2926</v>
      </c>
      <c r="I1675" s="150" t="s">
        <v>2697</v>
      </c>
      <c r="J1675" s="150" t="s">
        <v>2698</v>
      </c>
      <c r="K1675" s="221"/>
      <c r="L1675" s="135" t="str">
        <f t="shared" si="96"/>
        <v>Rhinopoma muscatellum</v>
      </c>
      <c r="M1675" s="133">
        <f t="shared" si="95"/>
        <v>0.96094619573383144</v>
      </c>
      <c r="N1675" s="152">
        <v>9.14</v>
      </c>
      <c r="O1675" s="192"/>
      <c r="P1675" s="109">
        <v>153</v>
      </c>
      <c r="R1675" s="85" t="s">
        <v>7899</v>
      </c>
    </row>
    <row r="1676" spans="1:19" ht="15" customHeight="1">
      <c r="A1676" s="212" t="s">
        <v>2592</v>
      </c>
      <c r="B1676" s="141" t="s">
        <v>2700</v>
      </c>
      <c r="C1676" s="150" t="s">
        <v>3817</v>
      </c>
      <c r="D1676" s="221"/>
      <c r="E1676" s="150"/>
      <c r="F1676" s="150"/>
      <c r="G1676" s="110" t="s">
        <v>2663</v>
      </c>
      <c r="H1676" s="150" t="s">
        <v>2926</v>
      </c>
      <c r="I1676" s="150" t="s">
        <v>2697</v>
      </c>
      <c r="J1676" s="150" t="s">
        <v>2701</v>
      </c>
      <c r="K1676" s="221"/>
      <c r="L1676" s="135" t="str">
        <f t="shared" si="96"/>
        <v>Rhinopoma hardwickei</v>
      </c>
      <c r="M1676" s="133">
        <f t="shared" si="95"/>
        <v>1.1528995963937476</v>
      </c>
      <c r="N1676" s="152">
        <v>14.22</v>
      </c>
      <c r="O1676" s="192"/>
      <c r="P1676" s="109">
        <v>153</v>
      </c>
    </row>
    <row r="1677" spans="1:19" ht="25.5">
      <c r="A1677" s="212" t="s">
        <v>2592</v>
      </c>
      <c r="B1677" s="141" t="s">
        <v>849</v>
      </c>
      <c r="C1677" s="150" t="s">
        <v>3817</v>
      </c>
      <c r="D1677" s="221"/>
      <c r="E1677" s="150"/>
      <c r="F1677" s="150"/>
      <c r="G1677" s="110" t="s">
        <v>2663</v>
      </c>
      <c r="H1677" s="150" t="s">
        <v>2926</v>
      </c>
      <c r="I1677" s="150" t="s">
        <v>2697</v>
      </c>
      <c r="J1677" s="150" t="s">
        <v>874</v>
      </c>
      <c r="K1677" s="221"/>
      <c r="L1677" s="135" t="str">
        <f t="shared" si="96"/>
        <v>Rhinopoma microphyllum</v>
      </c>
      <c r="M1677" s="133">
        <f t="shared" si="95"/>
        <v>1.4451174896936825</v>
      </c>
      <c r="N1677" s="152">
        <v>27.868749999999999</v>
      </c>
      <c r="O1677" s="192"/>
      <c r="P1677" s="109">
        <v>153</v>
      </c>
      <c r="R1677" s="90" t="s">
        <v>7898</v>
      </c>
    </row>
    <row r="1678" spans="1:19" ht="76.5">
      <c r="A1678" s="212" t="s">
        <v>2592</v>
      </c>
      <c r="B1678" s="141" t="s">
        <v>973</v>
      </c>
      <c r="C1678" s="150" t="s">
        <v>3817</v>
      </c>
      <c r="D1678" s="221"/>
      <c r="E1678" s="150"/>
      <c r="F1678" s="150"/>
      <c r="G1678" s="110" t="s">
        <v>2663</v>
      </c>
      <c r="H1678" s="150" t="s">
        <v>6205</v>
      </c>
      <c r="I1678" s="150" t="s">
        <v>1149</v>
      </c>
      <c r="J1678" s="150" t="s">
        <v>1150</v>
      </c>
      <c r="K1678" s="221"/>
      <c r="L1678" s="135" t="str">
        <f t="shared" si="96"/>
        <v>Barbastella barbastellus</v>
      </c>
      <c r="M1678" s="133">
        <f t="shared" si="95"/>
        <v>0.90463827555478105</v>
      </c>
      <c r="N1678" s="152">
        <v>8.0285714285710004</v>
      </c>
      <c r="O1678" s="192"/>
      <c r="P1678" s="109">
        <v>153</v>
      </c>
    </row>
    <row r="1679" spans="1:19" ht="15" customHeight="1">
      <c r="A1679" s="212" t="s">
        <v>2592</v>
      </c>
      <c r="B1679" s="141" t="s">
        <v>1367</v>
      </c>
      <c r="C1679" s="150" t="s">
        <v>3817</v>
      </c>
      <c r="D1679" s="221"/>
      <c r="E1679" s="150"/>
      <c r="F1679" s="150"/>
      <c r="G1679" s="110" t="s">
        <v>2663</v>
      </c>
      <c r="H1679" s="150" t="s">
        <v>6205</v>
      </c>
      <c r="I1679" s="150" t="s">
        <v>1149</v>
      </c>
      <c r="J1679" s="150" t="s">
        <v>1368</v>
      </c>
      <c r="K1679" s="221"/>
      <c r="L1679" s="135" t="str">
        <f t="shared" si="96"/>
        <v>Barbastella leucomelas</v>
      </c>
      <c r="M1679" s="133">
        <f t="shared" si="95"/>
        <v>1.1775364999298621</v>
      </c>
      <c r="N1679" s="152">
        <v>15.05</v>
      </c>
      <c r="O1679" s="192"/>
      <c r="P1679" s="109">
        <v>153</v>
      </c>
      <c r="R1679" s="85" t="s">
        <v>7868</v>
      </c>
    </row>
    <row r="1680" spans="1:19" ht="15" customHeight="1">
      <c r="A1680" s="212" t="s">
        <v>2592</v>
      </c>
      <c r="B1680" s="141" t="s">
        <v>2627</v>
      </c>
      <c r="C1680" s="150" t="s">
        <v>3817</v>
      </c>
      <c r="D1680" s="221"/>
      <c r="E1680" s="150"/>
      <c r="F1680" s="150"/>
      <c r="G1680" s="110" t="s">
        <v>2663</v>
      </c>
      <c r="H1680" s="150" t="s">
        <v>6205</v>
      </c>
      <c r="I1680" s="150" t="s">
        <v>6273</v>
      </c>
      <c r="J1680" s="150" t="s">
        <v>776</v>
      </c>
      <c r="K1680" s="221"/>
      <c r="L1680" s="135" t="str">
        <f t="shared" si="96"/>
        <v>Eptesicus kobayashii</v>
      </c>
      <c r="M1680" s="146">
        <v>-999</v>
      </c>
      <c r="N1680" s="146">
        <v>-999</v>
      </c>
      <c r="O1680" s="183"/>
      <c r="P1680" s="109">
        <v>-999</v>
      </c>
    </row>
    <row r="1681" spans="1:18" ht="25.5">
      <c r="A1681" s="212" t="s">
        <v>2592</v>
      </c>
      <c r="B1681" s="141" t="s">
        <v>710</v>
      </c>
      <c r="C1681" s="150" t="s">
        <v>3817</v>
      </c>
      <c r="D1681" s="221"/>
      <c r="E1681" s="150"/>
      <c r="F1681" s="150"/>
      <c r="G1681" s="110" t="s">
        <v>2663</v>
      </c>
      <c r="H1681" s="150" t="s">
        <v>6205</v>
      </c>
      <c r="I1681" s="150" t="s">
        <v>6273</v>
      </c>
      <c r="J1681" s="150" t="s">
        <v>8045</v>
      </c>
      <c r="K1681" s="221"/>
      <c r="L1681" s="135" t="str">
        <f t="shared" si="96"/>
        <v>Eptesicus platyops</v>
      </c>
      <c r="M1681" s="146">
        <v>-999</v>
      </c>
      <c r="N1681" s="146">
        <v>-999</v>
      </c>
      <c r="O1681" s="183"/>
      <c r="P1681" s="109">
        <v>-999</v>
      </c>
    </row>
    <row r="1682" spans="1:18">
      <c r="A1682" s="212" t="s">
        <v>2592</v>
      </c>
      <c r="B1682" s="141" t="s">
        <v>711</v>
      </c>
      <c r="C1682" s="150" t="s">
        <v>3817</v>
      </c>
      <c r="D1682" s="221"/>
      <c r="E1682" s="150"/>
      <c r="F1682" s="150"/>
      <c r="G1682" s="110" t="s">
        <v>2663</v>
      </c>
      <c r="H1682" s="150" t="s">
        <v>6205</v>
      </c>
      <c r="I1682" s="150" t="s">
        <v>6273</v>
      </c>
      <c r="J1682" s="150" t="s">
        <v>5108</v>
      </c>
      <c r="K1682" s="221"/>
      <c r="L1682" s="135" t="str">
        <f t="shared" si="96"/>
        <v>Eptesicus tatei</v>
      </c>
      <c r="M1682" s="146">
        <v>-999</v>
      </c>
      <c r="N1682" s="146">
        <v>-999</v>
      </c>
      <c r="O1682" s="183"/>
      <c r="P1682" s="109">
        <v>-999</v>
      </c>
    </row>
    <row r="1683" spans="1:18" ht="38.25">
      <c r="A1683" s="212" t="s">
        <v>2592</v>
      </c>
      <c r="B1683" s="141" t="s">
        <v>2874</v>
      </c>
      <c r="C1683" s="150" t="s">
        <v>3817</v>
      </c>
      <c r="D1683" s="221"/>
      <c r="E1683" s="150"/>
      <c r="F1683" s="150"/>
      <c r="G1683" s="110" t="s">
        <v>2663</v>
      </c>
      <c r="H1683" s="150" t="s">
        <v>6205</v>
      </c>
      <c r="I1683" s="150" t="s">
        <v>6273</v>
      </c>
      <c r="J1683" s="150" t="s">
        <v>4259</v>
      </c>
      <c r="K1683" s="221"/>
      <c r="L1683" s="135" t="str">
        <f t="shared" si="96"/>
        <v>Eptesicus capensis</v>
      </c>
      <c r="M1683" s="133">
        <f t="shared" ref="M1683:M1690" si="97">LOG(N1683)</f>
        <v>0.77573177626025502</v>
      </c>
      <c r="N1683" s="152">
        <v>5.9666666666669999</v>
      </c>
      <c r="O1683" s="192"/>
      <c r="P1683" s="109">
        <v>153</v>
      </c>
    </row>
    <row r="1684" spans="1:18" ht="38.25">
      <c r="A1684" s="212" t="s">
        <v>2592</v>
      </c>
      <c r="B1684" s="141" t="s">
        <v>1333</v>
      </c>
      <c r="C1684" s="150" t="s">
        <v>3817</v>
      </c>
      <c r="D1684" s="221"/>
      <c r="E1684" s="150"/>
      <c r="F1684" s="150"/>
      <c r="G1684" s="110" t="s">
        <v>2663</v>
      </c>
      <c r="H1684" s="150" t="s">
        <v>6205</v>
      </c>
      <c r="I1684" s="150" t="s">
        <v>6273</v>
      </c>
      <c r="J1684" s="150" t="s">
        <v>1334</v>
      </c>
      <c r="K1684" s="221"/>
      <c r="L1684" s="135" t="str">
        <f t="shared" si="96"/>
        <v>Eptesicus bobrinskoi</v>
      </c>
      <c r="M1684" s="133">
        <f t="shared" si="97"/>
        <v>0.87794695162918823</v>
      </c>
      <c r="N1684" s="152">
        <v>7.55</v>
      </c>
      <c r="O1684" s="192"/>
      <c r="P1684" s="109">
        <v>153</v>
      </c>
    </row>
    <row r="1685" spans="1:18" ht="25.5">
      <c r="A1685" s="212" t="s">
        <v>2592</v>
      </c>
      <c r="B1685" s="141" t="s">
        <v>880</v>
      </c>
      <c r="C1685" s="150" t="s">
        <v>3817</v>
      </c>
      <c r="D1685" s="221"/>
      <c r="E1685" s="150"/>
      <c r="F1685" s="150"/>
      <c r="G1685" s="110" t="s">
        <v>2663</v>
      </c>
      <c r="H1685" s="150" t="s">
        <v>6205</v>
      </c>
      <c r="I1685" s="150" t="s">
        <v>6273</v>
      </c>
      <c r="J1685" s="150" t="s">
        <v>4705</v>
      </c>
      <c r="K1685" s="221"/>
      <c r="L1685" s="135" t="str">
        <f t="shared" si="96"/>
        <v>Eptesicus nasutus</v>
      </c>
      <c r="M1685" s="133">
        <f t="shared" si="97"/>
        <v>0.89817648349767654</v>
      </c>
      <c r="N1685" s="152">
        <v>7.91</v>
      </c>
      <c r="O1685" s="192"/>
      <c r="P1685" s="109">
        <v>153</v>
      </c>
      <c r="R1685" s="85" t="s">
        <v>7857</v>
      </c>
    </row>
    <row r="1686" spans="1:18" ht="25.5">
      <c r="A1686" s="212" t="s">
        <v>2592</v>
      </c>
      <c r="B1686" s="141" t="s">
        <v>1314</v>
      </c>
      <c r="C1686" s="148" t="s">
        <v>3817</v>
      </c>
      <c r="D1686" s="223"/>
      <c r="E1686" s="148"/>
      <c r="F1686" s="148"/>
      <c r="G1686" s="109" t="s">
        <v>2663</v>
      </c>
      <c r="H1686" s="150" t="s">
        <v>6205</v>
      </c>
      <c r="I1686" s="148" t="s">
        <v>6273</v>
      </c>
      <c r="J1686" s="148" t="s">
        <v>1315</v>
      </c>
      <c r="K1686" s="223"/>
      <c r="L1686" s="135" t="str">
        <f t="shared" si="96"/>
        <v>Eptesicus pachyotis</v>
      </c>
      <c r="M1686" s="133">
        <f t="shared" si="97"/>
        <v>0.91803033678488011</v>
      </c>
      <c r="N1686" s="152">
        <v>8.2799999999999994</v>
      </c>
      <c r="O1686" s="192"/>
      <c r="P1686" s="109">
        <v>153</v>
      </c>
    </row>
    <row r="1687" spans="1:18" ht="127.5">
      <c r="A1687" s="212" t="s">
        <v>2592</v>
      </c>
      <c r="B1687" s="141" t="s">
        <v>802</v>
      </c>
      <c r="C1687" s="150" t="s">
        <v>3817</v>
      </c>
      <c r="D1687" s="221"/>
      <c r="E1687" s="150"/>
      <c r="F1687" s="150"/>
      <c r="G1687" s="110" t="s">
        <v>2663</v>
      </c>
      <c r="H1687" s="150" t="s">
        <v>6205</v>
      </c>
      <c r="I1687" s="150" t="s">
        <v>6273</v>
      </c>
      <c r="J1687" s="150" t="s">
        <v>803</v>
      </c>
      <c r="K1687" s="221"/>
      <c r="L1687" s="135" t="str">
        <f t="shared" si="96"/>
        <v>Eptesicus nilssoni</v>
      </c>
      <c r="M1687" s="133">
        <f t="shared" si="97"/>
        <v>1.0180760636457951</v>
      </c>
      <c r="N1687" s="152">
        <v>10.425000000000001</v>
      </c>
      <c r="O1687" s="192"/>
      <c r="P1687" s="109">
        <v>153</v>
      </c>
    </row>
    <row r="1688" spans="1:18" ht="38.25">
      <c r="A1688" s="212" t="s">
        <v>2592</v>
      </c>
      <c r="B1688" s="141" t="s">
        <v>1006</v>
      </c>
      <c r="C1688" s="150" t="s">
        <v>3817</v>
      </c>
      <c r="D1688" s="221"/>
      <c r="E1688" s="150"/>
      <c r="F1688" s="150"/>
      <c r="G1688" s="110" t="s">
        <v>2663</v>
      </c>
      <c r="H1688" s="150" t="s">
        <v>6205</v>
      </c>
      <c r="I1688" s="150" t="s">
        <v>6273</v>
      </c>
      <c r="J1688" s="150" t="s">
        <v>4193</v>
      </c>
      <c r="K1688" s="221"/>
      <c r="L1688" s="135" t="str">
        <f t="shared" si="96"/>
        <v>Eptesicus bottae</v>
      </c>
      <c r="M1688" s="133">
        <f t="shared" si="97"/>
        <v>1.1533066203053512</v>
      </c>
      <c r="N1688" s="152">
        <v>14.233333333333</v>
      </c>
      <c r="O1688" s="192"/>
      <c r="P1688" s="109">
        <v>153</v>
      </c>
      <c r="R1688" s="85" t="s">
        <v>7856</v>
      </c>
    </row>
    <row r="1689" spans="1:18">
      <c r="A1689" s="212" t="s">
        <v>2592</v>
      </c>
      <c r="B1689" s="141" t="s">
        <v>937</v>
      </c>
      <c r="C1689" s="150" t="s">
        <v>3817</v>
      </c>
      <c r="D1689" s="221"/>
      <c r="E1689" s="150"/>
      <c r="F1689" s="150"/>
      <c r="G1689" s="110" t="s">
        <v>2663</v>
      </c>
      <c r="H1689" s="150" t="s">
        <v>6205</v>
      </c>
      <c r="I1689" s="150" t="s">
        <v>6273</v>
      </c>
      <c r="J1689" s="150" t="s">
        <v>1103</v>
      </c>
      <c r="K1689" s="221"/>
      <c r="L1689" s="135" t="str">
        <f t="shared" si="96"/>
        <v>Eptesicus demissus</v>
      </c>
      <c r="M1689" s="133">
        <f t="shared" si="97"/>
        <v>1.1760912590556813</v>
      </c>
      <c r="N1689" s="152">
        <v>15</v>
      </c>
      <c r="O1689" s="192"/>
      <c r="P1689" s="109">
        <v>153</v>
      </c>
    </row>
    <row r="1690" spans="1:18" ht="102">
      <c r="A1690" s="212" t="s">
        <v>2592</v>
      </c>
      <c r="B1690" s="141" t="s">
        <v>943</v>
      </c>
      <c r="C1690" s="150" t="s">
        <v>3817</v>
      </c>
      <c r="D1690" s="221"/>
      <c r="E1690" s="150"/>
      <c r="F1690" s="150"/>
      <c r="G1690" s="110" t="s">
        <v>2663</v>
      </c>
      <c r="H1690" s="150" t="s">
        <v>6205</v>
      </c>
      <c r="I1690" s="150" t="s">
        <v>6273</v>
      </c>
      <c r="J1690" s="150" t="s">
        <v>944</v>
      </c>
      <c r="K1690" s="221"/>
      <c r="L1690" s="135" t="str">
        <f t="shared" si="96"/>
        <v>Eptesicus serotinus</v>
      </c>
      <c r="M1690" s="133">
        <f t="shared" si="97"/>
        <v>1.3590445615568982</v>
      </c>
      <c r="N1690" s="152">
        <v>22.858333333333</v>
      </c>
      <c r="O1690" s="192"/>
      <c r="P1690" s="109">
        <v>153</v>
      </c>
      <c r="R1690" s="85" t="s">
        <v>7855</v>
      </c>
    </row>
    <row r="1691" spans="1:18">
      <c r="A1691" s="212" t="s">
        <v>2592</v>
      </c>
      <c r="B1691" s="141" t="s">
        <v>2739</v>
      </c>
      <c r="C1691" s="150" t="s">
        <v>3817</v>
      </c>
      <c r="D1691" s="221"/>
      <c r="E1691" s="150"/>
      <c r="F1691" s="150"/>
      <c r="G1691" s="110" t="s">
        <v>2663</v>
      </c>
      <c r="H1691" s="150" t="s">
        <v>6205</v>
      </c>
      <c r="I1691" s="150" t="s">
        <v>2740</v>
      </c>
      <c r="J1691" s="150" t="s">
        <v>2741</v>
      </c>
      <c r="K1691" s="221"/>
      <c r="L1691" s="135" t="str">
        <f t="shared" si="96"/>
        <v>Eudiscopus denticulus</v>
      </c>
      <c r="M1691" s="146">
        <v>-999</v>
      </c>
      <c r="N1691" s="146">
        <v>-999</v>
      </c>
      <c r="O1691" s="183"/>
      <c r="P1691" s="109">
        <v>-999</v>
      </c>
      <c r="R1691" s="85">
        <f>-7.1743 + 2.8436*LOG(90)</f>
        <v>-1.6172160001583356</v>
      </c>
    </row>
    <row r="1692" spans="1:18" ht="51">
      <c r="A1692" s="212" t="s">
        <v>2592</v>
      </c>
      <c r="B1692" s="141" t="s">
        <v>769</v>
      </c>
      <c r="C1692" s="150" t="s">
        <v>3817</v>
      </c>
      <c r="D1692" s="221"/>
      <c r="E1692" s="150"/>
      <c r="F1692" s="150"/>
      <c r="G1692" s="110" t="s">
        <v>2663</v>
      </c>
      <c r="H1692" s="150" t="s">
        <v>6205</v>
      </c>
      <c r="I1692" s="150" t="s">
        <v>770</v>
      </c>
      <c r="J1692" s="150" t="s">
        <v>771</v>
      </c>
      <c r="K1692" s="221"/>
      <c r="L1692" s="135" t="str">
        <f t="shared" si="96"/>
        <v>Glischropus tylopus</v>
      </c>
      <c r="M1692" s="133">
        <f>LOG(N1692)</f>
        <v>0.64713836606315045</v>
      </c>
      <c r="N1692" s="152">
        <v>4.4375</v>
      </c>
      <c r="O1692" s="192"/>
      <c r="P1692" s="109">
        <v>153</v>
      </c>
    </row>
    <row r="1693" spans="1:18" ht="51">
      <c r="A1693" s="212" t="s">
        <v>2592</v>
      </c>
      <c r="B1693" s="141" t="s">
        <v>772</v>
      </c>
      <c r="C1693" s="150" t="s">
        <v>3817</v>
      </c>
      <c r="D1693" s="221"/>
      <c r="E1693" s="150"/>
      <c r="F1693" s="150"/>
      <c r="G1693" s="110" t="s">
        <v>2663</v>
      </c>
      <c r="H1693" s="150" t="s">
        <v>6205</v>
      </c>
      <c r="I1693" s="150" t="s">
        <v>773</v>
      </c>
      <c r="J1693" s="150" t="s">
        <v>850</v>
      </c>
      <c r="K1693" s="221"/>
      <c r="L1693" s="135" t="str">
        <f t="shared" si="96"/>
        <v>Harpiocephalus harpia</v>
      </c>
      <c r="M1693" s="133">
        <f>LOG(N1693)</f>
        <v>1.13433651094868</v>
      </c>
      <c r="N1693" s="152">
        <v>13.625</v>
      </c>
      <c r="O1693" s="192"/>
      <c r="P1693" s="109">
        <v>153</v>
      </c>
    </row>
    <row r="1694" spans="1:18">
      <c r="A1694" s="212" t="s">
        <v>2592</v>
      </c>
      <c r="B1694" s="141" t="s">
        <v>1166</v>
      </c>
      <c r="C1694" s="150" t="s">
        <v>3817</v>
      </c>
      <c r="D1694" s="221"/>
      <c r="E1694" s="150"/>
      <c r="F1694" s="150"/>
      <c r="G1694" s="110" t="s">
        <v>2663</v>
      </c>
      <c r="H1694" s="150" t="s">
        <v>6205</v>
      </c>
      <c r="I1694" s="150" t="s">
        <v>625</v>
      </c>
      <c r="J1694" s="150" t="s">
        <v>5401</v>
      </c>
      <c r="K1694" s="221"/>
      <c r="L1694" s="135" t="str">
        <f t="shared" si="96"/>
        <v>Hesperoptenus doriae</v>
      </c>
      <c r="M1694" s="146">
        <v>-999</v>
      </c>
      <c r="N1694" s="146">
        <v>-999</v>
      </c>
      <c r="O1694" s="183"/>
      <c r="P1694" s="109">
        <v>-999</v>
      </c>
    </row>
    <row r="1695" spans="1:18" ht="30" customHeight="1">
      <c r="A1695" s="212" t="s">
        <v>2592</v>
      </c>
      <c r="B1695" s="141" t="s">
        <v>624</v>
      </c>
      <c r="C1695" s="150" t="s">
        <v>3817</v>
      </c>
      <c r="D1695" s="221"/>
      <c r="E1695" s="150"/>
      <c r="F1695" s="150"/>
      <c r="G1695" s="110" t="s">
        <v>2663</v>
      </c>
      <c r="H1695" s="150" t="s">
        <v>6205</v>
      </c>
      <c r="I1695" s="150" t="s">
        <v>625</v>
      </c>
      <c r="J1695" s="150" t="s">
        <v>6452</v>
      </c>
      <c r="K1695" s="221"/>
      <c r="L1695" s="135" t="str">
        <f t="shared" si="96"/>
        <v>Hesperoptenus blanfordi</v>
      </c>
      <c r="M1695" s="133">
        <f>LOG(N1695)</f>
        <v>0.83250891270623628</v>
      </c>
      <c r="N1695" s="152">
        <v>6.8</v>
      </c>
      <c r="O1695" s="192"/>
      <c r="P1695" s="109">
        <v>153</v>
      </c>
    </row>
    <row r="1696" spans="1:18" ht="51">
      <c r="A1696" s="212" t="s">
        <v>2592</v>
      </c>
      <c r="B1696" s="141" t="s">
        <v>938</v>
      </c>
      <c r="C1696" s="150" t="s">
        <v>3817</v>
      </c>
      <c r="D1696" s="221"/>
      <c r="E1696" s="150"/>
      <c r="F1696" s="150"/>
      <c r="G1696" s="110" t="s">
        <v>2663</v>
      </c>
      <c r="H1696" s="150" t="s">
        <v>6205</v>
      </c>
      <c r="I1696" s="150" t="s">
        <v>625</v>
      </c>
      <c r="J1696" s="150" t="s">
        <v>871</v>
      </c>
      <c r="K1696" s="221"/>
      <c r="L1696" s="135" t="str">
        <f t="shared" si="96"/>
        <v>Hesperoptenus tickelli</v>
      </c>
      <c r="M1696" s="133">
        <f>LOG(N1696)</f>
        <v>1.2121876044039579</v>
      </c>
      <c r="N1696" s="152">
        <v>16.3</v>
      </c>
      <c r="O1696" s="192"/>
      <c r="P1696" s="109">
        <v>153</v>
      </c>
    </row>
    <row r="1697" spans="1:18">
      <c r="A1697" s="212" t="s">
        <v>2592</v>
      </c>
      <c r="B1697" s="141" t="s">
        <v>2847</v>
      </c>
      <c r="C1697" s="150" t="s">
        <v>3817</v>
      </c>
      <c r="D1697" s="221"/>
      <c r="E1697" s="150"/>
      <c r="F1697" s="150"/>
      <c r="G1697" s="110" t="s">
        <v>2663</v>
      </c>
      <c r="H1697" s="150" t="s">
        <v>6205</v>
      </c>
      <c r="I1697" s="150" t="s">
        <v>625</v>
      </c>
      <c r="J1697" s="150" t="s">
        <v>1062</v>
      </c>
      <c r="K1697" s="221"/>
      <c r="L1697" s="135" t="str">
        <f t="shared" si="96"/>
        <v>Hesperoptenus tomesi</v>
      </c>
      <c r="M1697" s="146">
        <f>LOG(N1697)</f>
        <v>1.4913616938342726</v>
      </c>
      <c r="N1697" s="146">
        <v>31</v>
      </c>
      <c r="O1697" s="183"/>
      <c r="P1697" s="109">
        <v>257</v>
      </c>
    </row>
    <row r="1698" spans="1:18" ht="24" customHeight="1">
      <c r="A1698" s="212" t="s">
        <v>2592</v>
      </c>
      <c r="B1698" s="141" t="s">
        <v>836</v>
      </c>
      <c r="C1698" s="150" t="s">
        <v>3817</v>
      </c>
      <c r="D1698" s="221"/>
      <c r="E1698" s="150"/>
      <c r="F1698" s="150"/>
      <c r="G1698" s="110" t="s">
        <v>2663</v>
      </c>
      <c r="H1698" s="150" t="s">
        <v>6205</v>
      </c>
      <c r="I1698" s="150" t="s">
        <v>837</v>
      </c>
      <c r="J1698" s="150" t="s">
        <v>1502</v>
      </c>
      <c r="K1698" s="221"/>
      <c r="L1698" s="135" t="str">
        <f t="shared" si="96"/>
        <v>Ia io</v>
      </c>
      <c r="M1698" s="133">
        <f>LOG(N1698)</f>
        <v>1.6919651027673603</v>
      </c>
      <c r="N1698" s="152">
        <v>49.2</v>
      </c>
      <c r="O1698" s="192"/>
      <c r="P1698" s="109">
        <v>153</v>
      </c>
    </row>
    <row r="1699" spans="1:18">
      <c r="A1699" s="212" t="s">
        <v>2592</v>
      </c>
      <c r="B1699" s="141" t="s">
        <v>6141</v>
      </c>
      <c r="C1699" s="148" t="s">
        <v>3817</v>
      </c>
      <c r="D1699" s="223"/>
      <c r="E1699" s="148"/>
      <c r="F1699" s="148"/>
      <c r="G1699" s="109" t="s">
        <v>2663</v>
      </c>
      <c r="H1699" s="148" t="s">
        <v>6205</v>
      </c>
      <c r="I1699" s="148" t="s">
        <v>1138</v>
      </c>
      <c r="J1699" s="148" t="s">
        <v>1219</v>
      </c>
      <c r="K1699" s="223"/>
      <c r="L1699" s="135" t="str">
        <f t="shared" si="96"/>
        <v>Kerivoula eriophora</v>
      </c>
      <c r="M1699" s="146">
        <v>-999</v>
      </c>
      <c r="N1699" s="151">
        <v>-999</v>
      </c>
      <c r="O1699" s="183"/>
      <c r="P1699" s="109">
        <v>-999</v>
      </c>
    </row>
    <row r="1700" spans="1:18" ht="25.5">
      <c r="A1700" s="212" t="s">
        <v>2592</v>
      </c>
      <c r="B1700" s="141" t="s">
        <v>838</v>
      </c>
      <c r="C1700" s="150" t="s">
        <v>3817</v>
      </c>
      <c r="D1700" s="221"/>
      <c r="E1700" s="150"/>
      <c r="F1700" s="150"/>
      <c r="G1700" s="110" t="s">
        <v>2663</v>
      </c>
      <c r="H1700" s="148" t="s">
        <v>6205</v>
      </c>
      <c r="I1700" s="150" t="s">
        <v>1138</v>
      </c>
      <c r="J1700" s="150" t="s">
        <v>5124</v>
      </c>
      <c r="K1700" s="221"/>
      <c r="L1700" s="135" t="str">
        <f t="shared" si="96"/>
        <v>Kerivoula minuta</v>
      </c>
      <c r="M1700" s="133">
        <f t="shared" ref="M1700:M1711" si="98">LOG(N1700)</f>
        <v>0.30749603791321289</v>
      </c>
      <c r="N1700" s="152">
        <v>2.0299999999999998</v>
      </c>
      <c r="O1700" s="192"/>
      <c r="P1700" s="109">
        <v>153</v>
      </c>
    </row>
    <row r="1701" spans="1:18" ht="25.5">
      <c r="A1701" s="212" t="s">
        <v>2592</v>
      </c>
      <c r="B1701" s="141" t="s">
        <v>832</v>
      </c>
      <c r="C1701" s="150" t="s">
        <v>3817</v>
      </c>
      <c r="D1701" s="221"/>
      <c r="E1701" s="150"/>
      <c r="F1701" s="150"/>
      <c r="G1701" s="110" t="s">
        <v>2663</v>
      </c>
      <c r="H1701" s="150" t="s">
        <v>6205</v>
      </c>
      <c r="I1701" s="150" t="s">
        <v>1138</v>
      </c>
      <c r="J1701" s="150" t="s">
        <v>5495</v>
      </c>
      <c r="K1701" s="221"/>
      <c r="L1701" s="135" t="str">
        <f t="shared" si="96"/>
        <v>Kerivoula whiteheadi</v>
      </c>
      <c r="M1701" s="133">
        <f t="shared" si="98"/>
        <v>0.51719589794997434</v>
      </c>
      <c r="N1701" s="152">
        <v>3.29</v>
      </c>
      <c r="O1701" s="192"/>
      <c r="P1701" s="109">
        <v>153</v>
      </c>
    </row>
    <row r="1702" spans="1:18">
      <c r="A1702" s="212" t="s">
        <v>2592</v>
      </c>
      <c r="B1702" s="141" t="s">
        <v>902</v>
      </c>
      <c r="C1702" s="150" t="s">
        <v>3817</v>
      </c>
      <c r="D1702" s="221"/>
      <c r="E1702" s="150"/>
      <c r="F1702" s="150"/>
      <c r="G1702" s="110" t="s">
        <v>2663</v>
      </c>
      <c r="H1702" s="150" t="s">
        <v>6205</v>
      </c>
      <c r="I1702" s="150" t="s">
        <v>1138</v>
      </c>
      <c r="J1702" s="150" t="s">
        <v>514</v>
      </c>
      <c r="K1702" s="221"/>
      <c r="L1702" s="135" t="str">
        <f t="shared" si="96"/>
        <v>Kerivoula intermedia</v>
      </c>
      <c r="M1702" s="146">
        <f t="shared" si="98"/>
        <v>0.5502283530550941</v>
      </c>
      <c r="N1702" s="146">
        <f>AVERAGE(2.6, 4.5)</f>
        <v>3.55</v>
      </c>
      <c r="O1702" s="183"/>
      <c r="P1702" s="109">
        <v>257</v>
      </c>
    </row>
    <row r="1703" spans="1:18" ht="25.5">
      <c r="A1703" s="212" t="s">
        <v>2592</v>
      </c>
      <c r="B1703" s="141" t="s">
        <v>1384</v>
      </c>
      <c r="C1703" s="150" t="s">
        <v>3817</v>
      </c>
      <c r="D1703" s="221"/>
      <c r="E1703" s="150"/>
      <c r="F1703" s="150"/>
      <c r="G1703" s="110" t="s">
        <v>2663</v>
      </c>
      <c r="H1703" s="150" t="s">
        <v>6205</v>
      </c>
      <c r="I1703" s="150" t="s">
        <v>1138</v>
      </c>
      <c r="J1703" s="150" t="s">
        <v>2852</v>
      </c>
      <c r="K1703" s="221"/>
      <c r="L1703" s="135" t="str">
        <f t="shared" si="96"/>
        <v>Kerivoula pellucida</v>
      </c>
      <c r="M1703" s="133">
        <f t="shared" si="98"/>
        <v>0.61278385671973545</v>
      </c>
      <c r="N1703" s="152">
        <v>4.0999999999999996</v>
      </c>
      <c r="O1703" s="192"/>
      <c r="P1703" s="109">
        <v>153</v>
      </c>
    </row>
    <row r="1704" spans="1:18" ht="63.75">
      <c r="A1704" s="212" t="s">
        <v>2592</v>
      </c>
      <c r="B1704" s="141" t="s">
        <v>1033</v>
      </c>
      <c r="C1704" s="150" t="s">
        <v>3817</v>
      </c>
      <c r="D1704" s="221"/>
      <c r="E1704" s="150"/>
      <c r="F1704" s="150"/>
      <c r="G1704" s="110" t="s">
        <v>2663</v>
      </c>
      <c r="H1704" s="150" t="s">
        <v>6205</v>
      </c>
      <c r="I1704" s="150" t="s">
        <v>1138</v>
      </c>
      <c r="J1704" s="150" t="s">
        <v>5451</v>
      </c>
      <c r="K1704" s="221"/>
      <c r="L1704" s="135" t="str">
        <f t="shared" si="96"/>
        <v>Kerivoula picta</v>
      </c>
      <c r="M1704" s="133">
        <f t="shared" si="98"/>
        <v>0.65321251377534373</v>
      </c>
      <c r="N1704" s="152">
        <v>4.5</v>
      </c>
      <c r="O1704" s="192"/>
      <c r="P1704" s="109">
        <v>153</v>
      </c>
    </row>
    <row r="1705" spans="1:18" ht="102">
      <c r="A1705" s="212" t="s">
        <v>2592</v>
      </c>
      <c r="B1705" s="141" t="s">
        <v>916</v>
      </c>
      <c r="C1705" s="150" t="s">
        <v>3817</v>
      </c>
      <c r="D1705" s="221"/>
      <c r="E1705" s="150"/>
      <c r="F1705" s="150"/>
      <c r="G1705" s="110" t="s">
        <v>2663</v>
      </c>
      <c r="H1705" s="150" t="s">
        <v>6205</v>
      </c>
      <c r="I1705" s="150" t="s">
        <v>1138</v>
      </c>
      <c r="J1705" s="150" t="s">
        <v>2701</v>
      </c>
      <c r="K1705" s="221"/>
      <c r="L1705" s="135" t="str">
        <f t="shared" si="96"/>
        <v>Kerivoula hardwickei</v>
      </c>
      <c r="M1705" s="133">
        <f t="shared" si="98"/>
        <v>0.65609820201283187</v>
      </c>
      <c r="N1705" s="152">
        <v>4.53</v>
      </c>
      <c r="O1705" s="192"/>
      <c r="P1705" s="109">
        <v>153</v>
      </c>
    </row>
    <row r="1706" spans="1:18" ht="25.5">
      <c r="A1706" s="212" t="s">
        <v>2592</v>
      </c>
      <c r="B1706" s="141" t="s">
        <v>2891</v>
      </c>
      <c r="C1706" s="150" t="s">
        <v>3817</v>
      </c>
      <c r="D1706" s="221"/>
      <c r="E1706" s="150"/>
      <c r="F1706" s="150"/>
      <c r="G1706" s="110" t="s">
        <v>2663</v>
      </c>
      <c r="H1706" s="150" t="s">
        <v>6205</v>
      </c>
      <c r="I1706" s="150" t="s">
        <v>1138</v>
      </c>
      <c r="J1706" s="150" t="s">
        <v>3013</v>
      </c>
      <c r="K1706" s="221"/>
      <c r="L1706" s="135" t="str">
        <f t="shared" si="96"/>
        <v>Kerivoula atrox</v>
      </c>
      <c r="M1706" s="133">
        <f t="shared" si="98"/>
        <v>0.68349731767981137</v>
      </c>
      <c r="N1706" s="152">
        <v>4.8250000000000002</v>
      </c>
      <c r="O1706" s="192"/>
      <c r="P1706" s="109">
        <v>153</v>
      </c>
    </row>
    <row r="1707" spans="1:18" ht="38.25">
      <c r="A1707" s="212" t="s">
        <v>2592</v>
      </c>
      <c r="B1707" s="141" t="s">
        <v>905</v>
      </c>
      <c r="C1707" s="150" t="s">
        <v>3817</v>
      </c>
      <c r="D1707" s="221"/>
      <c r="E1707" s="150"/>
      <c r="F1707" s="150"/>
      <c r="G1707" s="110" t="s">
        <v>2663</v>
      </c>
      <c r="H1707" s="150" t="s">
        <v>6205</v>
      </c>
      <c r="I1707" s="150" t="s">
        <v>1138</v>
      </c>
      <c r="J1707" s="150" t="s">
        <v>906</v>
      </c>
      <c r="K1707" s="221"/>
      <c r="L1707" s="135" t="str">
        <f t="shared" si="96"/>
        <v>Kerivoula papillosa</v>
      </c>
      <c r="M1707" s="133">
        <f t="shared" si="98"/>
        <v>1.0043213737826426</v>
      </c>
      <c r="N1707" s="152">
        <v>10.1</v>
      </c>
      <c r="O1707" s="192"/>
      <c r="P1707" s="109">
        <v>153</v>
      </c>
    </row>
    <row r="1708" spans="1:18" ht="15" customHeight="1">
      <c r="A1708" s="212" t="s">
        <v>2592</v>
      </c>
      <c r="B1708" s="141" t="s">
        <v>933</v>
      </c>
      <c r="C1708" s="150" t="s">
        <v>3817</v>
      </c>
      <c r="D1708" s="221"/>
      <c r="E1708" s="150"/>
      <c r="F1708" s="150"/>
      <c r="G1708" s="110" t="s">
        <v>2663</v>
      </c>
      <c r="H1708" s="150" t="s">
        <v>6205</v>
      </c>
      <c r="I1708" s="150" t="s">
        <v>2729</v>
      </c>
      <c r="J1708" s="150" t="s">
        <v>4473</v>
      </c>
      <c r="K1708" s="221"/>
      <c r="L1708" s="135" t="str">
        <f t="shared" si="96"/>
        <v>Miniopterus pusillus</v>
      </c>
      <c r="M1708" s="133">
        <f t="shared" si="98"/>
        <v>0.93512923491568223</v>
      </c>
      <c r="N1708" s="152">
        <v>8.6125000000000007</v>
      </c>
      <c r="O1708" s="192"/>
      <c r="P1708" s="109">
        <v>153</v>
      </c>
    </row>
    <row r="1709" spans="1:18" ht="63.75">
      <c r="A1709" s="212" t="s">
        <v>2592</v>
      </c>
      <c r="B1709" s="141" t="s">
        <v>629</v>
      </c>
      <c r="C1709" s="150" t="s">
        <v>3817</v>
      </c>
      <c r="D1709" s="221"/>
      <c r="E1709" s="150"/>
      <c r="F1709" s="150"/>
      <c r="G1709" s="110" t="s">
        <v>2663</v>
      </c>
      <c r="H1709" s="150" t="s">
        <v>6205</v>
      </c>
      <c r="I1709" s="150" t="s">
        <v>2729</v>
      </c>
      <c r="J1709" s="150" t="s">
        <v>4847</v>
      </c>
      <c r="K1709" s="221"/>
      <c r="L1709" s="135" t="str">
        <f t="shared" si="96"/>
        <v>Miniopterus fuscus</v>
      </c>
      <c r="M1709" s="133">
        <f t="shared" si="98"/>
        <v>1.0307346169761551</v>
      </c>
      <c r="N1709" s="152">
        <v>10.733333333333</v>
      </c>
      <c r="O1709" s="192"/>
      <c r="P1709" s="109">
        <v>153</v>
      </c>
    </row>
    <row r="1710" spans="1:18" ht="127.5">
      <c r="A1710" s="212" t="s">
        <v>2592</v>
      </c>
      <c r="B1710" s="141" t="s">
        <v>1004</v>
      </c>
      <c r="C1710" s="150" t="s">
        <v>3817</v>
      </c>
      <c r="D1710" s="221"/>
      <c r="E1710" s="150"/>
      <c r="F1710" s="150"/>
      <c r="G1710" s="110" t="s">
        <v>2663</v>
      </c>
      <c r="H1710" s="150" t="s">
        <v>6205</v>
      </c>
      <c r="I1710" s="150" t="s">
        <v>2729</v>
      </c>
      <c r="J1710" s="150" t="s">
        <v>1005</v>
      </c>
      <c r="K1710" s="221"/>
      <c r="L1710" s="135" t="str">
        <f t="shared" si="96"/>
        <v>Miniopterus schreibersi</v>
      </c>
      <c r="M1710" s="133">
        <f t="shared" si="98"/>
        <v>1.0594624367970615</v>
      </c>
      <c r="N1710" s="152">
        <v>11.467333333333</v>
      </c>
      <c r="O1710" s="192"/>
      <c r="P1710" s="109">
        <v>153</v>
      </c>
      <c r="R1710" s="85" t="s">
        <v>7869</v>
      </c>
    </row>
    <row r="1711" spans="1:18" ht="38.25">
      <c r="A1711" s="212" t="s">
        <v>2592</v>
      </c>
      <c r="B1711" s="141" t="s">
        <v>1101</v>
      </c>
      <c r="C1711" s="150" t="s">
        <v>3817</v>
      </c>
      <c r="D1711" s="221"/>
      <c r="E1711" s="150"/>
      <c r="F1711" s="150"/>
      <c r="G1711" s="110" t="s">
        <v>2663</v>
      </c>
      <c r="H1711" s="150" t="s">
        <v>6205</v>
      </c>
      <c r="I1711" s="150" t="s">
        <v>2729</v>
      </c>
      <c r="J1711" s="150" t="s">
        <v>1591</v>
      </c>
      <c r="K1711" s="221"/>
      <c r="L1711" s="135" t="str">
        <f t="shared" si="96"/>
        <v>Miniopterus magnater</v>
      </c>
      <c r="M1711" s="133">
        <f t="shared" si="98"/>
        <v>1.1481911962420217</v>
      </c>
      <c r="N1711" s="152">
        <v>14.066666666667</v>
      </c>
      <c r="O1711" s="192"/>
      <c r="P1711" s="109">
        <v>153</v>
      </c>
    </row>
    <row r="1712" spans="1:18" ht="25.5">
      <c r="A1712" s="212" t="s">
        <v>2592</v>
      </c>
      <c r="B1712" s="141" t="s">
        <v>1264</v>
      </c>
      <c r="C1712" s="150" t="s">
        <v>3817</v>
      </c>
      <c r="D1712" s="221"/>
      <c r="E1712" s="150"/>
      <c r="F1712" s="150"/>
      <c r="G1712" s="110" t="s">
        <v>2663</v>
      </c>
      <c r="H1712" s="150" t="s">
        <v>6205</v>
      </c>
      <c r="I1712" s="150" t="s">
        <v>1485</v>
      </c>
      <c r="J1712" s="150" t="s">
        <v>4862</v>
      </c>
      <c r="K1712" s="221"/>
      <c r="L1712" s="135" t="str">
        <f t="shared" si="96"/>
        <v>Murina aurata</v>
      </c>
      <c r="M1712" s="146">
        <v>-999</v>
      </c>
      <c r="N1712" s="146">
        <v>-999</v>
      </c>
      <c r="O1712" s="183"/>
      <c r="P1712" s="110">
        <v>-999</v>
      </c>
    </row>
    <row r="1713" spans="1:22">
      <c r="A1713" s="212" t="s">
        <v>2592</v>
      </c>
      <c r="B1713" s="141" t="s">
        <v>834</v>
      </c>
      <c r="C1713" s="150" t="s">
        <v>3817</v>
      </c>
      <c r="D1713" s="221"/>
      <c r="E1713" s="150"/>
      <c r="F1713" s="150"/>
      <c r="G1713" s="110" t="s">
        <v>2663</v>
      </c>
      <c r="H1713" s="150" t="s">
        <v>6205</v>
      </c>
      <c r="I1713" s="150" t="s">
        <v>1485</v>
      </c>
      <c r="J1713" s="150" t="s">
        <v>4093</v>
      </c>
      <c r="K1713" s="221"/>
      <c r="L1713" s="135" t="str">
        <f t="shared" si="96"/>
        <v>Murina fusca</v>
      </c>
      <c r="M1713" s="146">
        <v>-999</v>
      </c>
      <c r="N1713" s="146">
        <v>-999</v>
      </c>
      <c r="O1713" s="183"/>
      <c r="P1713" s="110">
        <v>-999</v>
      </c>
    </row>
    <row r="1714" spans="1:22">
      <c r="A1714" s="212" t="s">
        <v>2592</v>
      </c>
      <c r="B1714" s="141" t="s">
        <v>1163</v>
      </c>
      <c r="C1714" s="150" t="s">
        <v>3817</v>
      </c>
      <c r="D1714" s="221"/>
      <c r="E1714" s="150"/>
      <c r="F1714" s="150"/>
      <c r="G1714" s="110" t="s">
        <v>2663</v>
      </c>
      <c r="H1714" s="150" t="s">
        <v>6205</v>
      </c>
      <c r="I1714" s="150" t="s">
        <v>1485</v>
      </c>
      <c r="J1714" s="150" t="s">
        <v>841</v>
      </c>
      <c r="K1714" s="221"/>
      <c r="L1714" s="135" t="str">
        <f t="shared" si="96"/>
        <v>Murina grisea</v>
      </c>
      <c r="M1714" s="146">
        <v>-999</v>
      </c>
      <c r="N1714" s="146">
        <v>-999</v>
      </c>
      <c r="O1714" s="183"/>
      <c r="P1714" s="110">
        <v>-999</v>
      </c>
    </row>
    <row r="1715" spans="1:22">
      <c r="A1715" s="212" t="s">
        <v>2592</v>
      </c>
      <c r="B1715" s="141" t="s">
        <v>1942</v>
      </c>
      <c r="C1715" s="150" t="s">
        <v>3817</v>
      </c>
      <c r="D1715" s="221"/>
      <c r="E1715" s="150"/>
      <c r="F1715" s="150"/>
      <c r="G1715" s="110" t="s">
        <v>2663</v>
      </c>
      <c r="H1715" s="150" t="s">
        <v>6205</v>
      </c>
      <c r="I1715" s="150" t="s">
        <v>1485</v>
      </c>
      <c r="J1715" s="150" t="s">
        <v>842</v>
      </c>
      <c r="K1715" s="221"/>
      <c r="L1715" s="135" t="str">
        <f t="shared" si="96"/>
        <v>Murina puta</v>
      </c>
      <c r="M1715" s="146">
        <v>-999</v>
      </c>
      <c r="N1715" s="146">
        <v>-999</v>
      </c>
      <c r="O1715" s="183"/>
      <c r="P1715" s="110">
        <v>-999</v>
      </c>
    </row>
    <row r="1716" spans="1:22" ht="38.25">
      <c r="A1716" s="212" t="s">
        <v>2592</v>
      </c>
      <c r="B1716" s="141" t="s">
        <v>2920</v>
      </c>
      <c r="C1716" s="150" t="s">
        <v>3817</v>
      </c>
      <c r="D1716" s="221"/>
      <c r="E1716" s="150"/>
      <c r="F1716" s="150"/>
      <c r="G1716" s="110" t="s">
        <v>2663</v>
      </c>
      <c r="H1716" s="148" t="s">
        <v>6205</v>
      </c>
      <c r="I1716" s="150" t="s">
        <v>1485</v>
      </c>
      <c r="J1716" s="150" t="s">
        <v>2921</v>
      </c>
      <c r="K1716" s="221"/>
      <c r="L1716" s="135" t="str">
        <f t="shared" si="96"/>
        <v>Murina ussuriensis</v>
      </c>
      <c r="M1716" s="146">
        <v>-999</v>
      </c>
      <c r="N1716" s="146">
        <v>-999</v>
      </c>
      <c r="O1716" s="183"/>
      <c r="P1716" s="110">
        <v>-999</v>
      </c>
    </row>
    <row r="1717" spans="1:22" ht="38.25">
      <c r="A1717" s="212" t="s">
        <v>2592</v>
      </c>
      <c r="B1717" s="141" t="s">
        <v>2980</v>
      </c>
      <c r="C1717" s="150" t="s">
        <v>3817</v>
      </c>
      <c r="D1717" s="221"/>
      <c r="E1717" s="150"/>
      <c r="F1717" s="150"/>
      <c r="G1717" s="110" t="s">
        <v>2663</v>
      </c>
      <c r="H1717" s="150" t="s">
        <v>6205</v>
      </c>
      <c r="I1717" s="150" t="s">
        <v>1485</v>
      </c>
      <c r="J1717" s="150" t="s">
        <v>1148</v>
      </c>
      <c r="K1717" s="221"/>
      <c r="L1717" s="135" t="str">
        <f t="shared" si="96"/>
        <v>Murina suilla</v>
      </c>
      <c r="M1717" s="133">
        <f t="shared" ref="M1717:M1722" si="99">LOG(N1717)</f>
        <v>0.6020599913279624</v>
      </c>
      <c r="N1717" s="152">
        <v>4</v>
      </c>
      <c r="O1717" s="192"/>
      <c r="P1717" s="110">
        <v>153</v>
      </c>
      <c r="U1717" s="61"/>
      <c r="V1717" s="61"/>
    </row>
    <row r="1718" spans="1:22" ht="25.5">
      <c r="A1718" s="212" t="s">
        <v>2592</v>
      </c>
      <c r="B1718" s="141" t="s">
        <v>1061</v>
      </c>
      <c r="C1718" s="150" t="s">
        <v>3817</v>
      </c>
      <c r="D1718" s="221"/>
      <c r="E1718" s="150"/>
      <c r="F1718" s="150"/>
      <c r="G1718" s="110" t="s">
        <v>2663</v>
      </c>
      <c r="H1718" s="150" t="s">
        <v>6205</v>
      </c>
      <c r="I1718" s="150" t="s">
        <v>1485</v>
      </c>
      <c r="J1718" s="150" t="s">
        <v>914</v>
      </c>
      <c r="K1718" s="221"/>
      <c r="L1718" s="135" t="str">
        <f t="shared" si="96"/>
        <v>Murina tubinaris</v>
      </c>
      <c r="M1718" s="133">
        <f t="shared" si="99"/>
        <v>0.73639650227664244</v>
      </c>
      <c r="N1718" s="152">
        <v>5.45</v>
      </c>
      <c r="O1718" s="192"/>
      <c r="P1718" s="110">
        <v>153</v>
      </c>
    </row>
    <row r="1719" spans="1:22">
      <c r="A1719" s="212" t="s">
        <v>2592</v>
      </c>
      <c r="B1719" s="141" t="s">
        <v>915</v>
      </c>
      <c r="C1719" s="150" t="s">
        <v>3817</v>
      </c>
      <c r="D1719" s="221"/>
      <c r="E1719" s="150"/>
      <c r="F1719" s="150"/>
      <c r="G1719" s="110" t="s">
        <v>2663</v>
      </c>
      <c r="H1719" s="150" t="s">
        <v>6205</v>
      </c>
      <c r="I1719" s="150" t="s">
        <v>1485</v>
      </c>
      <c r="J1719" s="150" t="s">
        <v>1258</v>
      </c>
      <c r="K1719" s="221"/>
      <c r="L1719" s="135" t="str">
        <f t="shared" si="96"/>
        <v>Murina aenea</v>
      </c>
      <c r="M1719" s="133">
        <f t="shared" si="99"/>
        <v>0.87506126339170009</v>
      </c>
      <c r="N1719" s="152">
        <v>7.5</v>
      </c>
      <c r="O1719" s="192"/>
      <c r="P1719" s="110">
        <v>153</v>
      </c>
    </row>
    <row r="1720" spans="1:22" ht="140.25">
      <c r="A1720" s="212" t="s">
        <v>2592</v>
      </c>
      <c r="B1720" s="141" t="s">
        <v>920</v>
      </c>
      <c r="C1720" s="150" t="s">
        <v>3817</v>
      </c>
      <c r="D1720" s="221"/>
      <c r="E1720" s="150"/>
      <c r="F1720" s="150"/>
      <c r="G1720" s="110" t="s">
        <v>2663</v>
      </c>
      <c r="H1720" s="148" t="s">
        <v>6205</v>
      </c>
      <c r="I1720" s="150" t="s">
        <v>1485</v>
      </c>
      <c r="J1720" s="150" t="s">
        <v>4045</v>
      </c>
      <c r="K1720" s="221"/>
      <c r="L1720" s="135" t="str">
        <f t="shared" si="96"/>
        <v>Murina leucogaster</v>
      </c>
      <c r="M1720" s="133">
        <f t="shared" si="99"/>
        <v>0.87794695162918823</v>
      </c>
      <c r="N1720" s="152">
        <v>7.55</v>
      </c>
      <c r="O1720" s="192"/>
      <c r="P1720" s="110">
        <v>153</v>
      </c>
    </row>
    <row r="1721" spans="1:22" ht="51">
      <c r="A1721" s="212" t="s">
        <v>2592</v>
      </c>
      <c r="B1721" s="141" t="s">
        <v>1385</v>
      </c>
      <c r="C1721" s="148" t="s">
        <v>3817</v>
      </c>
      <c r="D1721" s="223"/>
      <c r="E1721" s="148"/>
      <c r="F1721" s="148"/>
      <c r="G1721" s="109" t="s">
        <v>2663</v>
      </c>
      <c r="H1721" s="150" t="s">
        <v>6205</v>
      </c>
      <c r="I1721" s="148" t="s">
        <v>1485</v>
      </c>
      <c r="J1721" s="148" t="s">
        <v>1386</v>
      </c>
      <c r="K1721" s="223"/>
      <c r="L1721" s="135" t="str">
        <f t="shared" si="96"/>
        <v>Murina huttoni</v>
      </c>
      <c r="M1721" s="133">
        <f t="shared" si="99"/>
        <v>0.88081359228079137</v>
      </c>
      <c r="N1721" s="149">
        <v>7.6</v>
      </c>
      <c r="O1721" s="192"/>
      <c r="P1721" s="110">
        <v>153</v>
      </c>
      <c r="U1721" s="61"/>
      <c r="V1721" s="61"/>
    </row>
    <row r="1722" spans="1:22" ht="76.5">
      <c r="A1722" s="212" t="s">
        <v>2592</v>
      </c>
      <c r="B1722" s="141" t="s">
        <v>194</v>
      </c>
      <c r="C1722" s="150" t="s">
        <v>3817</v>
      </c>
      <c r="D1722" s="221"/>
      <c r="E1722" s="150"/>
      <c r="F1722" s="150"/>
      <c r="G1722" s="110" t="s">
        <v>2663</v>
      </c>
      <c r="H1722" s="150" t="s">
        <v>6205</v>
      </c>
      <c r="I1722" s="150" t="s">
        <v>1485</v>
      </c>
      <c r="J1722" s="150" t="s">
        <v>2303</v>
      </c>
      <c r="K1722" s="221"/>
      <c r="L1722" s="135" t="str">
        <f t="shared" si="96"/>
        <v>Murina cyclotis</v>
      </c>
      <c r="M1722" s="133">
        <f t="shared" si="99"/>
        <v>0.95724801957905015</v>
      </c>
      <c r="N1722" s="152">
        <v>9.0625</v>
      </c>
      <c r="O1722" s="192"/>
      <c r="P1722" s="110">
        <v>153</v>
      </c>
    </row>
    <row r="1723" spans="1:22">
      <c r="A1723" s="212" t="s">
        <v>2592</v>
      </c>
      <c r="B1723" s="141" t="s">
        <v>3049</v>
      </c>
      <c r="C1723" s="150" t="s">
        <v>3817</v>
      </c>
      <c r="D1723" s="221"/>
      <c r="E1723" s="150"/>
      <c r="F1723" s="150"/>
      <c r="G1723" s="110" t="s">
        <v>2663</v>
      </c>
      <c r="H1723" s="150" t="s">
        <v>6205</v>
      </c>
      <c r="I1723" s="150" t="s">
        <v>6206</v>
      </c>
      <c r="J1723" s="150" t="s">
        <v>2945</v>
      </c>
      <c r="K1723" s="221"/>
      <c r="L1723" s="135" t="str">
        <f t="shared" si="96"/>
        <v>Myotis abei</v>
      </c>
      <c r="M1723" s="146">
        <v>-999</v>
      </c>
      <c r="N1723" s="146">
        <v>-999</v>
      </c>
      <c r="O1723" s="183"/>
      <c r="P1723" s="110">
        <v>-999</v>
      </c>
    </row>
    <row r="1724" spans="1:22" ht="25.5">
      <c r="A1724" s="212" t="s">
        <v>2592</v>
      </c>
      <c r="B1724" s="141" t="s">
        <v>795</v>
      </c>
      <c r="C1724" s="150" t="s">
        <v>3817</v>
      </c>
      <c r="D1724" s="221"/>
      <c r="E1724" s="150"/>
      <c r="F1724" s="150"/>
      <c r="G1724" s="110" t="s">
        <v>2663</v>
      </c>
      <c r="H1724" s="150" t="s">
        <v>6205</v>
      </c>
      <c r="I1724" s="150" t="s">
        <v>6206</v>
      </c>
      <c r="J1724" s="150" t="s">
        <v>796</v>
      </c>
      <c r="K1724" s="221"/>
      <c r="L1724" s="135" t="str">
        <f t="shared" si="96"/>
        <v>Myotis bombinus</v>
      </c>
      <c r="M1724" s="146">
        <v>-999</v>
      </c>
      <c r="N1724" s="146">
        <v>-999</v>
      </c>
      <c r="O1724" s="183"/>
      <c r="P1724" s="110">
        <v>-999</v>
      </c>
    </row>
    <row r="1725" spans="1:22" ht="48" customHeight="1">
      <c r="A1725" s="212" t="s">
        <v>2592</v>
      </c>
      <c r="B1725" s="141" t="s">
        <v>225</v>
      </c>
      <c r="C1725" s="150" t="s">
        <v>3817</v>
      </c>
      <c r="D1725" s="221"/>
      <c r="E1725" s="150"/>
      <c r="F1725" s="150"/>
      <c r="G1725" s="110" t="s">
        <v>2663</v>
      </c>
      <c r="H1725" s="150" t="s">
        <v>6205</v>
      </c>
      <c r="I1725" s="150" t="s">
        <v>6206</v>
      </c>
      <c r="J1725" s="150" t="s">
        <v>226</v>
      </c>
      <c r="K1725" s="221"/>
      <c r="L1725" s="135" t="str">
        <f t="shared" si="96"/>
        <v>Myotis ikonnikovi</v>
      </c>
      <c r="M1725" s="146">
        <v>-999</v>
      </c>
      <c r="N1725" s="146">
        <v>-999</v>
      </c>
      <c r="O1725" s="183"/>
      <c r="P1725" s="110">
        <v>-999</v>
      </c>
    </row>
    <row r="1726" spans="1:22" ht="25.5">
      <c r="A1726" s="212" t="s">
        <v>2592</v>
      </c>
      <c r="B1726" s="141" t="s">
        <v>1224</v>
      </c>
      <c r="C1726" s="150" t="s">
        <v>3817</v>
      </c>
      <c r="D1726" s="221"/>
      <c r="E1726" s="150"/>
      <c r="F1726" s="150"/>
      <c r="G1726" s="110" t="s">
        <v>2663</v>
      </c>
      <c r="H1726" s="150" t="s">
        <v>6205</v>
      </c>
      <c r="I1726" s="150" t="s">
        <v>6206</v>
      </c>
      <c r="J1726" s="150" t="s">
        <v>3808</v>
      </c>
      <c r="K1726" s="221"/>
      <c r="L1726" s="135" t="str">
        <f t="shared" si="96"/>
        <v>Myotis longipes</v>
      </c>
      <c r="M1726" s="146">
        <v>-999</v>
      </c>
      <c r="N1726" s="146">
        <v>-999</v>
      </c>
      <c r="O1726" s="189"/>
      <c r="P1726" s="110">
        <v>-999</v>
      </c>
    </row>
    <row r="1727" spans="1:22" ht="25.5">
      <c r="A1727" s="212" t="s">
        <v>2592</v>
      </c>
      <c r="B1727" s="141" t="s">
        <v>1023</v>
      </c>
      <c r="C1727" s="150" t="s">
        <v>3817</v>
      </c>
      <c r="D1727" s="221"/>
      <c r="E1727" s="150"/>
      <c r="F1727" s="150"/>
      <c r="G1727" s="110" t="s">
        <v>2663</v>
      </c>
      <c r="H1727" s="150" t="s">
        <v>6205</v>
      </c>
      <c r="I1727" s="150" t="s">
        <v>6206</v>
      </c>
      <c r="J1727" s="150" t="s">
        <v>1024</v>
      </c>
      <c r="K1727" s="221"/>
      <c r="L1727" s="135" t="str">
        <f t="shared" si="96"/>
        <v>Myotis pequinius</v>
      </c>
      <c r="M1727" s="146">
        <v>-999</v>
      </c>
      <c r="N1727" s="146">
        <v>-999</v>
      </c>
      <c r="O1727" s="183"/>
      <c r="P1727" s="110">
        <v>-999</v>
      </c>
    </row>
    <row r="1728" spans="1:22" ht="38.25">
      <c r="A1728" s="212" t="s">
        <v>2592</v>
      </c>
      <c r="B1728" s="141" t="s">
        <v>1050</v>
      </c>
      <c r="C1728" s="150" t="s">
        <v>3817</v>
      </c>
      <c r="D1728" s="221"/>
      <c r="E1728" s="150"/>
      <c r="F1728" s="150"/>
      <c r="G1728" s="110" t="s">
        <v>2663</v>
      </c>
      <c r="H1728" s="150" t="s">
        <v>6205</v>
      </c>
      <c r="I1728" s="150" t="s">
        <v>6206</v>
      </c>
      <c r="J1728" s="150" t="s">
        <v>1051</v>
      </c>
      <c r="K1728" s="221"/>
      <c r="L1728" s="135" t="str">
        <f t="shared" si="96"/>
        <v>Myotis ricketti</v>
      </c>
      <c r="M1728" s="146">
        <v>-999</v>
      </c>
      <c r="N1728" s="146">
        <v>-999</v>
      </c>
      <c r="O1728" s="183"/>
      <c r="P1728" s="110">
        <v>-999</v>
      </c>
    </row>
    <row r="1729" spans="1:18" ht="25.5">
      <c r="A1729" s="212" t="s">
        <v>2592</v>
      </c>
      <c r="B1729" s="141" t="s">
        <v>1151</v>
      </c>
      <c r="C1729" s="150" t="s">
        <v>3817</v>
      </c>
      <c r="D1729" s="221"/>
      <c r="E1729" s="150"/>
      <c r="F1729" s="150"/>
      <c r="G1729" s="110" t="s">
        <v>2663</v>
      </c>
      <c r="H1729" s="148" t="s">
        <v>6205</v>
      </c>
      <c r="I1729" s="150" t="s">
        <v>6206</v>
      </c>
      <c r="J1729" s="150" t="s">
        <v>1152</v>
      </c>
      <c r="K1729" s="221"/>
      <c r="L1729" s="135" t="str">
        <f t="shared" si="96"/>
        <v>Myotis schaubi</v>
      </c>
      <c r="M1729" s="146">
        <v>-999</v>
      </c>
      <c r="N1729" s="146">
        <v>-999</v>
      </c>
      <c r="O1729" s="183"/>
      <c r="P1729" s="110">
        <v>-999</v>
      </c>
    </row>
    <row r="1730" spans="1:18">
      <c r="A1730" s="212" t="s">
        <v>2592</v>
      </c>
      <c r="B1730" s="141" t="s">
        <v>806</v>
      </c>
      <c r="C1730" s="148" t="s">
        <v>3817</v>
      </c>
      <c r="D1730" s="223"/>
      <c r="E1730" s="148"/>
      <c r="F1730" s="148"/>
      <c r="G1730" s="109" t="s">
        <v>2663</v>
      </c>
      <c r="H1730" s="150" t="s">
        <v>6205</v>
      </c>
      <c r="I1730" s="148" t="s">
        <v>6206</v>
      </c>
      <c r="J1730" s="148" t="s">
        <v>807</v>
      </c>
      <c r="K1730" s="223"/>
      <c r="L1730" s="135" t="str">
        <f t="shared" si="96"/>
        <v>Myotis sicarius</v>
      </c>
      <c r="M1730" s="146">
        <v>-999</v>
      </c>
      <c r="N1730" s="146">
        <v>-999</v>
      </c>
      <c r="O1730" s="183"/>
      <c r="P1730" s="110">
        <v>-999</v>
      </c>
    </row>
    <row r="1731" spans="1:18" ht="168" customHeight="1">
      <c r="A1731" s="212" t="s">
        <v>2592</v>
      </c>
      <c r="B1731" s="141" t="s">
        <v>897</v>
      </c>
      <c r="C1731" s="150" t="s">
        <v>3817</v>
      </c>
      <c r="D1731" s="221"/>
      <c r="E1731" s="150"/>
      <c r="F1731" s="150"/>
      <c r="G1731" s="110" t="s">
        <v>2663</v>
      </c>
      <c r="H1731" s="150" t="s">
        <v>6205</v>
      </c>
      <c r="I1731" s="150" t="s">
        <v>6206</v>
      </c>
      <c r="J1731" s="150" t="s">
        <v>2846</v>
      </c>
      <c r="K1731" s="221"/>
      <c r="L1731" s="135" t="str">
        <f t="shared" si="96"/>
        <v>Myotis siligorensis</v>
      </c>
      <c r="M1731" s="133">
        <f t="shared" ref="M1731:M1755" si="100">LOG(N1731)</f>
        <v>0.4705574852172742</v>
      </c>
      <c r="N1731" s="152">
        <v>2.9550000000000001</v>
      </c>
      <c r="O1731" s="192"/>
      <c r="P1731" s="110">
        <v>153</v>
      </c>
    </row>
    <row r="1732" spans="1:18">
      <c r="A1732" s="212" t="s">
        <v>2592</v>
      </c>
      <c r="B1732" s="141" t="s">
        <v>2827</v>
      </c>
      <c r="C1732" s="150" t="s">
        <v>3817</v>
      </c>
      <c r="D1732" s="221"/>
      <c r="E1732" s="150"/>
      <c r="F1732" s="150"/>
      <c r="G1732" s="110" t="s">
        <v>2663</v>
      </c>
      <c r="H1732" s="150" t="s">
        <v>6205</v>
      </c>
      <c r="I1732" s="150" t="s">
        <v>6206</v>
      </c>
      <c r="J1732" s="150" t="s">
        <v>2828</v>
      </c>
      <c r="K1732" s="221"/>
      <c r="L1732" s="135" t="str">
        <f t="shared" si="96"/>
        <v>Myotis rosseti</v>
      </c>
      <c r="M1732" s="133">
        <f t="shared" si="100"/>
        <v>0.51719589794997434</v>
      </c>
      <c r="N1732" s="152">
        <v>3.29</v>
      </c>
      <c r="O1732" s="192"/>
      <c r="P1732" s="110">
        <v>153</v>
      </c>
    </row>
    <row r="1733" spans="1:18" ht="25.5">
      <c r="A1733" s="212" t="s">
        <v>2592</v>
      </c>
      <c r="B1733" s="141" t="s">
        <v>3059</v>
      </c>
      <c r="C1733" s="150" t="s">
        <v>3817</v>
      </c>
      <c r="D1733" s="221"/>
      <c r="E1733" s="150"/>
      <c r="F1733" s="150"/>
      <c r="G1733" s="110" t="s">
        <v>2663</v>
      </c>
      <c r="H1733" s="150" t="s">
        <v>6205</v>
      </c>
      <c r="I1733" s="150" t="s">
        <v>6206</v>
      </c>
      <c r="J1733" s="150" t="s">
        <v>550</v>
      </c>
      <c r="K1733" s="221"/>
      <c r="L1733" s="135" t="str">
        <f t="shared" ref="L1733:L1796" si="101">I1733&amp;" "&amp;J1733</f>
        <v>Myotis ridleyi</v>
      </c>
      <c r="M1733" s="133">
        <f t="shared" si="100"/>
        <v>0.6020599913279624</v>
      </c>
      <c r="N1733" s="152">
        <v>4</v>
      </c>
      <c r="O1733" s="192"/>
      <c r="P1733" s="110">
        <v>153</v>
      </c>
    </row>
    <row r="1734" spans="1:18" ht="15" customHeight="1">
      <c r="A1734" s="212" t="s">
        <v>2592</v>
      </c>
      <c r="B1734" s="141" t="s">
        <v>1145</v>
      </c>
      <c r="C1734" s="150" t="s">
        <v>3817</v>
      </c>
      <c r="D1734" s="221"/>
      <c r="E1734" s="150"/>
      <c r="F1734" s="150"/>
      <c r="G1734" s="110" t="s">
        <v>2663</v>
      </c>
      <c r="H1734" s="150" t="s">
        <v>6205</v>
      </c>
      <c r="I1734" s="150" t="s">
        <v>6206</v>
      </c>
      <c r="J1734" s="150" t="s">
        <v>2833</v>
      </c>
      <c r="K1734" s="221"/>
      <c r="L1734" s="135" t="str">
        <f t="shared" si="101"/>
        <v>Myotis muricola</v>
      </c>
      <c r="M1734" s="133">
        <f t="shared" si="100"/>
        <v>0.64998354364517763</v>
      </c>
      <c r="N1734" s="152">
        <v>4.4666666666669999</v>
      </c>
      <c r="O1734" s="192"/>
      <c r="P1734" s="110">
        <v>153</v>
      </c>
    </row>
    <row r="1735" spans="1:18" ht="51">
      <c r="A1735" s="212" t="s">
        <v>2592</v>
      </c>
      <c r="B1735" s="141" t="s">
        <v>3019</v>
      </c>
      <c r="C1735" s="150" t="s">
        <v>3817</v>
      </c>
      <c r="D1735" s="221"/>
      <c r="E1735" s="150"/>
      <c r="F1735" s="150"/>
      <c r="G1735" s="110" t="s">
        <v>2663</v>
      </c>
      <c r="H1735" s="150" t="s">
        <v>6205</v>
      </c>
      <c r="I1735" s="150" t="s">
        <v>6206</v>
      </c>
      <c r="J1735" s="150" t="s">
        <v>5738</v>
      </c>
      <c r="K1735" s="221"/>
      <c r="L1735" s="135" t="str">
        <f t="shared" si="101"/>
        <v>Myotis mystacinus</v>
      </c>
      <c r="M1735" s="133">
        <f t="shared" si="100"/>
        <v>0.69788290869480463</v>
      </c>
      <c r="N1735" s="152">
        <v>4.9874999999999998</v>
      </c>
      <c r="O1735" s="192"/>
      <c r="P1735" s="110">
        <v>153</v>
      </c>
    </row>
    <row r="1736" spans="1:18" ht="102">
      <c r="A1736" s="212" t="s">
        <v>2592</v>
      </c>
      <c r="B1736" s="141" t="s">
        <v>1012</v>
      </c>
      <c r="C1736" s="150" t="s">
        <v>3817</v>
      </c>
      <c r="D1736" s="221"/>
      <c r="E1736" s="150"/>
      <c r="F1736" s="150"/>
      <c r="G1736" s="110" t="s">
        <v>2663</v>
      </c>
      <c r="H1736" s="150" t="s">
        <v>6205</v>
      </c>
      <c r="I1736" s="150" t="s">
        <v>6206</v>
      </c>
      <c r="J1736" s="150" t="s">
        <v>5500</v>
      </c>
      <c r="K1736" s="221"/>
      <c r="L1736" s="135" t="str">
        <f t="shared" si="101"/>
        <v>Myotis brandti</v>
      </c>
      <c r="M1736" s="133">
        <f t="shared" si="100"/>
        <v>0.72427586960078905</v>
      </c>
      <c r="N1736" s="152">
        <v>5.3</v>
      </c>
      <c r="O1736" s="192"/>
      <c r="P1736" s="110">
        <v>153</v>
      </c>
    </row>
    <row r="1737" spans="1:18" ht="76.5">
      <c r="A1737" s="212" t="s">
        <v>2592</v>
      </c>
      <c r="B1737" s="141" t="s">
        <v>890</v>
      </c>
      <c r="C1737" s="150" t="s">
        <v>3817</v>
      </c>
      <c r="D1737" s="221"/>
      <c r="E1737" s="150"/>
      <c r="F1737" s="150"/>
      <c r="G1737" s="110" t="s">
        <v>2663</v>
      </c>
      <c r="H1737" s="150" t="s">
        <v>6205</v>
      </c>
      <c r="I1737" s="150" t="s">
        <v>6206</v>
      </c>
      <c r="J1737" s="150" t="s">
        <v>5919</v>
      </c>
      <c r="K1737" s="221"/>
      <c r="L1737" s="135" t="str">
        <f t="shared" si="101"/>
        <v>Myotis horsfieldii</v>
      </c>
      <c r="M1737" s="133">
        <f t="shared" si="100"/>
        <v>0.77995705124690606</v>
      </c>
      <c r="N1737" s="152">
        <v>6.0250000000000004</v>
      </c>
      <c r="O1737" s="192"/>
      <c r="P1737" s="110">
        <v>153</v>
      </c>
    </row>
    <row r="1738" spans="1:18" ht="89.25">
      <c r="A1738" s="212" t="s">
        <v>2592</v>
      </c>
      <c r="B1738" s="141" t="s">
        <v>2885</v>
      </c>
      <c r="C1738" s="150" t="s">
        <v>3817</v>
      </c>
      <c r="D1738" s="221"/>
      <c r="E1738" s="150"/>
      <c r="F1738" s="150"/>
      <c r="G1738" s="110" t="s">
        <v>2663</v>
      </c>
      <c r="H1738" s="150" t="s">
        <v>6205</v>
      </c>
      <c r="I1738" s="150" t="s">
        <v>6206</v>
      </c>
      <c r="J1738" s="150" t="s">
        <v>3585</v>
      </c>
      <c r="K1738" s="221"/>
      <c r="L1738" s="135" t="str">
        <f t="shared" si="101"/>
        <v>Myotis formosus</v>
      </c>
      <c r="M1738" s="133">
        <f t="shared" si="100"/>
        <v>0.84509804001425681</v>
      </c>
      <c r="N1738" s="152">
        <v>7</v>
      </c>
      <c r="O1738" s="192"/>
      <c r="P1738" s="110">
        <v>153</v>
      </c>
    </row>
    <row r="1739" spans="1:18" ht="60" customHeight="1">
      <c r="A1739" s="212" t="s">
        <v>2592</v>
      </c>
      <c r="B1739" s="141" t="s">
        <v>2903</v>
      </c>
      <c r="C1739" s="150" t="s">
        <v>3817</v>
      </c>
      <c r="D1739" s="221"/>
      <c r="E1739" s="150"/>
      <c r="F1739" s="150"/>
      <c r="G1739" s="110" t="s">
        <v>2663</v>
      </c>
      <c r="H1739" s="150" t="s">
        <v>6205</v>
      </c>
      <c r="I1739" s="150" t="s">
        <v>6206</v>
      </c>
      <c r="J1739" s="150" t="s">
        <v>3877</v>
      </c>
      <c r="K1739" s="221"/>
      <c r="L1739" s="135" t="str">
        <f t="shared" si="101"/>
        <v>Myotis nattereri</v>
      </c>
      <c r="M1739" s="133">
        <f t="shared" si="100"/>
        <v>0.85356302283131313</v>
      </c>
      <c r="N1739" s="152">
        <v>7.137777777778</v>
      </c>
      <c r="O1739" s="192"/>
      <c r="P1739" s="110">
        <v>153</v>
      </c>
      <c r="R1739" s="85" t="s">
        <v>7853</v>
      </c>
    </row>
    <row r="1740" spans="1:18" ht="51">
      <c r="A1740" s="212" t="s">
        <v>2592</v>
      </c>
      <c r="B1740" s="141" t="s">
        <v>951</v>
      </c>
      <c r="C1740" s="150" t="s">
        <v>3817</v>
      </c>
      <c r="D1740" s="221"/>
      <c r="E1740" s="150"/>
      <c r="F1740" s="150"/>
      <c r="G1740" s="110" t="s">
        <v>2663</v>
      </c>
      <c r="H1740" s="150" t="s">
        <v>6205</v>
      </c>
      <c r="I1740" s="150" t="s">
        <v>6206</v>
      </c>
      <c r="J1740" s="150" t="s">
        <v>952</v>
      </c>
      <c r="K1740" s="221"/>
      <c r="L1740" s="135" t="str">
        <f t="shared" si="101"/>
        <v>Myotis macrodactylus</v>
      </c>
      <c r="M1740" s="133">
        <f t="shared" si="100"/>
        <v>0.85733249643126852</v>
      </c>
      <c r="N1740" s="152">
        <v>7.2</v>
      </c>
      <c r="O1740" s="192"/>
      <c r="P1740" s="110">
        <v>153</v>
      </c>
    </row>
    <row r="1741" spans="1:18" ht="15" customHeight="1">
      <c r="A1741" s="110" t="s">
        <v>2592</v>
      </c>
      <c r="B1741" s="141" t="s">
        <v>881</v>
      </c>
      <c r="C1741" s="150" t="s">
        <v>3817</v>
      </c>
      <c r="D1741" s="221"/>
      <c r="E1741" s="150"/>
      <c r="F1741" s="150"/>
      <c r="G1741" s="110" t="s">
        <v>2663</v>
      </c>
      <c r="H1741" s="150" t="s">
        <v>6205</v>
      </c>
      <c r="I1741" s="150" t="s">
        <v>6206</v>
      </c>
      <c r="J1741" s="150" t="s">
        <v>882</v>
      </c>
      <c r="K1741" s="221"/>
      <c r="L1741" s="135" t="str">
        <f t="shared" si="101"/>
        <v>Myotis daubentoni</v>
      </c>
      <c r="M1741" s="133">
        <f t="shared" si="100"/>
        <v>0.86949560842307416</v>
      </c>
      <c r="N1741" s="152">
        <v>7.4044977999999997</v>
      </c>
      <c r="O1741" s="192"/>
      <c r="P1741" s="110">
        <v>153</v>
      </c>
    </row>
    <row r="1742" spans="1:18" ht="51">
      <c r="A1742" s="110" t="s">
        <v>2592</v>
      </c>
      <c r="B1742" s="141" t="s">
        <v>1214</v>
      </c>
      <c r="C1742" s="150" t="s">
        <v>3817</v>
      </c>
      <c r="D1742" s="221"/>
      <c r="E1742" s="150"/>
      <c r="F1742" s="150"/>
      <c r="G1742" s="110" t="s">
        <v>2663</v>
      </c>
      <c r="H1742" s="150" t="s">
        <v>6205</v>
      </c>
      <c r="I1742" s="150" t="s">
        <v>6206</v>
      </c>
      <c r="J1742" s="150" t="s">
        <v>1215</v>
      </c>
      <c r="K1742" s="221"/>
      <c r="L1742" s="135" t="str">
        <f t="shared" si="101"/>
        <v>Myotis capaccinii</v>
      </c>
      <c r="M1742" s="133">
        <f t="shared" si="100"/>
        <v>0.87157293554587878</v>
      </c>
      <c r="N1742" s="152">
        <v>7.44</v>
      </c>
      <c r="O1742" s="191"/>
      <c r="P1742" s="109">
        <v>153</v>
      </c>
      <c r="R1742" s="85" t="s">
        <v>7852</v>
      </c>
    </row>
    <row r="1743" spans="1:18" ht="63.75">
      <c r="A1743" s="110" t="s">
        <v>2592</v>
      </c>
      <c r="B1743" s="141" t="s">
        <v>3016</v>
      </c>
      <c r="C1743" s="150" t="s">
        <v>3817</v>
      </c>
      <c r="D1743" s="221"/>
      <c r="E1743" s="150"/>
      <c r="F1743" s="150"/>
      <c r="G1743" s="110" t="s">
        <v>2663</v>
      </c>
      <c r="H1743" s="150" t="s">
        <v>6205</v>
      </c>
      <c r="I1743" s="150" t="s">
        <v>6206</v>
      </c>
      <c r="J1743" s="150" t="s">
        <v>6527</v>
      </c>
      <c r="K1743" s="221"/>
      <c r="L1743" s="135" t="str">
        <f t="shared" si="101"/>
        <v>Myotis frater</v>
      </c>
      <c r="M1743" s="133">
        <f t="shared" si="100"/>
        <v>0.87794695162918823</v>
      </c>
      <c r="N1743" s="152">
        <v>7.55</v>
      </c>
      <c r="O1743" s="192"/>
      <c r="P1743" s="110">
        <v>153</v>
      </c>
    </row>
    <row r="1744" spans="1:18" ht="15" customHeight="1">
      <c r="A1744" s="212" t="s">
        <v>2592</v>
      </c>
      <c r="B1744" s="141" t="s">
        <v>985</v>
      </c>
      <c r="C1744" s="150" t="s">
        <v>3817</v>
      </c>
      <c r="D1744" s="221"/>
      <c r="E1744" s="150"/>
      <c r="F1744" s="150"/>
      <c r="G1744" s="110" t="s">
        <v>2663</v>
      </c>
      <c r="H1744" s="150" t="s">
        <v>6205</v>
      </c>
      <c r="I1744" s="150" t="s">
        <v>6206</v>
      </c>
      <c r="J1744" s="150" t="s">
        <v>4825</v>
      </c>
      <c r="K1744" s="221"/>
      <c r="L1744" s="135" t="str">
        <f t="shared" si="101"/>
        <v>Myotis emarginatus</v>
      </c>
      <c r="M1744" s="133">
        <f t="shared" si="100"/>
        <v>0.88394519503427982</v>
      </c>
      <c r="N1744" s="152">
        <v>7.6550000000000002</v>
      </c>
      <c r="O1744" s="192"/>
      <c r="P1744" s="110">
        <v>153</v>
      </c>
      <c r="R1744" s="85" t="s">
        <v>7851</v>
      </c>
    </row>
    <row r="1745" spans="1:30" ht="51">
      <c r="A1745" s="110" t="s">
        <v>2592</v>
      </c>
      <c r="B1745" s="141" t="s">
        <v>986</v>
      </c>
      <c r="C1745" s="150" t="s">
        <v>3817</v>
      </c>
      <c r="D1745" s="221"/>
      <c r="E1745" s="150"/>
      <c r="F1745" s="150"/>
      <c r="G1745" s="110" t="s">
        <v>2663</v>
      </c>
      <c r="H1745" s="150" t="s">
        <v>6205</v>
      </c>
      <c r="I1745" s="150" t="s">
        <v>6206</v>
      </c>
      <c r="J1745" s="150" t="s">
        <v>5461</v>
      </c>
      <c r="K1745" s="221"/>
      <c r="L1745" s="135" t="str">
        <f t="shared" si="101"/>
        <v>Myotis bocagei</v>
      </c>
      <c r="M1745" s="133">
        <f t="shared" si="100"/>
        <v>0.89129846226236964</v>
      </c>
      <c r="N1745" s="152">
        <v>7.7857142857139996</v>
      </c>
      <c r="O1745" s="192"/>
      <c r="P1745" s="110">
        <v>153</v>
      </c>
      <c r="S1745" s="85" t="s">
        <v>7854</v>
      </c>
    </row>
    <row r="1746" spans="1:30" ht="51">
      <c r="A1746" s="110" t="s">
        <v>2592</v>
      </c>
      <c r="B1746" s="141" t="s">
        <v>3055</v>
      </c>
      <c r="C1746" s="150" t="s">
        <v>3817</v>
      </c>
      <c r="D1746" s="221"/>
      <c r="E1746" s="150"/>
      <c r="F1746" s="150"/>
      <c r="G1746" s="110" t="s">
        <v>2663</v>
      </c>
      <c r="H1746" s="150" t="s">
        <v>6205</v>
      </c>
      <c r="I1746" s="150" t="s">
        <v>6206</v>
      </c>
      <c r="J1746" s="150" t="s">
        <v>3056</v>
      </c>
      <c r="K1746" s="221"/>
      <c r="L1746" s="135" t="str">
        <f t="shared" si="101"/>
        <v>Myotis montivagus</v>
      </c>
      <c r="M1746" s="133">
        <f t="shared" si="100"/>
        <v>0.91907809237607396</v>
      </c>
      <c r="N1746" s="152">
        <v>8.3000000000000007</v>
      </c>
      <c r="O1746" s="192"/>
      <c r="P1746" s="110">
        <v>153</v>
      </c>
    </row>
    <row r="1747" spans="1:30" ht="25.5">
      <c r="A1747" s="212" t="s">
        <v>2592</v>
      </c>
      <c r="B1747" s="141" t="s">
        <v>195</v>
      </c>
      <c r="C1747" s="150" t="s">
        <v>3817</v>
      </c>
      <c r="D1747" s="221"/>
      <c r="E1747" s="150"/>
      <c r="F1747" s="150"/>
      <c r="G1747" s="110" t="s">
        <v>2663</v>
      </c>
      <c r="H1747" s="150" t="s">
        <v>6205</v>
      </c>
      <c r="I1747" s="150" t="s">
        <v>6206</v>
      </c>
      <c r="J1747" s="150" t="s">
        <v>196</v>
      </c>
      <c r="K1747" s="221"/>
      <c r="L1747" s="135" t="str">
        <f t="shared" si="101"/>
        <v>Myotis bechsteini</v>
      </c>
      <c r="M1747" s="133">
        <f t="shared" si="100"/>
        <v>0.92810310234210214</v>
      </c>
      <c r="N1747" s="152">
        <v>8.4742857142859993</v>
      </c>
      <c r="O1747" s="192"/>
      <c r="P1747" s="110">
        <v>153</v>
      </c>
    </row>
    <row r="1748" spans="1:30" ht="15" customHeight="1">
      <c r="A1748" s="212" t="s">
        <v>2592</v>
      </c>
      <c r="B1748" s="141" t="s">
        <v>1278</v>
      </c>
      <c r="C1748" s="150" t="s">
        <v>3817</v>
      </c>
      <c r="D1748" s="221"/>
      <c r="E1748" s="150"/>
      <c r="F1748" s="150"/>
      <c r="G1748" s="110" t="s">
        <v>2663</v>
      </c>
      <c r="H1748" s="150" t="s">
        <v>6205</v>
      </c>
      <c r="I1748" s="150" t="s">
        <v>6206</v>
      </c>
      <c r="J1748" s="150" t="s">
        <v>1279</v>
      </c>
      <c r="K1748" s="221"/>
      <c r="L1748" s="135" t="str">
        <f t="shared" si="101"/>
        <v>Myotis hasseltii</v>
      </c>
      <c r="M1748" s="133">
        <f t="shared" si="100"/>
        <v>0.94200805302231327</v>
      </c>
      <c r="N1748" s="152">
        <v>8.75</v>
      </c>
      <c r="O1748" s="192"/>
      <c r="P1748" s="110">
        <v>153</v>
      </c>
    </row>
    <row r="1749" spans="1:30">
      <c r="A1749" s="212" t="s">
        <v>2592</v>
      </c>
      <c r="B1749" s="141" t="s">
        <v>1175</v>
      </c>
      <c r="C1749" s="150" t="s">
        <v>3817</v>
      </c>
      <c r="D1749" s="221"/>
      <c r="E1749" s="150"/>
      <c r="F1749" s="150"/>
      <c r="G1749" s="110" t="s">
        <v>2663</v>
      </c>
      <c r="H1749" s="150" t="s">
        <v>6205</v>
      </c>
      <c r="I1749" s="150" t="s">
        <v>6206</v>
      </c>
      <c r="J1749" s="150" t="s">
        <v>1176</v>
      </c>
      <c r="K1749" s="221"/>
      <c r="L1749" s="135" t="str">
        <f t="shared" si="101"/>
        <v>Myotis annectans</v>
      </c>
      <c r="M1749" s="133">
        <f t="shared" si="100"/>
        <v>0.99122607569249488</v>
      </c>
      <c r="N1749" s="152">
        <v>9.8000000000000007</v>
      </c>
      <c r="O1749" s="192"/>
      <c r="P1749" s="110">
        <v>153</v>
      </c>
    </row>
    <row r="1750" spans="1:30" ht="89.25">
      <c r="A1750" s="212" t="s">
        <v>2592</v>
      </c>
      <c r="B1750" s="141" t="s">
        <v>1177</v>
      </c>
      <c r="C1750" s="150" t="s">
        <v>3817</v>
      </c>
      <c r="D1750" s="221"/>
      <c r="E1750" s="150"/>
      <c r="F1750" s="150"/>
      <c r="G1750" s="110" t="s">
        <v>2663</v>
      </c>
      <c r="H1750" s="150" t="s">
        <v>6205</v>
      </c>
      <c r="I1750" s="150" t="s">
        <v>6206</v>
      </c>
      <c r="J1750" s="150" t="s">
        <v>6266</v>
      </c>
      <c r="K1750" s="221"/>
      <c r="L1750" s="135" t="str">
        <f t="shared" si="101"/>
        <v>Myotis adversus</v>
      </c>
      <c r="M1750" s="133">
        <f t="shared" si="100"/>
        <v>1.0233553608264458</v>
      </c>
      <c r="N1750" s="152">
        <v>10.5525</v>
      </c>
      <c r="O1750" s="192"/>
      <c r="P1750" s="110">
        <v>153</v>
      </c>
    </row>
    <row r="1751" spans="1:30" ht="25.5">
      <c r="A1751" s="212" t="s">
        <v>2592</v>
      </c>
      <c r="B1751" s="141" t="s">
        <v>1265</v>
      </c>
      <c r="C1751" s="150" t="s">
        <v>3817</v>
      </c>
      <c r="D1751" s="221"/>
      <c r="E1751" s="150"/>
      <c r="F1751" s="150"/>
      <c r="G1751" s="110" t="s">
        <v>2663</v>
      </c>
      <c r="H1751" s="150" t="s">
        <v>6205</v>
      </c>
      <c r="I1751" s="150" t="s">
        <v>6206</v>
      </c>
      <c r="J1751" s="150" t="s">
        <v>1266</v>
      </c>
      <c r="K1751" s="221"/>
      <c r="L1751" s="135" t="str">
        <f t="shared" si="101"/>
        <v>Myotis altarium</v>
      </c>
      <c r="M1751" s="133">
        <f t="shared" si="100"/>
        <v>1.0413926851582251</v>
      </c>
      <c r="N1751" s="152">
        <v>11</v>
      </c>
      <c r="O1751" s="192"/>
      <c r="P1751" s="110">
        <v>153</v>
      </c>
    </row>
    <row r="1752" spans="1:30" ht="76.5">
      <c r="A1752" s="212" t="s">
        <v>2592</v>
      </c>
      <c r="B1752" s="141" t="s">
        <v>1080</v>
      </c>
      <c r="C1752" s="150" t="s">
        <v>3817</v>
      </c>
      <c r="D1752" s="221"/>
      <c r="E1752" s="150"/>
      <c r="F1752" s="150"/>
      <c r="G1752" s="110" t="s">
        <v>2663</v>
      </c>
      <c r="H1752" s="150" t="s">
        <v>6205</v>
      </c>
      <c r="I1752" s="150" t="s">
        <v>6206</v>
      </c>
      <c r="J1752" s="150" t="s">
        <v>2942</v>
      </c>
      <c r="K1752" s="221"/>
      <c r="L1752" s="135" t="str">
        <f t="shared" si="101"/>
        <v>Myotis dasycneme</v>
      </c>
      <c r="M1752" s="133">
        <f t="shared" si="100"/>
        <v>1.1502446018730599</v>
      </c>
      <c r="N1752" s="152">
        <v>14.133333333333001</v>
      </c>
      <c r="O1752" s="192"/>
      <c r="P1752" s="110">
        <v>153</v>
      </c>
    </row>
    <row r="1753" spans="1:30" ht="15" customHeight="1">
      <c r="A1753" s="212" t="s">
        <v>2592</v>
      </c>
      <c r="B1753" s="141" t="s">
        <v>150</v>
      </c>
      <c r="C1753" s="150" t="s">
        <v>3817</v>
      </c>
      <c r="D1753" s="221"/>
      <c r="E1753" s="150"/>
      <c r="F1753" s="150"/>
      <c r="G1753" s="110" t="s">
        <v>2663</v>
      </c>
      <c r="H1753" s="150" t="s">
        <v>6205</v>
      </c>
      <c r="I1753" s="150" t="s">
        <v>6206</v>
      </c>
      <c r="J1753" s="150" t="s">
        <v>151</v>
      </c>
      <c r="K1753" s="221"/>
      <c r="L1753" s="135" t="str">
        <f t="shared" si="101"/>
        <v>Myotis blythii</v>
      </c>
      <c r="M1753" s="133">
        <f t="shared" si="100"/>
        <v>1.3515386418156639</v>
      </c>
      <c r="N1753" s="152">
        <v>22.466666666666999</v>
      </c>
      <c r="O1753" s="192"/>
      <c r="P1753" s="110">
        <v>153</v>
      </c>
      <c r="R1753" s="85" t="s">
        <v>7850</v>
      </c>
      <c r="W1753"/>
      <c r="X1753"/>
      <c r="Y1753"/>
      <c r="Z1753"/>
      <c r="AA1753"/>
      <c r="AB1753"/>
      <c r="AC1753"/>
      <c r="AD1753"/>
    </row>
    <row r="1754" spans="1:30" ht="63.75">
      <c r="A1754" s="212" t="s">
        <v>2592</v>
      </c>
      <c r="B1754" s="141" t="s">
        <v>2940</v>
      </c>
      <c r="C1754" s="150" t="s">
        <v>3817</v>
      </c>
      <c r="D1754" s="221"/>
      <c r="E1754" s="150"/>
      <c r="F1754" s="150"/>
      <c r="G1754" s="110" t="s">
        <v>2663</v>
      </c>
      <c r="H1754" s="148" t="s">
        <v>6205</v>
      </c>
      <c r="I1754" s="150" t="s">
        <v>6206</v>
      </c>
      <c r="J1754" s="150" t="s">
        <v>2941</v>
      </c>
      <c r="K1754" s="221"/>
      <c r="L1754" s="135" t="str">
        <f t="shared" si="101"/>
        <v>Myotis myotis</v>
      </c>
      <c r="M1754" s="133">
        <f t="shared" si="100"/>
        <v>1.3942181263802043</v>
      </c>
      <c r="N1754" s="152">
        <v>24.786666666666999</v>
      </c>
      <c r="O1754" s="192"/>
      <c r="P1754" s="110">
        <v>153</v>
      </c>
      <c r="R1754" s="85" t="s">
        <v>7849</v>
      </c>
    </row>
    <row r="1755" spans="1:30" ht="24" customHeight="1">
      <c r="A1755" s="212" t="s">
        <v>2592</v>
      </c>
      <c r="B1755" s="141" t="s">
        <v>1086</v>
      </c>
      <c r="C1755" s="148" t="s">
        <v>3817</v>
      </c>
      <c r="D1755" s="223"/>
      <c r="E1755" s="148"/>
      <c r="F1755" s="148"/>
      <c r="G1755" s="109" t="s">
        <v>2663</v>
      </c>
      <c r="H1755" s="148" t="s">
        <v>6205</v>
      </c>
      <c r="I1755" s="148" t="s">
        <v>6206</v>
      </c>
      <c r="J1755" s="148" t="s">
        <v>4036</v>
      </c>
      <c r="K1755" s="223"/>
      <c r="L1755" s="135" t="str">
        <f t="shared" si="101"/>
        <v>Myotis chinensis</v>
      </c>
      <c r="M1755" s="133">
        <f t="shared" si="100"/>
        <v>1.6232492903979006</v>
      </c>
      <c r="N1755" s="151">
        <v>42</v>
      </c>
      <c r="O1755" s="183"/>
      <c r="P1755" s="110">
        <v>60</v>
      </c>
    </row>
    <row r="1756" spans="1:30" ht="38.25">
      <c r="A1756" s="212" t="s">
        <v>2592</v>
      </c>
      <c r="B1756" s="141" t="s">
        <v>931</v>
      </c>
      <c r="C1756" s="150" t="s">
        <v>3817</v>
      </c>
      <c r="D1756" s="221"/>
      <c r="E1756" s="150"/>
      <c r="F1756" s="150"/>
      <c r="G1756" s="110" t="s">
        <v>2663</v>
      </c>
      <c r="H1756" s="150" t="s">
        <v>6205</v>
      </c>
      <c r="I1756" s="150" t="s">
        <v>983</v>
      </c>
      <c r="J1756" s="150" t="s">
        <v>932</v>
      </c>
      <c r="K1756" s="221"/>
      <c r="L1756" s="135" t="str">
        <f t="shared" si="101"/>
        <v>Nyctalus aviator</v>
      </c>
      <c r="M1756" s="146">
        <v>-999</v>
      </c>
      <c r="N1756" s="146">
        <v>-999</v>
      </c>
      <c r="O1756" s="183"/>
      <c r="P1756" s="110">
        <v>-999</v>
      </c>
    </row>
    <row r="1757" spans="1:30" ht="25.5">
      <c r="A1757" s="110" t="s">
        <v>2592</v>
      </c>
      <c r="B1757" s="141" t="s">
        <v>1032</v>
      </c>
      <c r="C1757" s="150" t="s">
        <v>3817</v>
      </c>
      <c r="D1757" s="221"/>
      <c r="E1757" s="150"/>
      <c r="F1757" s="150"/>
      <c r="G1757" s="110" t="s">
        <v>2663</v>
      </c>
      <c r="H1757" s="150" t="s">
        <v>6205</v>
      </c>
      <c r="I1757" s="150" t="s">
        <v>983</v>
      </c>
      <c r="J1757" s="150" t="s">
        <v>3985</v>
      </c>
      <c r="K1757" s="221"/>
      <c r="L1757" s="135" t="str">
        <f t="shared" si="101"/>
        <v>Nyctalus montanus</v>
      </c>
      <c r="M1757" s="146">
        <v>-999</v>
      </c>
      <c r="N1757" s="146">
        <v>-999</v>
      </c>
      <c r="O1757" s="183"/>
      <c r="P1757" s="110">
        <v>-999</v>
      </c>
    </row>
    <row r="1758" spans="1:30" ht="25.5">
      <c r="A1758" s="110" t="s">
        <v>2592</v>
      </c>
      <c r="B1758" s="141" t="s">
        <v>982</v>
      </c>
      <c r="C1758" s="150" t="s">
        <v>3817</v>
      </c>
      <c r="D1758" s="221"/>
      <c r="E1758" s="150"/>
      <c r="F1758" s="150"/>
      <c r="G1758" s="110" t="s">
        <v>2663</v>
      </c>
      <c r="H1758" s="150" t="s">
        <v>6205</v>
      </c>
      <c r="I1758" s="150" t="s">
        <v>983</v>
      </c>
      <c r="J1758" s="150" t="s">
        <v>1054</v>
      </c>
      <c r="K1758" s="221"/>
      <c r="L1758" s="135" t="str">
        <f t="shared" si="101"/>
        <v>Nyctalus leisleri</v>
      </c>
      <c r="M1758" s="133">
        <f t="shared" ref="M1758:M1764" si="102">LOG(N1758)</f>
        <v>1.1231980750319988</v>
      </c>
      <c r="N1758" s="152">
        <v>13.28</v>
      </c>
      <c r="O1758" s="192"/>
      <c r="P1758" s="110">
        <v>153</v>
      </c>
    </row>
    <row r="1759" spans="1:30" ht="114.75">
      <c r="A1759" s="212" t="s">
        <v>2592</v>
      </c>
      <c r="B1759" s="141" t="s">
        <v>1048</v>
      </c>
      <c r="C1759" s="150" t="s">
        <v>3817</v>
      </c>
      <c r="D1759" s="221"/>
      <c r="E1759" s="150"/>
      <c r="F1759" s="150"/>
      <c r="G1759" s="110" t="s">
        <v>2663</v>
      </c>
      <c r="H1759" s="150" t="s">
        <v>6205</v>
      </c>
      <c r="I1759" s="150" t="s">
        <v>983</v>
      </c>
      <c r="J1759" s="150" t="s">
        <v>1049</v>
      </c>
      <c r="K1759" s="221"/>
      <c r="L1759" s="135" t="str">
        <f t="shared" si="101"/>
        <v>Nyctalus noctula</v>
      </c>
      <c r="M1759" s="133">
        <f t="shared" si="102"/>
        <v>1.4471580313422192</v>
      </c>
      <c r="N1759" s="152">
        <v>28</v>
      </c>
      <c r="O1759" s="192"/>
      <c r="P1759" s="110">
        <v>153</v>
      </c>
      <c r="R1759" s="85" t="s">
        <v>7848</v>
      </c>
    </row>
    <row r="1760" spans="1:30" ht="63.75">
      <c r="A1760" s="212" t="s">
        <v>2592</v>
      </c>
      <c r="B1760" s="141" t="s">
        <v>1038</v>
      </c>
      <c r="C1760" s="150" t="s">
        <v>3817</v>
      </c>
      <c r="D1760" s="221"/>
      <c r="E1760" s="150"/>
      <c r="F1760" s="150"/>
      <c r="G1760" s="110" t="s">
        <v>2663</v>
      </c>
      <c r="H1760" s="150" t="s">
        <v>6205</v>
      </c>
      <c r="I1760" s="150" t="s">
        <v>983</v>
      </c>
      <c r="J1760" s="150" t="s">
        <v>3015</v>
      </c>
      <c r="K1760" s="221"/>
      <c r="L1760" s="135" t="str">
        <f t="shared" si="101"/>
        <v>Nyctalus lasiopterus</v>
      </c>
      <c r="M1760" s="133">
        <f t="shared" si="102"/>
        <v>1.6966475684169846</v>
      </c>
      <c r="N1760" s="152">
        <v>49.733333333333</v>
      </c>
      <c r="O1760" s="192"/>
      <c r="P1760" s="110">
        <v>153</v>
      </c>
    </row>
    <row r="1761" spans="1:18" ht="76.5">
      <c r="A1761" s="212" t="s">
        <v>2592</v>
      </c>
      <c r="B1761" s="141" t="s">
        <v>176</v>
      </c>
      <c r="C1761" s="150" t="s">
        <v>3817</v>
      </c>
      <c r="D1761" s="221"/>
      <c r="E1761" s="150"/>
      <c r="F1761" s="150"/>
      <c r="G1761" s="110" t="s">
        <v>2663</v>
      </c>
      <c r="H1761" s="150" t="s">
        <v>6205</v>
      </c>
      <c r="I1761" s="150" t="s">
        <v>2902</v>
      </c>
      <c r="J1761" s="150" t="s">
        <v>1320</v>
      </c>
      <c r="K1761" s="221"/>
      <c r="L1761" s="135" t="str">
        <f t="shared" si="101"/>
        <v>Nycticeius schlieffeni</v>
      </c>
      <c r="M1761" s="133">
        <f t="shared" si="102"/>
        <v>0.70267666537355344</v>
      </c>
      <c r="N1761" s="152">
        <v>5.0428571428569997</v>
      </c>
      <c r="O1761" s="192"/>
      <c r="P1761" s="110">
        <v>153</v>
      </c>
      <c r="R1761" s="85" t="s">
        <v>7864</v>
      </c>
    </row>
    <row r="1762" spans="1:18" ht="38.25">
      <c r="A1762" s="212" t="s">
        <v>2592</v>
      </c>
      <c r="B1762" s="141" t="s">
        <v>1117</v>
      </c>
      <c r="C1762" s="150" t="s">
        <v>3817</v>
      </c>
      <c r="D1762" s="221"/>
      <c r="E1762" s="150"/>
      <c r="F1762" s="150"/>
      <c r="G1762" s="110" t="s">
        <v>2663</v>
      </c>
      <c r="H1762" s="150" t="s">
        <v>6205</v>
      </c>
      <c r="I1762" s="150" t="s">
        <v>3104</v>
      </c>
      <c r="J1762" s="150" t="s">
        <v>6297</v>
      </c>
      <c r="K1762" s="221"/>
      <c r="L1762" s="135" t="str">
        <f t="shared" si="101"/>
        <v>Nyctophilus timoriensis</v>
      </c>
      <c r="M1762" s="133">
        <f t="shared" si="102"/>
        <v>1.0691128513871209</v>
      </c>
      <c r="N1762" s="152">
        <v>11.725</v>
      </c>
      <c r="O1762" s="192"/>
      <c r="P1762" s="110">
        <v>153</v>
      </c>
    </row>
    <row r="1763" spans="1:18" ht="63.75">
      <c r="A1763" s="110" t="s">
        <v>2592</v>
      </c>
      <c r="B1763" s="141" t="s">
        <v>295</v>
      </c>
      <c r="C1763" s="150" t="s">
        <v>3817</v>
      </c>
      <c r="D1763" s="221"/>
      <c r="E1763" s="150"/>
      <c r="F1763" s="150"/>
      <c r="G1763" s="110" t="s">
        <v>2663</v>
      </c>
      <c r="H1763" s="150" t="s">
        <v>6205</v>
      </c>
      <c r="I1763" s="150" t="s">
        <v>296</v>
      </c>
      <c r="J1763" s="150" t="s">
        <v>297</v>
      </c>
      <c r="K1763" s="221"/>
      <c r="L1763" s="135" t="str">
        <f t="shared" si="101"/>
        <v>Otonycteris hemprichi</v>
      </c>
      <c r="M1763" s="133">
        <f t="shared" si="102"/>
        <v>1.3762118502826728</v>
      </c>
      <c r="N1763" s="152">
        <v>23.78</v>
      </c>
      <c r="O1763" s="192"/>
      <c r="P1763" s="110">
        <v>153</v>
      </c>
      <c r="R1763" s="85" t="s">
        <v>7866</v>
      </c>
    </row>
    <row r="1764" spans="1:18" ht="76.5">
      <c r="A1764" s="212" t="s">
        <v>2592</v>
      </c>
      <c r="B1764" s="141" t="s">
        <v>129</v>
      </c>
      <c r="C1764" s="150" t="s">
        <v>3817</v>
      </c>
      <c r="D1764" s="221"/>
      <c r="E1764" s="150"/>
      <c r="F1764" s="150"/>
      <c r="G1764" s="110" t="s">
        <v>2663</v>
      </c>
      <c r="H1764" s="150" t="s">
        <v>6205</v>
      </c>
      <c r="I1764" s="150" t="s">
        <v>3148</v>
      </c>
      <c r="J1764" s="150" t="s">
        <v>2705</v>
      </c>
      <c r="K1764" s="221"/>
      <c r="L1764" s="135" t="str">
        <f t="shared" si="101"/>
        <v>Philetor brachypterus</v>
      </c>
      <c r="M1764" s="133">
        <f t="shared" si="102"/>
        <v>1.0644579892269184</v>
      </c>
      <c r="N1764" s="152">
        <v>11.6</v>
      </c>
      <c r="O1764" s="192"/>
      <c r="P1764" s="110">
        <v>153</v>
      </c>
    </row>
    <row r="1765" spans="1:18" ht="25.5">
      <c r="A1765" s="110" t="s">
        <v>2592</v>
      </c>
      <c r="B1765" s="141" t="s">
        <v>1031</v>
      </c>
      <c r="C1765" s="150" t="s">
        <v>3817</v>
      </c>
      <c r="D1765" s="221"/>
      <c r="E1765" s="150"/>
      <c r="F1765" s="150"/>
      <c r="G1765" s="110" t="s">
        <v>2663</v>
      </c>
      <c r="H1765" s="150" t="s">
        <v>6205</v>
      </c>
      <c r="I1765" s="150" t="s">
        <v>2710</v>
      </c>
      <c r="J1765" s="150" t="s">
        <v>7453</v>
      </c>
      <c r="K1765" s="221"/>
      <c r="L1765" s="135" t="str">
        <f t="shared" si="101"/>
        <v>Pipistrellus affinis</v>
      </c>
      <c r="M1765" s="146">
        <v>-999</v>
      </c>
      <c r="N1765" s="146">
        <v>-999</v>
      </c>
      <c r="O1765" s="183"/>
      <c r="P1765" s="110">
        <v>-999</v>
      </c>
    </row>
    <row r="1766" spans="1:18">
      <c r="A1766" s="110" t="s">
        <v>2592</v>
      </c>
      <c r="B1766" s="141" t="s">
        <v>2661</v>
      </c>
      <c r="C1766" s="148" t="s">
        <v>3817</v>
      </c>
      <c r="D1766" s="223"/>
      <c r="E1766" s="148"/>
      <c r="F1766" s="148"/>
      <c r="G1766" s="109" t="s">
        <v>2663</v>
      </c>
      <c r="H1766" s="148" t="s">
        <v>6205</v>
      </c>
      <c r="I1766" s="148" t="s">
        <v>2710</v>
      </c>
      <c r="J1766" s="148" t="s">
        <v>5480</v>
      </c>
      <c r="K1766" s="223"/>
      <c r="L1766" s="135" t="str">
        <f t="shared" si="101"/>
        <v>Pipistrellus anthonyi</v>
      </c>
      <c r="M1766" s="146">
        <v>-999</v>
      </c>
      <c r="N1766" s="151">
        <v>-999</v>
      </c>
      <c r="O1766" s="183"/>
      <c r="P1766" s="110">
        <v>-999</v>
      </c>
    </row>
    <row r="1767" spans="1:18">
      <c r="A1767" s="110" t="s">
        <v>2592</v>
      </c>
      <c r="B1767" s="141" t="s">
        <v>1040</v>
      </c>
      <c r="C1767" s="150" t="s">
        <v>3817</v>
      </c>
      <c r="D1767" s="221"/>
      <c r="E1767" s="150"/>
      <c r="F1767" s="150"/>
      <c r="G1767" s="110" t="s">
        <v>2663</v>
      </c>
      <c r="H1767" s="150" t="s">
        <v>6205</v>
      </c>
      <c r="I1767" s="150" t="s">
        <v>2710</v>
      </c>
      <c r="J1767" s="150" t="s">
        <v>181</v>
      </c>
      <c r="K1767" s="221"/>
      <c r="L1767" s="135" t="str">
        <f t="shared" si="101"/>
        <v>Pipistrellus joffrei</v>
      </c>
      <c r="M1767" s="146">
        <v>-999</v>
      </c>
      <c r="N1767" s="146">
        <v>-999</v>
      </c>
      <c r="O1767" s="183"/>
      <c r="P1767" s="110">
        <v>-999</v>
      </c>
    </row>
    <row r="1768" spans="1:18" ht="15" customHeight="1">
      <c r="A1768" s="289" t="s">
        <v>2592</v>
      </c>
      <c r="B1768" s="141" t="s">
        <v>183</v>
      </c>
      <c r="C1768" s="150" t="s">
        <v>3817</v>
      </c>
      <c r="D1768" s="221"/>
      <c r="E1768" s="150"/>
      <c r="F1768" s="150"/>
      <c r="G1768" s="110" t="s">
        <v>2663</v>
      </c>
      <c r="H1768" s="150" t="s">
        <v>6205</v>
      </c>
      <c r="I1768" s="150" t="s">
        <v>2710</v>
      </c>
      <c r="J1768" s="150" t="s">
        <v>3976</v>
      </c>
      <c r="K1768" s="221"/>
      <c r="L1768" s="135" t="str">
        <f t="shared" si="101"/>
        <v>Pipistrellus lophurus</v>
      </c>
      <c r="M1768" s="146">
        <v>-999</v>
      </c>
      <c r="N1768" s="146">
        <v>-999</v>
      </c>
      <c r="O1768" s="183"/>
      <c r="P1768" s="110">
        <v>-999</v>
      </c>
    </row>
    <row r="1769" spans="1:18" ht="38.25">
      <c r="A1769" s="289" t="s">
        <v>2592</v>
      </c>
      <c r="B1769" s="141" t="s">
        <v>1052</v>
      </c>
      <c r="C1769" s="150" t="s">
        <v>3817</v>
      </c>
      <c r="D1769" s="221"/>
      <c r="E1769" s="150"/>
      <c r="F1769" s="150"/>
      <c r="G1769" s="110" t="s">
        <v>2663</v>
      </c>
      <c r="H1769" s="150" t="s">
        <v>6205</v>
      </c>
      <c r="I1769" s="150" t="s">
        <v>2710</v>
      </c>
      <c r="J1769" s="150" t="s">
        <v>4141</v>
      </c>
      <c r="K1769" s="221"/>
      <c r="L1769" s="135" t="str">
        <f t="shared" si="101"/>
        <v>Pipistrellus macrotis</v>
      </c>
      <c r="M1769" s="146">
        <v>-999</v>
      </c>
      <c r="N1769" s="146">
        <v>-999</v>
      </c>
      <c r="O1769" s="183"/>
      <c r="P1769" s="110">
        <v>-999</v>
      </c>
    </row>
    <row r="1770" spans="1:18" ht="25.5">
      <c r="A1770" s="110" t="s">
        <v>2592</v>
      </c>
      <c r="B1770" s="141" t="s">
        <v>1249</v>
      </c>
      <c r="C1770" s="150" t="s">
        <v>3817</v>
      </c>
      <c r="D1770" s="221"/>
      <c r="E1770" s="150"/>
      <c r="F1770" s="150"/>
      <c r="G1770" s="110" t="s">
        <v>2663</v>
      </c>
      <c r="H1770" s="150" t="s">
        <v>6205</v>
      </c>
      <c r="I1770" s="150" t="s">
        <v>2710</v>
      </c>
      <c r="J1770" s="150" t="s">
        <v>1250</v>
      </c>
      <c r="K1770" s="221"/>
      <c r="L1770" s="135" t="str">
        <f t="shared" si="101"/>
        <v>Pipistrellus paterculus</v>
      </c>
      <c r="M1770" s="146">
        <v>-999</v>
      </c>
      <c r="N1770" s="146">
        <v>-999</v>
      </c>
      <c r="O1770" s="183"/>
      <c r="P1770" s="110">
        <v>-999</v>
      </c>
    </row>
    <row r="1771" spans="1:18">
      <c r="A1771" s="110" t="s">
        <v>2592</v>
      </c>
      <c r="B1771" s="141" t="s">
        <v>2661</v>
      </c>
      <c r="C1771" s="150" t="s">
        <v>3817</v>
      </c>
      <c r="D1771" s="221"/>
      <c r="E1771" s="150"/>
      <c r="F1771" s="150"/>
      <c r="G1771" s="110" t="s">
        <v>2663</v>
      </c>
      <c r="H1771" s="150" t="s">
        <v>6205</v>
      </c>
      <c r="I1771" s="150" t="s">
        <v>2710</v>
      </c>
      <c r="J1771" s="150" t="s">
        <v>1251</v>
      </c>
      <c r="K1771" s="221"/>
      <c r="L1771" s="135" t="str">
        <f t="shared" si="101"/>
        <v>Pipistrellus peguensis</v>
      </c>
      <c r="M1771" s="146">
        <v>-999</v>
      </c>
      <c r="N1771" s="146">
        <v>-999</v>
      </c>
      <c r="O1771" s="183"/>
      <c r="P1771" s="110">
        <v>-999</v>
      </c>
    </row>
    <row r="1772" spans="1:18" ht="84" customHeight="1">
      <c r="A1772" s="110" t="s">
        <v>2592</v>
      </c>
      <c r="B1772" s="141" t="s">
        <v>1209</v>
      </c>
      <c r="C1772" s="150" t="s">
        <v>3817</v>
      </c>
      <c r="D1772" s="221"/>
      <c r="E1772" s="150"/>
      <c r="F1772" s="150"/>
      <c r="G1772" s="110" t="s">
        <v>2663</v>
      </c>
      <c r="H1772" s="150" t="s">
        <v>6205</v>
      </c>
      <c r="I1772" s="150" t="s">
        <v>2710</v>
      </c>
      <c r="J1772" s="150" t="s">
        <v>1210</v>
      </c>
      <c r="K1772" s="221"/>
      <c r="L1772" s="135" t="str">
        <f t="shared" si="101"/>
        <v>Pipistrellus societatis</v>
      </c>
      <c r="M1772" s="146">
        <v>-999</v>
      </c>
      <c r="N1772" s="146">
        <v>-999</v>
      </c>
      <c r="O1772" s="183"/>
      <c r="P1772" s="110">
        <v>-999</v>
      </c>
    </row>
    <row r="1773" spans="1:18" ht="38.25">
      <c r="A1773" s="110" t="s">
        <v>2592</v>
      </c>
      <c r="B1773" s="141" t="s">
        <v>844</v>
      </c>
      <c r="C1773" s="150" t="s">
        <v>3817</v>
      </c>
      <c r="D1773" s="221"/>
      <c r="E1773" s="150"/>
      <c r="F1773" s="150"/>
      <c r="G1773" s="110" t="s">
        <v>2663</v>
      </c>
      <c r="H1773" s="148" t="s">
        <v>6205</v>
      </c>
      <c r="I1773" s="150" t="s">
        <v>2710</v>
      </c>
      <c r="J1773" s="150" t="s">
        <v>924</v>
      </c>
      <c r="K1773" s="221"/>
      <c r="L1773" s="135" t="str">
        <f t="shared" si="101"/>
        <v>Pipistrellus bodenheimeri</v>
      </c>
      <c r="M1773" s="133">
        <f t="shared" ref="M1773:M1791" si="103">LOG(N1773)</f>
        <v>0.43136376415898736</v>
      </c>
      <c r="N1773" s="152">
        <v>2.7</v>
      </c>
      <c r="O1773" s="192"/>
      <c r="P1773" s="110">
        <v>153</v>
      </c>
      <c r="R1773" s="85" t="s">
        <v>7862</v>
      </c>
    </row>
    <row r="1774" spans="1:18">
      <c r="A1774" s="110" t="s">
        <v>2592</v>
      </c>
      <c r="B1774" s="141" t="s">
        <v>2735</v>
      </c>
      <c r="C1774" s="150" t="s">
        <v>3817</v>
      </c>
      <c r="D1774" s="221"/>
      <c r="E1774" s="150"/>
      <c r="F1774" s="150"/>
      <c r="G1774" s="110" t="s">
        <v>2663</v>
      </c>
      <c r="H1774" s="150" t="s">
        <v>6205</v>
      </c>
      <c r="I1774" s="150" t="s">
        <v>2710</v>
      </c>
      <c r="J1774" s="150" t="s">
        <v>925</v>
      </c>
      <c r="K1774" s="221"/>
      <c r="L1774" s="135" t="str">
        <f t="shared" si="101"/>
        <v>Pipistrellus arabicus</v>
      </c>
      <c r="M1774" s="133">
        <f t="shared" si="103"/>
        <v>0.50105926221775143</v>
      </c>
      <c r="N1774" s="152">
        <v>3.17</v>
      </c>
      <c r="O1774" s="192"/>
      <c r="P1774" s="110">
        <v>153</v>
      </c>
      <c r="R1774" s="85" t="s">
        <v>7863</v>
      </c>
    </row>
    <row r="1775" spans="1:18" ht="51">
      <c r="A1775" s="289" t="s">
        <v>2592</v>
      </c>
      <c r="B1775" s="141" t="s">
        <v>992</v>
      </c>
      <c r="C1775" s="150" t="s">
        <v>3817</v>
      </c>
      <c r="D1775" s="221"/>
      <c r="E1775" s="150"/>
      <c r="F1775" s="150"/>
      <c r="G1775" s="110" t="s">
        <v>2663</v>
      </c>
      <c r="H1775" s="150" t="s">
        <v>6205</v>
      </c>
      <c r="I1775" s="150" t="s">
        <v>2710</v>
      </c>
      <c r="J1775" s="150" t="s">
        <v>6673</v>
      </c>
      <c r="K1775" s="221"/>
      <c r="L1775" s="135" t="str">
        <f t="shared" si="101"/>
        <v>Pipistrellus mimus</v>
      </c>
      <c r="M1775" s="133">
        <f t="shared" si="103"/>
        <v>0.51851393987788741</v>
      </c>
      <c r="N1775" s="152">
        <v>3.3</v>
      </c>
      <c r="O1775" s="192"/>
      <c r="P1775" s="110">
        <v>153</v>
      </c>
    </row>
    <row r="1776" spans="1:18" ht="48" customHeight="1">
      <c r="A1776" s="110" t="s">
        <v>2592</v>
      </c>
      <c r="B1776" s="141" t="s">
        <v>2954</v>
      </c>
      <c r="C1776" s="150" t="s">
        <v>3817</v>
      </c>
      <c r="D1776" s="221"/>
      <c r="E1776" s="150"/>
      <c r="F1776" s="150"/>
      <c r="G1776" s="110" t="s">
        <v>2663</v>
      </c>
      <c r="H1776" s="150" t="s">
        <v>6205</v>
      </c>
      <c r="I1776" s="150" t="s">
        <v>2710</v>
      </c>
      <c r="J1776" s="150" t="s">
        <v>2955</v>
      </c>
      <c r="K1776" s="221"/>
      <c r="L1776" s="135" t="str">
        <f t="shared" si="101"/>
        <v>Pipistrellus coromandra</v>
      </c>
      <c r="M1776" s="133">
        <f t="shared" si="103"/>
        <v>0.66275783168157409</v>
      </c>
      <c r="N1776" s="152">
        <v>4.5999999999999996</v>
      </c>
      <c r="O1776" s="192"/>
      <c r="P1776" s="110">
        <v>153</v>
      </c>
    </row>
    <row r="1777" spans="1:18" ht="89.25">
      <c r="A1777" s="110" t="s">
        <v>2592</v>
      </c>
      <c r="B1777" s="130" t="s">
        <v>266</v>
      </c>
      <c r="C1777" s="155" t="s">
        <v>3817</v>
      </c>
      <c r="D1777" s="225"/>
      <c r="E1777" s="155"/>
      <c r="F1777" s="155"/>
      <c r="G1777" s="110" t="s">
        <v>2663</v>
      </c>
      <c r="H1777" s="155" t="s">
        <v>6205</v>
      </c>
      <c r="I1777" s="155" t="s">
        <v>2710</v>
      </c>
      <c r="J1777" s="155" t="s">
        <v>5266</v>
      </c>
      <c r="K1777" s="225"/>
      <c r="L1777" s="135" t="str">
        <f t="shared" si="101"/>
        <v>Pipistrellus tenuis</v>
      </c>
      <c r="M1777" s="133">
        <f t="shared" si="103"/>
        <v>0.67209785793571752</v>
      </c>
      <c r="N1777" s="152">
        <v>4.7</v>
      </c>
      <c r="O1777" s="192"/>
      <c r="P1777" s="110">
        <v>153</v>
      </c>
    </row>
    <row r="1778" spans="1:18" ht="38.25">
      <c r="A1778" s="110" t="s">
        <v>2592</v>
      </c>
      <c r="B1778" s="141" t="s">
        <v>207</v>
      </c>
      <c r="C1778" s="150" t="s">
        <v>3817</v>
      </c>
      <c r="D1778" s="221"/>
      <c r="E1778" s="150"/>
      <c r="F1778" s="150"/>
      <c r="G1778" s="110" t="s">
        <v>2663</v>
      </c>
      <c r="H1778" s="150" t="s">
        <v>6205</v>
      </c>
      <c r="I1778" s="150" t="s">
        <v>2710</v>
      </c>
      <c r="J1778" s="150" t="s">
        <v>208</v>
      </c>
      <c r="K1778" s="221"/>
      <c r="L1778" s="135" t="str">
        <f t="shared" si="101"/>
        <v>Pipistrellus babu</v>
      </c>
      <c r="M1778" s="133">
        <f t="shared" si="103"/>
        <v>0.68124123737558717</v>
      </c>
      <c r="N1778" s="152">
        <v>4.8</v>
      </c>
      <c r="O1778" s="192"/>
      <c r="P1778" s="110">
        <v>153</v>
      </c>
    </row>
    <row r="1779" spans="1:18" ht="76.5">
      <c r="A1779" s="110" t="s">
        <v>2592</v>
      </c>
      <c r="B1779" s="141" t="s">
        <v>206</v>
      </c>
      <c r="C1779" s="150" t="s">
        <v>3817</v>
      </c>
      <c r="D1779" s="221"/>
      <c r="E1779" s="150"/>
      <c r="F1779" s="150"/>
      <c r="G1779" s="110" t="s">
        <v>2663</v>
      </c>
      <c r="H1779" s="150" t="s">
        <v>6205</v>
      </c>
      <c r="I1779" s="150" t="s">
        <v>2710</v>
      </c>
      <c r="J1779" s="150" t="s">
        <v>7469</v>
      </c>
      <c r="K1779" s="221"/>
      <c r="L1779" s="135" t="str">
        <f t="shared" si="101"/>
        <v>Pipistrellus javanicus</v>
      </c>
      <c r="M1779" s="133">
        <f t="shared" si="103"/>
        <v>0.72378393696532939</v>
      </c>
      <c r="N1779" s="152">
        <v>5.2939999999999996</v>
      </c>
      <c r="O1779" s="192"/>
      <c r="P1779" s="110">
        <v>153</v>
      </c>
    </row>
    <row r="1780" spans="1:18" ht="24" customHeight="1">
      <c r="A1780" s="110" t="s">
        <v>2592</v>
      </c>
      <c r="B1780" s="141" t="s">
        <v>1081</v>
      </c>
      <c r="C1780" s="150" t="s">
        <v>3817</v>
      </c>
      <c r="D1780" s="221"/>
      <c r="E1780" s="150"/>
      <c r="F1780" s="150"/>
      <c r="G1780" s="110" t="s">
        <v>2663</v>
      </c>
      <c r="H1780" s="150" t="s">
        <v>6205</v>
      </c>
      <c r="I1780" s="150" t="s">
        <v>2710</v>
      </c>
      <c r="J1780" s="150" t="s">
        <v>1082</v>
      </c>
      <c r="K1780" s="221"/>
      <c r="L1780" s="135" t="str">
        <f t="shared" si="101"/>
        <v>Pipistrellus pulveratus</v>
      </c>
      <c r="M1780" s="133">
        <f t="shared" si="103"/>
        <v>0.74390155048517881</v>
      </c>
      <c r="N1780" s="152">
        <v>5.5449999999999999</v>
      </c>
      <c r="O1780" s="192"/>
      <c r="P1780" s="110">
        <v>153</v>
      </c>
    </row>
    <row r="1781" spans="1:18" ht="72" customHeight="1">
      <c r="A1781" s="110" t="s">
        <v>2592</v>
      </c>
      <c r="B1781" s="141" t="s">
        <v>1872</v>
      </c>
      <c r="C1781" s="150" t="s">
        <v>3817</v>
      </c>
      <c r="D1781" s="221"/>
      <c r="E1781" s="150"/>
      <c r="F1781" s="150"/>
      <c r="G1781" s="110" t="s">
        <v>2663</v>
      </c>
      <c r="H1781" s="150" t="s">
        <v>6205</v>
      </c>
      <c r="I1781" s="150" t="s">
        <v>2710</v>
      </c>
      <c r="J1781" s="150" t="s">
        <v>1707</v>
      </c>
      <c r="K1781" s="221"/>
      <c r="L1781" s="135" t="str">
        <f t="shared" si="101"/>
        <v>Pipistrellus pipistrellus</v>
      </c>
      <c r="M1781" s="133">
        <f t="shared" si="103"/>
        <v>0.75506456007526668</v>
      </c>
      <c r="N1781" s="152">
        <v>5.6893750000000001</v>
      </c>
      <c r="O1781" s="192"/>
      <c r="P1781" s="110">
        <v>153</v>
      </c>
      <c r="R1781" s="85" t="s">
        <v>7858</v>
      </c>
    </row>
    <row r="1782" spans="1:18" ht="63.75">
      <c r="A1782" s="289" t="s">
        <v>2592</v>
      </c>
      <c r="B1782" s="141" t="s">
        <v>1161</v>
      </c>
      <c r="C1782" s="150" t="s">
        <v>3817</v>
      </c>
      <c r="D1782" s="221"/>
      <c r="E1782" s="150"/>
      <c r="F1782" s="150"/>
      <c r="G1782" s="110" t="s">
        <v>2663</v>
      </c>
      <c r="H1782" s="150" t="s">
        <v>6205</v>
      </c>
      <c r="I1782" s="150" t="s">
        <v>2710</v>
      </c>
      <c r="J1782" s="150" t="s">
        <v>4646</v>
      </c>
      <c r="K1782" s="221"/>
      <c r="L1782" s="135" t="str">
        <f t="shared" si="101"/>
        <v>Pipistrellus kuhlii</v>
      </c>
      <c r="M1782" s="133">
        <f t="shared" si="103"/>
        <v>0.77341901586724249</v>
      </c>
      <c r="N1782" s="152">
        <v>5.9349766666669996</v>
      </c>
      <c r="O1782" s="192"/>
      <c r="P1782" s="110">
        <v>153</v>
      </c>
      <c r="R1782" s="85" t="s">
        <v>7859</v>
      </c>
    </row>
    <row r="1783" spans="1:18" ht="114.75">
      <c r="A1783" s="110" t="s">
        <v>2592</v>
      </c>
      <c r="B1783" s="141" t="s">
        <v>190</v>
      </c>
      <c r="C1783" s="150" t="s">
        <v>3817</v>
      </c>
      <c r="D1783" s="221"/>
      <c r="E1783" s="150"/>
      <c r="F1783" s="150"/>
      <c r="G1783" s="110" t="s">
        <v>2663</v>
      </c>
      <c r="H1783" s="150" t="s">
        <v>6205</v>
      </c>
      <c r="I1783" s="150" t="s">
        <v>2710</v>
      </c>
      <c r="J1783" s="150" t="s">
        <v>5683</v>
      </c>
      <c r="K1783" s="221"/>
      <c r="L1783" s="135" t="str">
        <f t="shared" si="101"/>
        <v>Pipistrellus savii</v>
      </c>
      <c r="M1783" s="133">
        <f t="shared" si="103"/>
        <v>0.80311555489002706</v>
      </c>
      <c r="N1783" s="152">
        <v>6.3550000000000004</v>
      </c>
      <c r="O1783" s="192"/>
      <c r="P1783" s="110">
        <v>153</v>
      </c>
      <c r="R1783" s="85" t="s">
        <v>7861</v>
      </c>
    </row>
    <row r="1784" spans="1:18">
      <c r="A1784" s="110" t="s">
        <v>2592</v>
      </c>
      <c r="B1784" s="141" t="s">
        <v>191</v>
      </c>
      <c r="C1784" s="150" t="s">
        <v>3817</v>
      </c>
      <c r="D1784" s="221"/>
      <c r="E1784" s="150"/>
      <c r="F1784" s="150"/>
      <c r="G1784" s="110" t="s">
        <v>2663</v>
      </c>
      <c r="H1784" s="150" t="s">
        <v>6205</v>
      </c>
      <c r="I1784" s="150" t="s">
        <v>2710</v>
      </c>
      <c r="J1784" s="150" t="s">
        <v>192</v>
      </c>
      <c r="K1784" s="221"/>
      <c r="L1784" s="135" t="str">
        <f t="shared" si="101"/>
        <v>Pipistrellus cadornae</v>
      </c>
      <c r="M1784" s="133">
        <f t="shared" si="103"/>
        <v>0.82607480270082645</v>
      </c>
      <c r="N1784" s="152">
        <v>6.7</v>
      </c>
      <c r="O1784" s="192"/>
      <c r="P1784" s="110">
        <v>153</v>
      </c>
    </row>
    <row r="1785" spans="1:18" ht="25.5">
      <c r="A1785" s="110" t="s">
        <v>2592</v>
      </c>
      <c r="B1785" s="141" t="s">
        <v>255</v>
      </c>
      <c r="C1785" s="150" t="s">
        <v>3817</v>
      </c>
      <c r="D1785" s="221"/>
      <c r="E1785" s="150"/>
      <c r="F1785" s="150"/>
      <c r="G1785" s="110" t="s">
        <v>2663</v>
      </c>
      <c r="H1785" s="150" t="s">
        <v>6205</v>
      </c>
      <c r="I1785" s="150" t="s">
        <v>2710</v>
      </c>
      <c r="J1785" s="150" t="s">
        <v>256</v>
      </c>
      <c r="K1785" s="221"/>
      <c r="L1785" s="135" t="str">
        <f t="shared" si="101"/>
        <v>Pipistrellus dormeri</v>
      </c>
      <c r="M1785" s="133">
        <f t="shared" si="103"/>
        <v>0.83674596564951209</v>
      </c>
      <c r="N1785" s="152">
        <v>6.8666666666670002</v>
      </c>
      <c r="O1785" s="192"/>
      <c r="P1785" s="110">
        <v>153</v>
      </c>
    </row>
    <row r="1786" spans="1:18" ht="51">
      <c r="A1786" s="110" t="s">
        <v>2592</v>
      </c>
      <c r="B1786" s="141" t="s">
        <v>1222</v>
      </c>
      <c r="C1786" s="150" t="s">
        <v>3817</v>
      </c>
      <c r="D1786" s="221"/>
      <c r="E1786" s="150"/>
      <c r="F1786" s="150"/>
      <c r="G1786" s="110" t="s">
        <v>2663</v>
      </c>
      <c r="H1786" s="150" t="s">
        <v>6205</v>
      </c>
      <c r="I1786" s="150" t="s">
        <v>2710</v>
      </c>
      <c r="J1786" s="150" t="s">
        <v>4675</v>
      </c>
      <c r="K1786" s="221"/>
      <c r="L1786" s="135" t="str">
        <f t="shared" si="101"/>
        <v>Pipistrellus rueppelli</v>
      </c>
      <c r="M1786" s="133">
        <f t="shared" si="103"/>
        <v>0.83989684632847006</v>
      </c>
      <c r="N1786" s="152">
        <v>6.916666666667</v>
      </c>
      <c r="O1786" s="192"/>
      <c r="P1786" s="110">
        <v>153</v>
      </c>
      <c r="R1786" s="85" t="s">
        <v>7860</v>
      </c>
    </row>
    <row r="1787" spans="1:18" ht="38.25">
      <c r="A1787" s="110" t="s">
        <v>2592</v>
      </c>
      <c r="B1787" s="141" t="s">
        <v>1027</v>
      </c>
      <c r="C1787" s="150" t="s">
        <v>3817</v>
      </c>
      <c r="D1787" s="221"/>
      <c r="E1787" s="150"/>
      <c r="F1787" s="150"/>
      <c r="G1787" s="110" t="s">
        <v>2663</v>
      </c>
      <c r="H1787" s="150" t="s">
        <v>6205</v>
      </c>
      <c r="I1787" s="150" t="s">
        <v>2710</v>
      </c>
      <c r="J1787" s="150" t="s">
        <v>1028</v>
      </c>
      <c r="K1787" s="221"/>
      <c r="L1787" s="135" t="str">
        <f t="shared" si="101"/>
        <v>Pipistrellus nathusii</v>
      </c>
      <c r="M1787" s="133">
        <f t="shared" si="103"/>
        <v>0.86381834731839591</v>
      </c>
      <c r="N1787" s="152">
        <v>7.3083333333329996</v>
      </c>
      <c r="O1787" s="192"/>
      <c r="P1787" s="110">
        <v>153</v>
      </c>
    </row>
    <row r="1788" spans="1:18" ht="51">
      <c r="A1788" s="110" t="s">
        <v>2592</v>
      </c>
      <c r="B1788" s="141" t="s">
        <v>804</v>
      </c>
      <c r="C1788" s="150" t="s">
        <v>3817</v>
      </c>
      <c r="D1788" s="221"/>
      <c r="E1788" s="150"/>
      <c r="F1788" s="150"/>
      <c r="G1788" s="110" t="s">
        <v>2663</v>
      </c>
      <c r="H1788" s="150" t="s">
        <v>6205</v>
      </c>
      <c r="I1788" s="150" t="s">
        <v>2710</v>
      </c>
      <c r="J1788" s="150" t="s">
        <v>805</v>
      </c>
      <c r="K1788" s="221"/>
      <c r="L1788" s="135" t="str">
        <f t="shared" si="101"/>
        <v>Pipistrellus ceylonicus</v>
      </c>
      <c r="M1788" s="133">
        <f t="shared" si="103"/>
        <v>0.92363253317704841</v>
      </c>
      <c r="N1788" s="152">
        <v>8.3874999999999993</v>
      </c>
      <c r="O1788" s="192"/>
      <c r="P1788" s="110">
        <v>153</v>
      </c>
    </row>
    <row r="1789" spans="1:18" ht="96" customHeight="1">
      <c r="A1789" s="110" t="s">
        <v>2592</v>
      </c>
      <c r="B1789" s="141" t="s">
        <v>801</v>
      </c>
      <c r="C1789" s="150" t="s">
        <v>3817</v>
      </c>
      <c r="D1789" s="221"/>
      <c r="E1789" s="150"/>
      <c r="F1789" s="150"/>
      <c r="G1789" s="110" t="s">
        <v>2663</v>
      </c>
      <c r="H1789" s="150" t="s">
        <v>6205</v>
      </c>
      <c r="I1789" s="150" t="s">
        <v>2710</v>
      </c>
      <c r="J1789" s="150" t="s">
        <v>3014</v>
      </c>
      <c r="K1789" s="221"/>
      <c r="L1789" s="135" t="str">
        <f t="shared" si="101"/>
        <v>Pipistrellus circumdatus</v>
      </c>
      <c r="M1789" s="133">
        <f t="shared" si="103"/>
        <v>1.0170333392987803</v>
      </c>
      <c r="N1789" s="152">
        <v>10.4</v>
      </c>
      <c r="O1789" s="192"/>
      <c r="P1789" s="110">
        <v>153</v>
      </c>
    </row>
    <row r="1790" spans="1:18" ht="51">
      <c r="A1790" s="110" t="s">
        <v>2592</v>
      </c>
      <c r="B1790" s="141" t="s">
        <v>220</v>
      </c>
      <c r="C1790" s="150" t="s">
        <v>3817</v>
      </c>
      <c r="D1790" s="221"/>
      <c r="E1790" s="150"/>
      <c r="F1790" s="150"/>
      <c r="G1790" s="110" t="s">
        <v>2663</v>
      </c>
      <c r="H1790" s="150" t="s">
        <v>6205</v>
      </c>
      <c r="I1790" s="150" t="s">
        <v>221</v>
      </c>
      <c r="J1790" s="150" t="s">
        <v>222</v>
      </c>
      <c r="K1790" s="221"/>
      <c r="L1790" s="135" t="str">
        <f t="shared" si="101"/>
        <v>Plecotus austriacus</v>
      </c>
      <c r="M1790" s="133">
        <f t="shared" si="103"/>
        <v>0.86356076452624253</v>
      </c>
      <c r="N1790" s="152">
        <v>7.3040000000000003</v>
      </c>
      <c r="O1790" s="192"/>
      <c r="P1790" s="110">
        <v>153</v>
      </c>
      <c r="R1790" s="85" t="s">
        <v>7867</v>
      </c>
    </row>
    <row r="1791" spans="1:18" ht="38.25">
      <c r="A1791" s="110" t="s">
        <v>2592</v>
      </c>
      <c r="B1791" s="141" t="s">
        <v>1107</v>
      </c>
      <c r="C1791" s="150" t="s">
        <v>3817</v>
      </c>
      <c r="D1791" s="221"/>
      <c r="E1791" s="150"/>
      <c r="F1791" s="150"/>
      <c r="G1791" s="110" t="s">
        <v>2663</v>
      </c>
      <c r="H1791" s="150" t="s">
        <v>6205</v>
      </c>
      <c r="I1791" s="150" t="s">
        <v>221</v>
      </c>
      <c r="J1791" s="150" t="s">
        <v>7385</v>
      </c>
      <c r="K1791" s="221"/>
      <c r="L1791" s="135" t="str">
        <f t="shared" si="101"/>
        <v>Plecotus auritus</v>
      </c>
      <c r="M1791" s="133">
        <f t="shared" si="103"/>
        <v>0.89392020586921617</v>
      </c>
      <c r="N1791" s="152">
        <v>7.8328571428569997</v>
      </c>
      <c r="O1791" s="192"/>
      <c r="P1791" s="110">
        <v>153</v>
      </c>
    </row>
    <row r="1792" spans="1:18">
      <c r="A1792" s="110" t="s">
        <v>2592</v>
      </c>
      <c r="B1792" s="141" t="s">
        <v>1275</v>
      </c>
      <c r="C1792" s="150" t="s">
        <v>3817</v>
      </c>
      <c r="D1792" s="221"/>
      <c r="E1792" s="150"/>
      <c r="F1792" s="150"/>
      <c r="G1792" s="110" t="s">
        <v>2663</v>
      </c>
      <c r="H1792" s="150" t="s">
        <v>6205</v>
      </c>
      <c r="I1792" s="150" t="s">
        <v>1008</v>
      </c>
      <c r="J1792" s="150" t="s">
        <v>5379</v>
      </c>
      <c r="K1792" s="221"/>
      <c r="L1792" s="135" t="str">
        <f t="shared" si="101"/>
        <v>Scotoecus pallidus</v>
      </c>
      <c r="M1792" s="146">
        <v>-999</v>
      </c>
      <c r="N1792" s="146">
        <v>-999</v>
      </c>
      <c r="O1792" s="183"/>
      <c r="P1792" s="110">
        <v>-999</v>
      </c>
    </row>
    <row r="1793" spans="1:18">
      <c r="A1793" s="110" t="s">
        <v>2592</v>
      </c>
      <c r="B1793" s="141" t="s">
        <v>990</v>
      </c>
      <c r="C1793" s="150" t="s">
        <v>3817</v>
      </c>
      <c r="D1793" s="221"/>
      <c r="E1793" s="150"/>
      <c r="F1793" s="150"/>
      <c r="G1793" s="110" t="s">
        <v>2663</v>
      </c>
      <c r="H1793" s="150" t="s">
        <v>6205</v>
      </c>
      <c r="I1793" s="150" t="s">
        <v>989</v>
      </c>
      <c r="J1793" s="150" t="s">
        <v>4825</v>
      </c>
      <c r="K1793" s="221"/>
      <c r="L1793" s="135" t="str">
        <f t="shared" si="101"/>
        <v>Scotomanes emarginatus</v>
      </c>
      <c r="M1793" s="146">
        <v>-999</v>
      </c>
      <c r="N1793" s="146">
        <v>-999</v>
      </c>
      <c r="O1793" s="183"/>
      <c r="P1793" s="110">
        <v>-999</v>
      </c>
    </row>
    <row r="1794" spans="1:18" ht="38.25">
      <c r="A1794" s="110" t="s">
        <v>2592</v>
      </c>
      <c r="B1794" s="141" t="s">
        <v>988</v>
      </c>
      <c r="C1794" s="150" t="s">
        <v>3817</v>
      </c>
      <c r="D1794" s="221"/>
      <c r="E1794" s="150"/>
      <c r="F1794" s="150"/>
      <c r="G1794" s="110" t="s">
        <v>2663</v>
      </c>
      <c r="H1794" s="150" t="s">
        <v>6205</v>
      </c>
      <c r="I1794" s="150" t="s">
        <v>989</v>
      </c>
      <c r="J1794" s="150" t="s">
        <v>4907</v>
      </c>
      <c r="K1794" s="221"/>
      <c r="L1794" s="135" t="str">
        <f t="shared" si="101"/>
        <v>Scotomanes ornatus</v>
      </c>
      <c r="M1794" s="133">
        <f t="shared" ref="M1794:M1805" si="104">LOG(N1794)</f>
        <v>1.3384564936046048</v>
      </c>
      <c r="N1794" s="152">
        <v>21.8</v>
      </c>
      <c r="O1794" s="192"/>
      <c r="P1794" s="110">
        <v>153</v>
      </c>
    </row>
    <row r="1795" spans="1:18" ht="36" customHeight="1">
      <c r="A1795" s="110" t="s">
        <v>2592</v>
      </c>
      <c r="B1795" s="141" t="s">
        <v>132</v>
      </c>
      <c r="C1795" s="150" t="s">
        <v>3817</v>
      </c>
      <c r="D1795" s="221"/>
      <c r="E1795" s="150"/>
      <c r="F1795" s="150"/>
      <c r="G1795" s="110" t="s">
        <v>2663</v>
      </c>
      <c r="H1795" s="150" t="s">
        <v>6205</v>
      </c>
      <c r="I1795" s="150" t="s">
        <v>6276</v>
      </c>
      <c r="J1795" s="150" t="s">
        <v>4646</v>
      </c>
      <c r="K1795" s="221"/>
      <c r="L1795" s="135" t="str">
        <f t="shared" si="101"/>
        <v>Scotophilus kuhlii</v>
      </c>
      <c r="M1795" s="133">
        <f t="shared" si="104"/>
        <v>1.3610979671879697</v>
      </c>
      <c r="N1795" s="152">
        <v>22.966666666666999</v>
      </c>
      <c r="O1795" s="192"/>
      <c r="P1795" s="110">
        <v>153</v>
      </c>
    </row>
    <row r="1796" spans="1:18" ht="51">
      <c r="A1796" s="110" t="s">
        <v>2592</v>
      </c>
      <c r="B1796" s="141" t="s">
        <v>884</v>
      </c>
      <c r="C1796" s="150" t="s">
        <v>3817</v>
      </c>
      <c r="D1796" s="221"/>
      <c r="E1796" s="150"/>
      <c r="F1796" s="150"/>
      <c r="G1796" s="110" t="s">
        <v>2663</v>
      </c>
      <c r="H1796" s="150" t="s">
        <v>6205</v>
      </c>
      <c r="I1796" s="150" t="s">
        <v>6276</v>
      </c>
      <c r="J1796" s="150" t="s">
        <v>885</v>
      </c>
      <c r="K1796" s="221"/>
      <c r="L1796" s="135" t="str">
        <f t="shared" si="101"/>
        <v>Scotophilus dinganii</v>
      </c>
      <c r="M1796" s="133">
        <f t="shared" si="104"/>
        <v>1.4001677994431969</v>
      </c>
      <c r="N1796" s="152">
        <v>25.128571428571</v>
      </c>
      <c r="O1796" s="192"/>
      <c r="P1796" s="110">
        <v>153</v>
      </c>
    </row>
    <row r="1797" spans="1:18" ht="38.25">
      <c r="A1797" s="110" t="s">
        <v>2592</v>
      </c>
      <c r="B1797" s="141" t="s">
        <v>1127</v>
      </c>
      <c r="C1797" s="150" t="s">
        <v>3817</v>
      </c>
      <c r="D1797" s="221"/>
      <c r="E1797" s="150"/>
      <c r="F1797" s="150"/>
      <c r="G1797" s="110" t="s">
        <v>2663</v>
      </c>
      <c r="H1797" s="150" t="s">
        <v>6205</v>
      </c>
      <c r="I1797" s="150" t="s">
        <v>6276</v>
      </c>
      <c r="J1797" s="150" t="s">
        <v>209</v>
      </c>
      <c r="K1797" s="221"/>
      <c r="L1797" s="135" t="str">
        <f t="shared" ref="L1797:L1860" si="105">I1797&amp;" "&amp;J1797</f>
        <v>Scotophilus heathi</v>
      </c>
      <c r="M1797" s="133">
        <f t="shared" si="104"/>
        <v>1.5385737338068557</v>
      </c>
      <c r="N1797" s="152">
        <v>34.56</v>
      </c>
      <c r="O1797" s="192"/>
      <c r="P1797" s="110">
        <v>153</v>
      </c>
    </row>
    <row r="1798" spans="1:18" ht="24" customHeight="1">
      <c r="A1798" s="110" t="s">
        <v>2592</v>
      </c>
      <c r="B1798" s="141" t="s">
        <v>156</v>
      </c>
      <c r="C1798" s="150" t="s">
        <v>3817</v>
      </c>
      <c r="D1798" s="221"/>
      <c r="E1798" s="150"/>
      <c r="F1798" s="150"/>
      <c r="G1798" s="110" t="s">
        <v>2663</v>
      </c>
      <c r="H1798" s="150" t="s">
        <v>6205</v>
      </c>
      <c r="I1798" s="150" t="s">
        <v>157</v>
      </c>
      <c r="J1798" s="150" t="s">
        <v>158</v>
      </c>
      <c r="K1798" s="221"/>
      <c r="L1798" s="135" t="str">
        <f t="shared" si="105"/>
        <v>Tylonycteris pachypus</v>
      </c>
      <c r="M1798" s="133">
        <f t="shared" si="104"/>
        <v>0.55388302664387434</v>
      </c>
      <c r="N1798" s="152">
        <v>3.58</v>
      </c>
      <c r="O1798" s="192"/>
      <c r="P1798" s="110">
        <v>153</v>
      </c>
    </row>
    <row r="1799" spans="1:18" ht="25.5">
      <c r="A1799" s="110" t="s">
        <v>2592</v>
      </c>
      <c r="B1799" s="141" t="s">
        <v>1009</v>
      </c>
      <c r="C1799" s="150" t="s">
        <v>3817</v>
      </c>
      <c r="D1799" s="221"/>
      <c r="E1799" s="150"/>
      <c r="F1799" s="150"/>
      <c r="G1799" s="110" t="s">
        <v>2663</v>
      </c>
      <c r="H1799" s="150" t="s">
        <v>6205</v>
      </c>
      <c r="I1799" s="150" t="s">
        <v>157</v>
      </c>
      <c r="J1799" s="150" t="s">
        <v>159</v>
      </c>
      <c r="K1799" s="221"/>
      <c r="L1799" s="135" t="str">
        <f t="shared" si="105"/>
        <v>Tylonycteris robustula</v>
      </c>
      <c r="M1799" s="133">
        <f t="shared" si="104"/>
        <v>0.8888656325602694</v>
      </c>
      <c r="N1799" s="152">
        <v>7.7422222222219998</v>
      </c>
      <c r="O1799" s="192"/>
      <c r="P1799" s="110">
        <v>153</v>
      </c>
    </row>
    <row r="1800" spans="1:18" ht="36" customHeight="1">
      <c r="A1800" s="110" t="s">
        <v>2592</v>
      </c>
      <c r="B1800" s="141" t="s">
        <v>1154</v>
      </c>
      <c r="C1800" s="150" t="s">
        <v>3817</v>
      </c>
      <c r="D1800" s="221"/>
      <c r="E1800" s="150"/>
      <c r="F1800" s="150"/>
      <c r="G1800" s="110" t="s">
        <v>2663</v>
      </c>
      <c r="H1800" s="150" t="s">
        <v>6205</v>
      </c>
      <c r="I1800" s="150" t="s">
        <v>1155</v>
      </c>
      <c r="J1800" s="150" t="s">
        <v>4557</v>
      </c>
      <c r="K1800" s="221"/>
      <c r="L1800" s="135" t="str">
        <f t="shared" si="105"/>
        <v>Vespertilio murinus</v>
      </c>
      <c r="M1800" s="133">
        <f t="shared" si="104"/>
        <v>1.271841606536499</v>
      </c>
      <c r="N1800" s="152">
        <v>18.7</v>
      </c>
      <c r="O1800" s="192"/>
      <c r="P1800" s="110">
        <v>153</v>
      </c>
    </row>
    <row r="1801" spans="1:18" ht="38.25">
      <c r="A1801" s="110" t="s">
        <v>2592</v>
      </c>
      <c r="B1801" s="141" t="s">
        <v>1057</v>
      </c>
      <c r="C1801" s="150" t="s">
        <v>3817</v>
      </c>
      <c r="D1801" s="221"/>
      <c r="E1801" s="150"/>
      <c r="F1801" s="150"/>
      <c r="G1801" s="110" t="s">
        <v>2663</v>
      </c>
      <c r="H1801" s="150" t="s">
        <v>6205</v>
      </c>
      <c r="I1801" s="150" t="s">
        <v>1155</v>
      </c>
      <c r="J1801" s="150" t="s">
        <v>4668</v>
      </c>
      <c r="K1801" s="221"/>
      <c r="L1801" s="135" t="str">
        <f t="shared" si="105"/>
        <v>Vespertilio superans</v>
      </c>
      <c r="M1801" s="133">
        <f t="shared" si="104"/>
        <v>1.3887227004751754</v>
      </c>
      <c r="N1801" s="152">
        <v>24.475000000000001</v>
      </c>
      <c r="O1801" s="192"/>
      <c r="P1801" s="110">
        <v>153</v>
      </c>
    </row>
    <row r="1802" spans="1:18">
      <c r="A1802" s="213" t="s">
        <v>2592</v>
      </c>
      <c r="B1802" s="130"/>
      <c r="C1802" s="118" t="s">
        <v>3817</v>
      </c>
      <c r="D1802" s="141"/>
      <c r="E1802" s="118"/>
      <c r="F1802" s="118"/>
      <c r="G1802" s="118" t="s">
        <v>3539</v>
      </c>
      <c r="H1802" s="118" t="s">
        <v>3540</v>
      </c>
      <c r="I1802" s="118" t="s">
        <v>6004</v>
      </c>
      <c r="J1802" s="118" t="s">
        <v>3089</v>
      </c>
      <c r="K1802" s="141"/>
      <c r="L1802" s="135" t="str">
        <f t="shared" si="105"/>
        <v>Cynocephalus variegatus</v>
      </c>
      <c r="M1802" s="133">
        <f t="shared" si="104"/>
        <v>3</v>
      </c>
      <c r="N1802" s="133">
        <v>1000</v>
      </c>
      <c r="O1802" s="179" t="s">
        <v>6736</v>
      </c>
      <c r="P1802" s="108" t="s">
        <v>1324</v>
      </c>
    </row>
    <row r="1803" spans="1:18" ht="25.5">
      <c r="A1803" s="213" t="s">
        <v>2592</v>
      </c>
      <c r="B1803" s="130"/>
      <c r="C1803" s="118" t="s">
        <v>3817</v>
      </c>
      <c r="D1803" s="141"/>
      <c r="E1803" s="118"/>
      <c r="F1803" s="118"/>
      <c r="G1803" s="118" t="s">
        <v>3539</v>
      </c>
      <c r="H1803" s="118" t="s">
        <v>3540</v>
      </c>
      <c r="I1803" s="118" t="s">
        <v>6004</v>
      </c>
      <c r="J1803" s="118" t="s">
        <v>4449</v>
      </c>
      <c r="K1803" s="141"/>
      <c r="L1803" s="135" t="str">
        <f t="shared" si="105"/>
        <v>Cynocephalus volans</v>
      </c>
      <c r="M1803" s="133">
        <f t="shared" si="104"/>
        <v>3.0969100130080562</v>
      </c>
      <c r="N1803" s="133">
        <f>AVERAGE(1000, 1500)</f>
        <v>1250</v>
      </c>
      <c r="O1803" s="179" t="s">
        <v>1702</v>
      </c>
      <c r="P1803" s="108">
        <v>140</v>
      </c>
      <c r="Q1803" s="90" t="s">
        <v>6988</v>
      </c>
    </row>
    <row r="1804" spans="1:18">
      <c r="A1804" s="118" t="s">
        <v>2592</v>
      </c>
      <c r="B1804" s="130"/>
      <c r="C1804" s="118" t="s">
        <v>3817</v>
      </c>
      <c r="D1804" s="141"/>
      <c r="E1804" s="118"/>
      <c r="F1804" s="118"/>
      <c r="G1804" s="118" t="s">
        <v>4471</v>
      </c>
      <c r="H1804" s="118" t="s">
        <v>4472</v>
      </c>
      <c r="I1804" s="118" t="s">
        <v>7277</v>
      </c>
      <c r="J1804" s="118" t="s">
        <v>4259</v>
      </c>
      <c r="K1804" s="141"/>
      <c r="L1804" s="135" t="str">
        <f t="shared" si="105"/>
        <v>Procavia capensis</v>
      </c>
      <c r="M1804" s="133">
        <f t="shared" si="104"/>
        <v>3.4814400000000005</v>
      </c>
      <c r="N1804" s="133">
        <v>3029.9816614343204</v>
      </c>
      <c r="O1804" s="179" t="s">
        <v>3356</v>
      </c>
      <c r="P1804" s="108">
        <v>60</v>
      </c>
      <c r="R1804" s="85" t="s">
        <v>7593</v>
      </c>
    </row>
    <row r="1805" spans="1:18" ht="24" customHeight="1">
      <c r="A1805" s="118" t="s">
        <v>2592</v>
      </c>
      <c r="B1805" s="130"/>
      <c r="C1805" s="118" t="s">
        <v>3817</v>
      </c>
      <c r="D1805" s="141"/>
      <c r="E1805" s="118"/>
      <c r="F1805" s="118"/>
      <c r="G1805" s="118" t="s">
        <v>7278</v>
      </c>
      <c r="H1805" s="118" t="s">
        <v>7252</v>
      </c>
      <c r="I1805" s="118" t="s">
        <v>6022</v>
      </c>
      <c r="J1805" s="118" t="s">
        <v>6021</v>
      </c>
      <c r="K1805" s="141"/>
      <c r="L1805" s="135" t="str">
        <f t="shared" si="105"/>
        <v>Echinosorex gymnura</v>
      </c>
      <c r="M1805" s="133">
        <f t="shared" si="104"/>
        <v>2.9809119377768436</v>
      </c>
      <c r="N1805" s="133">
        <v>957</v>
      </c>
      <c r="O1805" s="179" t="s">
        <v>6736</v>
      </c>
      <c r="P1805" s="108">
        <v>68</v>
      </c>
      <c r="Q1805" s="88"/>
    </row>
    <row r="1806" spans="1:18">
      <c r="A1806" s="118" t="s">
        <v>2592</v>
      </c>
      <c r="B1806" s="130"/>
      <c r="C1806" s="118" t="s">
        <v>3817</v>
      </c>
      <c r="D1806" s="141"/>
      <c r="E1806" s="118"/>
      <c r="F1806" s="118"/>
      <c r="G1806" s="118" t="s">
        <v>7278</v>
      </c>
      <c r="H1806" s="118" t="s">
        <v>7252</v>
      </c>
      <c r="I1806" s="118" t="s">
        <v>6453</v>
      </c>
      <c r="J1806" s="118" t="s">
        <v>8022</v>
      </c>
      <c r="K1806" s="141"/>
      <c r="L1806" s="135" t="str">
        <f t="shared" si="105"/>
        <v>Erinaceus amurensis</v>
      </c>
      <c r="M1806" s="133">
        <v>-999</v>
      </c>
      <c r="N1806" s="133">
        <v>-999</v>
      </c>
      <c r="O1806" s="179" t="s">
        <v>3356</v>
      </c>
      <c r="P1806" s="108">
        <v>-999</v>
      </c>
      <c r="Q1806" s="80"/>
    </row>
    <row r="1807" spans="1:18">
      <c r="A1807" s="213" t="s">
        <v>2592</v>
      </c>
      <c r="B1807" s="130"/>
      <c r="C1807" s="118" t="s">
        <v>3817</v>
      </c>
      <c r="D1807" s="141"/>
      <c r="E1807" s="118"/>
      <c r="F1807" s="118"/>
      <c r="G1807" s="118" t="s">
        <v>7278</v>
      </c>
      <c r="H1807" s="118" t="s">
        <v>7252</v>
      </c>
      <c r="I1807" s="118" t="s">
        <v>6453</v>
      </c>
      <c r="J1807" s="118" t="s">
        <v>3569</v>
      </c>
      <c r="K1807" s="141"/>
      <c r="L1807" s="135" t="str">
        <f t="shared" si="105"/>
        <v>Erinaceus concolor</v>
      </c>
      <c r="M1807" s="133">
        <f>LOG(N1807)</f>
        <v>2.8567288903828825</v>
      </c>
      <c r="N1807" s="133">
        <v>719</v>
      </c>
      <c r="O1807" s="179" t="s">
        <v>6736</v>
      </c>
      <c r="P1807" s="108">
        <v>68</v>
      </c>
    </row>
    <row r="1808" spans="1:18">
      <c r="A1808" s="213" t="s">
        <v>2592</v>
      </c>
      <c r="B1808" s="130"/>
      <c r="C1808" s="118" t="s">
        <v>3817</v>
      </c>
      <c r="D1808" s="141"/>
      <c r="E1808" s="118"/>
      <c r="F1808" s="118"/>
      <c r="G1808" s="118" t="s">
        <v>7278</v>
      </c>
      <c r="H1808" s="118" t="s">
        <v>7252</v>
      </c>
      <c r="I1808" s="118" t="s">
        <v>6453</v>
      </c>
      <c r="J1808" s="118" t="s">
        <v>8140</v>
      </c>
      <c r="K1808" s="141"/>
      <c r="L1808" s="135" t="str">
        <f t="shared" si="105"/>
        <v>Erinaceus europaeus</v>
      </c>
      <c r="M1808" s="133">
        <f>LOG(N1808)</f>
        <v>2.8870543780509568</v>
      </c>
      <c r="N1808" s="133">
        <v>771</v>
      </c>
      <c r="O1808" s="179" t="s">
        <v>6736</v>
      </c>
      <c r="P1808" s="108">
        <v>68</v>
      </c>
    </row>
    <row r="1809" spans="1:18">
      <c r="A1809" s="213" t="s">
        <v>2592</v>
      </c>
      <c r="B1809" s="141" t="s">
        <v>2527</v>
      </c>
      <c r="C1809" s="118" t="s">
        <v>3817</v>
      </c>
      <c r="D1809" s="141"/>
      <c r="E1809" s="118"/>
      <c r="F1809" s="118"/>
      <c r="G1809" s="118" t="s">
        <v>7278</v>
      </c>
      <c r="H1809" s="118" t="s">
        <v>7252</v>
      </c>
      <c r="I1809" s="118" t="s">
        <v>2114</v>
      </c>
      <c r="J1809" s="118" t="s">
        <v>4035</v>
      </c>
      <c r="K1809" s="141"/>
      <c r="L1809" s="135" t="str">
        <f t="shared" si="105"/>
        <v>Hemiechinus nudiventris</v>
      </c>
      <c r="M1809" s="133">
        <v>-999</v>
      </c>
      <c r="N1809" s="133">
        <v>-999</v>
      </c>
      <c r="O1809" s="179" t="s">
        <v>6882</v>
      </c>
      <c r="P1809" s="108">
        <v>-999</v>
      </c>
      <c r="Q1809" s="80" t="s">
        <v>6988</v>
      </c>
    </row>
    <row r="1810" spans="1:18" ht="15" customHeight="1">
      <c r="A1810" s="213" t="s">
        <v>2592</v>
      </c>
      <c r="B1810" s="141" t="s">
        <v>1473</v>
      </c>
      <c r="C1810" s="118" t="s">
        <v>3817</v>
      </c>
      <c r="D1810" s="141"/>
      <c r="E1810" s="118"/>
      <c r="F1810" s="118"/>
      <c r="G1810" s="118" t="s">
        <v>7278</v>
      </c>
      <c r="H1810" s="118" t="s">
        <v>7252</v>
      </c>
      <c r="I1810" s="118" t="s">
        <v>2114</v>
      </c>
      <c r="J1810" s="118" t="s">
        <v>4240</v>
      </c>
      <c r="K1810" s="141"/>
      <c r="L1810" s="135" t="str">
        <f t="shared" si="105"/>
        <v>Hemiechinus collaris</v>
      </c>
      <c r="M1810" s="133">
        <f t="shared" ref="M1810:M1816" si="106">LOG(N1810)</f>
        <v>2.1492191126553797</v>
      </c>
      <c r="N1810" s="133">
        <v>141</v>
      </c>
      <c r="O1810" s="179" t="s">
        <v>3356</v>
      </c>
      <c r="P1810" s="108">
        <v>60</v>
      </c>
      <c r="Q1810" s="93">
        <f>AVERAGE(N1809:N1811)</f>
        <v>-229</v>
      </c>
    </row>
    <row r="1811" spans="1:18" ht="72" customHeight="1">
      <c r="A1811" s="213" t="s">
        <v>2592</v>
      </c>
      <c r="B1811" s="130"/>
      <c r="C1811" s="118" t="s">
        <v>3817</v>
      </c>
      <c r="D1811" s="141"/>
      <c r="E1811" s="118"/>
      <c r="F1811" s="118"/>
      <c r="G1811" s="118" t="s">
        <v>7278</v>
      </c>
      <c r="H1811" s="118" t="s">
        <v>7252</v>
      </c>
      <c r="I1811" s="118" t="s">
        <v>2114</v>
      </c>
      <c r="J1811" s="118" t="s">
        <v>3596</v>
      </c>
      <c r="K1811" s="141"/>
      <c r="L1811" s="135" t="str">
        <f t="shared" si="105"/>
        <v>Hemiechinus micropus</v>
      </c>
      <c r="M1811" s="133">
        <f t="shared" si="106"/>
        <v>2.2329961103921536</v>
      </c>
      <c r="N1811" s="133">
        <v>171</v>
      </c>
      <c r="O1811" s="179" t="s">
        <v>6736</v>
      </c>
      <c r="P1811" s="108">
        <v>68</v>
      </c>
      <c r="Q1811" s="88"/>
    </row>
    <row r="1812" spans="1:18">
      <c r="A1812" s="213" t="s">
        <v>2592</v>
      </c>
      <c r="B1812" s="130"/>
      <c r="C1812" s="118" t="s">
        <v>3817</v>
      </c>
      <c r="D1812" s="141"/>
      <c r="E1812" s="118"/>
      <c r="F1812" s="118"/>
      <c r="G1812" s="118" t="s">
        <v>7278</v>
      </c>
      <c r="H1812" s="118" t="s">
        <v>7252</v>
      </c>
      <c r="I1812" s="118" t="s">
        <v>2114</v>
      </c>
      <c r="J1812" s="118" t="s">
        <v>3481</v>
      </c>
      <c r="K1812" s="141"/>
      <c r="L1812" s="135" t="str">
        <f t="shared" si="105"/>
        <v>Hemiechinus aethiopicus</v>
      </c>
      <c r="M1812" s="133">
        <f t="shared" si="106"/>
        <v>2.2741600000000002</v>
      </c>
      <c r="N1812" s="133">
        <v>188.00093102594275</v>
      </c>
      <c r="O1812" s="179" t="s">
        <v>3356</v>
      </c>
      <c r="P1812" s="108">
        <v>60</v>
      </c>
    </row>
    <row r="1813" spans="1:18">
      <c r="A1813" s="213" t="s">
        <v>2592</v>
      </c>
      <c r="B1813" s="130"/>
      <c r="C1813" s="118" t="s">
        <v>3817</v>
      </c>
      <c r="D1813" s="141"/>
      <c r="E1813" s="118"/>
      <c r="F1813" s="118"/>
      <c r="G1813" s="118" t="s">
        <v>7278</v>
      </c>
      <c r="H1813" s="118" t="s">
        <v>7252</v>
      </c>
      <c r="I1813" s="118" t="s">
        <v>2114</v>
      </c>
      <c r="J1813" s="118" t="s">
        <v>2115</v>
      </c>
      <c r="K1813" s="141"/>
      <c r="L1813" s="135" t="str">
        <f t="shared" si="105"/>
        <v>Hemiechinus hypomelas</v>
      </c>
      <c r="M1813" s="133">
        <f t="shared" si="106"/>
        <v>2.3283800000000001</v>
      </c>
      <c r="N1813" s="133">
        <v>213.00019449380778</v>
      </c>
      <c r="O1813" s="179" t="s">
        <v>3356</v>
      </c>
      <c r="P1813" s="108">
        <v>60</v>
      </c>
    </row>
    <row r="1814" spans="1:18" ht="15">
      <c r="A1814" s="213" t="s">
        <v>2592</v>
      </c>
      <c r="B1814" s="130"/>
      <c r="C1814" s="118" t="s">
        <v>3817</v>
      </c>
      <c r="D1814" s="141"/>
      <c r="E1814" s="118"/>
      <c r="F1814" s="118"/>
      <c r="G1814" s="118" t="s">
        <v>7278</v>
      </c>
      <c r="H1814" s="118" t="s">
        <v>7252</v>
      </c>
      <c r="I1814" s="118" t="s">
        <v>2114</v>
      </c>
      <c r="J1814" s="118" t="s">
        <v>7385</v>
      </c>
      <c r="K1814" s="141"/>
      <c r="L1814" s="135" t="str">
        <f t="shared" si="105"/>
        <v>Hemiechinus auritus</v>
      </c>
      <c r="M1814" s="133">
        <f t="shared" si="106"/>
        <v>2.5340261060561349</v>
      </c>
      <c r="N1814" s="133">
        <v>342</v>
      </c>
      <c r="O1814" s="179" t="s">
        <v>6736</v>
      </c>
      <c r="P1814" s="108">
        <v>68</v>
      </c>
      <c r="Q1814" s="88"/>
    </row>
    <row r="1815" spans="1:18">
      <c r="A1815" s="213" t="s">
        <v>2592</v>
      </c>
      <c r="B1815" s="130"/>
      <c r="C1815" s="118" t="s">
        <v>3817</v>
      </c>
      <c r="D1815" s="141"/>
      <c r="E1815" s="118"/>
      <c r="F1815" s="118"/>
      <c r="G1815" s="118" t="s">
        <v>7278</v>
      </c>
      <c r="H1815" s="118" t="s">
        <v>7252</v>
      </c>
      <c r="I1815" s="118" t="s">
        <v>8141</v>
      </c>
      <c r="J1815" s="118" t="s">
        <v>3411</v>
      </c>
      <c r="K1815" s="141"/>
      <c r="L1815" s="135" t="str">
        <f t="shared" si="105"/>
        <v>Hylomys suillus</v>
      </c>
      <c r="M1815" s="133">
        <f t="shared" si="106"/>
        <v>1.8061799739838871</v>
      </c>
      <c r="N1815" s="133">
        <v>64</v>
      </c>
      <c r="O1815" s="179" t="s">
        <v>7080</v>
      </c>
      <c r="P1815" s="108">
        <v>68</v>
      </c>
      <c r="Q1815" s="90" t="s">
        <v>7071</v>
      </c>
    </row>
    <row r="1816" spans="1:18" ht="25.5">
      <c r="A1816" s="213" t="s">
        <v>2592</v>
      </c>
      <c r="B1816" s="141" t="s">
        <v>3260</v>
      </c>
      <c r="C1816" s="118" t="s">
        <v>3817</v>
      </c>
      <c r="D1816" s="141"/>
      <c r="E1816" s="118"/>
      <c r="F1816" s="118"/>
      <c r="G1816" s="118" t="s">
        <v>7278</v>
      </c>
      <c r="H1816" s="118" t="s">
        <v>7252</v>
      </c>
      <c r="I1816" s="118" t="s">
        <v>8141</v>
      </c>
      <c r="J1816" s="118" t="s">
        <v>4967</v>
      </c>
      <c r="K1816" s="141"/>
      <c r="L1816" s="135" t="str">
        <f t="shared" si="105"/>
        <v>Hylomys sinensis</v>
      </c>
      <c r="M1816" s="133">
        <f t="shared" si="106"/>
        <v>1.9389997854485523</v>
      </c>
      <c r="N1816" s="133">
        <v>86.896000000000001</v>
      </c>
      <c r="O1816" s="179" t="s">
        <v>212</v>
      </c>
      <c r="P1816" s="108" t="s">
        <v>1172</v>
      </c>
      <c r="Q1816" s="90" t="s">
        <v>6642</v>
      </c>
      <c r="R1816" s="85">
        <f>-8.5857+3.4672*LOG(148)</f>
        <v>-1.0609685803826023</v>
      </c>
    </row>
    <row r="1817" spans="1:18" ht="25.5">
      <c r="A1817" s="213" t="s">
        <v>2592</v>
      </c>
      <c r="B1817" s="130" t="s">
        <v>1988</v>
      </c>
      <c r="C1817" s="118" t="s">
        <v>3817</v>
      </c>
      <c r="D1817" s="141"/>
      <c r="E1817" s="118"/>
      <c r="F1817" s="118"/>
      <c r="G1817" s="118" t="s">
        <v>7278</v>
      </c>
      <c r="H1817" s="118" t="s">
        <v>7252</v>
      </c>
      <c r="I1817" s="118" t="s">
        <v>3813</v>
      </c>
      <c r="J1817" s="118" t="s">
        <v>3560</v>
      </c>
      <c r="K1817" s="141"/>
      <c r="L1817" s="135" t="str">
        <f t="shared" si="105"/>
        <v>Mesechinus hughi</v>
      </c>
      <c r="M1817" s="133">
        <v>-999</v>
      </c>
      <c r="N1817" s="133">
        <v>-999</v>
      </c>
      <c r="O1817" s="179" t="s">
        <v>8149</v>
      </c>
      <c r="P1817" s="108">
        <v>-999</v>
      </c>
      <c r="Q1817" s="80" t="s">
        <v>6988</v>
      </c>
    </row>
    <row r="1818" spans="1:18" ht="25.5">
      <c r="A1818" s="213" t="s">
        <v>2592</v>
      </c>
      <c r="B1818" s="130" t="s">
        <v>5953</v>
      </c>
      <c r="C1818" s="118" t="s">
        <v>3817</v>
      </c>
      <c r="D1818" s="141"/>
      <c r="E1818" s="118"/>
      <c r="F1818" s="118"/>
      <c r="G1818" s="118" t="s">
        <v>7278</v>
      </c>
      <c r="H1818" s="118" t="s">
        <v>7252</v>
      </c>
      <c r="I1818" s="118" t="s">
        <v>3813</v>
      </c>
      <c r="J1818" s="118" t="s">
        <v>3559</v>
      </c>
      <c r="K1818" s="141"/>
      <c r="L1818" s="135" t="str">
        <f t="shared" si="105"/>
        <v>Mesechinus dauuricus</v>
      </c>
      <c r="M1818" s="133">
        <f>LOG(N1818)</f>
        <v>2.5340261060561349</v>
      </c>
      <c r="N1818" s="133">
        <v>342</v>
      </c>
      <c r="O1818" s="179" t="s">
        <v>7871</v>
      </c>
      <c r="P1818" s="108" t="s">
        <v>7963</v>
      </c>
      <c r="Q1818" s="80"/>
    </row>
    <row r="1819" spans="1:18">
      <c r="A1819" s="213" t="s">
        <v>2592</v>
      </c>
      <c r="B1819" s="130"/>
      <c r="C1819" s="118" t="s">
        <v>3817</v>
      </c>
      <c r="D1819" s="141"/>
      <c r="E1819" s="118"/>
      <c r="F1819" s="118"/>
      <c r="G1819" s="118" t="s">
        <v>7278</v>
      </c>
      <c r="H1819" s="118" t="s">
        <v>4905</v>
      </c>
      <c r="I1819" s="118" t="s">
        <v>8234</v>
      </c>
      <c r="J1819" s="118" t="s">
        <v>4851</v>
      </c>
      <c r="K1819" s="141"/>
      <c r="L1819" s="135" t="str">
        <f t="shared" si="105"/>
        <v>Anourosorex squamipes</v>
      </c>
      <c r="M1819" s="133">
        <f>LOG(N1819)</f>
        <v>1.3010299956639813</v>
      </c>
      <c r="N1819" s="133">
        <f>AVERAGE(15, 25)</f>
        <v>20</v>
      </c>
      <c r="O1819" s="179" t="s">
        <v>3356</v>
      </c>
      <c r="P1819" s="108">
        <v>140</v>
      </c>
      <c r="Q1819" s="80"/>
      <c r="R1819" s="82"/>
    </row>
    <row r="1820" spans="1:18">
      <c r="A1820" s="213" t="s">
        <v>2592</v>
      </c>
      <c r="B1820" s="130"/>
      <c r="C1820" s="118" t="s">
        <v>3817</v>
      </c>
      <c r="D1820" s="141"/>
      <c r="E1820" s="118"/>
      <c r="F1820" s="118"/>
      <c r="G1820" s="118" t="s">
        <v>7278</v>
      </c>
      <c r="H1820" s="118" t="s">
        <v>4905</v>
      </c>
      <c r="I1820" s="118" t="s">
        <v>6826</v>
      </c>
      <c r="J1820" s="118" t="s">
        <v>6260</v>
      </c>
      <c r="K1820" s="141"/>
      <c r="L1820" s="135" t="str">
        <f t="shared" si="105"/>
        <v>Blarinella wardi</v>
      </c>
      <c r="M1820" s="133">
        <v>-999</v>
      </c>
      <c r="N1820" s="133">
        <v>-999</v>
      </c>
      <c r="O1820" s="179" t="s">
        <v>6882</v>
      </c>
      <c r="P1820" s="108">
        <v>-999</v>
      </c>
      <c r="Q1820" s="80" t="s">
        <v>6642</v>
      </c>
    </row>
    <row r="1821" spans="1:18">
      <c r="A1821" s="213" t="s">
        <v>2592</v>
      </c>
      <c r="B1821" s="130"/>
      <c r="C1821" s="118" t="s">
        <v>3817</v>
      </c>
      <c r="D1821" s="141"/>
      <c r="E1821" s="118"/>
      <c r="F1821" s="118"/>
      <c r="G1821" s="118" t="s">
        <v>7278</v>
      </c>
      <c r="H1821" s="118" t="s">
        <v>4905</v>
      </c>
      <c r="I1821" s="118" t="s">
        <v>6826</v>
      </c>
      <c r="J1821" s="118" t="s">
        <v>6827</v>
      </c>
      <c r="K1821" s="141"/>
      <c r="L1821" s="135" t="str">
        <f t="shared" si="105"/>
        <v>Blarinella quadraticauda</v>
      </c>
      <c r="M1821" s="133">
        <f>LOG(N1821)</f>
        <v>1.0969100130080565</v>
      </c>
      <c r="N1821" s="133">
        <f>AVERAGE(10, 15)</f>
        <v>12.5</v>
      </c>
      <c r="O1821" s="179" t="s">
        <v>3356</v>
      </c>
      <c r="P1821" s="108">
        <v>140</v>
      </c>
      <c r="Q1821" s="80"/>
    </row>
    <row r="1822" spans="1:18">
      <c r="A1822" s="213" t="s">
        <v>2592</v>
      </c>
      <c r="B1822" s="130"/>
      <c r="C1822" s="118" t="s">
        <v>3817</v>
      </c>
      <c r="D1822" s="141"/>
      <c r="E1822" s="118"/>
      <c r="F1822" s="118"/>
      <c r="G1822" s="118" t="s">
        <v>7278</v>
      </c>
      <c r="H1822" s="118" t="s">
        <v>4905</v>
      </c>
      <c r="I1822" s="118" t="s">
        <v>6381</v>
      </c>
      <c r="J1822" s="118" t="s">
        <v>5628</v>
      </c>
      <c r="K1822" s="141"/>
      <c r="L1822" s="135" t="str">
        <f t="shared" si="105"/>
        <v>Chimarrogale styani</v>
      </c>
      <c r="M1822" s="133">
        <f>LOG(N1822)</f>
        <v>1.4116197059632303</v>
      </c>
      <c r="N1822" s="133">
        <f>1000*0.0258</f>
        <v>25.8</v>
      </c>
      <c r="O1822" s="179" t="s">
        <v>3356</v>
      </c>
      <c r="P1822" s="108">
        <v>60</v>
      </c>
      <c r="Q1822" s="80"/>
    </row>
    <row r="1823" spans="1:18">
      <c r="A1823" s="213" t="s">
        <v>2592</v>
      </c>
      <c r="B1823" s="130"/>
      <c r="C1823" s="118" t="s">
        <v>3817</v>
      </c>
      <c r="D1823" s="141"/>
      <c r="E1823" s="118"/>
      <c r="F1823" s="118"/>
      <c r="G1823" s="118" t="s">
        <v>7278</v>
      </c>
      <c r="H1823" s="118" t="s">
        <v>4905</v>
      </c>
      <c r="I1823" s="118" t="s">
        <v>6381</v>
      </c>
      <c r="J1823" s="118" t="s">
        <v>5626</v>
      </c>
      <c r="K1823" s="141"/>
      <c r="L1823" s="135" t="str">
        <f t="shared" si="105"/>
        <v>Chimarrogale himalayica</v>
      </c>
      <c r="M1823" s="133">
        <f>LOG(N1823)</f>
        <v>1.5740312677277188</v>
      </c>
      <c r="N1823" s="133">
        <f>AVERAGE(30, 45)</f>
        <v>37.5</v>
      </c>
      <c r="O1823" s="179" t="s">
        <v>3356</v>
      </c>
      <c r="P1823" s="108">
        <v>140</v>
      </c>
      <c r="Q1823" s="80"/>
    </row>
    <row r="1824" spans="1:18" ht="25.5">
      <c r="A1824" s="213" t="s">
        <v>2592</v>
      </c>
      <c r="B1824" s="141" t="s">
        <v>5960</v>
      </c>
      <c r="C1824" s="118" t="s">
        <v>3817</v>
      </c>
      <c r="D1824" s="141"/>
      <c r="E1824" s="118"/>
      <c r="F1824" s="118"/>
      <c r="G1824" s="118" t="s">
        <v>7278</v>
      </c>
      <c r="H1824" s="118" t="s">
        <v>4905</v>
      </c>
      <c r="I1824" s="118" t="s">
        <v>6381</v>
      </c>
      <c r="J1824" s="118" t="s">
        <v>7634</v>
      </c>
      <c r="K1824" s="141"/>
      <c r="L1824" s="135" t="str">
        <f t="shared" si="105"/>
        <v>Chimarrogale hantu</v>
      </c>
      <c r="M1824" s="133">
        <f>LOG(N1824)</f>
        <v>1.7403626894942439</v>
      </c>
      <c r="N1824" s="133">
        <v>55</v>
      </c>
      <c r="O1824" s="179" t="s">
        <v>8149</v>
      </c>
      <c r="P1824" s="108">
        <v>119</v>
      </c>
      <c r="Q1824" s="80" t="s">
        <v>7071</v>
      </c>
    </row>
    <row r="1825" spans="1:20" ht="48" customHeight="1">
      <c r="A1825" s="213" t="s">
        <v>2592</v>
      </c>
      <c r="B1825" s="130" t="s">
        <v>5065</v>
      </c>
      <c r="C1825" s="118" t="s">
        <v>3817</v>
      </c>
      <c r="D1825" s="141"/>
      <c r="E1825" s="118"/>
      <c r="F1825" s="118"/>
      <c r="G1825" s="118" t="s">
        <v>7278</v>
      </c>
      <c r="H1825" s="118" t="s">
        <v>4905</v>
      </c>
      <c r="I1825" s="118" t="s">
        <v>5050</v>
      </c>
      <c r="J1825" s="118" t="s">
        <v>5733</v>
      </c>
      <c r="K1825" s="141"/>
      <c r="L1825" s="135" t="str">
        <f t="shared" si="105"/>
        <v>Crocidura arabica</v>
      </c>
      <c r="M1825" s="133">
        <v>-999</v>
      </c>
      <c r="N1825" s="133">
        <v>-999</v>
      </c>
      <c r="O1825" s="179" t="s">
        <v>3356</v>
      </c>
      <c r="P1825" s="108">
        <v>-999</v>
      </c>
      <c r="Q1825" s="88"/>
    </row>
    <row r="1826" spans="1:20">
      <c r="A1826" s="213" t="s">
        <v>2592</v>
      </c>
      <c r="B1826" s="130" t="s">
        <v>5066</v>
      </c>
      <c r="C1826" s="118" t="s">
        <v>3817</v>
      </c>
      <c r="D1826" s="141"/>
      <c r="E1826" s="118"/>
      <c r="F1826" s="118"/>
      <c r="G1826" s="118" t="s">
        <v>7278</v>
      </c>
      <c r="H1826" s="118" t="s">
        <v>4905</v>
      </c>
      <c r="I1826" s="118" t="s">
        <v>5050</v>
      </c>
      <c r="J1826" s="118" t="s">
        <v>5843</v>
      </c>
      <c r="K1826" s="141"/>
      <c r="L1826" s="135" t="str">
        <f t="shared" si="105"/>
        <v>Crocidura armenica</v>
      </c>
      <c r="M1826" s="133">
        <v>-999</v>
      </c>
      <c r="N1826" s="133">
        <v>-999</v>
      </c>
      <c r="O1826" s="179" t="s">
        <v>3356</v>
      </c>
      <c r="P1826" s="108">
        <v>-999</v>
      </c>
      <c r="Q1826" s="80"/>
    </row>
    <row r="1827" spans="1:20" ht="25.5">
      <c r="A1827" s="213" t="s">
        <v>2592</v>
      </c>
      <c r="B1827" s="141" t="s">
        <v>2735</v>
      </c>
      <c r="C1827" s="118" t="s">
        <v>3817</v>
      </c>
      <c r="D1827" s="141"/>
      <c r="E1827" s="118"/>
      <c r="F1827" s="118"/>
      <c r="G1827" s="118" t="s">
        <v>7278</v>
      </c>
      <c r="H1827" s="118" t="s">
        <v>4905</v>
      </c>
      <c r="I1827" s="118" t="s">
        <v>5050</v>
      </c>
      <c r="J1827" s="118" t="s">
        <v>5880</v>
      </c>
      <c r="K1827" s="141"/>
      <c r="L1827" s="135" t="str">
        <f t="shared" si="105"/>
        <v>Crocidura dhofarensis</v>
      </c>
      <c r="M1827" s="133">
        <v>-999</v>
      </c>
      <c r="N1827" s="133">
        <v>-999</v>
      </c>
      <c r="O1827" s="179" t="s">
        <v>8149</v>
      </c>
      <c r="P1827" s="108">
        <v>-999</v>
      </c>
      <c r="Q1827" s="80" t="s">
        <v>7071</v>
      </c>
    </row>
    <row r="1828" spans="1:20" ht="25.5">
      <c r="A1828" s="213" t="s">
        <v>2592</v>
      </c>
      <c r="B1828" s="130" t="s">
        <v>1294</v>
      </c>
      <c r="C1828" s="118" t="s">
        <v>3817</v>
      </c>
      <c r="D1828" s="141"/>
      <c r="E1828" s="118"/>
      <c r="F1828" s="118"/>
      <c r="G1828" s="118" t="s">
        <v>7278</v>
      </c>
      <c r="H1828" s="118" t="s">
        <v>4905</v>
      </c>
      <c r="I1828" s="118" t="s">
        <v>5050</v>
      </c>
      <c r="J1828" s="118" t="s">
        <v>7054</v>
      </c>
      <c r="K1828" s="141"/>
      <c r="L1828" s="135" t="str">
        <f t="shared" si="105"/>
        <v>Crocidura malayana</v>
      </c>
      <c r="M1828" s="133">
        <v>-999</v>
      </c>
      <c r="N1828" s="133">
        <v>-999</v>
      </c>
      <c r="O1828" s="179" t="s">
        <v>8149</v>
      </c>
      <c r="P1828" s="108">
        <v>-999</v>
      </c>
      <c r="Q1828" s="80" t="s">
        <v>6640</v>
      </c>
    </row>
    <row r="1829" spans="1:20" ht="48" customHeight="1">
      <c r="A1829" s="213" t="s">
        <v>2592</v>
      </c>
      <c r="B1829" s="130"/>
      <c r="C1829" s="118" t="s">
        <v>3817</v>
      </c>
      <c r="D1829" s="141"/>
      <c r="E1829" s="118"/>
      <c r="F1829" s="118"/>
      <c r="G1829" s="118" t="s">
        <v>7278</v>
      </c>
      <c r="H1829" s="118" t="s">
        <v>4905</v>
      </c>
      <c r="I1829" s="118" t="s">
        <v>5050</v>
      </c>
      <c r="J1829" s="118" t="s">
        <v>6586</v>
      </c>
      <c r="K1829" s="141"/>
      <c r="L1829" s="135" t="str">
        <f t="shared" si="105"/>
        <v>Crocidura pullata</v>
      </c>
      <c r="M1829" s="133">
        <v>-999</v>
      </c>
      <c r="N1829" s="133">
        <v>-999</v>
      </c>
      <c r="O1829" s="179" t="s">
        <v>3356</v>
      </c>
      <c r="P1829" s="108">
        <v>-999</v>
      </c>
      <c r="Q1829" s="88"/>
    </row>
    <row r="1830" spans="1:20">
      <c r="A1830" s="213" t="s">
        <v>2592</v>
      </c>
      <c r="B1830" s="130"/>
      <c r="C1830" s="118" t="s">
        <v>3817</v>
      </c>
      <c r="D1830" s="141"/>
      <c r="E1830" s="118"/>
      <c r="F1830" s="118"/>
      <c r="G1830" s="118" t="s">
        <v>7278</v>
      </c>
      <c r="H1830" s="118" t="s">
        <v>4905</v>
      </c>
      <c r="I1830" s="118" t="s">
        <v>5050</v>
      </c>
      <c r="J1830" s="118" t="s">
        <v>8242</v>
      </c>
      <c r="K1830" s="141"/>
      <c r="L1830" s="135" t="str">
        <f t="shared" si="105"/>
        <v>Crocidura serezkyensis</v>
      </c>
      <c r="M1830" s="133">
        <v>-999</v>
      </c>
      <c r="N1830" s="133">
        <v>-999</v>
      </c>
      <c r="O1830" s="179" t="s">
        <v>3356</v>
      </c>
      <c r="P1830" s="108">
        <v>-999</v>
      </c>
      <c r="Q1830" s="80"/>
    </row>
    <row r="1831" spans="1:20" ht="48" customHeight="1">
      <c r="A1831" s="213" t="s">
        <v>2592</v>
      </c>
      <c r="B1831" s="130"/>
      <c r="C1831" s="118" t="s">
        <v>3817</v>
      </c>
      <c r="D1831" s="141"/>
      <c r="E1831" s="118"/>
      <c r="F1831" s="118"/>
      <c r="G1831" s="118" t="s">
        <v>7278</v>
      </c>
      <c r="H1831" s="118" t="s">
        <v>4905</v>
      </c>
      <c r="I1831" s="118" t="s">
        <v>5050</v>
      </c>
      <c r="J1831" s="118" t="s">
        <v>8225</v>
      </c>
      <c r="K1831" s="141"/>
      <c r="L1831" s="135" t="str">
        <f t="shared" si="105"/>
        <v>Crocidura sibirica</v>
      </c>
      <c r="M1831" s="133">
        <v>-999</v>
      </c>
      <c r="N1831" s="133">
        <v>-999</v>
      </c>
      <c r="O1831" s="179" t="s">
        <v>3356</v>
      </c>
      <c r="P1831" s="108">
        <v>-999</v>
      </c>
      <c r="Q1831" s="88"/>
      <c r="S1831" s="90"/>
    </row>
    <row r="1832" spans="1:20" ht="60" customHeight="1">
      <c r="A1832" s="213" t="s">
        <v>2592</v>
      </c>
      <c r="B1832" s="130"/>
      <c r="C1832" s="118" t="s">
        <v>3817</v>
      </c>
      <c r="D1832" s="141"/>
      <c r="E1832" s="118"/>
      <c r="F1832" s="118"/>
      <c r="G1832" s="118" t="s">
        <v>7278</v>
      </c>
      <c r="H1832" s="118" t="s">
        <v>4905</v>
      </c>
      <c r="I1832" s="118" t="s">
        <v>5050</v>
      </c>
      <c r="J1832" s="118" t="s">
        <v>4728</v>
      </c>
      <c r="K1832" s="141"/>
      <c r="L1832" s="135" t="str">
        <f t="shared" si="105"/>
        <v>Crocidura susiana</v>
      </c>
      <c r="M1832" s="133">
        <v>-999</v>
      </c>
      <c r="N1832" s="133">
        <v>-999</v>
      </c>
      <c r="O1832" s="189" t="s">
        <v>8149</v>
      </c>
      <c r="P1832" s="108">
        <v>-999</v>
      </c>
      <c r="Q1832" s="88" t="s">
        <v>6640</v>
      </c>
      <c r="S1832" s="90"/>
    </row>
    <row r="1833" spans="1:20">
      <c r="A1833" s="213" t="s">
        <v>2592</v>
      </c>
      <c r="B1833" s="130"/>
      <c r="C1833" s="118" t="s">
        <v>3817</v>
      </c>
      <c r="D1833" s="141"/>
      <c r="E1833" s="118"/>
      <c r="F1833" s="118"/>
      <c r="G1833" s="118" t="s">
        <v>7278</v>
      </c>
      <c r="H1833" s="118" t="s">
        <v>4905</v>
      </c>
      <c r="I1833" s="118" t="s">
        <v>5050</v>
      </c>
      <c r="J1833" s="118" t="s">
        <v>5919</v>
      </c>
      <c r="K1833" s="141"/>
      <c r="L1833" s="135" t="str">
        <f t="shared" si="105"/>
        <v>Crocidura horsfieldii</v>
      </c>
      <c r="M1833" s="133">
        <f t="shared" ref="M1833:M1848" si="107">LOG(N1833)</f>
        <v>0.69897000433601886</v>
      </c>
      <c r="N1833" s="133">
        <f>1000*0.005</f>
        <v>5</v>
      </c>
      <c r="O1833" s="179" t="s">
        <v>3356</v>
      </c>
      <c r="P1833" s="108">
        <v>60</v>
      </c>
      <c r="Q1833" s="80"/>
    </row>
    <row r="1834" spans="1:20">
      <c r="A1834" s="217" t="s">
        <v>2592</v>
      </c>
      <c r="B1834" s="130"/>
      <c r="C1834" s="129" t="s">
        <v>3817</v>
      </c>
      <c r="D1834" s="144"/>
      <c r="E1834" s="129"/>
      <c r="F1834" s="129"/>
      <c r="G1834" s="129" t="s">
        <v>7278</v>
      </c>
      <c r="H1834" s="129" t="s">
        <v>4905</v>
      </c>
      <c r="I1834" s="129" t="s">
        <v>5050</v>
      </c>
      <c r="J1834" s="129" t="s">
        <v>3678</v>
      </c>
      <c r="K1834" s="144"/>
      <c r="L1834" s="135" t="str">
        <f t="shared" si="105"/>
        <v>Crocidura suaveolens</v>
      </c>
      <c r="M1834" s="133">
        <f t="shared" si="107"/>
        <v>0.73037846858764299</v>
      </c>
      <c r="N1834" s="159">
        <v>5.375</v>
      </c>
      <c r="O1834" s="195"/>
      <c r="P1834" s="120" t="s">
        <v>5905</v>
      </c>
      <c r="Q1834" s="78"/>
    </row>
    <row r="1835" spans="1:20" ht="24" customHeight="1">
      <c r="A1835" s="213" t="s">
        <v>2592</v>
      </c>
      <c r="B1835" s="141" t="s">
        <v>2474</v>
      </c>
      <c r="C1835" s="118" t="s">
        <v>3817</v>
      </c>
      <c r="D1835" s="141"/>
      <c r="E1835" s="118"/>
      <c r="F1835" s="118"/>
      <c r="G1835" s="118" t="s">
        <v>7278</v>
      </c>
      <c r="H1835" s="118" t="s">
        <v>4905</v>
      </c>
      <c r="I1835" s="118" t="s">
        <v>5050</v>
      </c>
      <c r="J1835" s="118" t="s">
        <v>4047</v>
      </c>
      <c r="K1835" s="141"/>
      <c r="L1835" s="135" t="str">
        <f t="shared" si="105"/>
        <v>Crocidura monticola</v>
      </c>
      <c r="M1835" s="133">
        <f t="shared" si="107"/>
        <v>0.81954393554186866</v>
      </c>
      <c r="N1835" s="133">
        <f>1000*0.0066</f>
        <v>6.6</v>
      </c>
      <c r="O1835" s="179" t="s">
        <v>3356</v>
      </c>
      <c r="P1835" s="108">
        <v>60</v>
      </c>
      <c r="Q1835" s="88"/>
      <c r="R1835" s="89"/>
    </row>
    <row r="1836" spans="1:20">
      <c r="A1836" s="213" t="s">
        <v>2592</v>
      </c>
      <c r="B1836" s="130"/>
      <c r="C1836" s="118" t="s">
        <v>3817</v>
      </c>
      <c r="D1836" s="141"/>
      <c r="E1836" s="118"/>
      <c r="F1836" s="118"/>
      <c r="G1836" s="118" t="s">
        <v>7278</v>
      </c>
      <c r="H1836" s="118" t="s">
        <v>4905</v>
      </c>
      <c r="I1836" s="118" t="s">
        <v>5050</v>
      </c>
      <c r="J1836" s="118" t="s">
        <v>3927</v>
      </c>
      <c r="K1836" s="141"/>
      <c r="L1836" s="135" t="str">
        <f t="shared" si="105"/>
        <v>Crocidura zarudnyi</v>
      </c>
      <c r="M1836" s="133">
        <f t="shared" si="107"/>
        <v>0.82656483289274052</v>
      </c>
      <c r="N1836" s="133">
        <v>6.7075641192729618</v>
      </c>
      <c r="O1836" s="179" t="s">
        <v>7837</v>
      </c>
      <c r="P1836" s="108" t="s">
        <v>7915</v>
      </c>
      <c r="Q1836" s="80"/>
      <c r="R1836" s="85">
        <f>-6.3006+2.31171*LOG(61)</f>
        <v>-2.1734351671072591</v>
      </c>
      <c r="S1836" s="85">
        <f>10^R1836*1000</f>
        <v>6.7075641192729618</v>
      </c>
    </row>
    <row r="1837" spans="1:20">
      <c r="A1837" s="213" t="s">
        <v>2592</v>
      </c>
      <c r="B1837" s="141" t="s">
        <v>2301</v>
      </c>
      <c r="C1837" s="118" t="s">
        <v>3817</v>
      </c>
      <c r="D1837" s="141"/>
      <c r="E1837" s="118"/>
      <c r="F1837" s="118"/>
      <c r="G1837" s="118" t="s">
        <v>7278</v>
      </c>
      <c r="H1837" s="118" t="s">
        <v>4905</v>
      </c>
      <c r="I1837" s="118" t="s">
        <v>5050</v>
      </c>
      <c r="J1837" s="118" t="s">
        <v>5884</v>
      </c>
      <c r="K1837" s="141"/>
      <c r="L1837" s="135" t="str">
        <f t="shared" si="105"/>
        <v>Crocidura gueldenstaedtii</v>
      </c>
      <c r="M1837" s="133">
        <f t="shared" si="107"/>
        <v>0.93801909747621026</v>
      </c>
      <c r="N1837" s="133">
        <f>1000*0.00867</f>
        <v>8.67</v>
      </c>
      <c r="O1837" s="179" t="s">
        <v>3356</v>
      </c>
      <c r="P1837" s="108">
        <v>60</v>
      </c>
      <c r="Q1837" s="80"/>
    </row>
    <row r="1838" spans="1:20">
      <c r="A1838" s="213" t="s">
        <v>2592</v>
      </c>
      <c r="B1838" s="130"/>
      <c r="C1838" s="118" t="s">
        <v>3817</v>
      </c>
      <c r="D1838" s="141"/>
      <c r="E1838" s="118"/>
      <c r="F1838" s="118"/>
      <c r="G1838" s="118" t="s">
        <v>7278</v>
      </c>
      <c r="H1838" s="118" t="s">
        <v>4905</v>
      </c>
      <c r="I1838" s="118" t="s">
        <v>5050</v>
      </c>
      <c r="J1838" s="118" t="s">
        <v>3691</v>
      </c>
      <c r="K1838" s="141"/>
      <c r="L1838" s="135" t="str">
        <f t="shared" si="105"/>
        <v>Crocidura leucodon</v>
      </c>
      <c r="M1838" s="133">
        <f t="shared" si="107"/>
        <v>0.99211148778694969</v>
      </c>
      <c r="N1838" s="133">
        <v>9.82</v>
      </c>
      <c r="O1838" s="179" t="s">
        <v>6736</v>
      </c>
      <c r="P1838" s="108">
        <v>68</v>
      </c>
    </row>
    <row r="1839" spans="1:20">
      <c r="A1839" s="213" t="s">
        <v>2592</v>
      </c>
      <c r="B1839" s="130"/>
      <c r="C1839" s="118" t="s">
        <v>3817</v>
      </c>
      <c r="D1839" s="141"/>
      <c r="E1839" s="118"/>
      <c r="F1839" s="118"/>
      <c r="G1839" s="118" t="s">
        <v>7278</v>
      </c>
      <c r="H1839" s="118" t="s">
        <v>4905</v>
      </c>
      <c r="I1839" s="118" t="s">
        <v>5050</v>
      </c>
      <c r="J1839" s="118" t="s">
        <v>3945</v>
      </c>
      <c r="K1839" s="141"/>
      <c r="L1839" s="135" t="str">
        <f t="shared" si="105"/>
        <v>Crocidura russula</v>
      </c>
      <c r="M1839" s="133">
        <f t="shared" si="107"/>
        <v>1</v>
      </c>
      <c r="N1839" s="133">
        <f>AVERAGE(6, 14)</f>
        <v>10</v>
      </c>
      <c r="O1839" s="179" t="s">
        <v>1456</v>
      </c>
      <c r="P1839" s="108">
        <v>111</v>
      </c>
      <c r="Q1839" s="80"/>
    </row>
    <row r="1840" spans="1:20" ht="25.5">
      <c r="A1840" s="213" t="s">
        <v>2592</v>
      </c>
      <c r="B1840" s="141" t="s">
        <v>2199</v>
      </c>
      <c r="C1840" s="118" t="s">
        <v>3817</v>
      </c>
      <c r="D1840" s="141"/>
      <c r="E1840" s="118"/>
      <c r="F1840" s="118"/>
      <c r="G1840" s="118" t="s">
        <v>7278</v>
      </c>
      <c r="H1840" s="118" t="s">
        <v>4905</v>
      </c>
      <c r="I1840" s="118" t="s">
        <v>5050</v>
      </c>
      <c r="J1840" s="118" t="s">
        <v>6369</v>
      </c>
      <c r="K1840" s="141"/>
      <c r="L1840" s="135" t="str">
        <f t="shared" si="105"/>
        <v>Crocidura pergrisea</v>
      </c>
      <c r="M1840" s="133">
        <f t="shared" si="107"/>
        <v>1.0043213737826426</v>
      </c>
      <c r="N1840" s="133">
        <f>1000*0.0101</f>
        <v>10.1</v>
      </c>
      <c r="O1840" s="189" t="s">
        <v>8149</v>
      </c>
      <c r="P1840" s="108">
        <v>60</v>
      </c>
      <c r="Q1840" s="80" t="s">
        <v>6988</v>
      </c>
      <c r="T1840" s="80"/>
    </row>
    <row r="1841" spans="1:20">
      <c r="A1841" s="213" t="s">
        <v>2592</v>
      </c>
      <c r="B1841" s="130"/>
      <c r="C1841" s="118" t="s">
        <v>3817</v>
      </c>
      <c r="D1841" s="141"/>
      <c r="E1841" s="118"/>
      <c r="F1841" s="118"/>
      <c r="G1841" s="118" t="s">
        <v>7278</v>
      </c>
      <c r="H1841" s="118" t="s">
        <v>4905</v>
      </c>
      <c r="I1841" s="118" t="s">
        <v>5050</v>
      </c>
      <c r="J1841" s="118" t="s">
        <v>3245</v>
      </c>
      <c r="K1841" s="141"/>
      <c r="L1841" s="135" t="str">
        <f t="shared" si="105"/>
        <v>Crocidura fuliginosa</v>
      </c>
      <c r="M1841" s="133">
        <f t="shared" si="107"/>
        <v>1.0791812460476249</v>
      </c>
      <c r="N1841" s="133">
        <v>12</v>
      </c>
      <c r="O1841" s="179" t="s">
        <v>6736</v>
      </c>
      <c r="P1841" s="108">
        <v>68</v>
      </c>
    </row>
    <row r="1842" spans="1:20" ht="72" customHeight="1">
      <c r="A1842" s="213" t="s">
        <v>2592</v>
      </c>
      <c r="B1842" s="130"/>
      <c r="C1842" s="118" t="s">
        <v>3817</v>
      </c>
      <c r="D1842" s="141"/>
      <c r="E1842" s="118"/>
      <c r="F1842" s="118"/>
      <c r="G1842" s="118" t="s">
        <v>7278</v>
      </c>
      <c r="H1842" s="118" t="s">
        <v>4905</v>
      </c>
      <c r="I1842" s="118" t="s">
        <v>5050</v>
      </c>
      <c r="J1842" s="118" t="s">
        <v>5099</v>
      </c>
      <c r="K1842" s="141"/>
      <c r="L1842" s="135" t="str">
        <f t="shared" si="105"/>
        <v>Crocidura attenuata</v>
      </c>
      <c r="M1842" s="133">
        <f t="shared" si="107"/>
        <v>1.1542717759930952</v>
      </c>
      <c r="N1842" s="133">
        <f>AVERAGE(1000*0.0191, 1000*0.00943)</f>
        <v>14.264999999999999</v>
      </c>
      <c r="O1842" s="179" t="s">
        <v>3356</v>
      </c>
      <c r="P1842" s="108">
        <v>60</v>
      </c>
      <c r="Q1842" s="88" t="s">
        <v>6987</v>
      </c>
    </row>
    <row r="1843" spans="1:20">
      <c r="A1843" s="213" t="s">
        <v>2592</v>
      </c>
      <c r="B1843" s="130"/>
      <c r="C1843" s="118" t="s">
        <v>3817</v>
      </c>
      <c r="D1843" s="141"/>
      <c r="E1843" s="118"/>
      <c r="F1843" s="118"/>
      <c r="G1843" s="118" t="s">
        <v>7278</v>
      </c>
      <c r="H1843" s="118" t="s">
        <v>4905</v>
      </c>
      <c r="I1843" s="118" t="s">
        <v>5050</v>
      </c>
      <c r="J1843" s="118" t="s">
        <v>5747</v>
      </c>
      <c r="K1843" s="141"/>
      <c r="L1843" s="135" t="str">
        <f t="shared" si="105"/>
        <v>Crocidura lasiura</v>
      </c>
      <c r="M1843" s="133">
        <f t="shared" si="107"/>
        <v>1.1702617153949575</v>
      </c>
      <c r="N1843" s="133">
        <f>1000*0.0148</f>
        <v>14.8</v>
      </c>
      <c r="O1843" s="179" t="s">
        <v>3356</v>
      </c>
      <c r="P1843" s="108">
        <v>60</v>
      </c>
      <c r="Q1843" s="80"/>
    </row>
    <row r="1844" spans="1:20" ht="48" customHeight="1">
      <c r="A1844" s="213" t="s">
        <v>2592</v>
      </c>
      <c r="B1844" s="130"/>
      <c r="C1844" s="118" t="s">
        <v>3817</v>
      </c>
      <c r="D1844" s="141"/>
      <c r="E1844" s="118"/>
      <c r="F1844" s="118"/>
      <c r="G1844" s="118" t="s">
        <v>7278</v>
      </c>
      <c r="H1844" s="118" t="s">
        <v>4905</v>
      </c>
      <c r="I1844" s="118" t="s">
        <v>4731</v>
      </c>
      <c r="J1844" s="118" t="s">
        <v>7695</v>
      </c>
      <c r="K1844" s="141"/>
      <c r="L1844" s="135" t="str">
        <f t="shared" si="105"/>
        <v>Diplomesodon pulchellum</v>
      </c>
      <c r="M1844" s="133">
        <f t="shared" si="107"/>
        <v>1.0413926851582251</v>
      </c>
      <c r="N1844" s="133">
        <f>AVERAGE(7, 15)</f>
        <v>11</v>
      </c>
      <c r="O1844" s="179" t="s">
        <v>3356</v>
      </c>
      <c r="P1844" s="108">
        <v>140</v>
      </c>
      <c r="Q1844" s="88"/>
    </row>
    <row r="1845" spans="1:20" ht="38.25">
      <c r="A1845" s="213" t="s">
        <v>2592</v>
      </c>
      <c r="B1845" s="141" t="s">
        <v>5211</v>
      </c>
      <c r="C1845" s="118" t="s">
        <v>3817</v>
      </c>
      <c r="D1845" s="141"/>
      <c r="E1845" s="118"/>
      <c r="F1845" s="118"/>
      <c r="G1845" s="118" t="s">
        <v>7278</v>
      </c>
      <c r="H1845" s="118" t="s">
        <v>4905</v>
      </c>
      <c r="I1845" s="118" t="s">
        <v>5334</v>
      </c>
      <c r="J1845" s="118" t="s">
        <v>2076</v>
      </c>
      <c r="K1845" s="141"/>
      <c r="L1845" s="135" t="str">
        <f t="shared" si="105"/>
        <v>Nectogale elegans</v>
      </c>
      <c r="M1845" s="133">
        <f t="shared" si="107"/>
        <v>1.5118833609788744</v>
      </c>
      <c r="N1845" s="133">
        <f>AVERAGE(25, 40)</f>
        <v>32.5</v>
      </c>
      <c r="O1845" s="179" t="s">
        <v>3356</v>
      </c>
      <c r="P1845" s="108">
        <v>140</v>
      </c>
      <c r="Q1845" s="80"/>
    </row>
    <row r="1846" spans="1:20" ht="38.25">
      <c r="A1846" s="213" t="s">
        <v>2592</v>
      </c>
      <c r="B1846" s="141" t="s">
        <v>5160</v>
      </c>
      <c r="C1846" s="118" t="s">
        <v>3817</v>
      </c>
      <c r="D1846" s="141"/>
      <c r="E1846" s="118"/>
      <c r="F1846" s="118"/>
      <c r="G1846" s="118" t="s">
        <v>7278</v>
      </c>
      <c r="H1846" s="118" t="s">
        <v>4905</v>
      </c>
      <c r="I1846" s="118" t="s">
        <v>8145</v>
      </c>
      <c r="J1846" s="118" t="s">
        <v>5684</v>
      </c>
      <c r="K1846" s="141"/>
      <c r="L1846" s="135" t="str">
        <f t="shared" si="105"/>
        <v>Neomys schelkovnikovi</v>
      </c>
      <c r="M1846" s="133">
        <f t="shared" si="107"/>
        <v>1.1090498088590319</v>
      </c>
      <c r="N1846" s="133">
        <v>12.854340768139449</v>
      </c>
      <c r="O1846" s="179" t="s">
        <v>8009</v>
      </c>
      <c r="P1846" s="108" t="s">
        <v>8010</v>
      </c>
      <c r="Q1846" s="80">
        <f>-6.3006+2.3171*LOG(AVERAGE(80))</f>
        <v>-1.8909501911409681</v>
      </c>
      <c r="R1846" s="85">
        <f>(10^Q1846)*1000</f>
        <v>12.854340768139449</v>
      </c>
    </row>
    <row r="1847" spans="1:20">
      <c r="A1847" s="213" t="s">
        <v>2592</v>
      </c>
      <c r="B1847" s="130"/>
      <c r="C1847" s="118" t="s">
        <v>3817</v>
      </c>
      <c r="D1847" s="141"/>
      <c r="E1847" s="118"/>
      <c r="F1847" s="118"/>
      <c r="G1847" s="118" t="s">
        <v>7278</v>
      </c>
      <c r="H1847" s="118" t="s">
        <v>4905</v>
      </c>
      <c r="I1847" s="118" t="s">
        <v>8145</v>
      </c>
      <c r="J1847" s="118" t="s">
        <v>8146</v>
      </c>
      <c r="K1847" s="141"/>
      <c r="L1847" s="135" t="str">
        <f t="shared" si="105"/>
        <v>Neomys fodiens</v>
      </c>
      <c r="M1847" s="133">
        <f t="shared" si="107"/>
        <v>1.1553360374650619</v>
      </c>
      <c r="N1847" s="133">
        <v>14.3</v>
      </c>
      <c r="O1847" s="179" t="s">
        <v>6736</v>
      </c>
      <c r="P1847" s="108">
        <v>68</v>
      </c>
      <c r="T1847" s="80"/>
    </row>
    <row r="1848" spans="1:20" ht="12" customHeight="1">
      <c r="A1848" s="213" t="s">
        <v>2592</v>
      </c>
      <c r="B1848" s="130"/>
      <c r="C1848" s="118" t="s">
        <v>3817</v>
      </c>
      <c r="D1848" s="141"/>
      <c r="E1848" s="118"/>
      <c r="F1848" s="118"/>
      <c r="G1848" s="118" t="s">
        <v>7278</v>
      </c>
      <c r="H1848" s="118" t="s">
        <v>4905</v>
      </c>
      <c r="I1848" s="118" t="s">
        <v>8145</v>
      </c>
      <c r="J1848" s="118" t="s">
        <v>3175</v>
      </c>
      <c r="K1848" s="141"/>
      <c r="L1848" s="135" t="str">
        <f t="shared" si="105"/>
        <v>Neomys anomalus</v>
      </c>
      <c r="M1848" s="133">
        <f t="shared" si="107"/>
        <v>1.2041199826559248</v>
      </c>
      <c r="N1848" s="133">
        <v>16</v>
      </c>
      <c r="O1848" s="179" t="s">
        <v>6736</v>
      </c>
      <c r="P1848" s="108">
        <v>68</v>
      </c>
      <c r="Q1848" s="88"/>
    </row>
    <row r="1849" spans="1:20">
      <c r="A1849" s="217" t="s">
        <v>2592</v>
      </c>
      <c r="B1849" s="130" t="s">
        <v>4803</v>
      </c>
      <c r="C1849" s="118" t="s">
        <v>3817</v>
      </c>
      <c r="D1849" s="141"/>
      <c r="E1849" s="118"/>
      <c r="F1849" s="118"/>
      <c r="G1849" s="118" t="s">
        <v>7278</v>
      </c>
      <c r="H1849" s="118" t="s">
        <v>4905</v>
      </c>
      <c r="I1849" s="118" t="s">
        <v>7199</v>
      </c>
      <c r="J1849" s="118" t="s">
        <v>6821</v>
      </c>
      <c r="K1849" s="141"/>
      <c r="L1849" s="135" t="str">
        <f t="shared" si="105"/>
        <v>Sorex buchariensis</v>
      </c>
      <c r="M1849" s="133">
        <v>-999</v>
      </c>
      <c r="N1849" s="133">
        <v>-999</v>
      </c>
      <c r="O1849" s="179" t="s">
        <v>3356</v>
      </c>
      <c r="P1849" s="108">
        <v>-999</v>
      </c>
      <c r="Q1849" s="80"/>
    </row>
    <row r="1850" spans="1:20">
      <c r="A1850" s="213" t="s">
        <v>2592</v>
      </c>
      <c r="B1850" s="141" t="s">
        <v>3049</v>
      </c>
      <c r="C1850" s="118" t="s">
        <v>3817</v>
      </c>
      <c r="D1850" s="141"/>
      <c r="E1850" s="118"/>
      <c r="F1850" s="118"/>
      <c r="G1850" s="118" t="s">
        <v>7278</v>
      </c>
      <c r="H1850" s="118" t="s">
        <v>4905</v>
      </c>
      <c r="I1850" s="118" t="s">
        <v>7199</v>
      </c>
      <c r="J1850" s="118" t="s">
        <v>8215</v>
      </c>
      <c r="K1850" s="141"/>
      <c r="L1850" s="135" t="str">
        <f t="shared" si="105"/>
        <v>Sorex camtschatica</v>
      </c>
      <c r="M1850" s="133">
        <v>-999</v>
      </c>
      <c r="N1850" s="133">
        <v>-999</v>
      </c>
      <c r="O1850" s="179" t="s">
        <v>3356</v>
      </c>
      <c r="P1850" s="108">
        <v>-999</v>
      </c>
      <c r="Q1850" s="80"/>
    </row>
    <row r="1851" spans="1:20" ht="25.5">
      <c r="A1851" s="213" t="s">
        <v>2592</v>
      </c>
      <c r="B1851" s="141" t="s">
        <v>1988</v>
      </c>
      <c r="C1851" s="118" t="s">
        <v>3817</v>
      </c>
      <c r="D1851" s="141"/>
      <c r="E1851" s="118"/>
      <c r="F1851" s="118"/>
      <c r="G1851" s="118" t="s">
        <v>7278</v>
      </c>
      <c r="H1851" s="118" t="s">
        <v>4905</v>
      </c>
      <c r="I1851" s="118" t="s">
        <v>7199</v>
      </c>
      <c r="J1851" s="118" t="s">
        <v>6367</v>
      </c>
      <c r="K1851" s="141"/>
      <c r="L1851" s="135" t="str">
        <f t="shared" si="105"/>
        <v>Sorex cansulus</v>
      </c>
      <c r="M1851" s="133">
        <v>-999</v>
      </c>
      <c r="N1851" s="133">
        <v>-999</v>
      </c>
      <c r="O1851" s="179" t="s">
        <v>8149</v>
      </c>
      <c r="P1851" s="108">
        <v>-999</v>
      </c>
      <c r="Q1851" s="80" t="s">
        <v>7071</v>
      </c>
    </row>
    <row r="1852" spans="1:20" ht="25.5">
      <c r="A1852" s="213" t="s">
        <v>2592</v>
      </c>
      <c r="B1852" s="141" t="s">
        <v>1988</v>
      </c>
      <c r="C1852" s="118" t="s">
        <v>3817</v>
      </c>
      <c r="D1852" s="141"/>
      <c r="E1852" s="118"/>
      <c r="F1852" s="118"/>
      <c r="G1852" s="118" t="s">
        <v>7278</v>
      </c>
      <c r="H1852" s="118" t="s">
        <v>4905</v>
      </c>
      <c r="I1852" s="118" t="s">
        <v>7199</v>
      </c>
      <c r="J1852" s="118" t="s">
        <v>6539</v>
      </c>
      <c r="K1852" s="141"/>
      <c r="L1852" s="135" t="str">
        <f t="shared" si="105"/>
        <v>Sorex cylindricauda</v>
      </c>
      <c r="M1852" s="133">
        <v>-999</v>
      </c>
      <c r="N1852" s="133">
        <v>-999</v>
      </c>
      <c r="O1852" s="179" t="s">
        <v>8149</v>
      </c>
      <c r="P1852" s="108">
        <v>-999</v>
      </c>
      <c r="Q1852" s="80" t="s">
        <v>6640</v>
      </c>
    </row>
    <row r="1853" spans="1:20">
      <c r="A1853" s="213" t="s">
        <v>2592</v>
      </c>
      <c r="B1853" s="141" t="s">
        <v>4958</v>
      </c>
      <c r="C1853" s="118" t="s">
        <v>3817</v>
      </c>
      <c r="D1853" s="141"/>
      <c r="E1853" s="118"/>
      <c r="F1853" s="118"/>
      <c r="G1853" s="118" t="s">
        <v>7278</v>
      </c>
      <c r="H1853" s="118" t="s">
        <v>4905</v>
      </c>
      <c r="I1853" s="118" t="s">
        <v>7199</v>
      </c>
      <c r="J1853" s="118" t="s">
        <v>5104</v>
      </c>
      <c r="K1853" s="141"/>
      <c r="L1853" s="135" t="str">
        <f t="shared" si="105"/>
        <v>Sorex excelsus</v>
      </c>
      <c r="M1853" s="133">
        <v>-999</v>
      </c>
      <c r="N1853" s="133">
        <v>-999</v>
      </c>
      <c r="O1853" s="179" t="s">
        <v>6882</v>
      </c>
      <c r="P1853" s="108">
        <v>-999</v>
      </c>
      <c r="Q1853" s="80" t="s">
        <v>6987</v>
      </c>
    </row>
    <row r="1854" spans="1:20" ht="25.5">
      <c r="A1854" s="213" t="s">
        <v>2592</v>
      </c>
      <c r="B1854" s="141" t="s">
        <v>4828</v>
      </c>
      <c r="C1854" s="118" t="s">
        <v>3817</v>
      </c>
      <c r="D1854" s="141"/>
      <c r="E1854" s="118"/>
      <c r="F1854" s="118"/>
      <c r="G1854" s="118" t="s">
        <v>7278</v>
      </c>
      <c r="H1854" s="118" t="s">
        <v>4905</v>
      </c>
      <c r="I1854" s="118" t="s">
        <v>7199</v>
      </c>
      <c r="J1854" s="118" t="s">
        <v>8137</v>
      </c>
      <c r="K1854" s="141"/>
      <c r="L1854" s="135" t="str">
        <f t="shared" si="105"/>
        <v>Sorex kozlovi</v>
      </c>
      <c r="M1854" s="133">
        <v>-999</v>
      </c>
      <c r="N1854" s="133">
        <v>-999</v>
      </c>
      <c r="O1854" s="179" t="s">
        <v>8149</v>
      </c>
      <c r="P1854" s="108">
        <v>-999</v>
      </c>
      <c r="Q1854" s="80" t="s">
        <v>7071</v>
      </c>
    </row>
    <row r="1855" spans="1:20">
      <c r="A1855" s="213" t="s">
        <v>2592</v>
      </c>
      <c r="B1855" s="141" t="s">
        <v>5017</v>
      </c>
      <c r="C1855" s="118" t="s">
        <v>3817</v>
      </c>
      <c r="D1855" s="141"/>
      <c r="E1855" s="118"/>
      <c r="F1855" s="118"/>
      <c r="G1855" s="118" t="s">
        <v>7278</v>
      </c>
      <c r="H1855" s="118" t="s">
        <v>4905</v>
      </c>
      <c r="I1855" s="118" t="s">
        <v>7199</v>
      </c>
      <c r="J1855" s="118" t="s">
        <v>8070</v>
      </c>
      <c r="K1855" s="141"/>
      <c r="L1855" s="135" t="str">
        <f t="shared" si="105"/>
        <v>Sorex mirabilis</v>
      </c>
      <c r="M1855" s="133">
        <v>-999</v>
      </c>
      <c r="N1855" s="133">
        <v>-999</v>
      </c>
      <c r="O1855" s="179" t="s">
        <v>3356</v>
      </c>
      <c r="P1855" s="108">
        <v>-999</v>
      </c>
      <c r="Q1855" s="80"/>
    </row>
    <row r="1856" spans="1:20">
      <c r="A1856" s="213" t="s">
        <v>2592</v>
      </c>
      <c r="B1856" s="141" t="s">
        <v>2454</v>
      </c>
      <c r="C1856" s="118" t="s">
        <v>3817</v>
      </c>
      <c r="D1856" s="141"/>
      <c r="E1856" s="118"/>
      <c r="F1856" s="118"/>
      <c r="G1856" s="118" t="s">
        <v>7278</v>
      </c>
      <c r="H1856" s="118" t="s">
        <v>4905</v>
      </c>
      <c r="I1856" s="118" t="s">
        <v>7199</v>
      </c>
      <c r="J1856" s="118" t="s">
        <v>7296</v>
      </c>
      <c r="K1856" s="141"/>
      <c r="L1856" s="135" t="str">
        <f t="shared" si="105"/>
        <v>Sorex planiceps</v>
      </c>
      <c r="M1856" s="133">
        <v>-999</v>
      </c>
      <c r="N1856" s="133">
        <v>-999</v>
      </c>
      <c r="O1856" s="179" t="s">
        <v>3356</v>
      </c>
      <c r="P1856" s="108">
        <v>-999</v>
      </c>
      <c r="Q1856" s="80"/>
    </row>
    <row r="1857" spans="1:18">
      <c r="A1857" s="213" t="s">
        <v>2592</v>
      </c>
      <c r="B1857" s="141" t="s">
        <v>5018</v>
      </c>
      <c r="C1857" s="118" t="s">
        <v>3817</v>
      </c>
      <c r="D1857" s="141"/>
      <c r="E1857" s="118"/>
      <c r="F1857" s="118"/>
      <c r="G1857" s="118" t="s">
        <v>7278</v>
      </c>
      <c r="H1857" s="118" t="s">
        <v>4905</v>
      </c>
      <c r="I1857" s="118" t="s">
        <v>7199</v>
      </c>
      <c r="J1857" s="118" t="s">
        <v>7714</v>
      </c>
      <c r="K1857" s="141"/>
      <c r="L1857" s="135" t="str">
        <f t="shared" si="105"/>
        <v>Sorex portenkoi</v>
      </c>
      <c r="M1857" s="133">
        <v>-999</v>
      </c>
      <c r="N1857" s="133">
        <v>-999</v>
      </c>
      <c r="O1857" s="179" t="s">
        <v>3356</v>
      </c>
      <c r="P1857" s="108">
        <v>-999</v>
      </c>
      <c r="Q1857" s="80"/>
    </row>
    <row r="1858" spans="1:18">
      <c r="A1858" s="213" t="s">
        <v>2592</v>
      </c>
      <c r="B1858" s="141" t="s">
        <v>7572</v>
      </c>
      <c r="C1858" s="118" t="s">
        <v>3817</v>
      </c>
      <c r="D1858" s="141"/>
      <c r="E1858" s="118"/>
      <c r="F1858" s="118"/>
      <c r="G1858" s="118" t="s">
        <v>7278</v>
      </c>
      <c r="H1858" s="118" t="s">
        <v>4905</v>
      </c>
      <c r="I1858" s="118" t="s">
        <v>7199</v>
      </c>
      <c r="J1858" s="109" t="s">
        <v>7718</v>
      </c>
      <c r="K1858" s="163"/>
      <c r="L1858" s="135" t="str">
        <f t="shared" si="105"/>
        <v>Sorex satunini</v>
      </c>
      <c r="M1858" s="133">
        <v>-999</v>
      </c>
      <c r="N1858" s="133">
        <v>-999</v>
      </c>
      <c r="O1858" s="179" t="s">
        <v>3356</v>
      </c>
      <c r="P1858" s="108">
        <v>-999</v>
      </c>
      <c r="Q1858" s="80"/>
    </row>
    <row r="1859" spans="1:18">
      <c r="A1859" s="213" t="s">
        <v>2592</v>
      </c>
      <c r="B1859" s="141" t="s">
        <v>5300</v>
      </c>
      <c r="C1859" s="118" t="s">
        <v>3817</v>
      </c>
      <c r="D1859" s="141"/>
      <c r="E1859" s="118"/>
      <c r="F1859" s="118"/>
      <c r="G1859" s="118" t="s">
        <v>7278</v>
      </c>
      <c r="H1859" s="118" t="s">
        <v>4905</v>
      </c>
      <c r="I1859" s="118" t="s">
        <v>7199</v>
      </c>
      <c r="J1859" s="118" t="s">
        <v>7975</v>
      </c>
      <c r="K1859" s="141"/>
      <c r="L1859" s="135" t="str">
        <f t="shared" si="105"/>
        <v>Sorex thibetanus</v>
      </c>
      <c r="M1859" s="133">
        <v>-999</v>
      </c>
      <c r="N1859" s="133">
        <v>-999</v>
      </c>
      <c r="O1859" s="179" t="s">
        <v>3356</v>
      </c>
      <c r="P1859" s="108">
        <v>-999</v>
      </c>
      <c r="Q1859" s="80"/>
    </row>
    <row r="1860" spans="1:18" ht="25.5">
      <c r="A1860" s="213" t="s">
        <v>2592</v>
      </c>
      <c r="B1860" s="141" t="s">
        <v>5016</v>
      </c>
      <c r="C1860" s="118" t="s">
        <v>3817</v>
      </c>
      <c r="D1860" s="141"/>
      <c r="E1860" s="118"/>
      <c r="F1860" s="118"/>
      <c r="G1860" s="118" t="s">
        <v>7278</v>
      </c>
      <c r="H1860" s="118" t="s">
        <v>4905</v>
      </c>
      <c r="I1860" s="118" t="s">
        <v>7199</v>
      </c>
      <c r="J1860" s="118" t="s">
        <v>5094</v>
      </c>
      <c r="K1860" s="141"/>
      <c r="L1860" s="135" t="str">
        <f t="shared" si="105"/>
        <v>Sorex volnuchini</v>
      </c>
      <c r="M1860" s="133">
        <v>-999</v>
      </c>
      <c r="N1860" s="133">
        <v>-999</v>
      </c>
      <c r="O1860" s="179" t="s">
        <v>3356</v>
      </c>
      <c r="P1860" s="108">
        <v>-999</v>
      </c>
      <c r="Q1860" s="80"/>
    </row>
    <row r="1861" spans="1:18" ht="51">
      <c r="A1861" s="213" t="s">
        <v>2592</v>
      </c>
      <c r="B1861" s="141" t="s">
        <v>5153</v>
      </c>
      <c r="C1861" s="118" t="s">
        <v>3817</v>
      </c>
      <c r="D1861" s="141"/>
      <c r="E1861" s="118"/>
      <c r="F1861" s="118"/>
      <c r="G1861" s="118" t="s">
        <v>7278</v>
      </c>
      <c r="H1861" s="118" t="s">
        <v>4905</v>
      </c>
      <c r="I1861" s="118" t="s">
        <v>7199</v>
      </c>
      <c r="J1861" s="118" t="s">
        <v>8069</v>
      </c>
      <c r="K1861" s="141"/>
      <c r="L1861" s="135" t="str">
        <f t="shared" ref="L1861:L1924" si="108">I1861&amp;" "&amp;J1861</f>
        <v>Sorex minutissimus</v>
      </c>
      <c r="M1861" s="133">
        <f t="shared" ref="M1861:M1894" si="109">LOG(N1861)</f>
        <v>0.42732378635724722</v>
      </c>
      <c r="N1861" s="133">
        <f>AVERAGE(1.5, 4, 1.2, 4)</f>
        <v>2.6749999999999998</v>
      </c>
      <c r="O1861" s="179" t="s">
        <v>1380</v>
      </c>
      <c r="P1861" s="108" t="s">
        <v>6862</v>
      </c>
      <c r="Q1861" s="80" t="s">
        <v>6630</v>
      </c>
    </row>
    <row r="1862" spans="1:18">
      <c r="A1862" s="213" t="s">
        <v>2592</v>
      </c>
      <c r="B1862" s="130"/>
      <c r="C1862" s="118" t="s">
        <v>3817</v>
      </c>
      <c r="D1862" s="141"/>
      <c r="E1862" s="118"/>
      <c r="F1862" s="118"/>
      <c r="G1862" s="118" t="s">
        <v>7278</v>
      </c>
      <c r="H1862" s="118" t="s">
        <v>4905</v>
      </c>
      <c r="I1862" s="118" t="s">
        <v>7199</v>
      </c>
      <c r="J1862" s="118" t="s">
        <v>3876</v>
      </c>
      <c r="K1862" s="141"/>
      <c r="L1862" s="135" t="str">
        <f t="shared" si="108"/>
        <v>Sorex minutus</v>
      </c>
      <c r="M1862" s="133">
        <f t="shared" si="109"/>
        <v>0.65321251377534373</v>
      </c>
      <c r="N1862" s="133">
        <v>4.5</v>
      </c>
      <c r="O1862" s="179" t="s">
        <v>6736</v>
      </c>
      <c r="P1862" s="108">
        <v>68</v>
      </c>
    </row>
    <row r="1863" spans="1:18" ht="25.5">
      <c r="A1863" s="213" t="s">
        <v>2592</v>
      </c>
      <c r="B1863" s="141" t="s">
        <v>5233</v>
      </c>
      <c r="C1863" s="118" t="s">
        <v>3817</v>
      </c>
      <c r="D1863" s="141"/>
      <c r="E1863" s="118"/>
      <c r="F1863" s="118"/>
      <c r="G1863" s="118" t="s">
        <v>7278</v>
      </c>
      <c r="H1863" s="118" t="s">
        <v>4905</v>
      </c>
      <c r="I1863" s="118" t="s">
        <v>7199</v>
      </c>
      <c r="J1863" s="118" t="s">
        <v>5105</v>
      </c>
      <c r="K1863" s="141"/>
      <c r="L1863" s="135" t="str">
        <f t="shared" si="108"/>
        <v>Sorex gracillimus</v>
      </c>
      <c r="M1863" s="133">
        <f t="shared" si="109"/>
        <v>0.70416854832138809</v>
      </c>
      <c r="N1863" s="133">
        <v>5.0602100906061471</v>
      </c>
      <c r="O1863" s="179" t="s">
        <v>7825</v>
      </c>
      <c r="P1863" s="108" t="s">
        <v>7774</v>
      </c>
      <c r="Q1863" s="80">
        <f>-6.3006+2.3171*LOG(AVERAGE(49,58))</f>
        <v>-2.2958314516786116</v>
      </c>
      <c r="R1863" s="85">
        <f>(10^Q1863)*1000</f>
        <v>5.0602100906061471</v>
      </c>
    </row>
    <row r="1864" spans="1:18" ht="63.75">
      <c r="A1864" s="213" t="s">
        <v>2592</v>
      </c>
      <c r="B1864" s="130" t="s">
        <v>5222</v>
      </c>
      <c r="C1864" s="118" t="s">
        <v>3817</v>
      </c>
      <c r="D1864" s="141"/>
      <c r="E1864" s="118"/>
      <c r="F1864" s="118"/>
      <c r="G1864" s="118" t="s">
        <v>7278</v>
      </c>
      <c r="H1864" s="118" t="s">
        <v>4905</v>
      </c>
      <c r="I1864" s="118" t="s">
        <v>7199</v>
      </c>
      <c r="J1864" s="118" t="s">
        <v>6824</v>
      </c>
      <c r="K1864" s="141"/>
      <c r="L1864" s="135" t="str">
        <f t="shared" si="108"/>
        <v>Sorex caecutiens</v>
      </c>
      <c r="M1864" s="133">
        <f t="shared" si="109"/>
        <v>0.73037846858764299</v>
      </c>
      <c r="N1864" s="133">
        <f>AVERAGE(3.5, 7, 3, 8)</f>
        <v>5.375</v>
      </c>
      <c r="O1864" s="179" t="s">
        <v>1455</v>
      </c>
      <c r="P1864" s="108" t="s">
        <v>6862</v>
      </c>
      <c r="Q1864" s="80" t="s">
        <v>6629</v>
      </c>
    </row>
    <row r="1865" spans="1:18">
      <c r="A1865" s="213" t="s">
        <v>2592</v>
      </c>
      <c r="B1865" s="141" t="s">
        <v>5086</v>
      </c>
      <c r="C1865" s="118" t="s">
        <v>3817</v>
      </c>
      <c r="D1865" s="141"/>
      <c r="E1865" s="118"/>
      <c r="F1865" s="118"/>
      <c r="G1865" s="118" t="s">
        <v>7278</v>
      </c>
      <c r="H1865" s="118" t="s">
        <v>4905</v>
      </c>
      <c r="I1865" s="118" t="s">
        <v>7199</v>
      </c>
      <c r="J1865" s="118" t="s">
        <v>6384</v>
      </c>
      <c r="K1865" s="141"/>
      <c r="L1865" s="135" t="str">
        <f t="shared" si="108"/>
        <v>Sorex granarius</v>
      </c>
      <c r="M1865" s="133">
        <f t="shared" si="109"/>
        <v>0.7976137301530758</v>
      </c>
      <c r="N1865" s="133">
        <f>AVERAGE(6.3, 6.25)</f>
        <v>6.2750000000000004</v>
      </c>
      <c r="O1865" s="179" t="s">
        <v>8239</v>
      </c>
      <c r="P1865" s="108">
        <v>94</v>
      </c>
      <c r="Q1865" s="80" t="s">
        <v>6628</v>
      </c>
    </row>
    <row r="1866" spans="1:18" ht="12" customHeight="1">
      <c r="A1866" s="213" t="s">
        <v>2592</v>
      </c>
      <c r="B1866" s="130" t="s">
        <v>6982</v>
      </c>
      <c r="C1866" s="118" t="s">
        <v>3817</v>
      </c>
      <c r="D1866" s="141"/>
      <c r="E1866" s="118"/>
      <c r="F1866" s="118"/>
      <c r="G1866" s="118" t="s">
        <v>7278</v>
      </c>
      <c r="H1866" s="118" t="s">
        <v>4905</v>
      </c>
      <c r="I1866" s="118" t="s">
        <v>7199</v>
      </c>
      <c r="J1866" s="118" t="s">
        <v>5372</v>
      </c>
      <c r="K1866" s="141"/>
      <c r="L1866" s="135" t="str">
        <f t="shared" si="108"/>
        <v>Sorex bedfordiae</v>
      </c>
      <c r="M1866" s="133">
        <f t="shared" si="109"/>
        <v>0.81954393554186866</v>
      </c>
      <c r="N1866" s="133">
        <f>1000*0.0066</f>
        <v>6.6</v>
      </c>
      <c r="O1866" s="179" t="s">
        <v>3356</v>
      </c>
      <c r="P1866" s="108">
        <v>60</v>
      </c>
      <c r="Q1866" s="88"/>
    </row>
    <row r="1867" spans="1:18">
      <c r="A1867" s="213" t="s">
        <v>2592</v>
      </c>
      <c r="B1867" s="141" t="s">
        <v>5365</v>
      </c>
      <c r="C1867" s="118" t="s">
        <v>3817</v>
      </c>
      <c r="D1867" s="141"/>
      <c r="E1867" s="118"/>
      <c r="F1867" s="118"/>
      <c r="G1867" s="118" t="s">
        <v>7278</v>
      </c>
      <c r="H1867" s="118" t="s">
        <v>4905</v>
      </c>
      <c r="I1867" s="118" t="s">
        <v>7199</v>
      </c>
      <c r="J1867" s="118" t="s">
        <v>6540</v>
      </c>
      <c r="K1867" s="141"/>
      <c r="L1867" s="135" t="str">
        <f t="shared" si="108"/>
        <v>Sorex daphaenodon</v>
      </c>
      <c r="M1867" s="133">
        <f t="shared" si="109"/>
        <v>0.83186977428050168</v>
      </c>
      <c r="N1867" s="133">
        <f>1000*0.00679</f>
        <v>6.79</v>
      </c>
      <c r="O1867" s="179" t="s">
        <v>3356</v>
      </c>
      <c r="P1867" s="108">
        <v>60</v>
      </c>
      <c r="Q1867" s="80"/>
    </row>
    <row r="1868" spans="1:18">
      <c r="A1868" s="213" t="s">
        <v>2592</v>
      </c>
      <c r="B1868" s="130"/>
      <c r="C1868" s="118" t="s">
        <v>3817</v>
      </c>
      <c r="D1868" s="141"/>
      <c r="E1868" s="118"/>
      <c r="F1868" s="118"/>
      <c r="G1868" s="118" t="s">
        <v>7278</v>
      </c>
      <c r="H1868" s="118" t="s">
        <v>4905</v>
      </c>
      <c r="I1868" s="118" t="s">
        <v>7199</v>
      </c>
      <c r="J1868" s="118" t="s">
        <v>3092</v>
      </c>
      <c r="K1868" s="141"/>
      <c r="L1868" s="135" t="str">
        <f t="shared" si="108"/>
        <v>Sorex alpinus</v>
      </c>
      <c r="M1868" s="133">
        <f t="shared" si="109"/>
        <v>0.89209460269048035</v>
      </c>
      <c r="N1868" s="133">
        <v>7.8</v>
      </c>
      <c r="O1868" s="179" t="s">
        <v>6736</v>
      </c>
      <c r="P1868" s="108">
        <v>-999</v>
      </c>
    </row>
    <row r="1869" spans="1:18">
      <c r="A1869" s="213" t="s">
        <v>2592</v>
      </c>
      <c r="B1869" s="130" t="s">
        <v>1988</v>
      </c>
      <c r="C1869" s="118" t="s">
        <v>3817</v>
      </c>
      <c r="D1869" s="141"/>
      <c r="E1869" s="118"/>
      <c r="F1869" s="118"/>
      <c r="G1869" s="118" t="s">
        <v>7278</v>
      </c>
      <c r="H1869" s="118" t="s">
        <v>4905</v>
      </c>
      <c r="I1869" s="118" t="s">
        <v>7199</v>
      </c>
      <c r="J1869" s="118" t="s">
        <v>5721</v>
      </c>
      <c r="K1869" s="141"/>
      <c r="L1869" s="135" t="str">
        <f t="shared" si="108"/>
        <v>Sorex asper</v>
      </c>
      <c r="M1869" s="133">
        <f t="shared" si="109"/>
        <v>0.9001015386771597</v>
      </c>
      <c r="N1869" s="142">
        <v>7.9451397152479997</v>
      </c>
      <c r="O1869" s="196" t="s">
        <v>8012</v>
      </c>
      <c r="P1869" s="108" t="s">
        <v>8011</v>
      </c>
      <c r="Q1869" s="80">
        <f>-6.3006+2.3171*LOG(AVERAGE(65))</f>
        <v>-2.09989846132284</v>
      </c>
      <c r="R1869" s="85">
        <f>(10^Q1869)*1000</f>
        <v>7.9451397152479997</v>
      </c>
    </row>
    <row r="1870" spans="1:18">
      <c r="A1870" s="213" t="s">
        <v>2592</v>
      </c>
      <c r="B1870" s="141" t="s">
        <v>7708</v>
      </c>
      <c r="C1870" s="118" t="s">
        <v>3817</v>
      </c>
      <c r="D1870" s="141"/>
      <c r="E1870" s="118"/>
      <c r="F1870" s="118"/>
      <c r="G1870" s="118" t="s">
        <v>7278</v>
      </c>
      <c r="H1870" s="118" t="s">
        <v>4905</v>
      </c>
      <c r="I1870" s="118" t="s">
        <v>7199</v>
      </c>
      <c r="J1870" s="118" t="s">
        <v>6829</v>
      </c>
      <c r="K1870" s="141"/>
      <c r="L1870" s="135" t="str">
        <f t="shared" si="108"/>
        <v>Sorex tundrensis</v>
      </c>
      <c r="M1870" s="133">
        <f t="shared" si="109"/>
        <v>0.91381385238371671</v>
      </c>
      <c r="N1870" s="133">
        <v>8.1999999999999993</v>
      </c>
      <c r="O1870" s="179" t="s">
        <v>3356</v>
      </c>
      <c r="P1870" s="108">
        <v>180</v>
      </c>
      <c r="Q1870" s="80"/>
    </row>
    <row r="1871" spans="1:18" ht="25.5">
      <c r="A1871" s="213" t="s">
        <v>2592</v>
      </c>
      <c r="B1871" s="130"/>
      <c r="C1871" s="118" t="s">
        <v>3817</v>
      </c>
      <c r="D1871" s="141"/>
      <c r="E1871" s="118"/>
      <c r="F1871" s="118"/>
      <c r="G1871" s="118" t="s">
        <v>7278</v>
      </c>
      <c r="H1871" s="118" t="s">
        <v>4905</v>
      </c>
      <c r="I1871" s="118" t="s">
        <v>7199</v>
      </c>
      <c r="J1871" s="118" t="s">
        <v>7717</v>
      </c>
      <c r="K1871" s="141"/>
      <c r="L1871" s="135" t="str">
        <f t="shared" si="108"/>
        <v>Sorex samniticus</v>
      </c>
      <c r="M1871" s="133">
        <f t="shared" si="109"/>
        <v>0.91645394854992512</v>
      </c>
      <c r="N1871" s="133">
        <f>(16.5)/2</f>
        <v>8.25</v>
      </c>
      <c r="O1871" s="179" t="s">
        <v>3356</v>
      </c>
      <c r="P1871" s="108">
        <v>134</v>
      </c>
      <c r="Q1871" s="80" t="s">
        <v>6627</v>
      </c>
      <c r="R1871" s="87"/>
    </row>
    <row r="1872" spans="1:18">
      <c r="A1872" s="213" t="s">
        <v>2592</v>
      </c>
      <c r="B1872" s="141" t="s">
        <v>8188</v>
      </c>
      <c r="C1872" s="118" t="s">
        <v>3817</v>
      </c>
      <c r="D1872" s="141"/>
      <c r="E1872" s="118"/>
      <c r="F1872" s="118"/>
      <c r="G1872" s="118" t="s">
        <v>7278</v>
      </c>
      <c r="H1872" s="118" t="s">
        <v>4905</v>
      </c>
      <c r="I1872" s="118" t="s">
        <v>7199</v>
      </c>
      <c r="J1872" s="118" t="s">
        <v>7715</v>
      </c>
      <c r="K1872" s="141"/>
      <c r="L1872" s="135" t="str">
        <f t="shared" si="108"/>
        <v>Sorex roboratus</v>
      </c>
      <c r="M1872" s="133">
        <f t="shared" si="109"/>
        <v>0.9601972281472938</v>
      </c>
      <c r="N1872" s="133">
        <v>9.1242510908621615</v>
      </c>
      <c r="O1872" s="179" t="s">
        <v>8007</v>
      </c>
      <c r="P1872" s="108" t="s">
        <v>7940</v>
      </c>
      <c r="Q1872" s="80">
        <f>-6.3006+2.3171*LOG(AVERAGE(58,80))</f>
        <v>-2.0398027718527061</v>
      </c>
      <c r="R1872" s="85">
        <f>(10^Q1872)*1000</f>
        <v>9.1242510908621615</v>
      </c>
    </row>
    <row r="1873" spans="1:30" ht="25.5">
      <c r="A1873" s="118" t="s">
        <v>2592</v>
      </c>
      <c r="B1873" s="141" t="s">
        <v>1988</v>
      </c>
      <c r="C1873" s="118" t="s">
        <v>3817</v>
      </c>
      <c r="D1873" s="141"/>
      <c r="E1873" s="118"/>
      <c r="F1873" s="118"/>
      <c r="G1873" s="118" t="s">
        <v>7278</v>
      </c>
      <c r="H1873" s="118" t="s">
        <v>4905</v>
      </c>
      <c r="I1873" s="118" t="s">
        <v>7199</v>
      </c>
      <c r="J1873" s="118" t="s">
        <v>6828</v>
      </c>
      <c r="K1873" s="141"/>
      <c r="L1873" s="135" t="str">
        <f t="shared" si="108"/>
        <v>Sorex sinalis</v>
      </c>
      <c r="M1873" s="133">
        <f t="shared" si="109"/>
        <v>0.97467666851703427</v>
      </c>
      <c r="N1873" s="133">
        <v>9.4335828618402164</v>
      </c>
      <c r="O1873" s="179" t="s">
        <v>8149</v>
      </c>
      <c r="P1873" s="108" t="s">
        <v>8131</v>
      </c>
      <c r="Q1873" s="80" t="s">
        <v>6988</v>
      </c>
      <c r="R1873" s="85" t="s">
        <v>8013</v>
      </c>
      <c r="S1873" s="80">
        <f>-6.3006+2.3171*LOG(AVERAGE(70))</f>
        <v>-2.0253233314829657</v>
      </c>
      <c r="T1873" s="85">
        <f>(10^S1873)*1000</f>
        <v>9.4335828618402164</v>
      </c>
    </row>
    <row r="1874" spans="1:30">
      <c r="A1874" s="118" t="s">
        <v>2592</v>
      </c>
      <c r="B1874" s="130"/>
      <c r="C1874" s="118" t="s">
        <v>3817</v>
      </c>
      <c r="D1874" s="141"/>
      <c r="E1874" s="118"/>
      <c r="F1874" s="118"/>
      <c r="G1874" s="118" t="s">
        <v>7278</v>
      </c>
      <c r="H1874" s="118" t="s">
        <v>4905</v>
      </c>
      <c r="I1874" s="118" t="s">
        <v>7199</v>
      </c>
      <c r="J1874" s="118" t="s">
        <v>5660</v>
      </c>
      <c r="K1874" s="141"/>
      <c r="L1874" s="135" t="str">
        <f t="shared" si="108"/>
        <v>Sorex coronatus</v>
      </c>
      <c r="M1874" s="133">
        <f t="shared" si="109"/>
        <v>0.98227123303956843</v>
      </c>
      <c r="N1874" s="133">
        <v>9.6</v>
      </c>
      <c r="O1874" s="179" t="s">
        <v>6736</v>
      </c>
      <c r="P1874" s="108">
        <v>68</v>
      </c>
    </row>
    <row r="1875" spans="1:30" ht="25.5">
      <c r="A1875" s="118" t="s">
        <v>2592</v>
      </c>
      <c r="B1875" s="141" t="s">
        <v>5024</v>
      </c>
      <c r="C1875" s="118" t="s">
        <v>3817</v>
      </c>
      <c r="D1875" s="141"/>
      <c r="E1875" s="118"/>
      <c r="F1875" s="118"/>
      <c r="G1875" s="118" t="s">
        <v>7278</v>
      </c>
      <c r="H1875" s="118" t="s">
        <v>4905</v>
      </c>
      <c r="I1875" s="118" t="s">
        <v>7199</v>
      </c>
      <c r="J1875" s="118" t="s">
        <v>5498</v>
      </c>
      <c r="K1875" s="141"/>
      <c r="L1875" s="135" t="str">
        <f t="shared" si="108"/>
        <v>Sorex unguiculatus</v>
      </c>
      <c r="M1875" s="133">
        <f t="shared" si="109"/>
        <v>0.9956351945975499</v>
      </c>
      <c r="N1875" s="133">
        <f>1000*0.0099</f>
        <v>9.9</v>
      </c>
      <c r="O1875" s="179" t="s">
        <v>3356</v>
      </c>
      <c r="P1875" s="108">
        <v>60</v>
      </c>
      <c r="Q1875" s="80"/>
    </row>
    <row r="1876" spans="1:30">
      <c r="A1876" s="118" t="s">
        <v>2592</v>
      </c>
      <c r="B1876" s="141" t="s">
        <v>8187</v>
      </c>
      <c r="C1876" s="121" t="s">
        <v>3817</v>
      </c>
      <c r="D1876" s="156"/>
      <c r="E1876" s="121"/>
      <c r="F1876" s="121"/>
      <c r="G1876" s="118" t="s">
        <v>7278</v>
      </c>
      <c r="H1876" s="118" t="s">
        <v>4905</v>
      </c>
      <c r="I1876" s="121" t="s">
        <v>7199</v>
      </c>
      <c r="J1876" s="121" t="s">
        <v>3443</v>
      </c>
      <c r="K1876" s="156"/>
      <c r="L1876" s="135" t="str">
        <f t="shared" si="108"/>
        <v>Sorex raddei</v>
      </c>
      <c r="M1876" s="133">
        <f t="shared" si="109"/>
        <v>1</v>
      </c>
      <c r="N1876" s="143">
        <v>10</v>
      </c>
      <c r="O1876" s="179" t="s">
        <v>3356</v>
      </c>
      <c r="P1876" s="108" t="s">
        <v>7950</v>
      </c>
      <c r="Q1876" s="80"/>
    </row>
    <row r="1877" spans="1:30">
      <c r="A1877" s="118" t="s">
        <v>2592</v>
      </c>
      <c r="B1877" s="130"/>
      <c r="C1877" s="118" t="s">
        <v>3817</v>
      </c>
      <c r="D1877" s="141"/>
      <c r="E1877" s="118"/>
      <c r="F1877" s="118"/>
      <c r="G1877" s="118" t="s">
        <v>7278</v>
      </c>
      <c r="H1877" s="118" t="s">
        <v>4905</v>
      </c>
      <c r="I1877" s="118" t="s">
        <v>7199</v>
      </c>
      <c r="J1877" s="118" t="s">
        <v>6026</v>
      </c>
      <c r="K1877" s="141"/>
      <c r="L1877" s="135" t="str">
        <f t="shared" si="108"/>
        <v>Sorex araneus</v>
      </c>
      <c r="M1877" s="133">
        <f t="shared" si="109"/>
        <v>1</v>
      </c>
      <c r="N1877" s="133">
        <v>10</v>
      </c>
      <c r="O1877" s="179" t="s">
        <v>6736</v>
      </c>
      <c r="P1877" s="108">
        <v>68</v>
      </c>
    </row>
    <row r="1878" spans="1:30" ht="25.5">
      <c r="A1878" s="118" t="s">
        <v>2592</v>
      </c>
      <c r="B1878" s="130"/>
      <c r="C1878" s="118" t="s">
        <v>3817</v>
      </c>
      <c r="D1878" s="141"/>
      <c r="E1878" s="118"/>
      <c r="F1878" s="118"/>
      <c r="G1878" s="118" t="s">
        <v>7278</v>
      </c>
      <c r="H1878" s="118" t="s">
        <v>4905</v>
      </c>
      <c r="I1878" s="118" t="s">
        <v>7199</v>
      </c>
      <c r="J1878" s="118" t="s">
        <v>8068</v>
      </c>
      <c r="K1878" s="141"/>
      <c r="L1878" s="135" t="str">
        <f t="shared" si="108"/>
        <v>Sorex isodon</v>
      </c>
      <c r="M1878" s="133">
        <f t="shared" si="109"/>
        <v>1.0211892990699381</v>
      </c>
      <c r="N1878" s="133">
        <f>21/2</f>
        <v>10.5</v>
      </c>
      <c r="O1878" s="179" t="s">
        <v>3356</v>
      </c>
      <c r="P1878" s="108">
        <v>134</v>
      </c>
      <c r="Q1878" s="80" t="s">
        <v>6732</v>
      </c>
      <c r="R1878" s="87"/>
    </row>
    <row r="1879" spans="1:30" ht="25.5">
      <c r="A1879" s="118" t="s">
        <v>2592</v>
      </c>
      <c r="B1879" s="141" t="s">
        <v>1988</v>
      </c>
      <c r="C1879" s="118" t="s">
        <v>3817</v>
      </c>
      <c r="D1879" s="141"/>
      <c r="E1879" s="118"/>
      <c r="F1879" s="118"/>
      <c r="G1879" s="118" t="s">
        <v>7278</v>
      </c>
      <c r="H1879" s="118" t="s">
        <v>4905</v>
      </c>
      <c r="I1879" s="118" t="s">
        <v>7720</v>
      </c>
      <c r="J1879" s="118" t="s">
        <v>5541</v>
      </c>
      <c r="K1879" s="141"/>
      <c r="L1879" s="135" t="str">
        <f t="shared" si="108"/>
        <v>Soriculus salenskii</v>
      </c>
      <c r="M1879" s="133">
        <f t="shared" si="109"/>
        <v>0.74036268949424389</v>
      </c>
      <c r="N1879" s="133">
        <v>5.5</v>
      </c>
      <c r="O1879" s="179" t="s">
        <v>8149</v>
      </c>
      <c r="P1879" s="108">
        <v>140</v>
      </c>
      <c r="Q1879" s="80" t="s">
        <v>7071</v>
      </c>
    </row>
    <row r="1880" spans="1:30">
      <c r="A1880" s="118" t="s">
        <v>2592</v>
      </c>
      <c r="B1880" s="141" t="s">
        <v>1988</v>
      </c>
      <c r="C1880" s="118" t="s">
        <v>3817</v>
      </c>
      <c r="D1880" s="141"/>
      <c r="E1880" s="118"/>
      <c r="F1880" s="118"/>
      <c r="G1880" s="118" t="s">
        <v>7278</v>
      </c>
      <c r="H1880" s="118" t="s">
        <v>4905</v>
      </c>
      <c r="I1880" s="118" t="s">
        <v>7720</v>
      </c>
      <c r="J1880" s="118" t="s">
        <v>8308</v>
      </c>
      <c r="K1880" s="141"/>
      <c r="L1880" s="135" t="str">
        <f t="shared" si="108"/>
        <v>Soriculus lamula</v>
      </c>
      <c r="M1880" s="133">
        <f t="shared" si="109"/>
        <v>0.89209460269048035</v>
      </c>
      <c r="N1880" s="133">
        <v>7.8</v>
      </c>
      <c r="O1880" s="179" t="s">
        <v>3356</v>
      </c>
      <c r="P1880" s="108">
        <v>60</v>
      </c>
      <c r="Q1880" s="80"/>
    </row>
    <row r="1881" spans="1:30" ht="25.5">
      <c r="A1881" s="118" t="s">
        <v>2592</v>
      </c>
      <c r="B1881" s="141" t="s">
        <v>7646</v>
      </c>
      <c r="C1881" s="118" t="s">
        <v>3817</v>
      </c>
      <c r="D1881" s="141"/>
      <c r="E1881" s="118"/>
      <c r="F1881" s="118"/>
      <c r="G1881" s="118" t="s">
        <v>7278</v>
      </c>
      <c r="H1881" s="118" t="s">
        <v>4905</v>
      </c>
      <c r="I1881" s="118" t="s">
        <v>7720</v>
      </c>
      <c r="J1881" s="118" t="s">
        <v>5098</v>
      </c>
      <c r="K1881" s="141"/>
      <c r="L1881" s="135" t="str">
        <f t="shared" si="108"/>
        <v>Soriculus leucops</v>
      </c>
      <c r="M1881" s="133">
        <f t="shared" si="109"/>
        <v>0.91550536175437647</v>
      </c>
      <c r="N1881" s="133">
        <v>8.2319999999999993</v>
      </c>
      <c r="O1881" s="179" t="s">
        <v>283</v>
      </c>
      <c r="P1881" s="108" t="s">
        <v>1118</v>
      </c>
      <c r="Q1881" s="80">
        <f>-6.3006+2.3171*LOG(66)</f>
        <v>-2.0845347469559359</v>
      </c>
      <c r="R1881" s="85">
        <f>(10^Q1881)*1000</f>
        <v>8.2312397792947412</v>
      </c>
    </row>
    <row r="1882" spans="1:30" ht="25.5">
      <c r="A1882" s="118" t="s">
        <v>2592</v>
      </c>
      <c r="B1882" s="141" t="s">
        <v>7312</v>
      </c>
      <c r="C1882" s="118" t="s">
        <v>3817</v>
      </c>
      <c r="D1882" s="141"/>
      <c r="E1882" s="118"/>
      <c r="F1882" s="118"/>
      <c r="G1882" s="118" t="s">
        <v>7278</v>
      </c>
      <c r="H1882" s="118" t="s">
        <v>4905</v>
      </c>
      <c r="I1882" s="118" t="s">
        <v>7720</v>
      </c>
      <c r="J1882" s="118" t="s">
        <v>2178</v>
      </c>
      <c r="K1882" s="141"/>
      <c r="L1882" s="135" t="str">
        <f t="shared" si="108"/>
        <v>Soriculus caudatus</v>
      </c>
      <c r="M1882" s="133">
        <f t="shared" si="109"/>
        <v>0.96018527660461095</v>
      </c>
      <c r="N1882" s="133">
        <v>9.1240000000000006</v>
      </c>
      <c r="O1882" s="179" t="s">
        <v>291</v>
      </c>
      <c r="P1882" s="108" t="s">
        <v>292</v>
      </c>
      <c r="Q1882" s="80">
        <f>-6.3006+2.3171*LOG(69)</f>
        <v>-2.0398027718527061</v>
      </c>
    </row>
    <row r="1883" spans="1:30" ht="12" customHeight="1">
      <c r="A1883" s="118" t="s">
        <v>2592</v>
      </c>
      <c r="B1883" s="141" t="s">
        <v>7588</v>
      </c>
      <c r="C1883" s="118" t="s">
        <v>3817</v>
      </c>
      <c r="D1883" s="141"/>
      <c r="E1883" s="118"/>
      <c r="F1883" s="118"/>
      <c r="G1883" s="118" t="s">
        <v>7278</v>
      </c>
      <c r="H1883" s="118" t="s">
        <v>4905</v>
      </c>
      <c r="I1883" s="118" t="s">
        <v>7720</v>
      </c>
      <c r="J1883" s="118" t="s">
        <v>5335</v>
      </c>
      <c r="K1883" s="141"/>
      <c r="L1883" s="135" t="str">
        <f t="shared" si="108"/>
        <v>Soriculus parca</v>
      </c>
      <c r="M1883" s="133">
        <f t="shared" si="109"/>
        <v>1.0453229787866574</v>
      </c>
      <c r="N1883" s="133">
        <f>1000*0.0111</f>
        <v>11.1</v>
      </c>
      <c r="O1883" s="179" t="s">
        <v>3356</v>
      </c>
      <c r="P1883" s="108">
        <v>60</v>
      </c>
      <c r="Q1883" s="88"/>
    </row>
    <row r="1884" spans="1:30" ht="25.5">
      <c r="A1884" s="118" t="s">
        <v>2592</v>
      </c>
      <c r="B1884" s="141" t="s">
        <v>5138</v>
      </c>
      <c r="C1884" s="118" t="s">
        <v>3817</v>
      </c>
      <c r="D1884" s="141"/>
      <c r="E1884" s="118"/>
      <c r="F1884" s="118"/>
      <c r="G1884" s="118" t="s">
        <v>7278</v>
      </c>
      <c r="H1884" s="118" t="s">
        <v>4905</v>
      </c>
      <c r="I1884" s="118" t="s">
        <v>7720</v>
      </c>
      <c r="J1884" s="118" t="s">
        <v>3317</v>
      </c>
      <c r="K1884" s="141"/>
      <c r="L1884" s="135" t="str">
        <f t="shared" si="108"/>
        <v>Soriculus macrurus</v>
      </c>
      <c r="M1884" s="133">
        <f t="shared" si="109"/>
        <v>1.1338581252033346</v>
      </c>
      <c r="N1884" s="133">
        <v>13.61</v>
      </c>
      <c r="O1884" s="179" t="s">
        <v>290</v>
      </c>
      <c r="P1884" s="108" t="s">
        <v>238</v>
      </c>
      <c r="Q1884" s="80">
        <f>-6.3006+2.3171*LOG(82)</f>
        <v>-1.8661019226416906</v>
      </c>
    </row>
    <row r="1885" spans="1:30" ht="51">
      <c r="A1885" s="118" t="s">
        <v>2592</v>
      </c>
      <c r="B1885" s="141" t="s">
        <v>8185</v>
      </c>
      <c r="C1885" s="118" t="s">
        <v>3817</v>
      </c>
      <c r="D1885" s="141"/>
      <c r="E1885" s="118"/>
      <c r="F1885" s="118"/>
      <c r="G1885" s="118" t="s">
        <v>7278</v>
      </c>
      <c r="H1885" s="118" t="s">
        <v>4905</v>
      </c>
      <c r="I1885" s="118" t="s">
        <v>7720</v>
      </c>
      <c r="J1885" s="118" t="s">
        <v>7358</v>
      </c>
      <c r="K1885" s="141"/>
      <c r="L1885" s="135" t="str">
        <f t="shared" si="108"/>
        <v>Soriculus nigrescens</v>
      </c>
      <c r="M1885" s="133">
        <f t="shared" si="109"/>
        <v>1.146128035678238</v>
      </c>
      <c r="N1885" s="133">
        <v>14</v>
      </c>
      <c r="O1885" s="179" t="s">
        <v>3356</v>
      </c>
      <c r="P1885" s="108">
        <v>140</v>
      </c>
      <c r="Q1885" s="80"/>
    </row>
    <row r="1886" spans="1:30" s="62" customFormat="1">
      <c r="A1886" s="118" t="s">
        <v>2592</v>
      </c>
      <c r="B1886" s="141" t="s">
        <v>1988</v>
      </c>
      <c r="C1886" s="118" t="s">
        <v>3817</v>
      </c>
      <c r="D1886" s="141"/>
      <c r="E1886" s="118"/>
      <c r="F1886" s="118"/>
      <c r="G1886" s="118" t="s">
        <v>7278</v>
      </c>
      <c r="H1886" s="118" t="s">
        <v>4905</v>
      </c>
      <c r="I1886" s="118" t="s">
        <v>7720</v>
      </c>
      <c r="J1886" s="118" t="s">
        <v>4168</v>
      </c>
      <c r="K1886" s="141"/>
      <c r="L1886" s="135" t="str">
        <f t="shared" si="108"/>
        <v>Soriculus smithii</v>
      </c>
      <c r="M1886" s="133">
        <f t="shared" si="109"/>
        <v>1.1583624920952498</v>
      </c>
      <c r="N1886" s="133">
        <f>1000*0.0144</f>
        <v>14.4</v>
      </c>
      <c r="O1886" s="179" t="s">
        <v>3356</v>
      </c>
      <c r="P1886" s="108">
        <v>60</v>
      </c>
      <c r="Q1886" s="80"/>
      <c r="R1886" s="85"/>
      <c r="S1886" s="80"/>
      <c r="T1886" s="85"/>
      <c r="U1886" s="16"/>
      <c r="V1886" s="16"/>
      <c r="W1886" s="61"/>
      <c r="X1886" s="61"/>
      <c r="Y1886" s="61"/>
      <c r="Z1886" s="61"/>
      <c r="AA1886" s="61"/>
      <c r="AB1886" s="61"/>
      <c r="AC1886" s="61"/>
      <c r="AD1886" s="64"/>
    </row>
    <row r="1887" spans="1:30">
      <c r="A1887" s="213" t="s">
        <v>2592</v>
      </c>
      <c r="B1887" s="141" t="s">
        <v>1988</v>
      </c>
      <c r="C1887" s="118" t="s">
        <v>3817</v>
      </c>
      <c r="D1887" s="141"/>
      <c r="E1887" s="118"/>
      <c r="F1887" s="118"/>
      <c r="G1887" s="118" t="s">
        <v>7278</v>
      </c>
      <c r="H1887" s="118" t="s">
        <v>4905</v>
      </c>
      <c r="I1887" s="118" t="s">
        <v>7720</v>
      </c>
      <c r="J1887" s="118" t="s">
        <v>7722</v>
      </c>
      <c r="K1887" s="141"/>
      <c r="L1887" s="135" t="str">
        <f t="shared" si="108"/>
        <v>Soriculus hypsibius</v>
      </c>
      <c r="M1887" s="133">
        <f t="shared" si="109"/>
        <v>1.1818435879447726</v>
      </c>
      <c r="N1887" s="133">
        <f>1000*0.0152</f>
        <v>15.2</v>
      </c>
      <c r="O1887" s="179" t="s">
        <v>3356</v>
      </c>
      <c r="P1887" s="108">
        <v>60</v>
      </c>
      <c r="Q1887" s="80"/>
    </row>
    <row r="1888" spans="1:30">
      <c r="A1888" s="213" t="s">
        <v>2592</v>
      </c>
      <c r="B1888" s="130"/>
      <c r="C1888" s="118" t="s">
        <v>3817</v>
      </c>
      <c r="D1888" s="141"/>
      <c r="E1888" s="118"/>
      <c r="F1888" s="118"/>
      <c r="G1888" s="118" t="s">
        <v>7278</v>
      </c>
      <c r="H1888" s="118" t="s">
        <v>4905</v>
      </c>
      <c r="I1888" s="118" t="s">
        <v>7169</v>
      </c>
      <c r="J1888" s="118" t="s">
        <v>7170</v>
      </c>
      <c r="K1888" s="141"/>
      <c r="L1888" s="135" t="str">
        <f t="shared" si="108"/>
        <v>Suncus etruscus</v>
      </c>
      <c r="M1888" s="133">
        <f t="shared" si="109"/>
        <v>0.37106786227173627</v>
      </c>
      <c r="N1888" s="133">
        <f>AVERAGE(1.75, 2.3, 3)</f>
        <v>2.35</v>
      </c>
      <c r="O1888" s="179" t="s">
        <v>3356</v>
      </c>
      <c r="P1888" s="108" t="s">
        <v>5905</v>
      </c>
      <c r="Q1888" s="80"/>
    </row>
    <row r="1889" spans="1:30">
      <c r="A1889" s="213" t="s">
        <v>2592</v>
      </c>
      <c r="B1889" s="141" t="s">
        <v>8305</v>
      </c>
      <c r="C1889" s="118" t="s">
        <v>3817</v>
      </c>
      <c r="D1889" s="141"/>
      <c r="E1889" s="118"/>
      <c r="F1889" s="118"/>
      <c r="G1889" s="118" t="s">
        <v>7278</v>
      </c>
      <c r="H1889" s="118" t="s">
        <v>4905</v>
      </c>
      <c r="I1889" s="118" t="s">
        <v>7169</v>
      </c>
      <c r="J1889" s="118" t="s">
        <v>5347</v>
      </c>
      <c r="K1889" s="141"/>
      <c r="L1889" s="135" t="str">
        <f t="shared" si="108"/>
        <v>Suncus malayanus</v>
      </c>
      <c r="M1889" s="133">
        <f t="shared" si="109"/>
        <v>0.69897000433601886</v>
      </c>
      <c r="N1889" s="133">
        <v>5</v>
      </c>
      <c r="O1889" s="179" t="s">
        <v>6882</v>
      </c>
      <c r="P1889" s="108">
        <v>119</v>
      </c>
      <c r="Q1889" s="80" t="s">
        <v>6987</v>
      </c>
    </row>
    <row r="1890" spans="1:30" ht="25.5">
      <c r="A1890" s="213" t="s">
        <v>2592</v>
      </c>
      <c r="B1890" s="130" t="s">
        <v>2527</v>
      </c>
      <c r="C1890" s="118" t="s">
        <v>3817</v>
      </c>
      <c r="D1890" s="141"/>
      <c r="E1890" s="118"/>
      <c r="F1890" s="118"/>
      <c r="G1890" s="118" t="s">
        <v>7278</v>
      </c>
      <c r="H1890" s="118" t="s">
        <v>4905</v>
      </c>
      <c r="I1890" s="118" t="s">
        <v>7169</v>
      </c>
      <c r="J1890" s="118" t="s">
        <v>4634</v>
      </c>
      <c r="K1890" s="141"/>
      <c r="L1890" s="135" t="str">
        <f t="shared" si="108"/>
        <v>Suncus dayi</v>
      </c>
      <c r="M1890" s="133">
        <f t="shared" si="109"/>
        <v>0.97451169273732841</v>
      </c>
      <c r="N1890" s="133">
        <f>1000*0.00943</f>
        <v>9.43</v>
      </c>
      <c r="O1890" s="179" t="s">
        <v>8149</v>
      </c>
      <c r="P1890" s="108">
        <v>60</v>
      </c>
      <c r="Q1890" s="80" t="s">
        <v>6988</v>
      </c>
    </row>
    <row r="1891" spans="1:30" ht="25.5">
      <c r="A1891" s="213" t="s">
        <v>2592</v>
      </c>
      <c r="B1891" s="141" t="s">
        <v>4802</v>
      </c>
      <c r="C1891" s="118" t="s">
        <v>3817</v>
      </c>
      <c r="D1891" s="141"/>
      <c r="E1891" s="118"/>
      <c r="F1891" s="118"/>
      <c r="G1891" s="118" t="s">
        <v>7278</v>
      </c>
      <c r="H1891" s="118" t="s">
        <v>4905</v>
      </c>
      <c r="I1891" s="118" t="s">
        <v>7169</v>
      </c>
      <c r="J1891" s="118" t="s">
        <v>6476</v>
      </c>
      <c r="K1891" s="141"/>
      <c r="L1891" s="135" t="str">
        <f t="shared" si="108"/>
        <v>Suncus stoliczkanus</v>
      </c>
      <c r="M1891" s="133">
        <f t="shared" si="109"/>
        <v>0.97451169273732841</v>
      </c>
      <c r="N1891" s="133">
        <f>1000*0.00943</f>
        <v>9.43</v>
      </c>
      <c r="O1891" s="179" t="s">
        <v>3356</v>
      </c>
      <c r="P1891" s="108">
        <v>60</v>
      </c>
      <c r="Q1891" s="80"/>
    </row>
    <row r="1892" spans="1:30" ht="25.5">
      <c r="A1892" s="213" t="s">
        <v>2592</v>
      </c>
      <c r="B1892" s="141" t="s">
        <v>2527</v>
      </c>
      <c r="C1892" s="118" t="s">
        <v>3817</v>
      </c>
      <c r="D1892" s="141"/>
      <c r="E1892" s="118"/>
      <c r="F1892" s="118"/>
      <c r="G1892" s="118" t="s">
        <v>7278</v>
      </c>
      <c r="H1892" s="118" t="s">
        <v>4905</v>
      </c>
      <c r="I1892" s="118" t="s">
        <v>7169</v>
      </c>
      <c r="J1892" s="118" t="s">
        <v>3985</v>
      </c>
      <c r="K1892" s="141"/>
      <c r="L1892" s="135" t="str">
        <f t="shared" si="108"/>
        <v>Suncus montanus</v>
      </c>
      <c r="M1892" s="133">
        <f t="shared" si="109"/>
        <v>1.255272505103306</v>
      </c>
      <c r="N1892" s="133">
        <f>1000*0.018</f>
        <v>18</v>
      </c>
      <c r="O1892" s="179" t="s">
        <v>8149</v>
      </c>
      <c r="P1892" s="108">
        <v>60</v>
      </c>
      <c r="Q1892" s="80" t="s">
        <v>6988</v>
      </c>
      <c r="R1892" s="79" t="s">
        <v>1582</v>
      </c>
    </row>
    <row r="1893" spans="1:30" ht="76.5">
      <c r="A1893" s="213" t="s">
        <v>2592</v>
      </c>
      <c r="B1893" s="141" t="s">
        <v>2743</v>
      </c>
      <c r="C1893" s="118" t="s">
        <v>3817</v>
      </c>
      <c r="D1893" s="141"/>
      <c r="E1893" s="118"/>
      <c r="F1893" s="118"/>
      <c r="G1893" s="118" t="s">
        <v>7278</v>
      </c>
      <c r="H1893" s="118" t="s">
        <v>4905</v>
      </c>
      <c r="I1893" s="118" t="s">
        <v>7169</v>
      </c>
      <c r="J1893" s="118" t="s">
        <v>4557</v>
      </c>
      <c r="K1893" s="141"/>
      <c r="L1893" s="135" t="str">
        <f t="shared" si="108"/>
        <v>Suncus murinus</v>
      </c>
      <c r="M1893" s="133">
        <f t="shared" si="109"/>
        <v>1.8325089127062364</v>
      </c>
      <c r="N1893" s="133">
        <v>68</v>
      </c>
      <c r="O1893" s="179" t="s">
        <v>3356</v>
      </c>
      <c r="P1893" s="108">
        <v>75</v>
      </c>
    </row>
    <row r="1894" spans="1:30" ht="38.25">
      <c r="A1894" s="213" t="s">
        <v>2592</v>
      </c>
      <c r="B1894" s="130"/>
      <c r="C1894" s="118" t="s">
        <v>3817</v>
      </c>
      <c r="D1894" s="141"/>
      <c r="E1894" s="118"/>
      <c r="F1894" s="118"/>
      <c r="G1894" s="118" t="s">
        <v>7278</v>
      </c>
      <c r="H1894" s="118" t="s">
        <v>2180</v>
      </c>
      <c r="I1894" s="118" t="s">
        <v>6753</v>
      </c>
      <c r="J1894" s="118" t="s">
        <v>6754</v>
      </c>
      <c r="K1894" s="141"/>
      <c r="L1894" s="135" t="str">
        <f t="shared" si="108"/>
        <v>Desmana moschata</v>
      </c>
      <c r="M1894" s="133">
        <f t="shared" si="109"/>
        <v>2.5831987739686229</v>
      </c>
      <c r="N1894" s="133">
        <v>383</v>
      </c>
      <c r="O1894" s="179" t="s">
        <v>6190</v>
      </c>
      <c r="P1894" s="108">
        <v>68</v>
      </c>
      <c r="Q1894" s="90" t="s">
        <v>6988</v>
      </c>
    </row>
    <row r="1895" spans="1:30" s="62" customFormat="1" ht="24" customHeight="1">
      <c r="A1895" s="213" t="s">
        <v>2592</v>
      </c>
      <c r="B1895" s="130" t="s">
        <v>2202</v>
      </c>
      <c r="C1895" s="118" t="s">
        <v>3817</v>
      </c>
      <c r="D1895" s="141"/>
      <c r="E1895" s="118"/>
      <c r="F1895" s="118"/>
      <c r="G1895" s="118" t="s">
        <v>7278</v>
      </c>
      <c r="H1895" s="118" t="s">
        <v>2180</v>
      </c>
      <c r="I1895" s="118" t="s">
        <v>5544</v>
      </c>
      <c r="J1895" s="118" t="s">
        <v>6591</v>
      </c>
      <c r="K1895" s="141"/>
      <c r="L1895" s="135" t="str">
        <f t="shared" si="108"/>
        <v>Euroscaptor grandis</v>
      </c>
      <c r="M1895" s="133">
        <v>-999</v>
      </c>
      <c r="N1895" s="133">
        <v>-999</v>
      </c>
      <c r="O1895" s="179" t="s">
        <v>3356</v>
      </c>
      <c r="P1895" s="108">
        <v>-999</v>
      </c>
      <c r="Q1895" s="88"/>
      <c r="R1895" s="85"/>
      <c r="S1895" s="85"/>
      <c r="T1895" s="85"/>
      <c r="U1895" s="16"/>
      <c r="V1895" s="16"/>
      <c r="W1895" s="61"/>
      <c r="X1895" s="61"/>
      <c r="Y1895" s="61"/>
      <c r="Z1895" s="61"/>
      <c r="AA1895" s="61"/>
      <c r="AB1895" s="61"/>
      <c r="AC1895" s="61"/>
      <c r="AD1895" s="64"/>
    </row>
    <row r="1896" spans="1:30" ht="25.5">
      <c r="A1896" s="213" t="s">
        <v>2592</v>
      </c>
      <c r="B1896" s="141" t="s">
        <v>2362</v>
      </c>
      <c r="C1896" s="118" t="s">
        <v>3817</v>
      </c>
      <c r="D1896" s="141"/>
      <c r="E1896" s="118"/>
      <c r="F1896" s="118"/>
      <c r="G1896" s="118" t="s">
        <v>7278</v>
      </c>
      <c r="H1896" s="118" t="s">
        <v>2180</v>
      </c>
      <c r="I1896" s="118" t="s">
        <v>5544</v>
      </c>
      <c r="J1896" s="118" t="s">
        <v>5183</v>
      </c>
      <c r="K1896" s="141"/>
      <c r="L1896" s="135" t="str">
        <f t="shared" si="108"/>
        <v>Euroscaptor klossi</v>
      </c>
      <c r="M1896" s="133">
        <v>-999</v>
      </c>
      <c r="N1896" s="133">
        <v>-999</v>
      </c>
      <c r="O1896" s="179" t="s">
        <v>3356</v>
      </c>
      <c r="P1896" s="108">
        <v>-999</v>
      </c>
      <c r="Q1896" s="80"/>
    </row>
    <row r="1897" spans="1:30">
      <c r="A1897" s="213" t="s">
        <v>2592</v>
      </c>
      <c r="B1897" s="141" t="s">
        <v>2577</v>
      </c>
      <c r="C1897" s="118" t="s">
        <v>3817</v>
      </c>
      <c r="D1897" s="141"/>
      <c r="E1897" s="118"/>
      <c r="F1897" s="118"/>
      <c r="G1897" s="118" t="s">
        <v>7278</v>
      </c>
      <c r="H1897" s="118" t="s">
        <v>2180</v>
      </c>
      <c r="I1897" s="118" t="s">
        <v>5544</v>
      </c>
      <c r="J1897" s="118" t="s">
        <v>2428</v>
      </c>
      <c r="K1897" s="141"/>
      <c r="L1897" s="135" t="str">
        <f t="shared" si="108"/>
        <v>Euroscaptor longirostris</v>
      </c>
      <c r="M1897" s="133">
        <v>-999</v>
      </c>
      <c r="N1897" s="133">
        <v>-999</v>
      </c>
      <c r="O1897" s="179" t="s">
        <v>3356</v>
      </c>
      <c r="P1897" s="108">
        <v>-999</v>
      </c>
      <c r="Q1897" s="80"/>
    </row>
    <row r="1898" spans="1:30" ht="25.5">
      <c r="A1898" s="213" t="s">
        <v>2592</v>
      </c>
      <c r="B1898" s="141" t="s">
        <v>2202</v>
      </c>
      <c r="C1898" s="118" t="s">
        <v>3817</v>
      </c>
      <c r="D1898" s="141"/>
      <c r="E1898" s="118"/>
      <c r="F1898" s="118"/>
      <c r="G1898" s="118" t="s">
        <v>7278</v>
      </c>
      <c r="H1898" s="118" t="s">
        <v>2180</v>
      </c>
      <c r="I1898" s="118" t="s">
        <v>5544</v>
      </c>
      <c r="J1898" s="118" t="s">
        <v>2490</v>
      </c>
      <c r="K1898" s="141"/>
      <c r="L1898" s="135" t="str">
        <f t="shared" si="108"/>
        <v>Euroscaptor parvidens</v>
      </c>
      <c r="M1898" s="133">
        <v>-999</v>
      </c>
      <c r="N1898" s="133">
        <v>-999</v>
      </c>
      <c r="O1898" s="179" t="s">
        <v>8149</v>
      </c>
      <c r="P1898" s="108">
        <v>-999</v>
      </c>
      <c r="Q1898" s="80" t="s">
        <v>7071</v>
      </c>
    </row>
    <row r="1899" spans="1:30">
      <c r="A1899" s="213" t="s">
        <v>2592</v>
      </c>
      <c r="B1899" s="141" t="s">
        <v>2231</v>
      </c>
      <c r="C1899" s="118" t="s">
        <v>3817</v>
      </c>
      <c r="D1899" s="141"/>
      <c r="E1899" s="118"/>
      <c r="F1899" s="118"/>
      <c r="G1899" s="118" t="s">
        <v>7278</v>
      </c>
      <c r="H1899" s="118" t="s">
        <v>2180</v>
      </c>
      <c r="I1899" s="118" t="s">
        <v>5544</v>
      </c>
      <c r="J1899" s="118" t="s">
        <v>5184</v>
      </c>
      <c r="K1899" s="141"/>
      <c r="L1899" s="135" t="str">
        <f t="shared" si="108"/>
        <v>Euroscaptor micrura</v>
      </c>
      <c r="M1899" s="133">
        <f t="shared" ref="M1899:M1905" si="110">LOG(N1899)</f>
        <v>1.7815309910350243</v>
      </c>
      <c r="N1899" s="133">
        <f>AVERAGE(50, ((2.5/16)*454))</f>
        <v>60.46875</v>
      </c>
      <c r="O1899" s="179" t="s">
        <v>3356</v>
      </c>
      <c r="P1899" s="108" t="s">
        <v>1474</v>
      </c>
      <c r="Q1899" s="80"/>
    </row>
    <row r="1900" spans="1:30" ht="25.5">
      <c r="A1900" s="213" t="s">
        <v>2592</v>
      </c>
      <c r="B1900" s="141" t="s">
        <v>2406</v>
      </c>
      <c r="C1900" s="118" t="s">
        <v>3817</v>
      </c>
      <c r="D1900" s="141"/>
      <c r="E1900" s="118"/>
      <c r="F1900" s="118"/>
      <c r="G1900" s="118" t="s">
        <v>7278</v>
      </c>
      <c r="H1900" s="118" t="s">
        <v>2180</v>
      </c>
      <c r="I1900" s="118" t="s">
        <v>5542</v>
      </c>
      <c r="J1900" s="118" t="s">
        <v>5543</v>
      </c>
      <c r="K1900" s="141"/>
      <c r="L1900" s="135" t="str">
        <f t="shared" si="108"/>
        <v>Galemys pyrenaicus</v>
      </c>
      <c r="M1900" s="133">
        <f t="shared" si="110"/>
        <v>1.7793559515220143</v>
      </c>
      <c r="N1900" s="133">
        <f>AVERAGE(35.5, 80, 65)</f>
        <v>60.166666666666664</v>
      </c>
      <c r="O1900" s="179" t="s">
        <v>6918</v>
      </c>
      <c r="P1900" s="108">
        <v>78</v>
      </c>
      <c r="Q1900" s="80" t="s">
        <v>6779</v>
      </c>
    </row>
    <row r="1901" spans="1:30" ht="25.5">
      <c r="A1901" s="213" t="s">
        <v>2592</v>
      </c>
      <c r="B1901" s="141" t="s">
        <v>2439</v>
      </c>
      <c r="C1901" s="118" t="s">
        <v>3817</v>
      </c>
      <c r="D1901" s="141"/>
      <c r="E1901" s="118"/>
      <c r="F1901" s="118"/>
      <c r="G1901" s="118" t="s">
        <v>7278</v>
      </c>
      <c r="H1901" s="118" t="s">
        <v>2180</v>
      </c>
      <c r="I1901" s="118" t="s">
        <v>5116</v>
      </c>
      <c r="J1901" s="118" t="s">
        <v>4701</v>
      </c>
      <c r="K1901" s="141"/>
      <c r="L1901" s="135" t="str">
        <f t="shared" si="108"/>
        <v>Mogera robusta</v>
      </c>
      <c r="M1901" s="133">
        <f t="shared" si="110"/>
        <v>2.5171958979499744</v>
      </c>
      <c r="N1901" s="133">
        <f>AVERAGE(450, 319, 218)</f>
        <v>329</v>
      </c>
      <c r="O1901" s="179" t="s">
        <v>3356</v>
      </c>
      <c r="P1901" s="108" t="s">
        <v>7885</v>
      </c>
      <c r="Q1901" s="80"/>
    </row>
    <row r="1902" spans="1:30">
      <c r="A1902" s="213" t="s">
        <v>2592</v>
      </c>
      <c r="B1902" s="141" t="s">
        <v>8101</v>
      </c>
      <c r="C1902" s="118" t="s">
        <v>3817</v>
      </c>
      <c r="D1902" s="141"/>
      <c r="E1902" s="118"/>
      <c r="F1902" s="118"/>
      <c r="G1902" s="118" t="s">
        <v>7278</v>
      </c>
      <c r="H1902" s="118" t="s">
        <v>2180</v>
      </c>
      <c r="I1902" s="118" t="s">
        <v>5546</v>
      </c>
      <c r="J1902" s="118" t="s">
        <v>2556</v>
      </c>
      <c r="K1902" s="141"/>
      <c r="L1902" s="135" t="str">
        <f t="shared" si="108"/>
        <v>Parascaptor leucura</v>
      </c>
      <c r="M1902" s="133">
        <f t="shared" si="110"/>
        <v>1.6590029370008397</v>
      </c>
      <c r="N1902" s="133">
        <v>45.603999999999999</v>
      </c>
      <c r="O1902" s="179" t="s">
        <v>1119</v>
      </c>
      <c r="P1902" s="108" t="s">
        <v>6946</v>
      </c>
      <c r="Q1902" s="80">
        <f>-8.5215+3.4845*LOG(115)</f>
        <v>-1.3409983752878389</v>
      </c>
    </row>
    <row r="1903" spans="1:30">
      <c r="A1903" s="213" t="s">
        <v>2592</v>
      </c>
      <c r="B1903" s="141" t="s">
        <v>1988</v>
      </c>
      <c r="C1903" s="118" t="s">
        <v>3817</v>
      </c>
      <c r="D1903" s="141"/>
      <c r="E1903" s="118"/>
      <c r="F1903" s="118"/>
      <c r="G1903" s="118" t="s">
        <v>7278</v>
      </c>
      <c r="H1903" s="118" t="s">
        <v>2180</v>
      </c>
      <c r="I1903" s="118" t="s">
        <v>5547</v>
      </c>
      <c r="J1903" s="118" t="s">
        <v>5548</v>
      </c>
      <c r="K1903" s="141"/>
      <c r="L1903" s="135" t="str">
        <f t="shared" si="108"/>
        <v>Scapanulus oweni</v>
      </c>
      <c r="M1903" s="133">
        <f t="shared" si="110"/>
        <v>1.5639554649958127</v>
      </c>
      <c r="N1903" s="133">
        <v>36.64</v>
      </c>
      <c r="O1903" s="179" t="s">
        <v>1825</v>
      </c>
      <c r="P1903" s="108" t="s">
        <v>1719</v>
      </c>
      <c r="Q1903" s="80">
        <f>-8.5215+3.4845*LOG(108)</f>
        <v>-1.4360349240057229</v>
      </c>
    </row>
    <row r="1904" spans="1:30">
      <c r="A1904" s="213" t="s">
        <v>2592</v>
      </c>
      <c r="B1904" s="156" t="s">
        <v>1988</v>
      </c>
      <c r="C1904" s="118" t="s">
        <v>3817</v>
      </c>
      <c r="D1904" s="141"/>
      <c r="E1904" s="118"/>
      <c r="F1904" s="118"/>
      <c r="G1904" s="118" t="s">
        <v>7278</v>
      </c>
      <c r="H1904" s="118" t="s">
        <v>2180</v>
      </c>
      <c r="I1904" s="118" t="s">
        <v>8280</v>
      </c>
      <c r="J1904" s="118" t="s">
        <v>7233</v>
      </c>
      <c r="K1904" s="141"/>
      <c r="L1904" s="135" t="str">
        <f t="shared" si="108"/>
        <v>Scaptochirus moschatus</v>
      </c>
      <c r="M1904" s="133">
        <f t="shared" si="110"/>
        <v>1.9566965648946508</v>
      </c>
      <c r="N1904" s="133">
        <v>90.51</v>
      </c>
      <c r="O1904" s="179" t="s">
        <v>282</v>
      </c>
      <c r="P1904" s="108" t="s">
        <v>281</v>
      </c>
      <c r="Q1904" s="80">
        <f>-8.5215 + 3.4845*LOG(140)</f>
        <v>-1.0433168596791784</v>
      </c>
      <c r="R1904" s="85" t="s">
        <v>279</v>
      </c>
    </row>
    <row r="1905" spans="1:20">
      <c r="A1905" s="213" t="s">
        <v>2592</v>
      </c>
      <c r="B1905" s="141" t="s">
        <v>7140</v>
      </c>
      <c r="C1905" s="118" t="s">
        <v>3817</v>
      </c>
      <c r="D1905" s="141"/>
      <c r="E1905" s="118"/>
      <c r="F1905" s="118"/>
      <c r="G1905" s="118" t="s">
        <v>7278</v>
      </c>
      <c r="H1905" s="118" t="s">
        <v>2180</v>
      </c>
      <c r="I1905" s="118" t="s">
        <v>5790</v>
      </c>
      <c r="J1905" s="118" t="s">
        <v>5791</v>
      </c>
      <c r="K1905" s="141"/>
      <c r="L1905" s="135" t="str">
        <f t="shared" si="108"/>
        <v>Scaptonyx fusicaudus</v>
      </c>
      <c r="M1905" s="133">
        <f t="shared" si="110"/>
        <v>1.2880255353883627</v>
      </c>
      <c r="N1905" s="133">
        <v>19.41</v>
      </c>
      <c r="O1905" s="179" t="s">
        <v>1962</v>
      </c>
      <c r="P1905" s="108" t="s">
        <v>237</v>
      </c>
      <c r="Q1905" s="80">
        <f>-8.5215 + 3.4845*LOG(90)</f>
        <v>-1.7119419758586716</v>
      </c>
      <c r="S1905" s="80"/>
    </row>
    <row r="1906" spans="1:20" ht="25.5">
      <c r="A1906" s="213" t="s">
        <v>2592</v>
      </c>
      <c r="B1906" s="141" t="s">
        <v>6979</v>
      </c>
      <c r="C1906" s="118" t="s">
        <v>3817</v>
      </c>
      <c r="D1906" s="141"/>
      <c r="E1906" s="118"/>
      <c r="F1906" s="118"/>
      <c r="G1906" s="118" t="s">
        <v>7278</v>
      </c>
      <c r="H1906" s="121" t="s">
        <v>2180</v>
      </c>
      <c r="I1906" s="118" t="s">
        <v>5263</v>
      </c>
      <c r="J1906" s="118" t="s">
        <v>3702</v>
      </c>
      <c r="K1906" s="141"/>
      <c r="L1906" s="135" t="str">
        <f t="shared" si="108"/>
        <v>Talpa stankovici</v>
      </c>
      <c r="M1906" s="133">
        <v>-999</v>
      </c>
      <c r="N1906" s="133">
        <v>-999</v>
      </c>
      <c r="O1906" s="179" t="s">
        <v>3356</v>
      </c>
      <c r="P1906" s="108">
        <v>-999</v>
      </c>
      <c r="Q1906" s="80"/>
    </row>
    <row r="1907" spans="1:20">
      <c r="A1907" s="213" t="s">
        <v>2592</v>
      </c>
      <c r="B1907" s="141" t="s">
        <v>2667</v>
      </c>
      <c r="C1907" s="118" t="s">
        <v>3817</v>
      </c>
      <c r="D1907" s="141"/>
      <c r="E1907" s="118"/>
      <c r="F1907" s="118"/>
      <c r="G1907" s="118" t="s">
        <v>7278</v>
      </c>
      <c r="H1907" s="118" t="s">
        <v>2180</v>
      </c>
      <c r="I1907" s="118" t="s">
        <v>5263</v>
      </c>
      <c r="J1907" s="118" t="s">
        <v>8279</v>
      </c>
      <c r="K1907" s="141"/>
      <c r="L1907" s="135" t="str">
        <f t="shared" si="108"/>
        <v>Talpa streeti</v>
      </c>
      <c r="M1907" s="133">
        <v>-999</v>
      </c>
      <c r="N1907" s="133">
        <v>-999</v>
      </c>
      <c r="O1907" s="179" t="s">
        <v>6641</v>
      </c>
      <c r="P1907" s="108">
        <v>-999</v>
      </c>
      <c r="Q1907" s="80" t="s">
        <v>7071</v>
      </c>
    </row>
    <row r="1908" spans="1:20">
      <c r="A1908" s="213" t="s">
        <v>2592</v>
      </c>
      <c r="B1908" s="141" t="s">
        <v>7566</v>
      </c>
      <c r="C1908" s="118" t="s">
        <v>3817</v>
      </c>
      <c r="D1908" s="141"/>
      <c r="E1908" s="118"/>
      <c r="F1908" s="118"/>
      <c r="G1908" s="118" t="s">
        <v>7278</v>
      </c>
      <c r="H1908" s="118" t="s">
        <v>2180</v>
      </c>
      <c r="I1908" s="118" t="s">
        <v>5263</v>
      </c>
      <c r="J1908" s="118" t="s">
        <v>4843</v>
      </c>
      <c r="K1908" s="141"/>
      <c r="L1908" s="135" t="str">
        <f t="shared" si="108"/>
        <v>Talpa occidentalis</v>
      </c>
      <c r="M1908" s="133">
        <f t="shared" ref="M1908:M1914" si="111">LOG(N1908)</f>
        <v>1.7283537820212285</v>
      </c>
      <c r="N1908" s="133">
        <v>53.5</v>
      </c>
      <c r="O1908" s="179" t="s">
        <v>3356</v>
      </c>
      <c r="P1908" s="108">
        <v>181</v>
      </c>
      <c r="Q1908" s="80"/>
      <c r="T1908" s="80"/>
    </row>
    <row r="1909" spans="1:20">
      <c r="A1909" s="213" t="s">
        <v>2592</v>
      </c>
      <c r="B1909" s="130"/>
      <c r="C1909" s="118" t="s">
        <v>3817</v>
      </c>
      <c r="D1909" s="141"/>
      <c r="E1909" s="118"/>
      <c r="F1909" s="118"/>
      <c r="G1909" s="118" t="s">
        <v>7278</v>
      </c>
      <c r="H1909" s="118" t="s">
        <v>2180</v>
      </c>
      <c r="I1909" s="118" t="s">
        <v>5263</v>
      </c>
      <c r="J1909" s="118" t="s">
        <v>5264</v>
      </c>
      <c r="K1909" s="141"/>
      <c r="L1909" s="135" t="str">
        <f t="shared" si="108"/>
        <v>Talpa europaea</v>
      </c>
      <c r="M1909" s="133">
        <f t="shared" si="111"/>
        <v>1.8864907251724818</v>
      </c>
      <c r="N1909" s="133">
        <v>77</v>
      </c>
      <c r="O1909" s="179" t="s">
        <v>6736</v>
      </c>
      <c r="P1909" s="108">
        <v>68</v>
      </c>
    </row>
    <row r="1910" spans="1:20" ht="51">
      <c r="A1910" s="213" t="s">
        <v>2592</v>
      </c>
      <c r="B1910" s="141" t="s">
        <v>6775</v>
      </c>
      <c r="C1910" s="118" t="s">
        <v>3817</v>
      </c>
      <c r="D1910" s="141"/>
      <c r="E1910" s="118"/>
      <c r="F1910" s="118"/>
      <c r="G1910" s="118" t="s">
        <v>7278</v>
      </c>
      <c r="H1910" s="118" t="s">
        <v>2180</v>
      </c>
      <c r="I1910" s="118" t="s">
        <v>5263</v>
      </c>
      <c r="J1910" s="118" t="s">
        <v>8222</v>
      </c>
      <c r="K1910" s="141"/>
      <c r="L1910" s="135" t="str">
        <f t="shared" si="108"/>
        <v>Talpa altaica</v>
      </c>
      <c r="M1910" s="133">
        <f t="shared" si="111"/>
        <v>1.9294189257142926</v>
      </c>
      <c r="N1910" s="133">
        <v>85</v>
      </c>
      <c r="O1910" s="179" t="s">
        <v>7961</v>
      </c>
      <c r="P1910" s="108" t="s">
        <v>7962</v>
      </c>
      <c r="Q1910" s="80"/>
    </row>
    <row r="1911" spans="1:20">
      <c r="A1911" s="213" t="s">
        <v>2592</v>
      </c>
      <c r="B1911" s="141" t="s">
        <v>6776</v>
      </c>
      <c r="C1911" s="118" t="s">
        <v>3817</v>
      </c>
      <c r="D1911" s="141"/>
      <c r="E1911" s="118"/>
      <c r="F1911" s="118"/>
      <c r="G1911" s="118" t="s">
        <v>7278</v>
      </c>
      <c r="H1911" s="118" t="s">
        <v>2180</v>
      </c>
      <c r="I1911" s="118" t="s">
        <v>5263</v>
      </c>
      <c r="J1911" s="118" t="s">
        <v>5601</v>
      </c>
      <c r="K1911" s="141"/>
      <c r="L1911" s="135" t="str">
        <f t="shared" si="108"/>
        <v>Talpa caucasica</v>
      </c>
      <c r="M1911" s="133">
        <f t="shared" si="111"/>
        <v>1.954242509439325</v>
      </c>
      <c r="N1911" s="133">
        <f>0.09*1000</f>
        <v>90</v>
      </c>
      <c r="O1911" s="179" t="s">
        <v>3356</v>
      </c>
      <c r="P1911" s="108" t="s">
        <v>7950</v>
      </c>
      <c r="Q1911" s="80"/>
    </row>
    <row r="1912" spans="1:20" ht="24" customHeight="1">
      <c r="A1912" s="213" t="s">
        <v>2592</v>
      </c>
      <c r="B1912" s="141" t="s">
        <v>7565</v>
      </c>
      <c r="C1912" s="118" t="s">
        <v>3817</v>
      </c>
      <c r="D1912" s="141"/>
      <c r="E1912" s="118"/>
      <c r="F1912" s="118"/>
      <c r="G1912" s="118" t="s">
        <v>7278</v>
      </c>
      <c r="H1912" s="118" t="s">
        <v>2180</v>
      </c>
      <c r="I1912" s="118" t="s">
        <v>5263</v>
      </c>
      <c r="J1912" s="118" t="s">
        <v>5793</v>
      </c>
      <c r="K1912" s="141"/>
      <c r="L1912" s="135" t="str">
        <f t="shared" si="108"/>
        <v>Talpa levantis</v>
      </c>
      <c r="M1912" s="133">
        <f t="shared" si="111"/>
        <v>1.954242509439325</v>
      </c>
      <c r="N1912" s="133">
        <v>90</v>
      </c>
      <c r="O1912" s="179" t="s">
        <v>3356</v>
      </c>
      <c r="P1912" s="108" t="s">
        <v>7950</v>
      </c>
      <c r="Q1912" s="88"/>
    </row>
    <row r="1913" spans="1:20" ht="25.5">
      <c r="A1913" s="213" t="s">
        <v>2592</v>
      </c>
      <c r="B1913" s="130"/>
      <c r="C1913" s="118" t="s">
        <v>3817</v>
      </c>
      <c r="D1913" s="141"/>
      <c r="E1913" s="118"/>
      <c r="F1913" s="118"/>
      <c r="G1913" s="118" t="s">
        <v>7278</v>
      </c>
      <c r="H1913" s="118" t="s">
        <v>2180</v>
      </c>
      <c r="I1913" s="118" t="s">
        <v>5263</v>
      </c>
      <c r="J1913" s="118" t="s">
        <v>5792</v>
      </c>
      <c r="K1913" s="141"/>
      <c r="L1913" s="135" t="str">
        <f t="shared" si="108"/>
        <v>Talpa caeca</v>
      </c>
      <c r="M1913" s="133">
        <f t="shared" si="111"/>
        <v>1.9661417327390327</v>
      </c>
      <c r="N1913" s="133">
        <f>(65+120)/2</f>
        <v>92.5</v>
      </c>
      <c r="O1913" s="179" t="s">
        <v>3356</v>
      </c>
      <c r="P1913" s="108">
        <v>134</v>
      </c>
      <c r="Q1913" s="80" t="s">
        <v>6888</v>
      </c>
      <c r="R1913" s="87"/>
    </row>
    <row r="1914" spans="1:20" ht="25.5">
      <c r="A1914" s="213" t="s">
        <v>2592</v>
      </c>
      <c r="B1914" s="130"/>
      <c r="C1914" s="118" t="s">
        <v>3817</v>
      </c>
      <c r="D1914" s="141"/>
      <c r="E1914" s="118"/>
      <c r="F1914" s="118"/>
      <c r="G1914" s="118" t="s">
        <v>7278</v>
      </c>
      <c r="H1914" s="118" t="s">
        <v>2180</v>
      </c>
      <c r="I1914" s="118" t="s">
        <v>5263</v>
      </c>
      <c r="J1914" s="118" t="s">
        <v>5539</v>
      </c>
      <c r="K1914" s="141"/>
      <c r="L1914" s="135" t="str">
        <f t="shared" si="108"/>
        <v>Talpa romana</v>
      </c>
      <c r="M1914" s="133">
        <f t="shared" si="111"/>
        <v>1.9661417327390327</v>
      </c>
      <c r="N1914" s="133">
        <v>92.5</v>
      </c>
      <c r="O1914" s="179" t="s">
        <v>3356</v>
      </c>
      <c r="P1914" s="108">
        <v>134</v>
      </c>
      <c r="Q1914" s="80" t="s">
        <v>6888</v>
      </c>
      <c r="R1914" s="87"/>
    </row>
    <row r="1915" spans="1:20" ht="60" customHeight="1">
      <c r="A1915" s="213" t="s">
        <v>2592</v>
      </c>
      <c r="B1915" s="141" t="s">
        <v>1988</v>
      </c>
      <c r="C1915" s="118" t="s">
        <v>3817</v>
      </c>
      <c r="D1915" s="141"/>
      <c r="E1915" s="118"/>
      <c r="F1915" s="118"/>
      <c r="G1915" s="118" t="s">
        <v>7278</v>
      </c>
      <c r="H1915" s="118" t="s">
        <v>2180</v>
      </c>
      <c r="I1915" s="118" t="s">
        <v>8233</v>
      </c>
      <c r="J1915" s="118" t="s">
        <v>4402</v>
      </c>
      <c r="K1915" s="141"/>
      <c r="L1915" s="135" t="str">
        <f t="shared" si="108"/>
        <v>Uropsilus andersoni</v>
      </c>
      <c r="M1915" s="133">
        <v>-999</v>
      </c>
      <c r="N1915" s="133">
        <v>-999</v>
      </c>
      <c r="O1915" s="179" t="s">
        <v>3356</v>
      </c>
      <c r="P1915" s="108">
        <v>-999</v>
      </c>
      <c r="Q1915" s="80"/>
      <c r="R1915" s="89"/>
    </row>
    <row r="1916" spans="1:20">
      <c r="A1916" s="213" t="s">
        <v>2592</v>
      </c>
      <c r="B1916" s="141" t="s">
        <v>7744</v>
      </c>
      <c r="C1916" s="118" t="s">
        <v>3817</v>
      </c>
      <c r="D1916" s="141"/>
      <c r="E1916" s="118"/>
      <c r="F1916" s="118"/>
      <c r="G1916" s="118" t="s">
        <v>7278</v>
      </c>
      <c r="H1916" s="118" t="s">
        <v>2180</v>
      </c>
      <c r="I1916" s="118" t="s">
        <v>8233</v>
      </c>
      <c r="J1916" s="118" t="s">
        <v>3786</v>
      </c>
      <c r="K1916" s="141"/>
      <c r="L1916" s="135" t="str">
        <f t="shared" si="108"/>
        <v>Uropsilus gracilis</v>
      </c>
      <c r="M1916" s="133">
        <v>-999</v>
      </c>
      <c r="N1916" s="133">
        <v>-999</v>
      </c>
      <c r="O1916" s="179" t="s">
        <v>3356</v>
      </c>
      <c r="P1916" s="108">
        <v>-999</v>
      </c>
      <c r="Q1916" s="80"/>
    </row>
    <row r="1917" spans="1:20">
      <c r="A1917" s="213" t="s">
        <v>2592</v>
      </c>
      <c r="B1917" s="141" t="s">
        <v>1988</v>
      </c>
      <c r="C1917" s="118" t="s">
        <v>3817</v>
      </c>
      <c r="D1917" s="141"/>
      <c r="E1917" s="118"/>
      <c r="F1917" s="118"/>
      <c r="G1917" s="118" t="s">
        <v>7278</v>
      </c>
      <c r="H1917" s="118" t="s">
        <v>2180</v>
      </c>
      <c r="I1917" s="118" t="s">
        <v>8233</v>
      </c>
      <c r="J1917" s="118" t="s">
        <v>8236</v>
      </c>
      <c r="K1917" s="141"/>
      <c r="L1917" s="135" t="str">
        <f t="shared" si="108"/>
        <v>Uropsilus investigator</v>
      </c>
      <c r="M1917" s="133">
        <v>-999</v>
      </c>
      <c r="N1917" s="133">
        <v>-999</v>
      </c>
      <c r="O1917" s="179" t="s">
        <v>6882</v>
      </c>
      <c r="P1917" s="108">
        <v>-999</v>
      </c>
      <c r="Q1917" s="80" t="s">
        <v>6640</v>
      </c>
    </row>
    <row r="1918" spans="1:20" ht="24" customHeight="1">
      <c r="A1918" s="213" t="s">
        <v>2592</v>
      </c>
      <c r="B1918" s="141" t="s">
        <v>1988</v>
      </c>
      <c r="C1918" s="118" t="s">
        <v>3817</v>
      </c>
      <c r="D1918" s="141"/>
      <c r="E1918" s="118"/>
      <c r="F1918" s="118"/>
      <c r="G1918" s="118" t="s">
        <v>7278</v>
      </c>
      <c r="H1918" s="118" t="s">
        <v>2180</v>
      </c>
      <c r="I1918" s="118" t="s">
        <v>8233</v>
      </c>
      <c r="J1918" s="118" t="s">
        <v>3456</v>
      </c>
      <c r="K1918" s="141"/>
      <c r="L1918" s="135" t="str">
        <f t="shared" si="108"/>
        <v>Uropsilus soricipes</v>
      </c>
      <c r="M1918" s="133">
        <f>LOG(N1918)</f>
        <v>1.2041199826559248</v>
      </c>
      <c r="N1918" s="133">
        <f>AVERAGE(12, 20)</f>
        <v>16</v>
      </c>
      <c r="O1918" s="179" t="s">
        <v>7080</v>
      </c>
      <c r="P1918" s="108">
        <v>140</v>
      </c>
      <c r="Q1918" s="88" t="s">
        <v>6640</v>
      </c>
    </row>
    <row r="1919" spans="1:20" ht="25.5">
      <c r="A1919" s="213" t="s">
        <v>2592</v>
      </c>
      <c r="B1919" s="130" t="s">
        <v>2527</v>
      </c>
      <c r="C1919" s="118" t="s">
        <v>3817</v>
      </c>
      <c r="D1919" s="141"/>
      <c r="E1919" s="118"/>
      <c r="F1919" s="118"/>
      <c r="G1919" s="118" t="s">
        <v>7345</v>
      </c>
      <c r="H1919" s="118" t="s">
        <v>7346</v>
      </c>
      <c r="I1919" s="118" t="s">
        <v>5464</v>
      </c>
      <c r="J1919" s="118" t="s">
        <v>4174</v>
      </c>
      <c r="K1919" s="141"/>
      <c r="L1919" s="135" t="str">
        <f t="shared" si="108"/>
        <v>Caprolagus hispidus</v>
      </c>
      <c r="M1919" s="133">
        <f>LOG(N1919)</f>
        <v>3.3974185423513479</v>
      </c>
      <c r="N1919" s="133">
        <f>454*5.5</f>
        <v>2497</v>
      </c>
      <c r="O1919" s="179" t="s">
        <v>8149</v>
      </c>
      <c r="P1919" s="108">
        <v>133</v>
      </c>
      <c r="Q1919" s="80" t="s">
        <v>6640</v>
      </c>
    </row>
    <row r="1920" spans="1:20">
      <c r="A1920" s="213" t="s">
        <v>2592</v>
      </c>
      <c r="B1920" s="141" t="s">
        <v>2250</v>
      </c>
      <c r="C1920" s="118" t="s">
        <v>3817</v>
      </c>
      <c r="D1920" s="141"/>
      <c r="E1920" s="118"/>
      <c r="F1920" s="118"/>
      <c r="G1920" s="118" t="s">
        <v>7345</v>
      </c>
      <c r="H1920" s="118" t="s">
        <v>7346</v>
      </c>
      <c r="I1920" s="118" t="s">
        <v>7340</v>
      </c>
      <c r="J1920" s="118" t="s">
        <v>5718</v>
      </c>
      <c r="K1920" s="141"/>
      <c r="L1920" s="135" t="str">
        <f t="shared" si="108"/>
        <v>Lepus castroviejoi</v>
      </c>
      <c r="M1920" s="133">
        <v>-999</v>
      </c>
      <c r="N1920" s="133">
        <v>-999</v>
      </c>
      <c r="O1920" s="179" t="s">
        <v>6773</v>
      </c>
      <c r="P1920" s="108">
        <v>-999</v>
      </c>
      <c r="Q1920" s="80" t="s">
        <v>6988</v>
      </c>
    </row>
    <row r="1921" spans="1:30">
      <c r="A1921" s="213" t="s">
        <v>2592</v>
      </c>
      <c r="B1921" s="141" t="s">
        <v>4752</v>
      </c>
      <c r="C1921" s="118" t="s">
        <v>3817</v>
      </c>
      <c r="D1921" s="141"/>
      <c r="E1921" s="118"/>
      <c r="F1921" s="118"/>
      <c r="G1921" s="118" t="s">
        <v>7345</v>
      </c>
      <c r="H1921" s="118" t="s">
        <v>7346</v>
      </c>
      <c r="I1921" s="118" t="s">
        <v>7340</v>
      </c>
      <c r="J1921" s="118" t="s">
        <v>5720</v>
      </c>
      <c r="K1921" s="141"/>
      <c r="L1921" s="135" t="str">
        <f t="shared" si="108"/>
        <v>Lepus coreanus</v>
      </c>
      <c r="M1921" s="133">
        <v>-999</v>
      </c>
      <c r="N1921" s="133">
        <v>-999</v>
      </c>
      <c r="O1921" s="179" t="s">
        <v>3356</v>
      </c>
      <c r="P1921" s="108">
        <v>-999</v>
      </c>
      <c r="Q1921" s="80"/>
    </row>
    <row r="1922" spans="1:30">
      <c r="A1922" s="118" t="s">
        <v>2592</v>
      </c>
      <c r="B1922" s="141" t="s">
        <v>1988</v>
      </c>
      <c r="C1922" s="118" t="s">
        <v>3817</v>
      </c>
      <c r="D1922" s="141"/>
      <c r="E1922" s="118"/>
      <c r="F1922" s="118"/>
      <c r="G1922" s="118" t="s">
        <v>7345</v>
      </c>
      <c r="H1922" s="118" t="s">
        <v>7346</v>
      </c>
      <c r="I1922" s="118" t="s">
        <v>7340</v>
      </c>
      <c r="J1922" s="118" t="s">
        <v>8313</v>
      </c>
      <c r="K1922" s="141"/>
      <c r="L1922" s="135" t="str">
        <f t="shared" si="108"/>
        <v>Lepus yarkandensis</v>
      </c>
      <c r="M1922" s="133">
        <v>-999</v>
      </c>
      <c r="N1922" s="133">
        <v>-999</v>
      </c>
      <c r="O1922" s="179" t="s">
        <v>7081</v>
      </c>
      <c r="P1922" s="108">
        <v>-999</v>
      </c>
      <c r="Q1922" s="80" t="s">
        <v>6642</v>
      </c>
    </row>
    <row r="1923" spans="1:30" s="62" customFormat="1">
      <c r="A1923" s="213" t="s">
        <v>2592</v>
      </c>
      <c r="B1923" s="141" t="s">
        <v>1988</v>
      </c>
      <c r="C1923" s="118" t="s">
        <v>3817</v>
      </c>
      <c r="D1923" s="141"/>
      <c r="E1923" s="118"/>
      <c r="F1923" s="118"/>
      <c r="G1923" s="118" t="s">
        <v>7345</v>
      </c>
      <c r="H1923" s="118" t="s">
        <v>7346</v>
      </c>
      <c r="I1923" s="118" t="s">
        <v>7340</v>
      </c>
      <c r="J1923" s="118" t="s">
        <v>5719</v>
      </c>
      <c r="K1923" s="141"/>
      <c r="L1923" s="135" t="str">
        <f t="shared" si="108"/>
        <v>Lepus comus</v>
      </c>
      <c r="M1923" s="133">
        <f t="shared" ref="M1923:M1937" si="112">LOG(N1923)</f>
        <v>3.1643528557844371</v>
      </c>
      <c r="N1923" s="133">
        <f>1000*1.46</f>
        <v>1460</v>
      </c>
      <c r="O1923" s="179"/>
      <c r="P1923" s="108">
        <v>60</v>
      </c>
      <c r="Q1923" s="80"/>
      <c r="R1923" s="85"/>
      <c r="S1923" s="85"/>
      <c r="T1923" s="85"/>
      <c r="U1923" s="16"/>
      <c r="V1923" s="16"/>
      <c r="W1923" s="61"/>
      <c r="X1923" s="61"/>
      <c r="Y1923" s="61"/>
      <c r="Z1923" s="61"/>
      <c r="AA1923" s="61"/>
      <c r="AB1923" s="61"/>
      <c r="AC1923" s="61"/>
      <c r="AD1923" s="64"/>
    </row>
    <row r="1924" spans="1:30">
      <c r="A1924" s="217" t="s">
        <v>2592</v>
      </c>
      <c r="B1924" s="141" t="s">
        <v>5988</v>
      </c>
      <c r="C1924" s="118" t="s">
        <v>3817</v>
      </c>
      <c r="D1924" s="141"/>
      <c r="E1924" s="118"/>
      <c r="F1924" s="118"/>
      <c r="G1924" s="118" t="s">
        <v>7345</v>
      </c>
      <c r="H1924" s="118" t="s">
        <v>7346</v>
      </c>
      <c r="I1924" s="118" t="s">
        <v>7340</v>
      </c>
      <c r="J1924" s="118" t="s">
        <v>4967</v>
      </c>
      <c r="K1924" s="141"/>
      <c r="L1924" s="135" t="str">
        <f t="shared" si="108"/>
        <v>Lepus sinensis</v>
      </c>
      <c r="M1924" s="133">
        <f t="shared" si="112"/>
        <v>3.1789769472931693</v>
      </c>
      <c r="N1924" s="133">
        <v>1510</v>
      </c>
      <c r="O1924" s="179" t="s">
        <v>3356</v>
      </c>
      <c r="P1924" s="108">
        <v>60</v>
      </c>
      <c r="Q1924" s="80"/>
    </row>
    <row r="1925" spans="1:30" ht="25.5">
      <c r="A1925" s="213" t="s">
        <v>2592</v>
      </c>
      <c r="B1925" s="141" t="s">
        <v>2200</v>
      </c>
      <c r="C1925" s="118" t="s">
        <v>3817</v>
      </c>
      <c r="D1925" s="141"/>
      <c r="E1925" s="118"/>
      <c r="F1925" s="118"/>
      <c r="G1925" s="118" t="s">
        <v>7345</v>
      </c>
      <c r="H1925" s="118" t="s">
        <v>7346</v>
      </c>
      <c r="I1925" s="118" t="s">
        <v>7340</v>
      </c>
      <c r="J1925" s="118" t="s">
        <v>5756</v>
      </c>
      <c r="K1925" s="141"/>
      <c r="L1925" s="135" t="str">
        <f t="shared" ref="L1925:L1988" si="113">I1925&amp;" "&amp;J1925</f>
        <v>Lepus tolai</v>
      </c>
      <c r="M1925" s="133">
        <f t="shared" si="112"/>
        <v>3.2011238972073794</v>
      </c>
      <c r="N1925" s="133">
        <f>3.5*454</f>
        <v>1589</v>
      </c>
      <c r="O1925" s="179" t="s">
        <v>3356</v>
      </c>
      <c r="P1925" s="108">
        <v>133</v>
      </c>
      <c r="Q1925" s="80"/>
    </row>
    <row r="1926" spans="1:30" ht="24" customHeight="1">
      <c r="A1926" s="213" t="s">
        <v>2592</v>
      </c>
      <c r="B1926" s="141" t="s">
        <v>2387</v>
      </c>
      <c r="C1926" s="118" t="s">
        <v>3817</v>
      </c>
      <c r="D1926" s="141"/>
      <c r="E1926" s="118"/>
      <c r="F1926" s="118"/>
      <c r="G1926" s="118" t="s">
        <v>7345</v>
      </c>
      <c r="H1926" s="118" t="s">
        <v>7346</v>
      </c>
      <c r="I1926" s="118" t="s">
        <v>7340</v>
      </c>
      <c r="J1926" s="118" t="s">
        <v>5752</v>
      </c>
      <c r="K1926" s="141"/>
      <c r="L1926" s="135" t="str">
        <f t="shared" si="113"/>
        <v>Lepus mandshuricus</v>
      </c>
      <c r="M1926" s="133">
        <f t="shared" si="112"/>
        <v>3.255272505103306</v>
      </c>
      <c r="N1926" s="133">
        <v>1800</v>
      </c>
      <c r="O1926" s="179" t="s">
        <v>3356</v>
      </c>
      <c r="P1926" s="108">
        <v>171</v>
      </c>
      <c r="Q1926" s="88"/>
    </row>
    <row r="1927" spans="1:30">
      <c r="A1927" s="213" t="s">
        <v>2592</v>
      </c>
      <c r="B1927" s="130"/>
      <c r="C1927" s="118" t="s">
        <v>3817</v>
      </c>
      <c r="D1927" s="141"/>
      <c r="E1927" s="118"/>
      <c r="F1927" s="118"/>
      <c r="G1927" s="118" t="s">
        <v>7345</v>
      </c>
      <c r="H1927" s="118" t="s">
        <v>7346</v>
      </c>
      <c r="I1927" s="118" t="s">
        <v>7340</v>
      </c>
      <c r="J1927" s="118" t="s">
        <v>7341</v>
      </c>
      <c r="K1927" s="141"/>
      <c r="L1927" s="135" t="str">
        <f t="shared" si="113"/>
        <v>Lepus nigricollis</v>
      </c>
      <c r="M1927" s="133">
        <f t="shared" si="112"/>
        <v>3.3222192947339191</v>
      </c>
      <c r="N1927" s="133">
        <v>2100</v>
      </c>
      <c r="O1927" s="179" t="s">
        <v>3356</v>
      </c>
      <c r="P1927" s="115">
        <v>75</v>
      </c>
    </row>
    <row r="1928" spans="1:30" ht="38.25">
      <c r="A1928" s="213" t="s">
        <v>2592</v>
      </c>
      <c r="B1928" s="141" t="s">
        <v>5976</v>
      </c>
      <c r="C1928" s="118" t="s">
        <v>3817</v>
      </c>
      <c r="D1928" s="141"/>
      <c r="E1928" s="118"/>
      <c r="F1928" s="118"/>
      <c r="G1928" s="118" t="s">
        <v>7345</v>
      </c>
      <c r="H1928" s="118" t="s">
        <v>7346</v>
      </c>
      <c r="I1928" s="118" t="s">
        <v>7340</v>
      </c>
      <c r="J1928" s="118" t="s">
        <v>5754</v>
      </c>
      <c r="K1928" s="141"/>
      <c r="L1928" s="135" t="str">
        <f t="shared" si="113"/>
        <v>Lepus pequensis</v>
      </c>
      <c r="M1928" s="133">
        <f t="shared" si="112"/>
        <v>3.323252100171687</v>
      </c>
      <c r="N1928" s="133">
        <f>AVERAGE(1850, 2360)</f>
        <v>2105</v>
      </c>
      <c r="O1928" s="179" t="s">
        <v>3356</v>
      </c>
      <c r="P1928" s="108">
        <v>60</v>
      </c>
      <c r="Q1928" s="80"/>
    </row>
    <row r="1929" spans="1:30">
      <c r="A1929" s="213" t="s">
        <v>2592</v>
      </c>
      <c r="B1929" s="141" t="s">
        <v>2407</v>
      </c>
      <c r="C1929" s="118" t="s">
        <v>3817</v>
      </c>
      <c r="D1929" s="141"/>
      <c r="E1929" s="118"/>
      <c r="F1929" s="118"/>
      <c r="G1929" s="118" t="s">
        <v>7345</v>
      </c>
      <c r="H1929" s="118" t="s">
        <v>7346</v>
      </c>
      <c r="I1929" s="118" t="s">
        <v>7340</v>
      </c>
      <c r="J1929" s="118" t="s">
        <v>5188</v>
      </c>
      <c r="K1929" s="141"/>
      <c r="L1929" s="135" t="str">
        <f t="shared" si="113"/>
        <v>Lepus corsicanus</v>
      </c>
      <c r="M1929" s="133">
        <f t="shared" si="112"/>
        <v>3.4771212547196626</v>
      </c>
      <c r="N1929" s="133">
        <v>3000</v>
      </c>
      <c r="O1929" s="179" t="s">
        <v>3356</v>
      </c>
      <c r="P1929" s="108">
        <v>182</v>
      </c>
      <c r="Q1929" s="80"/>
    </row>
    <row r="1930" spans="1:30" ht="12" customHeight="1">
      <c r="A1930" s="213" t="s">
        <v>2592</v>
      </c>
      <c r="B1930" s="141" t="s">
        <v>2388</v>
      </c>
      <c r="C1930" s="118" t="s">
        <v>3817</v>
      </c>
      <c r="D1930" s="141"/>
      <c r="E1930" s="118"/>
      <c r="F1930" s="118"/>
      <c r="G1930" s="118" t="s">
        <v>7345</v>
      </c>
      <c r="H1930" s="118" t="s">
        <v>7346</v>
      </c>
      <c r="I1930" s="118" t="s">
        <v>7340</v>
      </c>
      <c r="J1930" s="118" t="s">
        <v>5753</v>
      </c>
      <c r="K1930" s="141"/>
      <c r="L1930" s="135" t="str">
        <f t="shared" si="113"/>
        <v>Lepus oiostolus</v>
      </c>
      <c r="M1930" s="133">
        <f t="shared" si="112"/>
        <v>3.4771212547196626</v>
      </c>
      <c r="N1930" s="133">
        <v>3000</v>
      </c>
      <c r="O1930" s="179" t="s">
        <v>3356</v>
      </c>
      <c r="P1930" s="108">
        <v>177</v>
      </c>
      <c r="Q1930" s="88"/>
    </row>
    <row r="1931" spans="1:30" ht="84" customHeight="1">
      <c r="A1931" s="213" t="s">
        <v>2592</v>
      </c>
      <c r="B1931" s="130"/>
      <c r="C1931" s="118" t="s">
        <v>3817</v>
      </c>
      <c r="D1931" s="141"/>
      <c r="E1931" s="118"/>
      <c r="F1931" s="118"/>
      <c r="G1931" s="118" t="s">
        <v>7345</v>
      </c>
      <c r="H1931" s="118" t="s">
        <v>7346</v>
      </c>
      <c r="I1931" s="118" t="s">
        <v>7340</v>
      </c>
      <c r="J1931" s="118" t="s">
        <v>5816</v>
      </c>
      <c r="K1931" s="141"/>
      <c r="L1931" s="135" t="str">
        <f t="shared" si="113"/>
        <v>Lepus timidus</v>
      </c>
      <c r="M1931" s="133">
        <f t="shared" si="112"/>
        <v>3.4840149626675627</v>
      </c>
      <c r="N1931" s="133">
        <v>3048</v>
      </c>
      <c r="O1931" s="179" t="s">
        <v>6736</v>
      </c>
      <c r="P1931" s="108">
        <v>68</v>
      </c>
      <c r="Q1931" s="88"/>
      <c r="T1931" s="80"/>
    </row>
    <row r="1932" spans="1:30" ht="12" customHeight="1">
      <c r="A1932" s="213" t="s">
        <v>2592</v>
      </c>
      <c r="B1932" s="130"/>
      <c r="C1932" s="118" t="s">
        <v>3817</v>
      </c>
      <c r="D1932" s="141"/>
      <c r="E1932" s="118"/>
      <c r="F1932" s="118"/>
      <c r="G1932" s="118" t="s">
        <v>7345</v>
      </c>
      <c r="H1932" s="118" t="s">
        <v>7346</v>
      </c>
      <c r="I1932" s="118" t="s">
        <v>7340</v>
      </c>
      <c r="J1932" s="118" t="s">
        <v>8140</v>
      </c>
      <c r="K1932" s="141"/>
      <c r="L1932" s="135" t="str">
        <f t="shared" si="113"/>
        <v>Lepus europaeus</v>
      </c>
      <c r="M1932" s="133">
        <f t="shared" si="112"/>
        <v>3.5728716022004803</v>
      </c>
      <c r="N1932" s="133">
        <v>3740</v>
      </c>
      <c r="O1932" s="179" t="s">
        <v>6736</v>
      </c>
      <c r="P1932" s="108">
        <v>68</v>
      </c>
      <c r="Q1932" s="88"/>
    </row>
    <row r="1933" spans="1:30">
      <c r="A1933" s="213" t="s">
        <v>2592</v>
      </c>
      <c r="B1933" s="130"/>
      <c r="C1933" s="118" t="s">
        <v>3817</v>
      </c>
      <c r="D1933" s="141"/>
      <c r="E1933" s="118"/>
      <c r="F1933" s="118"/>
      <c r="G1933" s="118" t="s">
        <v>7345</v>
      </c>
      <c r="H1933" s="118" t="s">
        <v>7346</v>
      </c>
      <c r="I1933" s="118" t="s">
        <v>7340</v>
      </c>
      <c r="J1933" s="118" t="s">
        <v>4259</v>
      </c>
      <c r="K1933" s="141"/>
      <c r="L1933" s="135" t="str">
        <f t="shared" si="113"/>
        <v>Lepus capensis</v>
      </c>
      <c r="M1933" s="133">
        <f t="shared" si="112"/>
        <v>3.6031443726201822</v>
      </c>
      <c r="N1933" s="133">
        <f>AVERAGE(2500, 6500, 3030)</f>
        <v>4010</v>
      </c>
      <c r="O1933" s="179" t="s">
        <v>1427</v>
      </c>
      <c r="P1933" s="108" t="s">
        <v>7776</v>
      </c>
      <c r="Q1933" s="80"/>
    </row>
    <row r="1934" spans="1:30" ht="25.5">
      <c r="A1934" s="213" t="s">
        <v>2592</v>
      </c>
      <c r="B1934" s="141" t="s">
        <v>2250</v>
      </c>
      <c r="C1934" s="118" t="s">
        <v>3817</v>
      </c>
      <c r="D1934" s="141"/>
      <c r="E1934" s="118"/>
      <c r="F1934" s="118"/>
      <c r="G1934" s="118" t="s">
        <v>7345</v>
      </c>
      <c r="H1934" s="118" t="s">
        <v>7346</v>
      </c>
      <c r="I1934" s="118" t="s">
        <v>7340</v>
      </c>
      <c r="J1934" s="118" t="s">
        <v>7990</v>
      </c>
      <c r="K1934" s="141"/>
      <c r="L1934" s="135" t="str">
        <f t="shared" si="113"/>
        <v>Lepus granatensis</v>
      </c>
      <c r="M1934" s="133">
        <f t="shared" si="112"/>
        <v>3.6031443726201822</v>
      </c>
      <c r="N1934" s="133">
        <v>4010</v>
      </c>
      <c r="O1934" s="179" t="s">
        <v>7691</v>
      </c>
      <c r="P1934" s="108">
        <v>183</v>
      </c>
      <c r="Q1934" s="80"/>
    </row>
    <row r="1935" spans="1:30">
      <c r="A1935" s="217" t="s">
        <v>2592</v>
      </c>
      <c r="B1935" s="130"/>
      <c r="C1935" s="129" t="s">
        <v>3817</v>
      </c>
      <c r="D1935" s="144"/>
      <c r="E1935" s="129"/>
      <c r="F1935" s="129"/>
      <c r="G1935" s="129" t="s">
        <v>7345</v>
      </c>
      <c r="H1935" s="129" t="s">
        <v>7346</v>
      </c>
      <c r="I1935" s="129" t="s">
        <v>7336</v>
      </c>
      <c r="J1935" s="129" t="s">
        <v>4210</v>
      </c>
      <c r="K1935" s="144"/>
      <c r="L1935" s="135" t="str">
        <f t="shared" si="113"/>
        <v>Oryctolagus cuniculus</v>
      </c>
      <c r="M1935" s="133">
        <f t="shared" si="112"/>
        <v>3.2471546148811266</v>
      </c>
      <c r="N1935" s="159">
        <f>AVERAGE(1300, 2200, 1800)</f>
        <v>1766.6666666666667</v>
      </c>
      <c r="O1935" s="187" t="s">
        <v>1432</v>
      </c>
      <c r="P1935" s="120" t="s">
        <v>7776</v>
      </c>
      <c r="Q1935" s="78"/>
    </row>
    <row r="1936" spans="1:30">
      <c r="A1936" s="213" t="s">
        <v>2592</v>
      </c>
      <c r="B1936" s="141" t="s">
        <v>1988</v>
      </c>
      <c r="C1936" s="118" t="s">
        <v>3817</v>
      </c>
      <c r="D1936" s="141"/>
      <c r="E1936" s="118"/>
      <c r="F1936" s="118"/>
      <c r="G1936" s="118" t="s">
        <v>7345</v>
      </c>
      <c r="H1936" s="118" t="s">
        <v>7542</v>
      </c>
      <c r="I1936" s="118" t="s">
        <v>4239</v>
      </c>
      <c r="J1936" s="118" t="s">
        <v>7758</v>
      </c>
      <c r="K1936" s="141"/>
      <c r="L1936" s="135" t="str">
        <f t="shared" si="113"/>
        <v>Ochotona cansus</v>
      </c>
      <c r="M1936" s="133">
        <f t="shared" si="112"/>
        <v>1.8372727025023003</v>
      </c>
      <c r="N1936" s="133">
        <v>68.75</v>
      </c>
      <c r="O1936" s="179" t="s">
        <v>3356</v>
      </c>
      <c r="P1936" s="108" t="s">
        <v>127</v>
      </c>
      <c r="Q1936" s="80"/>
      <c r="T1936" s="80"/>
    </row>
    <row r="1937" spans="1:30" ht="48" customHeight="1">
      <c r="A1937" s="213" t="s">
        <v>2592</v>
      </c>
      <c r="B1937" s="141" t="s">
        <v>6558</v>
      </c>
      <c r="C1937" s="118" t="s">
        <v>3817</v>
      </c>
      <c r="D1937" s="141"/>
      <c r="E1937" s="118"/>
      <c r="F1937" s="118"/>
      <c r="G1937" s="118" t="s">
        <v>7345</v>
      </c>
      <c r="H1937" s="118" t="s">
        <v>7542</v>
      </c>
      <c r="I1937" s="118" t="s">
        <v>4239</v>
      </c>
      <c r="J1937" s="118" t="s">
        <v>7761</v>
      </c>
      <c r="K1937" s="141"/>
      <c r="L1937" s="135" t="str">
        <f t="shared" si="113"/>
        <v>Ochotona curzoniae</v>
      </c>
      <c r="M1937" s="133">
        <f t="shared" si="112"/>
        <v>2.1188431794854949</v>
      </c>
      <c r="N1937" s="133">
        <f>AVERAGE(135.9, 128.2, 132.2, 129.6)</f>
        <v>131.47499999999999</v>
      </c>
      <c r="O1937" s="179" t="s">
        <v>3356</v>
      </c>
      <c r="P1937" s="108">
        <v>283</v>
      </c>
      <c r="Q1937" s="88"/>
    </row>
    <row r="1938" spans="1:30">
      <c r="A1938" s="213" t="s">
        <v>2592</v>
      </c>
      <c r="B1938" s="141" t="s">
        <v>5989</v>
      </c>
      <c r="C1938" s="118" t="s">
        <v>3817</v>
      </c>
      <c r="D1938" s="141"/>
      <c r="E1938" s="118"/>
      <c r="F1938" s="118"/>
      <c r="G1938" s="118" t="s">
        <v>7345</v>
      </c>
      <c r="H1938" s="118" t="s">
        <v>7542</v>
      </c>
      <c r="I1938" s="118" t="s">
        <v>4239</v>
      </c>
      <c r="J1938" s="118" t="s">
        <v>7360</v>
      </c>
      <c r="K1938" s="141"/>
      <c r="L1938" s="135" t="str">
        <f t="shared" si="113"/>
        <v>Ochotona forresti</v>
      </c>
      <c r="M1938" s="133">
        <v>-999</v>
      </c>
      <c r="N1938" s="133">
        <v>-999</v>
      </c>
      <c r="O1938" s="179" t="s">
        <v>3356</v>
      </c>
      <c r="P1938" s="108">
        <v>-999</v>
      </c>
      <c r="Q1938" s="80" t="s">
        <v>6642</v>
      </c>
    </row>
    <row r="1939" spans="1:30">
      <c r="A1939" s="213" t="s">
        <v>2592</v>
      </c>
      <c r="B1939" s="141" t="s">
        <v>1988</v>
      </c>
      <c r="C1939" s="118" t="s">
        <v>3817</v>
      </c>
      <c r="D1939" s="141"/>
      <c r="E1939" s="118"/>
      <c r="F1939" s="118"/>
      <c r="G1939" s="118" t="s">
        <v>7345</v>
      </c>
      <c r="H1939" s="118" t="s">
        <v>7542</v>
      </c>
      <c r="I1939" s="118" t="s">
        <v>4239</v>
      </c>
      <c r="J1939" s="118" t="s">
        <v>7763</v>
      </c>
      <c r="K1939" s="141"/>
      <c r="L1939" s="135" t="str">
        <f t="shared" si="113"/>
        <v>Ochotona gaoligongensis</v>
      </c>
      <c r="M1939" s="133">
        <v>-999</v>
      </c>
      <c r="N1939" s="133">
        <v>-999</v>
      </c>
      <c r="O1939" s="179" t="s">
        <v>3356</v>
      </c>
      <c r="P1939" s="108">
        <v>-999</v>
      </c>
      <c r="Q1939" s="80" t="s">
        <v>6987</v>
      </c>
    </row>
    <row r="1940" spans="1:30" ht="12" customHeight="1">
      <c r="A1940" s="213" t="s">
        <v>2592</v>
      </c>
      <c r="B1940" s="141" t="s">
        <v>1988</v>
      </c>
      <c r="C1940" s="118" t="s">
        <v>3817</v>
      </c>
      <c r="D1940" s="141"/>
      <c r="E1940" s="118"/>
      <c r="F1940" s="118"/>
      <c r="G1940" s="118" t="s">
        <v>7345</v>
      </c>
      <c r="H1940" s="118" t="s">
        <v>7542</v>
      </c>
      <c r="I1940" s="118" t="s">
        <v>4239</v>
      </c>
      <c r="J1940" s="118" t="s">
        <v>7658</v>
      </c>
      <c r="K1940" s="141"/>
      <c r="L1940" s="135" t="str">
        <f t="shared" si="113"/>
        <v>Ochotona gloveri</v>
      </c>
      <c r="M1940" s="133">
        <v>-999</v>
      </c>
      <c r="N1940" s="133">
        <v>-999</v>
      </c>
      <c r="O1940" s="179" t="s">
        <v>3356</v>
      </c>
      <c r="P1940" s="108">
        <v>-999</v>
      </c>
      <c r="Q1940" s="88"/>
    </row>
    <row r="1941" spans="1:30">
      <c r="A1941" s="213" t="s">
        <v>2592</v>
      </c>
      <c r="B1941" s="141" t="s">
        <v>5990</v>
      </c>
      <c r="C1941" s="118" t="s">
        <v>3817</v>
      </c>
      <c r="D1941" s="141"/>
      <c r="E1941" s="118"/>
      <c r="F1941" s="118"/>
      <c r="G1941" s="118" t="s">
        <v>7345</v>
      </c>
      <c r="H1941" s="118" t="s">
        <v>7542</v>
      </c>
      <c r="I1941" s="118" t="s">
        <v>4239</v>
      </c>
      <c r="J1941" s="118" t="s">
        <v>6115</v>
      </c>
      <c r="K1941" s="141"/>
      <c r="L1941" s="135" t="str">
        <f t="shared" si="113"/>
        <v>Ochotona himalayana</v>
      </c>
      <c r="M1941" s="133">
        <v>-999</v>
      </c>
      <c r="N1941" s="133">
        <v>-999</v>
      </c>
      <c r="O1941" s="179" t="s">
        <v>3356</v>
      </c>
      <c r="P1941" s="108">
        <v>-999</v>
      </c>
      <c r="Q1941" s="80"/>
    </row>
    <row r="1942" spans="1:30">
      <c r="A1942" s="213" t="s">
        <v>2592</v>
      </c>
      <c r="B1942" s="141" t="s">
        <v>1988</v>
      </c>
      <c r="C1942" s="118" t="s">
        <v>3817</v>
      </c>
      <c r="D1942" s="141"/>
      <c r="E1942" s="118"/>
      <c r="F1942" s="118"/>
      <c r="G1942" s="118" t="s">
        <v>7345</v>
      </c>
      <c r="H1942" s="118" t="s">
        <v>7542</v>
      </c>
      <c r="I1942" s="118" t="s">
        <v>4239</v>
      </c>
      <c r="J1942" s="118" t="s">
        <v>7660</v>
      </c>
      <c r="K1942" s="141"/>
      <c r="L1942" s="135" t="str">
        <f t="shared" si="113"/>
        <v>Ochotona iliensis</v>
      </c>
      <c r="M1942" s="133">
        <v>-999</v>
      </c>
      <c r="N1942" s="133">
        <v>-999</v>
      </c>
      <c r="O1942" s="179" t="s">
        <v>7080</v>
      </c>
      <c r="P1942" s="108">
        <v>-999</v>
      </c>
      <c r="Q1942" s="80" t="s">
        <v>6988</v>
      </c>
    </row>
    <row r="1943" spans="1:30" ht="12" customHeight="1">
      <c r="A1943" s="213" t="s">
        <v>2592</v>
      </c>
      <c r="B1943" s="141" t="s">
        <v>1988</v>
      </c>
      <c r="C1943" s="118" t="s">
        <v>3817</v>
      </c>
      <c r="D1943" s="141"/>
      <c r="E1943" s="118"/>
      <c r="F1943" s="118"/>
      <c r="G1943" s="118" t="s">
        <v>7345</v>
      </c>
      <c r="H1943" s="118" t="s">
        <v>7542</v>
      </c>
      <c r="I1943" s="118" t="s">
        <v>4239</v>
      </c>
      <c r="J1943" s="118" t="s">
        <v>7661</v>
      </c>
      <c r="K1943" s="141"/>
      <c r="L1943" s="135" t="str">
        <f t="shared" si="113"/>
        <v>Ochotona koslowi</v>
      </c>
      <c r="M1943" s="133">
        <v>-999</v>
      </c>
      <c r="N1943" s="133">
        <v>-999</v>
      </c>
      <c r="O1943" s="179" t="s">
        <v>1704</v>
      </c>
      <c r="P1943" s="108">
        <v>-999</v>
      </c>
      <c r="Q1943" s="88" t="s">
        <v>6640</v>
      </c>
    </row>
    <row r="1944" spans="1:30" s="62" customFormat="1">
      <c r="A1944" s="213" t="s">
        <v>2592</v>
      </c>
      <c r="B1944" s="141" t="s">
        <v>2413</v>
      </c>
      <c r="C1944" s="118" t="s">
        <v>3817</v>
      </c>
      <c r="D1944" s="141"/>
      <c r="E1944" s="118"/>
      <c r="F1944" s="118"/>
      <c r="G1944" s="118" t="s">
        <v>7345</v>
      </c>
      <c r="H1944" s="118" t="s">
        <v>7542</v>
      </c>
      <c r="I1944" s="118" t="s">
        <v>4239</v>
      </c>
      <c r="J1944" s="118" t="s">
        <v>5034</v>
      </c>
      <c r="K1944" s="141"/>
      <c r="L1944" s="135" t="str">
        <f t="shared" si="113"/>
        <v>Ochotona ladacensis</v>
      </c>
      <c r="M1944" s="133">
        <v>-999</v>
      </c>
      <c r="N1944" s="133">
        <v>-999</v>
      </c>
      <c r="O1944" s="179" t="s">
        <v>3356</v>
      </c>
      <c r="P1944" s="108">
        <v>-999</v>
      </c>
      <c r="Q1944" s="80"/>
      <c r="R1944" s="85"/>
      <c r="S1944" s="85"/>
      <c r="T1944" s="85"/>
      <c r="U1944" s="16"/>
      <c r="V1944" s="16"/>
      <c r="W1944" s="61"/>
      <c r="X1944" s="61"/>
      <c r="Y1944" s="61"/>
      <c r="Z1944" s="61"/>
      <c r="AA1944" s="61"/>
      <c r="AB1944" s="61"/>
      <c r="AC1944" s="61"/>
      <c r="AD1944" s="64"/>
    </row>
    <row r="1945" spans="1:30">
      <c r="A1945" s="213" t="s">
        <v>2592</v>
      </c>
      <c r="B1945" s="141" t="s">
        <v>1988</v>
      </c>
      <c r="C1945" s="118" t="s">
        <v>3817</v>
      </c>
      <c r="D1945" s="141"/>
      <c r="E1945" s="118"/>
      <c r="F1945" s="118"/>
      <c r="G1945" s="118" t="s">
        <v>7345</v>
      </c>
      <c r="H1945" s="118" t="s">
        <v>7542</v>
      </c>
      <c r="I1945" s="118" t="s">
        <v>4239</v>
      </c>
      <c r="J1945" s="118" t="s">
        <v>5407</v>
      </c>
      <c r="K1945" s="141"/>
      <c r="L1945" s="135" t="str">
        <f t="shared" si="113"/>
        <v>Ochotona muliensis</v>
      </c>
      <c r="M1945" s="133">
        <v>-999</v>
      </c>
      <c r="N1945" s="133">
        <v>-999</v>
      </c>
      <c r="O1945" s="179" t="s">
        <v>6920</v>
      </c>
      <c r="P1945" s="108">
        <v>-999</v>
      </c>
      <c r="Q1945" s="80" t="s">
        <v>6987</v>
      </c>
    </row>
    <row r="1946" spans="1:30">
      <c r="A1946" s="213" t="s">
        <v>2592</v>
      </c>
      <c r="B1946" s="141" t="s">
        <v>2662</v>
      </c>
      <c r="C1946" s="118" t="s">
        <v>3817</v>
      </c>
      <c r="D1946" s="141"/>
      <c r="E1946" s="118"/>
      <c r="F1946" s="118"/>
      <c r="G1946" s="118" t="s">
        <v>7345</v>
      </c>
      <c r="H1946" s="118" t="s">
        <v>7542</v>
      </c>
      <c r="I1946" s="118" t="s">
        <v>4239</v>
      </c>
      <c r="J1946" s="118" t="s">
        <v>5117</v>
      </c>
      <c r="K1946" s="141"/>
      <c r="L1946" s="135" t="str">
        <f t="shared" si="113"/>
        <v>Ochotona nubrica</v>
      </c>
      <c r="M1946" s="133">
        <v>-999</v>
      </c>
      <c r="N1946" s="133">
        <v>-999</v>
      </c>
      <c r="O1946" s="179" t="s">
        <v>3356</v>
      </c>
      <c r="P1946" s="108">
        <v>-999</v>
      </c>
      <c r="Q1946" s="80"/>
    </row>
    <row r="1947" spans="1:30">
      <c r="A1947" s="213" t="s">
        <v>2592</v>
      </c>
      <c r="B1947" s="141" t="s">
        <v>5803</v>
      </c>
      <c r="C1947" s="118" t="s">
        <v>3817</v>
      </c>
      <c r="D1947" s="141"/>
      <c r="E1947" s="118"/>
      <c r="F1947" s="118"/>
      <c r="G1947" s="118" t="s">
        <v>7345</v>
      </c>
      <c r="H1947" s="118" t="s">
        <v>7542</v>
      </c>
      <c r="I1947" s="118" t="s">
        <v>4239</v>
      </c>
      <c r="J1947" s="118" t="s">
        <v>4808</v>
      </c>
      <c r="K1947" s="141"/>
      <c r="L1947" s="135" t="str">
        <f t="shared" si="113"/>
        <v>Ochotona pallasi</v>
      </c>
      <c r="M1947" s="133">
        <v>-999</v>
      </c>
      <c r="N1947" s="133">
        <v>-999</v>
      </c>
      <c r="O1947" s="179" t="s">
        <v>3356</v>
      </c>
      <c r="P1947" s="108">
        <v>-999</v>
      </c>
      <c r="Q1947" s="80"/>
    </row>
    <row r="1948" spans="1:30" ht="25.5">
      <c r="A1948" s="213" t="s">
        <v>2592</v>
      </c>
      <c r="B1948" s="141" t="s">
        <v>2237</v>
      </c>
      <c r="C1948" s="118" t="s">
        <v>3817</v>
      </c>
      <c r="D1948" s="141"/>
      <c r="E1948" s="118"/>
      <c r="F1948" s="118"/>
      <c r="G1948" s="118" t="s">
        <v>7345</v>
      </c>
      <c r="H1948" s="118" t="s">
        <v>7542</v>
      </c>
      <c r="I1948" s="118" t="s">
        <v>4239</v>
      </c>
      <c r="J1948" s="118" t="s">
        <v>4809</v>
      </c>
      <c r="K1948" s="141"/>
      <c r="L1948" s="135" t="str">
        <f t="shared" si="113"/>
        <v>Ochotona rutila</v>
      </c>
      <c r="M1948" s="133">
        <v>-999</v>
      </c>
      <c r="N1948" s="133">
        <v>-999</v>
      </c>
      <c r="O1948" s="179" t="s">
        <v>3356</v>
      </c>
      <c r="P1948" s="108">
        <v>-999</v>
      </c>
      <c r="Q1948" s="80"/>
    </row>
    <row r="1949" spans="1:30" s="62" customFormat="1" ht="25.5">
      <c r="A1949" s="213" t="s">
        <v>2592</v>
      </c>
      <c r="B1949" s="141" t="s">
        <v>2626</v>
      </c>
      <c r="C1949" s="121" t="s">
        <v>3817</v>
      </c>
      <c r="D1949" s="156"/>
      <c r="E1949" s="121"/>
      <c r="F1949" s="121"/>
      <c r="G1949" s="121" t="s">
        <v>7345</v>
      </c>
      <c r="H1949" s="118" t="s">
        <v>7542</v>
      </c>
      <c r="I1949" s="121" t="s">
        <v>4239</v>
      </c>
      <c r="J1949" s="121" t="s">
        <v>4852</v>
      </c>
      <c r="K1949" s="156"/>
      <c r="L1949" s="135" t="str">
        <f t="shared" si="113"/>
        <v>Ochotona thomasi</v>
      </c>
      <c r="M1949" s="133">
        <v>-999</v>
      </c>
      <c r="N1949" s="143">
        <v>-999</v>
      </c>
      <c r="O1949" s="179" t="s">
        <v>6908</v>
      </c>
      <c r="P1949" s="108">
        <v>-999</v>
      </c>
      <c r="Q1949" s="80" t="s">
        <v>6642</v>
      </c>
      <c r="R1949" s="85"/>
      <c r="S1949" s="85"/>
      <c r="T1949" s="85"/>
      <c r="U1949" s="16"/>
      <c r="V1949" s="16"/>
      <c r="W1949" s="61"/>
      <c r="X1949" s="61"/>
      <c r="Y1949" s="61"/>
      <c r="Z1949" s="61"/>
      <c r="AA1949" s="61"/>
      <c r="AB1949" s="61"/>
      <c r="AC1949" s="61"/>
      <c r="AD1949" s="64"/>
    </row>
    <row r="1950" spans="1:30">
      <c r="A1950" s="213" t="s">
        <v>2592</v>
      </c>
      <c r="B1950" s="141" t="s">
        <v>2403</v>
      </c>
      <c r="C1950" s="118" t="s">
        <v>3817</v>
      </c>
      <c r="D1950" s="141"/>
      <c r="E1950" s="118"/>
      <c r="F1950" s="118"/>
      <c r="G1950" s="118" t="s">
        <v>7345</v>
      </c>
      <c r="H1950" s="118" t="s">
        <v>7542</v>
      </c>
      <c r="I1950" s="118" t="s">
        <v>4239</v>
      </c>
      <c r="J1950" s="118" t="s">
        <v>4800</v>
      </c>
      <c r="K1950" s="141"/>
      <c r="L1950" s="135" t="str">
        <f t="shared" si="113"/>
        <v>Ochotona thibetana</v>
      </c>
      <c r="M1950" s="133">
        <f t="shared" ref="M1950:M1961" si="114">LOG(N1950)</f>
        <v>1.919601023784111</v>
      </c>
      <c r="N1950" s="133">
        <v>83.1</v>
      </c>
      <c r="O1950" s="179" t="s">
        <v>3356</v>
      </c>
      <c r="P1950" s="108">
        <v>173</v>
      </c>
      <c r="Q1950" s="80"/>
    </row>
    <row r="1951" spans="1:30">
      <c r="A1951" s="213" t="s">
        <v>2592</v>
      </c>
      <c r="B1951" s="141" t="s">
        <v>6559</v>
      </c>
      <c r="C1951" s="118" t="s">
        <v>3817</v>
      </c>
      <c r="D1951" s="141"/>
      <c r="E1951" s="118"/>
      <c r="F1951" s="118"/>
      <c r="G1951" s="118" t="s">
        <v>7345</v>
      </c>
      <c r="H1951" s="118" t="s">
        <v>7542</v>
      </c>
      <c r="I1951" s="118" t="s">
        <v>4239</v>
      </c>
      <c r="J1951" s="118" t="s">
        <v>7762</v>
      </c>
      <c r="K1951" s="141"/>
      <c r="L1951" s="135" t="str">
        <f t="shared" si="113"/>
        <v>Ochotona dauurica</v>
      </c>
      <c r="M1951" s="133">
        <f t="shared" si="114"/>
        <v>2.0374264979406238</v>
      </c>
      <c r="N1951" s="133">
        <v>109</v>
      </c>
      <c r="O1951" s="179" t="s">
        <v>3356</v>
      </c>
      <c r="P1951" s="108">
        <v>173</v>
      </c>
      <c r="Q1951" s="80"/>
    </row>
    <row r="1952" spans="1:30" ht="25.5">
      <c r="A1952" s="213" t="s">
        <v>2592</v>
      </c>
      <c r="B1952" s="141" t="s">
        <v>5991</v>
      </c>
      <c r="C1952" s="118" t="s">
        <v>3817</v>
      </c>
      <c r="D1952" s="141"/>
      <c r="E1952" s="118"/>
      <c r="F1952" s="118"/>
      <c r="G1952" s="118" t="s">
        <v>7345</v>
      </c>
      <c r="H1952" s="118" t="s">
        <v>7542</v>
      </c>
      <c r="I1952" s="118" t="s">
        <v>4239</v>
      </c>
      <c r="J1952" s="118" t="s">
        <v>7659</v>
      </c>
      <c r="K1952" s="141"/>
      <c r="L1952" s="135" t="str">
        <f t="shared" si="113"/>
        <v>Ochotona hyperborea</v>
      </c>
      <c r="M1952" s="133">
        <f t="shared" si="114"/>
        <v>2.0791812460476247</v>
      </c>
      <c r="N1952" s="133">
        <v>120</v>
      </c>
      <c r="O1952" s="179" t="s">
        <v>3356</v>
      </c>
      <c r="P1952" s="108">
        <v>60</v>
      </c>
      <c r="Q1952" s="80"/>
    </row>
    <row r="1953" spans="1:22">
      <c r="A1953" s="213" t="s">
        <v>2592</v>
      </c>
      <c r="B1953" s="141" t="s">
        <v>2283</v>
      </c>
      <c r="C1953" s="118" t="s">
        <v>3817</v>
      </c>
      <c r="D1953" s="141"/>
      <c r="E1953" s="118"/>
      <c r="F1953" s="118"/>
      <c r="G1953" s="118" t="s">
        <v>7345</v>
      </c>
      <c r="H1953" s="118" t="s">
        <v>7542</v>
      </c>
      <c r="I1953" s="118" t="s">
        <v>4239</v>
      </c>
      <c r="J1953" s="118" t="s">
        <v>7423</v>
      </c>
      <c r="K1953" s="141"/>
      <c r="L1953" s="135" t="str">
        <f t="shared" si="113"/>
        <v>Ochotona pusilla</v>
      </c>
      <c r="M1953" s="133">
        <f t="shared" si="114"/>
        <v>2.153814864344529</v>
      </c>
      <c r="N1953" s="133">
        <f>AVERAGE(75, 210)</f>
        <v>142.5</v>
      </c>
      <c r="O1953" s="179" t="s">
        <v>6641</v>
      </c>
      <c r="P1953" s="108">
        <v>137</v>
      </c>
      <c r="Q1953" s="80" t="s">
        <v>6988</v>
      </c>
    </row>
    <row r="1954" spans="1:22" ht="25.5">
      <c r="A1954" s="213" t="s">
        <v>2592</v>
      </c>
      <c r="B1954" s="141" t="s">
        <v>6182</v>
      </c>
      <c r="C1954" s="118" t="s">
        <v>3817</v>
      </c>
      <c r="D1954" s="141"/>
      <c r="E1954" s="118"/>
      <c r="F1954" s="118"/>
      <c r="G1954" s="118" t="s">
        <v>7345</v>
      </c>
      <c r="H1954" s="118" t="s">
        <v>7542</v>
      </c>
      <c r="I1954" s="118" t="s">
        <v>4239</v>
      </c>
      <c r="J1954" s="118" t="s">
        <v>7757</v>
      </c>
      <c r="K1954" s="141"/>
      <c r="L1954" s="135" t="str">
        <f t="shared" si="113"/>
        <v>Ochotona alpina</v>
      </c>
      <c r="M1954" s="133">
        <f t="shared" si="114"/>
        <v>2.1760912590556813</v>
      </c>
      <c r="N1954" s="133">
        <f>AVERAGE(110, 190)</f>
        <v>150</v>
      </c>
      <c r="O1954" s="179" t="s">
        <v>3356</v>
      </c>
      <c r="P1954" s="108">
        <v>137</v>
      </c>
      <c r="Q1954" s="80"/>
    </row>
    <row r="1955" spans="1:22">
      <c r="A1955" s="213" t="s">
        <v>2592</v>
      </c>
      <c r="B1955" s="141" t="s">
        <v>1988</v>
      </c>
      <c r="C1955" s="118" t="s">
        <v>3817</v>
      </c>
      <c r="D1955" s="141"/>
      <c r="E1955" s="118"/>
      <c r="F1955" s="118"/>
      <c r="G1955" s="118" t="s">
        <v>7345</v>
      </c>
      <c r="H1955" s="118" t="s">
        <v>7542</v>
      </c>
      <c r="I1955" s="118" t="s">
        <v>4239</v>
      </c>
      <c r="J1955" s="118" t="s">
        <v>6310</v>
      </c>
      <c r="K1955" s="141"/>
      <c r="L1955" s="135" t="str">
        <f t="shared" si="113"/>
        <v>Ochotona erythrotis</v>
      </c>
      <c r="M1955" s="133">
        <f t="shared" si="114"/>
        <v>2.2576785748691846</v>
      </c>
      <c r="N1955" s="133">
        <v>181</v>
      </c>
      <c r="O1955" s="179" t="s">
        <v>3356</v>
      </c>
      <c r="P1955" s="108">
        <v>173</v>
      </c>
      <c r="Q1955" s="80"/>
    </row>
    <row r="1956" spans="1:22" ht="25.5">
      <c r="A1956" s="213" t="s">
        <v>2592</v>
      </c>
      <c r="B1956" s="141" t="s">
        <v>2565</v>
      </c>
      <c r="C1956" s="118" t="s">
        <v>3817</v>
      </c>
      <c r="D1956" s="141"/>
      <c r="E1956" s="118"/>
      <c r="F1956" s="118"/>
      <c r="G1956" s="118" t="s">
        <v>7345</v>
      </c>
      <c r="H1956" s="118" t="s">
        <v>7542</v>
      </c>
      <c r="I1956" s="118" t="s">
        <v>4239</v>
      </c>
      <c r="J1956" s="118" t="s">
        <v>4446</v>
      </c>
      <c r="K1956" s="141"/>
      <c r="L1956" s="135" t="str">
        <f t="shared" si="113"/>
        <v>Ochotona rufescens</v>
      </c>
      <c r="M1956" s="133">
        <f t="shared" si="114"/>
        <v>2.3979400086720375</v>
      </c>
      <c r="N1956" s="133">
        <v>250</v>
      </c>
      <c r="O1956" s="179" t="s">
        <v>3356</v>
      </c>
      <c r="P1956" s="108">
        <v>75</v>
      </c>
    </row>
    <row r="1957" spans="1:22" ht="51">
      <c r="A1957" s="213" t="s">
        <v>2592</v>
      </c>
      <c r="B1957" s="141" t="s">
        <v>2781</v>
      </c>
      <c r="C1957" s="118" t="s">
        <v>3817</v>
      </c>
      <c r="D1957" s="141"/>
      <c r="E1957" s="118"/>
      <c r="F1957" s="118"/>
      <c r="G1957" s="118" t="s">
        <v>7345</v>
      </c>
      <c r="H1957" s="118" t="s">
        <v>7542</v>
      </c>
      <c r="I1957" s="118" t="s">
        <v>4239</v>
      </c>
      <c r="J1957" s="118" t="s">
        <v>4141</v>
      </c>
      <c r="K1957" s="141"/>
      <c r="L1957" s="135" t="str">
        <f t="shared" si="113"/>
        <v>Ochotona macrotis</v>
      </c>
      <c r="M1957" s="133">
        <f t="shared" si="114"/>
        <v>2.4149733479708178</v>
      </c>
      <c r="N1957" s="133">
        <v>260</v>
      </c>
      <c r="O1957" s="179" t="s">
        <v>3356</v>
      </c>
      <c r="P1957" s="108">
        <v>117</v>
      </c>
      <c r="Q1957" s="80"/>
    </row>
    <row r="1958" spans="1:22" ht="38.25">
      <c r="A1958" s="213" t="s">
        <v>2592</v>
      </c>
      <c r="B1958" s="141" t="s">
        <v>2564</v>
      </c>
      <c r="C1958" s="118" t="s">
        <v>3817</v>
      </c>
      <c r="D1958" s="141"/>
      <c r="E1958" s="118"/>
      <c r="F1958" s="118"/>
      <c r="G1958" s="118" t="s">
        <v>7345</v>
      </c>
      <c r="H1958" s="118" t="s">
        <v>7542</v>
      </c>
      <c r="I1958" s="118" t="s">
        <v>4239</v>
      </c>
      <c r="J1958" s="118" t="s">
        <v>6474</v>
      </c>
      <c r="K1958" s="141"/>
      <c r="L1958" s="135" t="str">
        <f t="shared" si="113"/>
        <v>Ochotona roylei</v>
      </c>
      <c r="M1958" s="133">
        <f t="shared" si="114"/>
        <v>2.4149733479708178</v>
      </c>
      <c r="N1958" s="133">
        <v>260</v>
      </c>
      <c r="O1958" s="179" t="s">
        <v>3356</v>
      </c>
      <c r="P1958" s="108">
        <v>117</v>
      </c>
      <c r="Q1958" s="80"/>
    </row>
    <row r="1959" spans="1:22">
      <c r="A1959" s="213" t="s">
        <v>2592</v>
      </c>
      <c r="B1959" s="130"/>
      <c r="C1959" s="118" t="s">
        <v>3817</v>
      </c>
      <c r="D1959" s="141"/>
      <c r="E1959" s="118"/>
      <c r="F1959" s="118"/>
      <c r="G1959" s="118" t="s">
        <v>7115</v>
      </c>
      <c r="H1959" s="118" t="s">
        <v>4475</v>
      </c>
      <c r="I1959" s="118" t="s">
        <v>5817</v>
      </c>
      <c r="J1959" s="118" t="s">
        <v>5818</v>
      </c>
      <c r="K1959" s="141"/>
      <c r="L1959" s="135" t="str">
        <f t="shared" si="113"/>
        <v>Zaglossus bruijni</v>
      </c>
      <c r="M1959" s="133">
        <f t="shared" si="114"/>
        <v>4.0060165395540377</v>
      </c>
      <c r="N1959" s="133">
        <f>AVERAGE(9979, 10300)</f>
        <v>10139.5</v>
      </c>
      <c r="O1959" s="179" t="s">
        <v>6736</v>
      </c>
      <c r="P1959" s="108">
        <v>215</v>
      </c>
    </row>
    <row r="1960" spans="1:22" ht="38.25">
      <c r="A1960" s="288" t="s">
        <v>2592</v>
      </c>
      <c r="B1960" s="228"/>
      <c r="C1960" s="227" t="s">
        <v>3931</v>
      </c>
      <c r="D1960" s="229">
        <v>1909</v>
      </c>
      <c r="E1960" s="227"/>
      <c r="F1960" s="227"/>
      <c r="G1960" s="227" t="s">
        <v>7273</v>
      </c>
      <c r="H1960" s="227" t="s">
        <v>2558</v>
      </c>
      <c r="I1960" s="227" t="s">
        <v>2559</v>
      </c>
      <c r="J1960" s="227" t="s">
        <v>28</v>
      </c>
      <c r="K1960" s="229" t="s">
        <v>29</v>
      </c>
      <c r="L1960" s="135" t="str">
        <f t="shared" si="113"/>
        <v>Equus ferus</v>
      </c>
      <c r="M1960" s="230">
        <f t="shared" si="114"/>
        <v>5.3979400000000002</v>
      </c>
      <c r="N1960" s="230">
        <v>249999.99500797401</v>
      </c>
      <c r="O1960" s="231" t="s">
        <v>30</v>
      </c>
      <c r="P1960" s="232">
        <v>148</v>
      </c>
      <c r="Q1960" s="233"/>
      <c r="R1960" s="233"/>
      <c r="S1960" s="233"/>
      <c r="T1960" s="233"/>
      <c r="U1960" s="234"/>
      <c r="V1960" s="234"/>
    </row>
    <row r="1961" spans="1:22">
      <c r="A1961" s="213" t="s">
        <v>2592</v>
      </c>
      <c r="B1961" s="130" t="s">
        <v>7953</v>
      </c>
      <c r="C1961" s="118" t="s">
        <v>5092</v>
      </c>
      <c r="D1961" s="141"/>
      <c r="E1961" s="118"/>
      <c r="F1961" s="118"/>
      <c r="G1961" s="118" t="s">
        <v>7273</v>
      </c>
      <c r="H1961" s="118" t="s">
        <v>2515</v>
      </c>
      <c r="I1961" s="118" t="s">
        <v>7956</v>
      </c>
      <c r="J1961" s="118" t="s">
        <v>8316</v>
      </c>
      <c r="K1961" s="141"/>
      <c r="L1961" s="135" t="str">
        <f t="shared" si="113"/>
        <v>Coelodonta antiquitatis</v>
      </c>
      <c r="M1961" s="133">
        <f t="shared" si="114"/>
        <v>6.4619999999999997</v>
      </c>
      <c r="N1961" s="133">
        <v>2897343.5877013202</v>
      </c>
      <c r="O1961" s="179" t="s">
        <v>8317</v>
      </c>
      <c r="P1961" s="108" t="s">
        <v>8018</v>
      </c>
    </row>
    <row r="1962" spans="1:22">
      <c r="A1962" s="212" t="s">
        <v>2592</v>
      </c>
      <c r="B1962" s="141"/>
      <c r="C1962" s="150" t="s">
        <v>5092</v>
      </c>
      <c r="D1962" s="221"/>
      <c r="E1962" s="150"/>
      <c r="F1962" s="150"/>
      <c r="G1962" s="118" t="s">
        <v>7273</v>
      </c>
      <c r="H1962" s="118" t="s">
        <v>2515</v>
      </c>
      <c r="I1962" s="150" t="s">
        <v>2423</v>
      </c>
      <c r="J1962" s="150" t="s">
        <v>8015</v>
      </c>
      <c r="K1962" s="221"/>
      <c r="L1962" s="135" t="str">
        <f t="shared" si="113"/>
        <v>Stephanorhinus hemitoechus</v>
      </c>
      <c r="M1962" s="133">
        <v>6.2039999999999997</v>
      </c>
      <c r="N1962" s="152">
        <v>1599558.02861467</v>
      </c>
      <c r="O1962" s="192"/>
      <c r="P1962" s="110" t="s">
        <v>8018</v>
      </c>
    </row>
    <row r="1963" spans="1:22">
      <c r="A1963" s="212" t="s">
        <v>2592</v>
      </c>
      <c r="B1963" s="141"/>
      <c r="C1963" s="150" t="s">
        <v>5092</v>
      </c>
      <c r="D1963" s="221"/>
      <c r="E1963" s="150"/>
      <c r="F1963" s="150"/>
      <c r="G1963" s="118" t="s">
        <v>7273</v>
      </c>
      <c r="H1963" s="118" t="s">
        <v>2515</v>
      </c>
      <c r="I1963" s="150" t="s">
        <v>2423</v>
      </c>
      <c r="J1963" s="150" t="s">
        <v>8152</v>
      </c>
      <c r="K1963" s="221"/>
      <c r="L1963" s="135" t="str">
        <f t="shared" si="113"/>
        <v>Stephanorhinus kirchbergensis</v>
      </c>
      <c r="M1963" s="133">
        <v>6.2039999999999997</v>
      </c>
      <c r="N1963" s="152">
        <v>1599558.02861467</v>
      </c>
      <c r="O1963" s="192"/>
      <c r="P1963" s="110" t="s">
        <v>8018</v>
      </c>
    </row>
    <row r="1964" spans="1:22" ht="38.25">
      <c r="A1964" s="213" t="s">
        <v>2592</v>
      </c>
      <c r="B1964" s="130"/>
      <c r="C1964" s="118" t="s">
        <v>3817</v>
      </c>
      <c r="D1964" s="141"/>
      <c r="E1964" s="118"/>
      <c r="F1964" s="118"/>
      <c r="G1964" s="118" t="s">
        <v>7273</v>
      </c>
      <c r="H1964" s="118" t="s">
        <v>2558</v>
      </c>
      <c r="I1964" s="118" t="s">
        <v>2559</v>
      </c>
      <c r="J1964" s="118" t="s">
        <v>4335</v>
      </c>
      <c r="K1964" s="141"/>
      <c r="L1964" s="135" t="str">
        <f t="shared" si="113"/>
        <v>Equus hemionus</v>
      </c>
      <c r="M1964" s="133">
        <f t="shared" ref="M1964:M1995" si="115">LOG(N1964)</f>
        <v>5.3617278360175931</v>
      </c>
      <c r="N1964" s="133">
        <v>230000</v>
      </c>
      <c r="O1964" s="179" t="s">
        <v>1450</v>
      </c>
      <c r="P1964" s="108">
        <v>68</v>
      </c>
      <c r="Q1964" s="90" t="s">
        <v>6988</v>
      </c>
    </row>
    <row r="1965" spans="1:22" ht="24" customHeight="1">
      <c r="A1965" s="213" t="s">
        <v>2592</v>
      </c>
      <c r="B1965" s="130"/>
      <c r="C1965" s="118" t="s">
        <v>3817</v>
      </c>
      <c r="D1965" s="141"/>
      <c r="E1965" s="118"/>
      <c r="F1965" s="118"/>
      <c r="G1965" s="118" t="s">
        <v>7273</v>
      </c>
      <c r="H1965" s="118" t="s">
        <v>2558</v>
      </c>
      <c r="I1965" s="118" t="s">
        <v>2559</v>
      </c>
      <c r="J1965" s="118" t="s">
        <v>5101</v>
      </c>
      <c r="K1965" s="141"/>
      <c r="L1965" s="135" t="str">
        <f t="shared" si="113"/>
        <v>Equus onager</v>
      </c>
      <c r="M1965" s="133">
        <f t="shared" si="115"/>
        <v>5.3617278360175931</v>
      </c>
      <c r="N1965" s="133">
        <f>AVERAGE(200000, 260000)</f>
        <v>230000</v>
      </c>
      <c r="O1965" s="183"/>
      <c r="P1965" s="108" t="s">
        <v>6946</v>
      </c>
      <c r="Q1965" s="88"/>
    </row>
    <row r="1966" spans="1:22">
      <c r="A1966" s="213" t="s">
        <v>2592</v>
      </c>
      <c r="B1966" s="130"/>
      <c r="C1966" s="118" t="s">
        <v>3817</v>
      </c>
      <c r="D1966" s="141"/>
      <c r="E1966" s="118"/>
      <c r="F1966" s="118"/>
      <c r="G1966" s="118" t="s">
        <v>7273</v>
      </c>
      <c r="H1966" s="118" t="s">
        <v>2558</v>
      </c>
      <c r="I1966" s="118" t="s">
        <v>2559</v>
      </c>
      <c r="J1966" s="118" t="s">
        <v>5997</v>
      </c>
      <c r="K1966" s="141"/>
      <c r="L1966" s="135" t="str">
        <f t="shared" si="113"/>
        <v>Equus kiang</v>
      </c>
      <c r="M1966" s="133">
        <f t="shared" si="115"/>
        <v>5.4393326938302629</v>
      </c>
      <c r="N1966" s="133">
        <v>275000</v>
      </c>
      <c r="O1966" s="179" t="s">
        <v>6736</v>
      </c>
      <c r="P1966" s="108">
        <v>68</v>
      </c>
    </row>
    <row r="1967" spans="1:22" ht="12" customHeight="1">
      <c r="A1967" s="213" t="s">
        <v>2592</v>
      </c>
      <c r="B1967" s="130"/>
      <c r="C1967" s="118" t="s">
        <v>3817</v>
      </c>
      <c r="D1967" s="141"/>
      <c r="E1967" s="118"/>
      <c r="F1967" s="118"/>
      <c r="G1967" s="118" t="s">
        <v>7273</v>
      </c>
      <c r="H1967" s="118" t="s">
        <v>2515</v>
      </c>
      <c r="I1967" s="118" t="s">
        <v>6478</v>
      </c>
      <c r="J1967" s="118" t="s">
        <v>6166</v>
      </c>
      <c r="K1967" s="141"/>
      <c r="L1967" s="135" t="str">
        <f t="shared" si="113"/>
        <v>Dicerorhinus sumatrensis</v>
      </c>
      <c r="M1967" s="133">
        <f t="shared" si="115"/>
        <v>6.1026624561851541</v>
      </c>
      <c r="N1967" s="133">
        <v>1266667</v>
      </c>
      <c r="O1967" s="179" t="s">
        <v>7081</v>
      </c>
      <c r="P1967" s="108">
        <v>68</v>
      </c>
      <c r="Q1967" s="88" t="s">
        <v>7071</v>
      </c>
    </row>
    <row r="1968" spans="1:22">
      <c r="A1968" s="213" t="s">
        <v>2592</v>
      </c>
      <c r="B1968" s="130"/>
      <c r="C1968" s="118" t="s">
        <v>3817</v>
      </c>
      <c r="D1968" s="141"/>
      <c r="E1968" s="118"/>
      <c r="F1968" s="118"/>
      <c r="G1968" s="118" t="s">
        <v>7273</v>
      </c>
      <c r="H1968" s="118" t="s">
        <v>2515</v>
      </c>
      <c r="I1968" s="118" t="s">
        <v>5602</v>
      </c>
      <c r="J1968" s="118" t="s">
        <v>5603</v>
      </c>
      <c r="K1968" s="141"/>
      <c r="L1968" s="135" t="str">
        <f t="shared" si="113"/>
        <v>Rhinoceros unicornis</v>
      </c>
      <c r="M1968" s="133">
        <f t="shared" si="115"/>
        <v>6.2047527770627129</v>
      </c>
      <c r="N1968" s="133">
        <v>1602333</v>
      </c>
      <c r="O1968" s="179" t="s">
        <v>7081</v>
      </c>
      <c r="P1968" s="108">
        <v>68</v>
      </c>
      <c r="Q1968" s="90" t="s">
        <v>6640</v>
      </c>
    </row>
    <row r="1969" spans="1:17">
      <c r="A1969" s="213" t="s">
        <v>2592</v>
      </c>
      <c r="B1969" s="130"/>
      <c r="C1969" s="118" t="s">
        <v>3817</v>
      </c>
      <c r="D1969" s="141"/>
      <c r="E1969" s="118"/>
      <c r="F1969" s="118"/>
      <c r="G1969" s="118" t="s">
        <v>7273</v>
      </c>
      <c r="H1969" s="118" t="s">
        <v>2515</v>
      </c>
      <c r="I1969" s="118" t="s">
        <v>5602</v>
      </c>
      <c r="J1969" s="118" t="s">
        <v>5265</v>
      </c>
      <c r="K1969" s="141"/>
      <c r="L1969" s="135" t="str">
        <f t="shared" si="113"/>
        <v>Rhinoceros sondaicus</v>
      </c>
      <c r="M1969" s="133">
        <f t="shared" si="115"/>
        <v>6.2430380486862944</v>
      </c>
      <c r="N1969" s="133">
        <v>1750000</v>
      </c>
      <c r="O1969" s="179" t="s">
        <v>7081</v>
      </c>
      <c r="P1969" s="108">
        <v>68</v>
      </c>
      <c r="Q1969" s="90" t="s">
        <v>7071</v>
      </c>
    </row>
    <row r="1970" spans="1:17" ht="38.25">
      <c r="A1970" s="213" t="s">
        <v>2592</v>
      </c>
      <c r="B1970" s="130"/>
      <c r="C1970" s="118" t="s">
        <v>3817</v>
      </c>
      <c r="D1970" s="141"/>
      <c r="E1970" s="118"/>
      <c r="F1970" s="118"/>
      <c r="G1970" s="118" t="s">
        <v>7273</v>
      </c>
      <c r="H1970" s="118" t="s">
        <v>7157</v>
      </c>
      <c r="I1970" s="118" t="s">
        <v>7158</v>
      </c>
      <c r="J1970" s="118" t="s">
        <v>5230</v>
      </c>
      <c r="K1970" s="141"/>
      <c r="L1970" s="135" t="str">
        <f t="shared" si="113"/>
        <v>Tapirus indicus</v>
      </c>
      <c r="M1970" s="133">
        <f t="shared" si="115"/>
        <v>5.4716583590181607</v>
      </c>
      <c r="N1970" s="133">
        <v>296250</v>
      </c>
      <c r="O1970" s="179" t="s">
        <v>4697</v>
      </c>
      <c r="P1970" s="108">
        <v>68</v>
      </c>
      <c r="Q1970" s="90" t="s">
        <v>6640</v>
      </c>
    </row>
    <row r="1971" spans="1:17" ht="12" customHeight="1">
      <c r="A1971" s="213" t="s">
        <v>2592</v>
      </c>
      <c r="B1971" s="130"/>
      <c r="C1971" s="118" t="s">
        <v>3817</v>
      </c>
      <c r="D1971" s="141"/>
      <c r="E1971" s="118"/>
      <c r="F1971" s="118"/>
      <c r="G1971" s="118" t="s">
        <v>4821</v>
      </c>
      <c r="H1971" s="118" t="s">
        <v>4822</v>
      </c>
      <c r="I1971" s="118" t="s">
        <v>5047</v>
      </c>
      <c r="J1971" s="118" t="s">
        <v>4503</v>
      </c>
      <c r="K1971" s="141"/>
      <c r="L1971" s="135" t="str">
        <f t="shared" si="113"/>
        <v>Manis crassicaudata</v>
      </c>
      <c r="M1971" s="133">
        <f t="shared" si="115"/>
        <v>3.5910646070264991</v>
      </c>
      <c r="N1971" s="133">
        <v>3900</v>
      </c>
      <c r="O1971" s="179" t="s">
        <v>6736</v>
      </c>
      <c r="P1971" s="108">
        <v>68</v>
      </c>
      <c r="Q1971" s="88" t="s">
        <v>6642</v>
      </c>
    </row>
    <row r="1972" spans="1:17" ht="38.25">
      <c r="A1972" s="213" t="s">
        <v>2592</v>
      </c>
      <c r="B1972" s="141" t="s">
        <v>2738</v>
      </c>
      <c r="C1972" s="118" t="s">
        <v>3817</v>
      </c>
      <c r="D1972" s="141"/>
      <c r="E1972" s="118"/>
      <c r="F1972" s="118"/>
      <c r="G1972" s="118" t="s">
        <v>4821</v>
      </c>
      <c r="H1972" s="118" t="s">
        <v>4822</v>
      </c>
      <c r="I1972" s="118" t="s">
        <v>5047</v>
      </c>
      <c r="J1972" s="118" t="s">
        <v>5181</v>
      </c>
      <c r="K1972" s="141"/>
      <c r="L1972" s="135" t="str">
        <f t="shared" si="113"/>
        <v>Manis pentadactyla</v>
      </c>
      <c r="M1972" s="133">
        <f t="shared" si="115"/>
        <v>3.6697816152085365</v>
      </c>
      <c r="N1972" s="133">
        <f>AVERAGE(2350, 7000)</f>
        <v>4675</v>
      </c>
      <c r="O1972" s="179" t="s">
        <v>6945</v>
      </c>
      <c r="P1972" s="108">
        <v>87</v>
      </c>
      <c r="Q1972" s="90" t="s">
        <v>6642</v>
      </c>
    </row>
    <row r="1973" spans="1:17">
      <c r="A1973" s="213" t="s">
        <v>2592</v>
      </c>
      <c r="B1973" s="130"/>
      <c r="C1973" s="118" t="s">
        <v>3817</v>
      </c>
      <c r="D1973" s="141"/>
      <c r="E1973" s="118"/>
      <c r="F1973" s="118"/>
      <c r="G1973" s="118" t="s">
        <v>4821</v>
      </c>
      <c r="H1973" s="118" t="s">
        <v>4822</v>
      </c>
      <c r="I1973" s="118" t="s">
        <v>5047</v>
      </c>
      <c r="J1973" s="118" t="s">
        <v>5614</v>
      </c>
      <c r="K1973" s="141"/>
      <c r="L1973" s="135" t="str">
        <f t="shared" si="113"/>
        <v>Manis javanica</v>
      </c>
      <c r="M1973" s="133">
        <f t="shared" si="115"/>
        <v>3.7118072290411912</v>
      </c>
      <c r="N1973" s="133">
        <v>5150</v>
      </c>
      <c r="O1973" s="179" t="s">
        <v>6736</v>
      </c>
      <c r="P1973" s="108">
        <v>68</v>
      </c>
      <c r="Q1973" s="90" t="s">
        <v>6642</v>
      </c>
    </row>
    <row r="1974" spans="1:17">
      <c r="A1974" s="213" t="s">
        <v>2592</v>
      </c>
      <c r="B1974" s="130"/>
      <c r="C1974" s="118" t="s">
        <v>3817</v>
      </c>
      <c r="D1974" s="141"/>
      <c r="E1974" s="118"/>
      <c r="F1974" s="118"/>
      <c r="G1974" s="118" t="s">
        <v>7250</v>
      </c>
      <c r="H1974" s="118" t="s">
        <v>6300</v>
      </c>
      <c r="I1974" s="118" t="s">
        <v>8025</v>
      </c>
      <c r="J1974" s="118" t="s">
        <v>5616</v>
      </c>
      <c r="K1974" s="141"/>
      <c r="L1974" s="135" t="str">
        <f t="shared" si="113"/>
        <v>Macaca fascicularis</v>
      </c>
      <c r="M1974" s="133">
        <f t="shared" si="115"/>
        <v>3.5096057046115563</v>
      </c>
      <c r="N1974" s="133">
        <v>3233</v>
      </c>
      <c r="O1974" s="179" t="s">
        <v>7081</v>
      </c>
      <c r="P1974" s="108">
        <v>68</v>
      </c>
      <c r="Q1974" s="90" t="s">
        <v>6642</v>
      </c>
    </row>
    <row r="1975" spans="1:17">
      <c r="A1975" s="213" t="s">
        <v>2592</v>
      </c>
      <c r="B1975" s="130"/>
      <c r="C1975" s="118" t="s">
        <v>3817</v>
      </c>
      <c r="D1975" s="141"/>
      <c r="E1975" s="118"/>
      <c r="F1975" s="118"/>
      <c r="G1975" s="118" t="s">
        <v>7250</v>
      </c>
      <c r="H1975" s="118" t="s">
        <v>6300</v>
      </c>
      <c r="I1975" s="118" t="s">
        <v>8025</v>
      </c>
      <c r="J1975" s="118" t="s">
        <v>5620</v>
      </c>
      <c r="K1975" s="141"/>
      <c r="L1975" s="135" t="str">
        <f t="shared" si="113"/>
        <v>Macaca radiata</v>
      </c>
      <c r="M1975" s="133">
        <f t="shared" si="115"/>
        <v>3.5670263661590602</v>
      </c>
      <c r="N1975" s="133">
        <v>3690</v>
      </c>
      <c r="O1975" s="179" t="s">
        <v>6736</v>
      </c>
      <c r="P1975" s="108">
        <v>68</v>
      </c>
    </row>
    <row r="1976" spans="1:17">
      <c r="A1976" s="213" t="s">
        <v>2592</v>
      </c>
      <c r="B1976" s="130"/>
      <c r="C1976" s="118" t="s">
        <v>3817</v>
      </c>
      <c r="D1976" s="141"/>
      <c r="E1976" s="118"/>
      <c r="F1976" s="118"/>
      <c r="G1976" s="118" t="s">
        <v>7250</v>
      </c>
      <c r="H1976" s="118" t="s">
        <v>6300</v>
      </c>
      <c r="I1976" s="118" t="s">
        <v>8025</v>
      </c>
      <c r="J1976" s="118" t="s">
        <v>5617</v>
      </c>
      <c r="K1976" s="141"/>
      <c r="L1976" s="135" t="str">
        <f t="shared" si="113"/>
        <v>Macaca mulatta</v>
      </c>
      <c r="M1976" s="133">
        <f t="shared" si="115"/>
        <v>3.5697249492261589</v>
      </c>
      <c r="N1976" s="133">
        <v>3713</v>
      </c>
      <c r="O1976" s="179" t="s">
        <v>7081</v>
      </c>
      <c r="P1976" s="108">
        <v>68</v>
      </c>
      <c r="Q1976" s="90" t="s">
        <v>6642</v>
      </c>
    </row>
    <row r="1977" spans="1:17">
      <c r="A1977" s="213" t="s">
        <v>2592</v>
      </c>
      <c r="B1977" s="130"/>
      <c r="C1977" s="118" t="s">
        <v>3817</v>
      </c>
      <c r="D1977" s="141"/>
      <c r="E1977" s="118"/>
      <c r="F1977" s="118"/>
      <c r="G1977" s="118" t="s">
        <v>7250</v>
      </c>
      <c r="H1977" s="118" t="s">
        <v>6300</v>
      </c>
      <c r="I1977" s="118" t="s">
        <v>8025</v>
      </c>
      <c r="J1977" s="118" t="s">
        <v>5604</v>
      </c>
      <c r="K1977" s="141"/>
      <c r="L1977" s="135" t="str">
        <f t="shared" si="113"/>
        <v>Macaca silenus</v>
      </c>
      <c r="M1977" s="133">
        <f t="shared" si="115"/>
        <v>3.6766936096248664</v>
      </c>
      <c r="N1977" s="133">
        <v>4750</v>
      </c>
      <c r="O1977" s="179" t="s">
        <v>7081</v>
      </c>
      <c r="P1977" s="108">
        <v>68</v>
      </c>
      <c r="Q1977" s="90" t="s">
        <v>6640</v>
      </c>
    </row>
    <row r="1978" spans="1:17">
      <c r="A1978" s="213" t="s">
        <v>2592</v>
      </c>
      <c r="B1978" s="130"/>
      <c r="C1978" s="118" t="s">
        <v>3817</v>
      </c>
      <c r="D1978" s="141"/>
      <c r="E1978" s="118"/>
      <c r="F1978" s="118"/>
      <c r="G1978" s="118" t="s">
        <v>7250</v>
      </c>
      <c r="H1978" s="118" t="s">
        <v>6300</v>
      </c>
      <c r="I1978" s="118" t="s">
        <v>8025</v>
      </c>
      <c r="J1978" s="118" t="s">
        <v>5615</v>
      </c>
      <c r="K1978" s="141"/>
      <c r="L1978" s="135" t="str">
        <f t="shared" si="113"/>
        <v>Macaca arctoides</v>
      </c>
      <c r="M1978" s="133">
        <f t="shared" si="115"/>
        <v>3.6989700043360187</v>
      </c>
      <c r="N1978" s="133">
        <v>5000</v>
      </c>
      <c r="O1978" s="179" t="s">
        <v>6641</v>
      </c>
      <c r="P1978" s="108" t="s">
        <v>1324</v>
      </c>
      <c r="Q1978" s="90" t="s">
        <v>6988</v>
      </c>
    </row>
    <row r="1979" spans="1:17" ht="72" customHeight="1">
      <c r="A1979" s="213" t="s">
        <v>2592</v>
      </c>
      <c r="B1979" s="130"/>
      <c r="C1979" s="118" t="s">
        <v>3817</v>
      </c>
      <c r="D1979" s="141"/>
      <c r="E1979" s="118"/>
      <c r="F1979" s="118"/>
      <c r="G1979" s="118" t="s">
        <v>7250</v>
      </c>
      <c r="H1979" s="118" t="s">
        <v>6300</v>
      </c>
      <c r="I1979" s="118" t="s">
        <v>8025</v>
      </c>
      <c r="J1979" s="118" t="s">
        <v>5618</v>
      </c>
      <c r="K1979" s="141"/>
      <c r="L1979" s="135" t="str">
        <f t="shared" si="113"/>
        <v>Macaca nemestrina</v>
      </c>
      <c r="M1979" s="133">
        <f t="shared" si="115"/>
        <v>3.784831178124469</v>
      </c>
      <c r="N1979" s="133">
        <v>6093</v>
      </c>
      <c r="O1979" s="179" t="s">
        <v>7081</v>
      </c>
      <c r="P1979" s="108">
        <v>68</v>
      </c>
      <c r="Q1979" s="88" t="s">
        <v>6988</v>
      </c>
    </row>
    <row r="1980" spans="1:17" ht="48" customHeight="1">
      <c r="A1980" s="213" t="s">
        <v>2592</v>
      </c>
      <c r="B1980" s="141" t="s">
        <v>2657</v>
      </c>
      <c r="C1980" s="118" t="s">
        <v>3817</v>
      </c>
      <c r="D1980" s="141"/>
      <c r="E1980" s="118"/>
      <c r="F1980" s="118"/>
      <c r="G1980" s="118" t="s">
        <v>7250</v>
      </c>
      <c r="H1980" s="118" t="s">
        <v>6300</v>
      </c>
      <c r="I1980" s="118" t="s">
        <v>8025</v>
      </c>
      <c r="J1980" s="118" t="s">
        <v>5911</v>
      </c>
      <c r="K1980" s="141"/>
      <c r="L1980" s="135" t="str">
        <f t="shared" si="113"/>
        <v>Macaca assamensis</v>
      </c>
      <c r="M1980" s="133">
        <f t="shared" si="115"/>
        <v>4.0791812460476251</v>
      </c>
      <c r="N1980" s="133">
        <v>12000</v>
      </c>
      <c r="O1980" s="179" t="s">
        <v>6908</v>
      </c>
      <c r="P1980" s="108">
        <v>115</v>
      </c>
      <c r="Q1980" s="88" t="s">
        <v>6988</v>
      </c>
    </row>
    <row r="1981" spans="1:17">
      <c r="A1981" s="213" t="s">
        <v>2592</v>
      </c>
      <c r="B1981" s="141" t="s">
        <v>2798</v>
      </c>
      <c r="C1981" s="118" t="s">
        <v>3817</v>
      </c>
      <c r="D1981" s="141"/>
      <c r="E1981" s="118"/>
      <c r="F1981" s="118"/>
      <c r="G1981" s="118" t="s">
        <v>7250</v>
      </c>
      <c r="H1981" s="118" t="s">
        <v>6300</v>
      </c>
      <c r="I1981" s="118" t="s">
        <v>8025</v>
      </c>
      <c r="J1981" s="118" t="s">
        <v>4800</v>
      </c>
      <c r="K1981" s="141"/>
      <c r="L1981" s="135" t="str">
        <f t="shared" si="113"/>
        <v>Macaca thibetana</v>
      </c>
      <c r="M1981" s="133">
        <f t="shared" si="115"/>
        <v>4.0791812460476251</v>
      </c>
      <c r="N1981" s="133">
        <v>12000</v>
      </c>
      <c r="O1981" s="179" t="s">
        <v>6641</v>
      </c>
      <c r="P1981" s="108">
        <v>139</v>
      </c>
      <c r="Q1981" s="90" t="s">
        <v>6642</v>
      </c>
    </row>
    <row r="1982" spans="1:17" ht="25.5">
      <c r="A1982" s="213" t="s">
        <v>2592</v>
      </c>
      <c r="B1982" s="130"/>
      <c r="C1982" s="118" t="s">
        <v>3817</v>
      </c>
      <c r="D1982" s="141"/>
      <c r="E1982" s="118"/>
      <c r="F1982" s="118"/>
      <c r="G1982" s="118" t="s">
        <v>7250</v>
      </c>
      <c r="H1982" s="118" t="s">
        <v>6300</v>
      </c>
      <c r="I1982" s="118" t="s">
        <v>6350</v>
      </c>
      <c r="J1982" s="118" t="s">
        <v>6351</v>
      </c>
      <c r="K1982" s="141"/>
      <c r="L1982" s="135" t="str">
        <f t="shared" si="113"/>
        <v>Papio hamadryas</v>
      </c>
      <c r="M1982" s="133">
        <f t="shared" si="115"/>
        <v>4.3273599999999997</v>
      </c>
      <c r="N1982" s="133">
        <v>21250.052140469656</v>
      </c>
      <c r="O1982" s="179" t="s">
        <v>6908</v>
      </c>
      <c r="P1982" s="108">
        <v>65</v>
      </c>
      <c r="Q1982" s="90" t="s">
        <v>6642</v>
      </c>
    </row>
    <row r="1983" spans="1:17">
      <c r="A1983" s="213" t="s">
        <v>2592</v>
      </c>
      <c r="B1983" s="141" t="s">
        <v>1635</v>
      </c>
      <c r="C1983" s="118" t="s">
        <v>3817</v>
      </c>
      <c r="D1983" s="141"/>
      <c r="E1983" s="118"/>
      <c r="F1983" s="118"/>
      <c r="G1983" s="118" t="s">
        <v>7250</v>
      </c>
      <c r="H1983" s="118" t="s">
        <v>6300</v>
      </c>
      <c r="I1983" s="118" t="s">
        <v>5402</v>
      </c>
      <c r="J1983" s="118" t="s">
        <v>5404</v>
      </c>
      <c r="K1983" s="141"/>
      <c r="L1983" s="135" t="str">
        <f t="shared" si="113"/>
        <v>Presbytis melalophos</v>
      </c>
      <c r="M1983" s="133">
        <f t="shared" si="115"/>
        <v>3.7993405494535817</v>
      </c>
      <c r="N1983" s="133">
        <v>6300</v>
      </c>
      <c r="O1983" s="179" t="s">
        <v>6736</v>
      </c>
      <c r="P1983" s="108">
        <v>118</v>
      </c>
      <c r="Q1983" s="80"/>
    </row>
    <row r="1984" spans="1:17" ht="25.5">
      <c r="A1984" s="213" t="s">
        <v>2592</v>
      </c>
      <c r="B1984" s="141" t="s">
        <v>7501</v>
      </c>
      <c r="C1984" s="118" t="s">
        <v>3817</v>
      </c>
      <c r="D1984" s="141"/>
      <c r="E1984" s="118"/>
      <c r="F1984" s="118"/>
      <c r="G1984" s="118" t="s">
        <v>7250</v>
      </c>
      <c r="H1984" s="118" t="s">
        <v>6300</v>
      </c>
      <c r="I1984" s="118" t="s">
        <v>5402</v>
      </c>
      <c r="J1984" s="118" t="s">
        <v>5392</v>
      </c>
      <c r="K1984" s="141"/>
      <c r="L1984" s="135" t="str">
        <f t="shared" si="113"/>
        <v>Presbytis femoralis</v>
      </c>
      <c r="M1984" s="133">
        <f t="shared" si="115"/>
        <v>3.8450980400142569</v>
      </c>
      <c r="N1984" s="133">
        <f>AVERAGE(5900, 8100)</f>
        <v>7000</v>
      </c>
      <c r="O1984" s="179" t="s">
        <v>3356</v>
      </c>
      <c r="P1984" s="108">
        <v>141</v>
      </c>
      <c r="Q1984" s="80"/>
    </row>
    <row r="1985" spans="1:20" ht="38.25">
      <c r="A1985" s="213" t="s">
        <v>2592</v>
      </c>
      <c r="B1985" s="141" t="s">
        <v>7283</v>
      </c>
      <c r="C1985" s="118" t="s">
        <v>3817</v>
      </c>
      <c r="D1985" s="141"/>
      <c r="E1985" s="118"/>
      <c r="F1985" s="118"/>
      <c r="G1985" s="118" t="s">
        <v>7250</v>
      </c>
      <c r="H1985" s="118" t="s">
        <v>6300</v>
      </c>
      <c r="I1985" s="118" t="s">
        <v>4720</v>
      </c>
      <c r="J1985" s="118" t="s">
        <v>5304</v>
      </c>
      <c r="K1985" s="141"/>
      <c r="L1985" s="135" t="str">
        <f t="shared" si="113"/>
        <v>Pygathrix avunculus</v>
      </c>
      <c r="M1985" s="133">
        <f t="shared" si="115"/>
        <v>3.916453948549925</v>
      </c>
      <c r="N1985" s="133">
        <f>AVERAGE(8000, 8500)</f>
        <v>8250</v>
      </c>
      <c r="O1985" s="179" t="s">
        <v>1681</v>
      </c>
      <c r="P1985" s="108">
        <v>148</v>
      </c>
      <c r="Q1985" s="90" t="s">
        <v>7071</v>
      </c>
    </row>
    <row r="1986" spans="1:20">
      <c r="A1986" s="213" t="s">
        <v>2592</v>
      </c>
      <c r="B1986" s="141" t="s">
        <v>6957</v>
      </c>
      <c r="C1986" s="118" t="s">
        <v>3817</v>
      </c>
      <c r="D1986" s="141"/>
      <c r="E1986" s="118"/>
      <c r="F1986" s="118"/>
      <c r="G1986" s="118" t="s">
        <v>7250</v>
      </c>
      <c r="H1986" s="118" t="s">
        <v>6300</v>
      </c>
      <c r="I1986" s="118" t="s">
        <v>4720</v>
      </c>
      <c r="J1986" s="118" t="s">
        <v>7712</v>
      </c>
      <c r="K1986" s="141"/>
      <c r="L1986" s="135" t="str">
        <f t="shared" si="113"/>
        <v>Pygathrix nemaeus</v>
      </c>
      <c r="M1986" s="133">
        <f t="shared" si="115"/>
        <v>3.9196010237841108</v>
      </c>
      <c r="N1986" s="133">
        <f>AVERAGE(8180, 8440)</f>
        <v>8310</v>
      </c>
      <c r="O1986" s="179" t="s">
        <v>3356</v>
      </c>
      <c r="P1986" s="108">
        <v>148</v>
      </c>
      <c r="Q1986" s="80" t="s">
        <v>6640</v>
      </c>
    </row>
    <row r="1987" spans="1:20">
      <c r="A1987" s="213" t="s">
        <v>2592</v>
      </c>
      <c r="B1987" s="141" t="s">
        <v>1988</v>
      </c>
      <c r="C1987" s="118" t="s">
        <v>3817</v>
      </c>
      <c r="D1987" s="141"/>
      <c r="E1987" s="118"/>
      <c r="F1987" s="118"/>
      <c r="G1987" s="118" t="s">
        <v>7250</v>
      </c>
      <c r="H1987" s="118" t="s">
        <v>6300</v>
      </c>
      <c r="I1987" s="118" t="s">
        <v>4720</v>
      </c>
      <c r="J1987" s="118" t="s">
        <v>3542</v>
      </c>
      <c r="K1987" s="141"/>
      <c r="L1987" s="135" t="str">
        <f t="shared" si="113"/>
        <v>Pygathrix bieti</v>
      </c>
      <c r="M1987" s="133">
        <f t="shared" si="115"/>
        <v>3.9982593384236988</v>
      </c>
      <c r="N1987" s="133">
        <v>9960</v>
      </c>
      <c r="O1987" s="179" t="s">
        <v>7081</v>
      </c>
      <c r="P1987" s="108">
        <v>148</v>
      </c>
      <c r="Q1987" s="90" t="s">
        <v>6640</v>
      </c>
    </row>
    <row r="1988" spans="1:20" ht="24" customHeight="1">
      <c r="A1988" s="213" t="s">
        <v>2592</v>
      </c>
      <c r="B1988" s="141" t="s">
        <v>1988</v>
      </c>
      <c r="C1988" s="118" t="s">
        <v>3817</v>
      </c>
      <c r="D1988" s="141"/>
      <c r="E1988" s="118"/>
      <c r="F1988" s="118"/>
      <c r="G1988" s="118" t="s">
        <v>7250</v>
      </c>
      <c r="H1988" s="118" t="s">
        <v>6300</v>
      </c>
      <c r="I1988" s="118" t="s">
        <v>4720</v>
      </c>
      <c r="J1988" s="118" t="s">
        <v>7713</v>
      </c>
      <c r="K1988" s="141"/>
      <c r="L1988" s="135" t="str">
        <f t="shared" si="113"/>
        <v>Pygathrix roxellana</v>
      </c>
      <c r="M1988" s="133">
        <f t="shared" si="115"/>
        <v>4.1461280356782382</v>
      </c>
      <c r="N1988" s="133">
        <f>AVERAGE(18000, 10000)</f>
        <v>14000</v>
      </c>
      <c r="O1988" s="179" t="s">
        <v>6641</v>
      </c>
      <c r="P1988" s="108">
        <v>139</v>
      </c>
      <c r="Q1988" s="88" t="s">
        <v>6988</v>
      </c>
    </row>
    <row r="1989" spans="1:20">
      <c r="A1989" s="213" t="s">
        <v>2592</v>
      </c>
      <c r="B1989" s="141" t="s">
        <v>1988</v>
      </c>
      <c r="C1989" s="118" t="s">
        <v>3817</v>
      </c>
      <c r="D1989" s="141"/>
      <c r="E1989" s="118"/>
      <c r="F1989" s="118"/>
      <c r="G1989" s="118" t="s">
        <v>7250</v>
      </c>
      <c r="H1989" s="118" t="s">
        <v>6300</v>
      </c>
      <c r="I1989" s="118" t="s">
        <v>4720</v>
      </c>
      <c r="J1989" s="118" t="s">
        <v>5305</v>
      </c>
      <c r="K1989" s="141"/>
      <c r="L1989" s="135" t="str">
        <f t="shared" ref="L1989:L2052" si="116">I1989&amp;" "&amp;J1989</f>
        <v>Pygathrix brelichi</v>
      </c>
      <c r="M1989" s="133">
        <f t="shared" si="115"/>
        <v>4.2170000000000005</v>
      </c>
      <c r="N1989" s="143">
        <v>16481.623915255099</v>
      </c>
      <c r="O1989" s="179" t="s">
        <v>6641</v>
      </c>
      <c r="P1989" s="108">
        <v>165</v>
      </c>
      <c r="Q1989" s="90" t="s">
        <v>6640</v>
      </c>
    </row>
    <row r="1990" spans="1:20">
      <c r="A1990" s="213" t="s">
        <v>2592</v>
      </c>
      <c r="B1990" s="130"/>
      <c r="C1990" s="118" t="s">
        <v>3817</v>
      </c>
      <c r="D1990" s="141"/>
      <c r="E1990" s="118"/>
      <c r="F1990" s="118"/>
      <c r="G1990" s="118" t="s">
        <v>7250</v>
      </c>
      <c r="H1990" s="118" t="s">
        <v>6300</v>
      </c>
      <c r="I1990" s="118" t="s">
        <v>5106</v>
      </c>
      <c r="J1990" s="118" t="s">
        <v>4723</v>
      </c>
      <c r="K1990" s="141"/>
      <c r="L1990" s="135" t="str">
        <f t="shared" si="116"/>
        <v>Semnopithecus entellus</v>
      </c>
      <c r="M1990" s="133">
        <f t="shared" si="115"/>
        <v>4.1613680022349753</v>
      </c>
      <c r="N1990" s="133">
        <v>14500</v>
      </c>
      <c r="O1990" s="179" t="s">
        <v>6641</v>
      </c>
      <c r="P1990" s="108">
        <v>68</v>
      </c>
      <c r="Q1990" s="90" t="s">
        <v>6642</v>
      </c>
      <c r="T1990" s="80"/>
    </row>
    <row r="1991" spans="1:20">
      <c r="A1991" s="213" t="s">
        <v>2592</v>
      </c>
      <c r="B1991" s="130"/>
      <c r="C1991" s="118" t="s">
        <v>3817</v>
      </c>
      <c r="D1991" s="141"/>
      <c r="E1991" s="118"/>
      <c r="F1991" s="118"/>
      <c r="G1991" s="118" t="s">
        <v>7250</v>
      </c>
      <c r="H1991" s="118" t="s">
        <v>6300</v>
      </c>
      <c r="I1991" s="118" t="s">
        <v>4724</v>
      </c>
      <c r="J1991" s="118" t="s">
        <v>7543</v>
      </c>
      <c r="K1991" s="141"/>
      <c r="L1991" s="135" t="str">
        <f t="shared" si="116"/>
        <v>Trachypithecus obscurus</v>
      </c>
      <c r="M1991" s="133">
        <f t="shared" si="115"/>
        <v>3.8075350280688531</v>
      </c>
      <c r="N1991" s="133">
        <v>6420</v>
      </c>
      <c r="O1991" s="179" t="s">
        <v>6736</v>
      </c>
      <c r="P1991" s="108">
        <v>68</v>
      </c>
    </row>
    <row r="1992" spans="1:20">
      <c r="A1992" s="213" t="s">
        <v>2592</v>
      </c>
      <c r="B1992" s="141" t="s">
        <v>7794</v>
      </c>
      <c r="C1992" s="118" t="s">
        <v>3817</v>
      </c>
      <c r="D1992" s="141"/>
      <c r="E1992" s="118"/>
      <c r="F1992" s="118"/>
      <c r="G1992" s="118" t="s">
        <v>7250</v>
      </c>
      <c r="H1992" s="118" t="s">
        <v>6300</v>
      </c>
      <c r="I1992" s="118" t="s">
        <v>4724</v>
      </c>
      <c r="J1992" s="118" t="s">
        <v>5234</v>
      </c>
      <c r="K1992" s="141"/>
      <c r="L1992" s="135" t="str">
        <f t="shared" si="116"/>
        <v>Trachypithecus francoisi</v>
      </c>
      <c r="M1992" s="133">
        <f t="shared" si="115"/>
        <v>3.8648076290261471</v>
      </c>
      <c r="N1992" s="133">
        <f>AVERAGE(7300, 7350)</f>
        <v>7325</v>
      </c>
      <c r="O1992" s="179" t="s">
        <v>6641</v>
      </c>
      <c r="P1992" s="108">
        <v>148</v>
      </c>
      <c r="Q1992" s="80" t="s">
        <v>6988</v>
      </c>
    </row>
    <row r="1993" spans="1:20">
      <c r="A1993" s="213" t="s">
        <v>2592</v>
      </c>
      <c r="B1993" s="130"/>
      <c r="C1993" s="118" t="s">
        <v>3817</v>
      </c>
      <c r="D1993" s="141"/>
      <c r="E1993" s="118"/>
      <c r="F1993" s="118"/>
      <c r="G1993" s="118" t="s">
        <v>7250</v>
      </c>
      <c r="H1993" s="118" t="s">
        <v>6300</v>
      </c>
      <c r="I1993" s="118" t="s">
        <v>4724</v>
      </c>
      <c r="J1993" s="118" t="s">
        <v>3792</v>
      </c>
      <c r="K1993" s="141"/>
      <c r="L1993" s="135" t="str">
        <f t="shared" si="116"/>
        <v>Trachypithecus cristatus</v>
      </c>
      <c r="M1993" s="133">
        <f t="shared" si="115"/>
        <v>3.9216864754836021</v>
      </c>
      <c r="N1993" s="133">
        <f>AVERAGE(8100, 8600)</f>
        <v>8350</v>
      </c>
      <c r="O1993" s="179" t="s">
        <v>5903</v>
      </c>
      <c r="P1993" s="108">
        <v>74</v>
      </c>
    </row>
    <row r="1994" spans="1:20" ht="25.5">
      <c r="A1994" s="213" t="s">
        <v>2592</v>
      </c>
      <c r="B1994" s="141" t="s">
        <v>7709</v>
      </c>
      <c r="C1994" s="118" t="s">
        <v>3817</v>
      </c>
      <c r="D1994" s="141"/>
      <c r="E1994" s="118"/>
      <c r="F1994" s="118"/>
      <c r="G1994" s="118" t="s">
        <v>7250</v>
      </c>
      <c r="H1994" s="118" t="s">
        <v>6300</v>
      </c>
      <c r="I1994" s="118" t="s">
        <v>4724</v>
      </c>
      <c r="J1994" s="118" t="s">
        <v>5235</v>
      </c>
      <c r="K1994" s="141"/>
      <c r="L1994" s="135" t="str">
        <f t="shared" si="116"/>
        <v>Trachypithecus geei</v>
      </c>
      <c r="M1994" s="133">
        <f t="shared" si="115"/>
        <v>3.9216864754836021</v>
      </c>
      <c r="N1994" s="133">
        <f>AVERAGE(8100, 8600)</f>
        <v>8350</v>
      </c>
      <c r="O1994" s="179" t="s">
        <v>7080</v>
      </c>
      <c r="P1994" s="108">
        <v>74</v>
      </c>
      <c r="Q1994" s="80" t="s">
        <v>6640</v>
      </c>
      <c r="R1994" s="79" t="s">
        <v>5908</v>
      </c>
    </row>
    <row r="1995" spans="1:20" ht="25.5">
      <c r="A1995" s="213" t="s">
        <v>2592</v>
      </c>
      <c r="B1995" s="141" t="s">
        <v>7710</v>
      </c>
      <c r="C1995" s="118" t="s">
        <v>3817</v>
      </c>
      <c r="D1995" s="141"/>
      <c r="E1995" s="118"/>
      <c r="F1995" s="118"/>
      <c r="G1995" s="118" t="s">
        <v>7250</v>
      </c>
      <c r="H1995" s="118" t="s">
        <v>6300</v>
      </c>
      <c r="I1995" s="118" t="s">
        <v>4724</v>
      </c>
      <c r="J1995" s="118" t="s">
        <v>6795</v>
      </c>
      <c r="K1995" s="141"/>
      <c r="L1995" s="135" t="str">
        <f t="shared" si="116"/>
        <v>Trachypithecus phayrei</v>
      </c>
      <c r="M1995" s="133">
        <f t="shared" si="115"/>
        <v>3.9242792860618816</v>
      </c>
      <c r="N1995" s="133">
        <f>AVERAGE(6300, 10500)</f>
        <v>8400</v>
      </c>
      <c r="O1995" s="179" t="s">
        <v>3356</v>
      </c>
      <c r="P1995" s="108">
        <v>148</v>
      </c>
      <c r="Q1995" s="80"/>
    </row>
    <row r="1996" spans="1:20">
      <c r="A1996" s="213" t="s">
        <v>2592</v>
      </c>
      <c r="B1996" s="130"/>
      <c r="C1996" s="118" t="s">
        <v>3817</v>
      </c>
      <c r="D1996" s="141"/>
      <c r="E1996" s="118"/>
      <c r="F1996" s="118"/>
      <c r="G1996" s="118" t="s">
        <v>7250</v>
      </c>
      <c r="H1996" s="118" t="s">
        <v>6300</v>
      </c>
      <c r="I1996" s="118" t="s">
        <v>4724</v>
      </c>
      <c r="J1996" s="118" t="s">
        <v>5836</v>
      </c>
      <c r="K1996" s="141"/>
      <c r="L1996" s="135" t="str">
        <f t="shared" si="116"/>
        <v>Trachypithecus pileatus</v>
      </c>
      <c r="M1996" s="133">
        <f t="shared" ref="M1996:M2012" si="117">LOG(N1996)</f>
        <v>4.0588054866759071</v>
      </c>
      <c r="N1996" s="133">
        <v>11450</v>
      </c>
      <c r="O1996" s="179" t="s">
        <v>6641</v>
      </c>
      <c r="P1996" s="108">
        <v>-999</v>
      </c>
      <c r="Q1996" s="80" t="s">
        <v>6640</v>
      </c>
    </row>
    <row r="1997" spans="1:20" ht="25.5">
      <c r="A1997" s="213" t="s">
        <v>2592</v>
      </c>
      <c r="B1997" s="130"/>
      <c r="C1997" s="118" t="s">
        <v>3817</v>
      </c>
      <c r="D1997" s="141"/>
      <c r="E1997" s="118"/>
      <c r="F1997" s="118"/>
      <c r="G1997" s="118" t="s">
        <v>7250</v>
      </c>
      <c r="H1997" s="118" t="s">
        <v>6300</v>
      </c>
      <c r="I1997" s="118" t="s">
        <v>4724</v>
      </c>
      <c r="J1997" s="118" t="s">
        <v>5835</v>
      </c>
      <c r="K1997" s="141"/>
      <c r="L1997" s="135" t="str">
        <f t="shared" si="116"/>
        <v>Trachypithecus johnii</v>
      </c>
      <c r="M1997" s="133">
        <f t="shared" si="117"/>
        <v>4.1271047983648073</v>
      </c>
      <c r="N1997" s="133">
        <f>AVERAGE(12000, 14800)</f>
        <v>13400</v>
      </c>
      <c r="O1997" s="179" t="s">
        <v>7119</v>
      </c>
      <c r="P1997" s="108">
        <v>74</v>
      </c>
      <c r="Q1997" s="80" t="s">
        <v>6988</v>
      </c>
      <c r="R1997" s="79" t="s">
        <v>3052</v>
      </c>
    </row>
    <row r="1998" spans="1:20">
      <c r="A1998" s="213" t="s">
        <v>2592</v>
      </c>
      <c r="B1998" s="130"/>
      <c r="C1998" s="118" t="s">
        <v>3817</v>
      </c>
      <c r="D1998" s="141"/>
      <c r="E1998" s="118"/>
      <c r="F1998" s="118"/>
      <c r="G1998" s="118" t="s">
        <v>7250</v>
      </c>
      <c r="H1998" s="118" t="s">
        <v>3566</v>
      </c>
      <c r="I1998" s="118" t="s">
        <v>5582</v>
      </c>
      <c r="J1998" s="118" t="s">
        <v>5585</v>
      </c>
      <c r="K1998" s="141"/>
      <c r="L1998" s="135" t="str">
        <f t="shared" si="116"/>
        <v>Hylobates lar</v>
      </c>
      <c r="M1998" s="133">
        <f t="shared" si="117"/>
        <v>3.689486448364248</v>
      </c>
      <c r="N1998" s="133">
        <v>4892</v>
      </c>
      <c r="O1998" s="179" t="s">
        <v>6641</v>
      </c>
      <c r="P1998" s="108">
        <v>68</v>
      </c>
      <c r="Q1998" s="90" t="s">
        <v>6642</v>
      </c>
    </row>
    <row r="1999" spans="1:20">
      <c r="A1999" s="213" t="s">
        <v>2592</v>
      </c>
      <c r="B1999" s="141" t="s">
        <v>3151</v>
      </c>
      <c r="C1999" s="118" t="s">
        <v>3817</v>
      </c>
      <c r="D1999" s="141"/>
      <c r="E1999" s="118"/>
      <c r="F1999" s="118"/>
      <c r="G1999" s="118" t="s">
        <v>7250</v>
      </c>
      <c r="H1999" s="118" t="s">
        <v>3566</v>
      </c>
      <c r="I1999" s="118" t="s">
        <v>5582</v>
      </c>
      <c r="J1999" s="118" t="s">
        <v>5836</v>
      </c>
      <c r="K1999" s="141"/>
      <c r="L1999" s="135" t="str">
        <f t="shared" si="116"/>
        <v>Hylobates pileatus</v>
      </c>
      <c r="M1999" s="133">
        <f t="shared" si="117"/>
        <v>3.7355988996981799</v>
      </c>
      <c r="N1999" s="133">
        <v>5440</v>
      </c>
      <c r="O1999" s="179" t="s">
        <v>6882</v>
      </c>
      <c r="P1999" s="108">
        <v>148</v>
      </c>
      <c r="Q1999" s="90" t="s">
        <v>6642</v>
      </c>
    </row>
    <row r="2000" spans="1:20">
      <c r="A2000" s="213" t="s">
        <v>2592</v>
      </c>
      <c r="B2000" s="130"/>
      <c r="C2000" s="118" t="s">
        <v>3817</v>
      </c>
      <c r="D2000" s="141"/>
      <c r="E2000" s="118"/>
      <c r="F2000" s="118"/>
      <c r="G2000" s="118" t="s">
        <v>7250</v>
      </c>
      <c r="H2000" s="118" t="s">
        <v>3566</v>
      </c>
      <c r="I2000" s="118" t="s">
        <v>5582</v>
      </c>
      <c r="J2000" s="118" t="s">
        <v>4399</v>
      </c>
      <c r="K2000" s="141"/>
      <c r="L2000" s="135" t="str">
        <f t="shared" si="116"/>
        <v>Hylobates agilis</v>
      </c>
      <c r="M2000" s="133">
        <f t="shared" si="117"/>
        <v>3.7520484478194387</v>
      </c>
      <c r="N2000" s="133">
        <v>5650</v>
      </c>
      <c r="O2000" s="179" t="s">
        <v>6641</v>
      </c>
      <c r="P2000" s="108">
        <v>68</v>
      </c>
      <c r="Q2000" s="90" t="s">
        <v>6642</v>
      </c>
    </row>
    <row r="2001" spans="1:30" ht="25.5">
      <c r="A2001" s="213" t="s">
        <v>2592</v>
      </c>
      <c r="B2001" s="141" t="s">
        <v>5052</v>
      </c>
      <c r="C2001" s="118" t="s">
        <v>3817</v>
      </c>
      <c r="D2001" s="141"/>
      <c r="E2001" s="118"/>
      <c r="F2001" s="118"/>
      <c r="G2001" s="118" t="s">
        <v>7250</v>
      </c>
      <c r="H2001" s="118" t="s">
        <v>3566</v>
      </c>
      <c r="I2001" s="118" t="s">
        <v>5582</v>
      </c>
      <c r="J2001" s="118" t="s">
        <v>3569</v>
      </c>
      <c r="K2001" s="141"/>
      <c r="L2001" s="135" t="str">
        <f t="shared" si="116"/>
        <v>Hylobates concolor</v>
      </c>
      <c r="M2001" s="133">
        <f t="shared" si="117"/>
        <v>3.7558748556724915</v>
      </c>
      <c r="N2001" s="133">
        <f>AVERAGE(5800, 5600)</f>
        <v>5700</v>
      </c>
      <c r="O2001" s="179" t="s">
        <v>6641</v>
      </c>
      <c r="P2001" s="108">
        <v>74</v>
      </c>
      <c r="Q2001" s="90" t="s">
        <v>6640</v>
      </c>
      <c r="R2001" s="79" t="s">
        <v>2305</v>
      </c>
    </row>
    <row r="2002" spans="1:30" ht="60" customHeight="1">
      <c r="A2002" s="213" t="s">
        <v>2592</v>
      </c>
      <c r="B2002" s="130"/>
      <c r="C2002" s="118" t="s">
        <v>3817</v>
      </c>
      <c r="D2002" s="141"/>
      <c r="E2002" s="118"/>
      <c r="F2002" s="118"/>
      <c r="G2002" s="118" t="s">
        <v>7250</v>
      </c>
      <c r="H2002" s="118" t="s">
        <v>3566</v>
      </c>
      <c r="I2002" s="118" t="s">
        <v>5582</v>
      </c>
      <c r="J2002" s="118" t="s">
        <v>7154</v>
      </c>
      <c r="K2002" s="141"/>
      <c r="L2002" s="135" t="str">
        <f t="shared" si="116"/>
        <v>Hylobates moloch</v>
      </c>
      <c r="M2002" s="133">
        <f t="shared" si="117"/>
        <v>3.8129133566428557</v>
      </c>
      <c r="N2002" s="133">
        <v>6500</v>
      </c>
      <c r="O2002" s="179" t="s">
        <v>6641</v>
      </c>
      <c r="P2002" s="108">
        <v>68</v>
      </c>
      <c r="Q2002" s="88" t="s">
        <v>7071</v>
      </c>
    </row>
    <row r="2003" spans="1:30" ht="25.5">
      <c r="A2003" s="213" t="s">
        <v>2592</v>
      </c>
      <c r="B2003" s="130"/>
      <c r="C2003" s="118" t="s">
        <v>3817</v>
      </c>
      <c r="D2003" s="141"/>
      <c r="E2003" s="118"/>
      <c r="F2003" s="118"/>
      <c r="G2003" s="118" t="s">
        <v>7250</v>
      </c>
      <c r="H2003" s="118" t="s">
        <v>3566</v>
      </c>
      <c r="I2003" s="118" t="s">
        <v>5582</v>
      </c>
      <c r="J2003" s="118" t="s">
        <v>5583</v>
      </c>
      <c r="K2003" s="141"/>
      <c r="L2003" s="135" t="str">
        <f t="shared" si="116"/>
        <v>Hylobates hoolock</v>
      </c>
      <c r="M2003" s="133">
        <f t="shared" si="117"/>
        <v>3.8260748027008264</v>
      </c>
      <c r="N2003" s="133">
        <f>AVERAGE(6500, 6900)</f>
        <v>6700</v>
      </c>
      <c r="O2003" s="179" t="s">
        <v>6641</v>
      </c>
      <c r="P2003" s="108">
        <v>74</v>
      </c>
      <c r="Q2003" s="90" t="s">
        <v>6640</v>
      </c>
      <c r="R2003" s="79" t="s">
        <v>3054</v>
      </c>
    </row>
    <row r="2004" spans="1:30" ht="25.5">
      <c r="A2004" s="213" t="s">
        <v>2592</v>
      </c>
      <c r="B2004" s="141" t="s">
        <v>6149</v>
      </c>
      <c r="C2004" s="118" t="s">
        <v>3817</v>
      </c>
      <c r="D2004" s="141"/>
      <c r="E2004" s="118"/>
      <c r="F2004" s="118"/>
      <c r="G2004" s="118" t="s">
        <v>7250</v>
      </c>
      <c r="H2004" s="118" t="s">
        <v>3566</v>
      </c>
      <c r="I2004" s="118" t="s">
        <v>5582</v>
      </c>
      <c r="J2004" s="118" t="s">
        <v>5089</v>
      </c>
      <c r="K2004" s="141"/>
      <c r="L2004" s="135" t="str">
        <f t="shared" si="116"/>
        <v>Hylobates gabriellae</v>
      </c>
      <c r="M2004" s="133">
        <f t="shared" si="117"/>
        <v>3.8573324964312685</v>
      </c>
      <c r="N2004" s="133">
        <f>AVERAGE(7000, 7400)</f>
        <v>7200</v>
      </c>
      <c r="O2004" s="179" t="s">
        <v>6773</v>
      </c>
      <c r="P2004" s="108" t="s">
        <v>7892</v>
      </c>
      <c r="Q2004" s="80" t="s">
        <v>6988</v>
      </c>
    </row>
    <row r="2005" spans="1:30" ht="72" customHeight="1">
      <c r="A2005" s="213" t="s">
        <v>2592</v>
      </c>
      <c r="B2005" s="141" t="s">
        <v>3150</v>
      </c>
      <c r="C2005" s="118" t="s">
        <v>3817</v>
      </c>
      <c r="D2005" s="141"/>
      <c r="E2005" s="118"/>
      <c r="F2005" s="118"/>
      <c r="G2005" s="118" t="s">
        <v>7250</v>
      </c>
      <c r="H2005" s="118" t="s">
        <v>3566</v>
      </c>
      <c r="I2005" s="118" t="s">
        <v>5582</v>
      </c>
      <c r="J2005" s="118" t="s">
        <v>3616</v>
      </c>
      <c r="K2005" s="141"/>
      <c r="L2005" s="135" t="str">
        <f t="shared" si="116"/>
        <v>Hylobates leucogenys</v>
      </c>
      <c r="M2005" s="133">
        <f t="shared" si="117"/>
        <v>3.8645110810583918</v>
      </c>
      <c r="N2005" s="133">
        <v>7320</v>
      </c>
      <c r="O2005" s="179" t="s">
        <v>6773</v>
      </c>
      <c r="P2005" s="108">
        <v>148</v>
      </c>
      <c r="Q2005" s="88" t="s">
        <v>6987</v>
      </c>
    </row>
    <row r="2006" spans="1:30">
      <c r="A2006" s="213" t="s">
        <v>2592</v>
      </c>
      <c r="B2006" s="130"/>
      <c r="C2006" s="118" t="s">
        <v>3817</v>
      </c>
      <c r="D2006" s="141"/>
      <c r="E2006" s="118"/>
      <c r="F2006" s="118"/>
      <c r="G2006" s="118" t="s">
        <v>7250</v>
      </c>
      <c r="H2006" s="118" t="s">
        <v>3566</v>
      </c>
      <c r="I2006" s="118" t="s">
        <v>5582</v>
      </c>
      <c r="J2006" s="118" t="s">
        <v>5587</v>
      </c>
      <c r="K2006" s="141"/>
      <c r="L2006" s="135" t="str">
        <f t="shared" si="116"/>
        <v>Hylobates syndactylus</v>
      </c>
      <c r="M2006" s="133">
        <f t="shared" si="117"/>
        <v>4</v>
      </c>
      <c r="N2006" s="133">
        <v>10000</v>
      </c>
      <c r="O2006" s="179" t="s">
        <v>6641</v>
      </c>
      <c r="P2006" s="108">
        <v>68</v>
      </c>
      <c r="Q2006" s="90" t="s">
        <v>6642</v>
      </c>
    </row>
    <row r="2007" spans="1:30" s="62" customFormat="1">
      <c r="A2007" s="213" t="s">
        <v>2592</v>
      </c>
      <c r="B2007" s="130" t="s">
        <v>6659</v>
      </c>
      <c r="C2007" s="118" t="s">
        <v>3817</v>
      </c>
      <c r="D2007" s="141"/>
      <c r="E2007" s="118"/>
      <c r="F2007" s="118"/>
      <c r="G2007" s="118" t="s">
        <v>7250</v>
      </c>
      <c r="H2007" s="118" t="s">
        <v>3227</v>
      </c>
      <c r="I2007" s="118" t="s">
        <v>6003</v>
      </c>
      <c r="J2007" s="118" t="s">
        <v>5236</v>
      </c>
      <c r="K2007" s="141"/>
      <c r="L2007" s="135" t="str">
        <f t="shared" si="116"/>
        <v>Loris tardigradus</v>
      </c>
      <c r="M2007" s="133">
        <f t="shared" si="117"/>
        <v>2.3344537511509307</v>
      </c>
      <c r="N2007" s="133">
        <v>216</v>
      </c>
      <c r="O2007" s="179" t="s">
        <v>6641</v>
      </c>
      <c r="P2007" s="108">
        <v>68</v>
      </c>
      <c r="Q2007" s="90" t="s">
        <v>6988</v>
      </c>
      <c r="R2007" s="85"/>
      <c r="S2007" s="85"/>
      <c r="T2007" s="85"/>
      <c r="U2007" s="16"/>
      <c r="V2007" s="16"/>
      <c r="W2007" s="61"/>
      <c r="X2007" s="61"/>
      <c r="Y2007" s="61"/>
      <c r="Z2007" s="61"/>
      <c r="AA2007" s="61"/>
      <c r="AB2007" s="61"/>
      <c r="AC2007" s="61"/>
      <c r="AD2007" s="64"/>
    </row>
    <row r="2008" spans="1:30">
      <c r="A2008" s="213" t="s">
        <v>2592</v>
      </c>
      <c r="B2008" s="130"/>
      <c r="C2008" s="118" t="s">
        <v>3817</v>
      </c>
      <c r="D2008" s="141"/>
      <c r="E2008" s="118"/>
      <c r="F2008" s="118"/>
      <c r="G2008" s="118" t="s">
        <v>7250</v>
      </c>
      <c r="H2008" s="118" t="s">
        <v>3227</v>
      </c>
      <c r="I2008" s="118" t="s">
        <v>5270</v>
      </c>
      <c r="J2008" s="118" t="s">
        <v>7234</v>
      </c>
      <c r="K2008" s="141"/>
      <c r="L2008" s="135" t="str">
        <f t="shared" si="116"/>
        <v>Nycticebus pygmaeus</v>
      </c>
      <c r="M2008" s="133">
        <f t="shared" si="117"/>
        <v>2.9542425094393248</v>
      </c>
      <c r="N2008" s="133">
        <v>900</v>
      </c>
      <c r="O2008" s="179" t="s">
        <v>6736</v>
      </c>
      <c r="P2008" s="108">
        <v>68</v>
      </c>
    </row>
    <row r="2009" spans="1:30">
      <c r="A2009" s="213" t="s">
        <v>2592</v>
      </c>
      <c r="B2009" s="130"/>
      <c r="C2009" s="118" t="s">
        <v>3817</v>
      </c>
      <c r="D2009" s="141"/>
      <c r="E2009" s="118"/>
      <c r="F2009" s="118"/>
      <c r="G2009" s="118" t="s">
        <v>7250</v>
      </c>
      <c r="H2009" s="118" t="s">
        <v>3227</v>
      </c>
      <c r="I2009" s="118" t="s">
        <v>5270</v>
      </c>
      <c r="J2009" s="118" t="s">
        <v>5868</v>
      </c>
      <c r="K2009" s="141"/>
      <c r="L2009" s="135" t="str">
        <f t="shared" si="116"/>
        <v>Nycticebus coucang</v>
      </c>
      <c r="M2009" s="133">
        <f t="shared" si="117"/>
        <v>3.0744507189545911</v>
      </c>
      <c r="N2009" s="133">
        <v>1187</v>
      </c>
      <c r="O2009" s="179" t="s">
        <v>6736</v>
      </c>
      <c r="P2009" s="108">
        <v>68</v>
      </c>
    </row>
    <row r="2010" spans="1:30">
      <c r="A2010" s="213" t="s">
        <v>2592</v>
      </c>
      <c r="B2010" s="130"/>
      <c r="C2010" s="118" t="s">
        <v>3817</v>
      </c>
      <c r="D2010" s="141"/>
      <c r="E2010" s="118"/>
      <c r="F2010" s="118"/>
      <c r="G2010" s="118" t="s">
        <v>7250</v>
      </c>
      <c r="H2010" s="118" t="s">
        <v>3575</v>
      </c>
      <c r="I2010" s="118" t="s">
        <v>5873</v>
      </c>
      <c r="J2010" s="118" t="s">
        <v>5874</v>
      </c>
      <c r="K2010" s="141"/>
      <c r="L2010" s="135" t="str">
        <f t="shared" si="116"/>
        <v>Tarsius bancanus</v>
      </c>
      <c r="M2010" s="133">
        <f t="shared" si="117"/>
        <v>1.8920946026904804</v>
      </c>
      <c r="N2010" s="133">
        <v>78</v>
      </c>
      <c r="O2010" s="179" t="s">
        <v>6736</v>
      </c>
      <c r="P2010" s="108">
        <v>68</v>
      </c>
    </row>
    <row r="2011" spans="1:30">
      <c r="A2011" s="214" t="s">
        <v>2592</v>
      </c>
      <c r="B2011" s="135" t="s">
        <v>6063</v>
      </c>
      <c r="C2011" s="136" t="s">
        <v>5092</v>
      </c>
      <c r="D2011" s="220"/>
      <c r="E2011" s="136"/>
      <c r="F2011" s="136"/>
      <c r="G2011" s="134" t="s">
        <v>4084</v>
      </c>
      <c r="H2011" s="134" t="s">
        <v>3613</v>
      </c>
      <c r="I2011" s="134" t="s">
        <v>7131</v>
      </c>
      <c r="J2011" s="134" t="s">
        <v>3911</v>
      </c>
      <c r="K2011" s="135"/>
      <c r="L2011" s="135" t="str">
        <f t="shared" si="116"/>
        <v>Mammuthus primigenius</v>
      </c>
      <c r="M2011" s="133">
        <f t="shared" si="117"/>
        <v>6.7403626894942441</v>
      </c>
      <c r="N2011" s="137">
        <v>5500000</v>
      </c>
      <c r="O2011" s="180"/>
      <c r="P2011" s="110" t="s">
        <v>7965</v>
      </c>
    </row>
    <row r="2012" spans="1:30">
      <c r="A2012" s="213" t="s">
        <v>2592</v>
      </c>
      <c r="B2012" s="130"/>
      <c r="C2012" s="118" t="s">
        <v>3817</v>
      </c>
      <c r="D2012" s="141"/>
      <c r="E2012" s="118"/>
      <c r="F2012" s="118"/>
      <c r="G2012" s="118" t="s">
        <v>4084</v>
      </c>
      <c r="H2012" s="118" t="s">
        <v>3613</v>
      </c>
      <c r="I2012" s="118" t="s">
        <v>5452</v>
      </c>
      <c r="J2012" s="118" t="s">
        <v>3429</v>
      </c>
      <c r="K2012" s="141"/>
      <c r="L2012" s="135" t="str">
        <f t="shared" si="116"/>
        <v>Elephas maximus</v>
      </c>
      <c r="M2012" s="133">
        <f t="shared" si="117"/>
        <v>6.4345689040341991</v>
      </c>
      <c r="N2012" s="133">
        <v>2720000</v>
      </c>
      <c r="O2012" s="179" t="s">
        <v>6736</v>
      </c>
      <c r="P2012" s="108">
        <v>68</v>
      </c>
      <c r="Q2012" s="80" t="s">
        <v>6640</v>
      </c>
    </row>
    <row r="2013" spans="1:30">
      <c r="A2013" s="213" t="s">
        <v>2592</v>
      </c>
      <c r="B2013" s="141" t="s">
        <v>6063</v>
      </c>
      <c r="C2013" s="118" t="s">
        <v>5092</v>
      </c>
      <c r="D2013" s="141"/>
      <c r="E2013" s="118"/>
      <c r="F2013" s="118"/>
      <c r="G2013" s="118" t="s">
        <v>3618</v>
      </c>
      <c r="H2013" s="118" t="s">
        <v>6506</v>
      </c>
      <c r="I2013" s="118" t="s">
        <v>7969</v>
      </c>
      <c r="J2013" s="118" t="s">
        <v>4743</v>
      </c>
      <c r="K2013" s="141"/>
      <c r="L2013" s="135" t="str">
        <f t="shared" si="116"/>
        <v>Trogontherium cuvieri</v>
      </c>
      <c r="M2013" s="133">
        <v>4.6020000000000003</v>
      </c>
      <c r="N2013" s="133">
        <v>39994.474976109799</v>
      </c>
      <c r="O2013" s="179"/>
      <c r="P2013" s="108">
        <v>165</v>
      </c>
      <c r="Q2013" s="80"/>
    </row>
    <row r="2014" spans="1:30" ht="63.75">
      <c r="A2014" s="213" t="s">
        <v>2592</v>
      </c>
      <c r="B2014" s="141" t="s">
        <v>5952</v>
      </c>
      <c r="C2014" s="118" t="s">
        <v>45</v>
      </c>
      <c r="D2014" s="141"/>
      <c r="E2014" s="118"/>
      <c r="F2014" s="118"/>
      <c r="G2014" s="118" t="s">
        <v>3618</v>
      </c>
      <c r="H2014" s="118" t="s">
        <v>3638</v>
      </c>
      <c r="I2014" s="118" t="s">
        <v>4228</v>
      </c>
      <c r="J2014" s="118" t="s">
        <v>6306</v>
      </c>
      <c r="K2014" s="141" t="s">
        <v>1</v>
      </c>
      <c r="L2014" s="135" t="str">
        <f t="shared" si="116"/>
        <v>Microtus bavaricus</v>
      </c>
      <c r="M2014" s="133">
        <v>-999</v>
      </c>
      <c r="N2014" s="133">
        <v>-999</v>
      </c>
      <c r="O2014" s="179" t="s">
        <v>63</v>
      </c>
      <c r="P2014" s="108">
        <v>-999</v>
      </c>
      <c r="Q2014" s="80" t="s">
        <v>2</v>
      </c>
    </row>
    <row r="2015" spans="1:30" ht="25.5">
      <c r="A2015" s="213" t="s">
        <v>2592</v>
      </c>
      <c r="B2015" s="130"/>
      <c r="C2015" s="118" t="s">
        <v>3817</v>
      </c>
      <c r="D2015" s="141"/>
      <c r="E2015" s="118"/>
      <c r="F2015" s="118"/>
      <c r="G2015" s="118" t="s">
        <v>3618</v>
      </c>
      <c r="H2015" s="118" t="s">
        <v>6506</v>
      </c>
      <c r="I2015" s="118" t="s">
        <v>6507</v>
      </c>
      <c r="J2015" s="118" t="s">
        <v>5664</v>
      </c>
      <c r="K2015" s="141"/>
      <c r="L2015" s="135" t="str">
        <f t="shared" si="116"/>
        <v>Castor fiber</v>
      </c>
      <c r="M2015" s="133">
        <f>LOG(N2015)</f>
        <v>4.2787536009528289</v>
      </c>
      <c r="N2015" s="133">
        <v>19000</v>
      </c>
      <c r="O2015" s="179" t="s">
        <v>1461</v>
      </c>
      <c r="P2015" s="108">
        <v>68</v>
      </c>
      <c r="Q2015" s="90" t="s">
        <v>6985</v>
      </c>
    </row>
    <row r="2016" spans="1:30">
      <c r="A2016" s="213" t="s">
        <v>2592</v>
      </c>
      <c r="B2016" s="130"/>
      <c r="C2016" s="118" t="s">
        <v>3817</v>
      </c>
      <c r="D2016" s="141"/>
      <c r="E2016" s="118"/>
      <c r="F2016" s="118"/>
      <c r="G2016" s="118" t="s">
        <v>3618</v>
      </c>
      <c r="H2016" s="118" t="s">
        <v>6223</v>
      </c>
      <c r="I2016" s="118" t="s">
        <v>5195</v>
      </c>
      <c r="J2016" s="118" t="s">
        <v>6617</v>
      </c>
      <c r="K2016" s="141"/>
      <c r="L2016" s="135" t="str">
        <f t="shared" si="116"/>
        <v>Allactaga balikunica</v>
      </c>
      <c r="M2016" s="133">
        <v>-999</v>
      </c>
      <c r="N2016" s="143">
        <v>-999</v>
      </c>
      <c r="O2016" s="179" t="s">
        <v>3356</v>
      </c>
      <c r="P2016" s="108">
        <v>-999</v>
      </c>
      <c r="Q2016" s="80"/>
    </row>
    <row r="2017" spans="1:19">
      <c r="A2017" s="213" t="s">
        <v>2592</v>
      </c>
      <c r="B2017" s="130"/>
      <c r="C2017" s="121" t="s">
        <v>3817</v>
      </c>
      <c r="D2017" s="156"/>
      <c r="E2017" s="121"/>
      <c r="F2017" s="121"/>
      <c r="G2017" s="121" t="s">
        <v>3618</v>
      </c>
      <c r="H2017" s="121" t="s">
        <v>6223</v>
      </c>
      <c r="I2017" s="121" t="s">
        <v>5195</v>
      </c>
      <c r="J2017" s="121" t="s">
        <v>6410</v>
      </c>
      <c r="K2017" s="156"/>
      <c r="L2017" s="135" t="str">
        <f t="shared" si="116"/>
        <v>Allactaga bullata</v>
      </c>
      <c r="M2017" s="133">
        <v>-999</v>
      </c>
      <c r="N2017" s="143">
        <v>-999</v>
      </c>
      <c r="O2017" s="179" t="s">
        <v>6882</v>
      </c>
      <c r="P2017" s="108">
        <v>-999</v>
      </c>
      <c r="Q2017" s="80" t="s">
        <v>6642</v>
      </c>
    </row>
    <row r="2018" spans="1:19" ht="25.5">
      <c r="A2018" s="213" t="s">
        <v>2592</v>
      </c>
      <c r="B2018" s="130"/>
      <c r="C2018" s="121" t="s">
        <v>3817</v>
      </c>
      <c r="D2018" s="156"/>
      <c r="E2018" s="121"/>
      <c r="F2018" s="121"/>
      <c r="G2018" s="121" t="s">
        <v>3618</v>
      </c>
      <c r="H2018" s="121" t="s">
        <v>6223</v>
      </c>
      <c r="I2018" s="121" t="s">
        <v>5195</v>
      </c>
      <c r="J2018" s="121" t="s">
        <v>3123</v>
      </c>
      <c r="K2018" s="156"/>
      <c r="L2018" s="135" t="str">
        <f t="shared" si="116"/>
        <v>Allactaga firouzi</v>
      </c>
      <c r="M2018" s="133">
        <v>-999</v>
      </c>
      <c r="N2018" s="143">
        <v>-999</v>
      </c>
      <c r="O2018" s="179" t="s">
        <v>8149</v>
      </c>
      <c r="P2018" s="108">
        <v>-999</v>
      </c>
      <c r="Q2018" s="80" t="s">
        <v>7071</v>
      </c>
    </row>
    <row r="2019" spans="1:19">
      <c r="A2019" s="213" t="s">
        <v>2592</v>
      </c>
      <c r="B2019" s="130"/>
      <c r="C2019" s="118" t="s">
        <v>3817</v>
      </c>
      <c r="D2019" s="141"/>
      <c r="E2019" s="118"/>
      <c r="F2019" s="118"/>
      <c r="G2019" s="118" t="s">
        <v>3618</v>
      </c>
      <c r="H2019" s="118" t="s">
        <v>6223</v>
      </c>
      <c r="I2019" s="118" t="s">
        <v>5195</v>
      </c>
      <c r="J2019" s="118" t="s">
        <v>8132</v>
      </c>
      <c r="K2019" s="141"/>
      <c r="L2019" s="135" t="str">
        <f t="shared" si="116"/>
        <v>Allactaga vinogradovi</v>
      </c>
      <c r="M2019" s="133">
        <v>-999</v>
      </c>
      <c r="N2019" s="133">
        <v>-999</v>
      </c>
      <c r="O2019" s="179" t="s">
        <v>3356</v>
      </c>
      <c r="P2019" s="108">
        <v>-999</v>
      </c>
      <c r="Q2019" s="80"/>
    </row>
    <row r="2020" spans="1:19">
      <c r="A2020" s="213" t="s">
        <v>2592</v>
      </c>
      <c r="B2020" s="130"/>
      <c r="C2020" s="118" t="s">
        <v>3817</v>
      </c>
      <c r="D2020" s="141"/>
      <c r="E2020" s="118"/>
      <c r="F2020" s="118"/>
      <c r="G2020" s="118" t="s">
        <v>3618</v>
      </c>
      <c r="H2020" s="118" t="s">
        <v>6223</v>
      </c>
      <c r="I2020" s="118" t="s">
        <v>5195</v>
      </c>
      <c r="J2020" s="118" t="s">
        <v>6033</v>
      </c>
      <c r="K2020" s="141"/>
      <c r="L2020" s="135" t="str">
        <f t="shared" si="116"/>
        <v>Allactaga elater</v>
      </c>
      <c r="M2020" s="133">
        <f t="shared" ref="M2020:M2025" si="118">LOG(N2020)</f>
        <v>1.7708520116421442</v>
      </c>
      <c r="N2020" s="133">
        <v>59</v>
      </c>
      <c r="O2020" s="179" t="s">
        <v>6736</v>
      </c>
      <c r="P2020" s="108">
        <v>68</v>
      </c>
    </row>
    <row r="2021" spans="1:19">
      <c r="A2021" s="213" t="s">
        <v>2592</v>
      </c>
      <c r="B2021" s="130"/>
      <c r="C2021" s="118" t="s">
        <v>3817</v>
      </c>
      <c r="D2021" s="141"/>
      <c r="E2021" s="118"/>
      <c r="F2021" s="118"/>
      <c r="G2021" s="118" t="s">
        <v>3618</v>
      </c>
      <c r="H2021" s="118" t="s">
        <v>6223</v>
      </c>
      <c r="I2021" s="118" t="s">
        <v>5195</v>
      </c>
      <c r="J2021" s="118" t="s">
        <v>6444</v>
      </c>
      <c r="K2021" s="141"/>
      <c r="L2021" s="135" t="str">
        <f t="shared" si="116"/>
        <v>Allactaga hotsoni</v>
      </c>
      <c r="M2021" s="133">
        <f t="shared" si="118"/>
        <v>1.8836614351536176</v>
      </c>
      <c r="N2021" s="133">
        <f>1000*0.0765</f>
        <v>76.5</v>
      </c>
      <c r="O2021" s="179" t="s">
        <v>3356</v>
      </c>
      <c r="P2021" s="108">
        <v>60</v>
      </c>
      <c r="Q2021" s="80"/>
    </row>
    <row r="2022" spans="1:19">
      <c r="A2022" s="213" t="s">
        <v>2592</v>
      </c>
      <c r="B2022" s="130"/>
      <c r="C2022" s="118" t="s">
        <v>3817</v>
      </c>
      <c r="D2022" s="141"/>
      <c r="E2022" s="118"/>
      <c r="F2022" s="118"/>
      <c r="G2022" s="118" t="s">
        <v>3618</v>
      </c>
      <c r="H2022" s="118" t="s">
        <v>6223</v>
      </c>
      <c r="I2022" s="118" t="s">
        <v>5195</v>
      </c>
      <c r="J2022" s="118" t="s">
        <v>8225</v>
      </c>
      <c r="K2022" s="141"/>
      <c r="L2022" s="135" t="str">
        <f t="shared" si="116"/>
        <v>Allactaga sibirica</v>
      </c>
      <c r="M2022" s="133">
        <f t="shared" si="118"/>
        <v>1.9890046156985368</v>
      </c>
      <c r="N2022" s="133">
        <v>97.5</v>
      </c>
      <c r="O2022" s="179" t="s">
        <v>3356</v>
      </c>
      <c r="P2022" s="108">
        <v>173</v>
      </c>
      <c r="Q2022" s="80"/>
    </row>
    <row r="2023" spans="1:19">
      <c r="A2023" s="213" t="s">
        <v>2592</v>
      </c>
      <c r="B2023" s="130"/>
      <c r="C2023" s="118" t="s">
        <v>3817</v>
      </c>
      <c r="D2023" s="141"/>
      <c r="E2023" s="118"/>
      <c r="F2023" s="118"/>
      <c r="G2023" s="118" t="s">
        <v>3618</v>
      </c>
      <c r="H2023" s="118" t="s">
        <v>6223</v>
      </c>
      <c r="I2023" s="118" t="s">
        <v>5195</v>
      </c>
      <c r="J2023" s="118" t="s">
        <v>5643</v>
      </c>
      <c r="K2023" s="141"/>
      <c r="L2023" s="135" t="str">
        <f t="shared" si="116"/>
        <v>Allactaga severtzovi</v>
      </c>
      <c r="M2023" s="133">
        <f t="shared" si="118"/>
        <v>2.2013971243204513</v>
      </c>
      <c r="N2023" s="133">
        <f>1000*0.159</f>
        <v>159</v>
      </c>
      <c r="O2023" s="179" t="s">
        <v>3356</v>
      </c>
      <c r="P2023" s="108">
        <v>60</v>
      </c>
      <c r="Q2023" s="80"/>
    </row>
    <row r="2024" spans="1:19">
      <c r="A2024" s="213" t="s">
        <v>2592</v>
      </c>
      <c r="B2024" s="130"/>
      <c r="C2024" s="118" t="s">
        <v>3817</v>
      </c>
      <c r="D2024" s="141"/>
      <c r="E2024" s="118"/>
      <c r="F2024" s="118"/>
      <c r="G2024" s="118" t="s">
        <v>3618</v>
      </c>
      <c r="H2024" s="118" t="s">
        <v>6223</v>
      </c>
      <c r="I2024" s="118" t="s">
        <v>5195</v>
      </c>
      <c r="J2024" s="118" t="s">
        <v>5251</v>
      </c>
      <c r="K2024" s="141"/>
      <c r="L2024" s="135" t="str">
        <f t="shared" si="116"/>
        <v>Allactaga euphratica</v>
      </c>
      <c r="M2024" s="133">
        <f t="shared" si="118"/>
        <v>2.3654879848908998</v>
      </c>
      <c r="N2024" s="133">
        <v>232</v>
      </c>
      <c r="O2024" s="179" t="s">
        <v>6882</v>
      </c>
      <c r="P2024" s="108">
        <v>-999</v>
      </c>
      <c r="Q2024" s="90" t="s">
        <v>6642</v>
      </c>
    </row>
    <row r="2025" spans="1:19">
      <c r="A2025" s="213" t="s">
        <v>2592</v>
      </c>
      <c r="B2025" s="130"/>
      <c r="C2025" s="118" t="s">
        <v>3817</v>
      </c>
      <c r="D2025" s="141"/>
      <c r="E2025" s="118"/>
      <c r="F2025" s="118"/>
      <c r="G2025" s="118" t="s">
        <v>3618</v>
      </c>
      <c r="H2025" s="118" t="s">
        <v>6223</v>
      </c>
      <c r="I2025" s="118" t="s">
        <v>5195</v>
      </c>
      <c r="J2025" s="118" t="s">
        <v>5838</v>
      </c>
      <c r="K2025" s="141"/>
      <c r="L2025" s="135" t="str">
        <f t="shared" si="116"/>
        <v>Allactaga major</v>
      </c>
      <c r="M2025" s="133">
        <f t="shared" si="118"/>
        <v>2.5440680443502757</v>
      </c>
      <c r="N2025" s="133">
        <f>AVERAGE(280, 420)</f>
        <v>350</v>
      </c>
      <c r="O2025" s="179" t="s">
        <v>3356</v>
      </c>
      <c r="P2025" s="108" t="s">
        <v>6946</v>
      </c>
      <c r="Q2025" s="80"/>
    </row>
    <row r="2026" spans="1:19">
      <c r="A2026" s="213" t="s">
        <v>2592</v>
      </c>
      <c r="B2026" s="130"/>
      <c r="C2026" s="121" t="s">
        <v>3817</v>
      </c>
      <c r="D2026" s="156"/>
      <c r="E2026" s="121"/>
      <c r="F2026" s="121"/>
      <c r="G2026" s="121" t="s">
        <v>3618</v>
      </c>
      <c r="H2026" s="118" t="s">
        <v>6223</v>
      </c>
      <c r="I2026" s="121" t="s">
        <v>8298</v>
      </c>
      <c r="J2026" s="121" t="s">
        <v>8299</v>
      </c>
      <c r="K2026" s="156"/>
      <c r="L2026" s="135" t="str">
        <f t="shared" si="116"/>
        <v>Allactodipus bobrinskii</v>
      </c>
      <c r="M2026" s="133">
        <v>-999</v>
      </c>
      <c r="N2026" s="143">
        <v>-999</v>
      </c>
      <c r="O2026" s="179" t="s">
        <v>3356</v>
      </c>
      <c r="P2026" s="108">
        <v>-999</v>
      </c>
      <c r="Q2026" s="80"/>
    </row>
    <row r="2027" spans="1:19">
      <c r="A2027" s="213" t="s">
        <v>2592</v>
      </c>
      <c r="B2027" s="130"/>
      <c r="C2027" s="121" t="s">
        <v>3817</v>
      </c>
      <c r="D2027" s="156"/>
      <c r="E2027" s="121"/>
      <c r="F2027" s="121"/>
      <c r="G2027" s="121" t="s">
        <v>3618</v>
      </c>
      <c r="H2027" s="121" t="s">
        <v>6223</v>
      </c>
      <c r="I2027" s="121" t="s">
        <v>6020</v>
      </c>
      <c r="J2027" s="121" t="s">
        <v>5484</v>
      </c>
      <c r="K2027" s="156"/>
      <c r="L2027" s="135" t="str">
        <f t="shared" si="116"/>
        <v>Cardiocranius paradoxus</v>
      </c>
      <c r="M2027" s="133">
        <f>LOG(N2027)</f>
        <v>0.93449845124356767</v>
      </c>
      <c r="N2027" s="143">
        <v>8.6</v>
      </c>
      <c r="O2027" s="179" t="s">
        <v>6641</v>
      </c>
      <c r="P2027" s="108">
        <v>173</v>
      </c>
      <c r="Q2027" s="80" t="s">
        <v>6988</v>
      </c>
    </row>
    <row r="2028" spans="1:19">
      <c r="A2028" s="213" t="s">
        <v>2592</v>
      </c>
      <c r="B2028" s="130"/>
      <c r="C2028" s="118" t="s">
        <v>3817</v>
      </c>
      <c r="D2028" s="141"/>
      <c r="E2028" s="118"/>
      <c r="F2028" s="118"/>
      <c r="G2028" s="118" t="s">
        <v>3618</v>
      </c>
      <c r="H2028" s="118" t="s">
        <v>6223</v>
      </c>
      <c r="I2028" s="118" t="s">
        <v>5252</v>
      </c>
      <c r="J2028" s="118" t="s">
        <v>5253</v>
      </c>
      <c r="K2028" s="141"/>
      <c r="L2028" s="135" t="str">
        <f t="shared" si="116"/>
        <v>Dipus sagitta</v>
      </c>
      <c r="M2028" s="133">
        <f>LOG(N2028)</f>
        <v>1.9327273673015293</v>
      </c>
      <c r="N2028" s="133">
        <f>AVERAGE(82.3, 89)</f>
        <v>85.65</v>
      </c>
      <c r="O2028" s="179" t="s">
        <v>6736</v>
      </c>
      <c r="P2028" s="108" t="s">
        <v>1961</v>
      </c>
    </row>
    <row r="2029" spans="1:19" ht="25.5">
      <c r="A2029" s="213" t="s">
        <v>2592</v>
      </c>
      <c r="B2029" s="141" t="s">
        <v>1988</v>
      </c>
      <c r="C2029" s="118" t="s">
        <v>3817</v>
      </c>
      <c r="D2029" s="141"/>
      <c r="E2029" s="118"/>
      <c r="F2029" s="118"/>
      <c r="G2029" s="118" t="s">
        <v>3618</v>
      </c>
      <c r="H2029" s="118" t="s">
        <v>6223</v>
      </c>
      <c r="I2029" s="118" t="s">
        <v>6031</v>
      </c>
      <c r="J2029" s="118" t="s">
        <v>6470</v>
      </c>
      <c r="K2029" s="141"/>
      <c r="L2029" s="135" t="str">
        <f t="shared" si="116"/>
        <v>Eozapus setchuanus</v>
      </c>
      <c r="M2029" s="133">
        <f>LOG(N2029)</f>
        <v>1.5128977563206458</v>
      </c>
      <c r="N2029" s="133">
        <v>32.576000000000001</v>
      </c>
      <c r="O2029" s="179" t="s">
        <v>6641</v>
      </c>
      <c r="P2029" s="108" t="s">
        <v>1158</v>
      </c>
      <c r="Q2029" s="80" t="s">
        <v>6988</v>
      </c>
      <c r="R2029" s="85" t="s">
        <v>1810</v>
      </c>
      <c r="S2029" s="85">
        <f>-7.1743+2.8436*LOG(100)</f>
        <v>-1.4870999999999999</v>
      </c>
    </row>
    <row r="2030" spans="1:19">
      <c r="A2030" s="213" t="s">
        <v>2592</v>
      </c>
      <c r="B2030" s="130"/>
      <c r="C2030" s="121" t="s">
        <v>3817</v>
      </c>
      <c r="D2030" s="156"/>
      <c r="E2030" s="121"/>
      <c r="F2030" s="121"/>
      <c r="G2030" s="121" t="s">
        <v>3618</v>
      </c>
      <c r="H2030" s="121" t="s">
        <v>6223</v>
      </c>
      <c r="I2030" s="121" t="s">
        <v>3339</v>
      </c>
      <c r="J2030" s="121" t="s">
        <v>8139</v>
      </c>
      <c r="K2030" s="156"/>
      <c r="L2030" s="135" t="str">
        <f t="shared" si="116"/>
        <v>Eremodipus lichtensteini</v>
      </c>
      <c r="M2030" s="133">
        <f>LOG(N2030)</f>
        <v>1.7075701760979363</v>
      </c>
      <c r="N2030" s="143">
        <v>51</v>
      </c>
      <c r="O2030" s="179" t="s">
        <v>3356</v>
      </c>
      <c r="P2030" s="108" t="s">
        <v>7962</v>
      </c>
      <c r="Q2030" s="80"/>
    </row>
    <row r="2031" spans="1:19" ht="25.5">
      <c r="A2031" s="213" t="s">
        <v>2592</v>
      </c>
      <c r="B2031" s="130" t="s">
        <v>5958</v>
      </c>
      <c r="C2031" s="121" t="s">
        <v>3817</v>
      </c>
      <c r="D2031" s="156"/>
      <c r="E2031" s="121"/>
      <c r="F2031" s="121"/>
      <c r="G2031" s="121" t="s">
        <v>3618</v>
      </c>
      <c r="H2031" s="121" t="s">
        <v>6223</v>
      </c>
      <c r="I2031" s="121" t="s">
        <v>6750</v>
      </c>
      <c r="J2031" s="121" t="s">
        <v>7088</v>
      </c>
      <c r="K2031" s="156"/>
      <c r="L2031" s="135" t="str">
        <f t="shared" si="116"/>
        <v>Euchoreutes naso</v>
      </c>
      <c r="M2031" s="133">
        <f>LOG(N2031)</f>
        <v>1.3827372657613304</v>
      </c>
      <c r="N2031" s="143">
        <v>24.14</v>
      </c>
      <c r="O2031" s="179" t="s">
        <v>6844</v>
      </c>
      <c r="P2031" s="108" t="s">
        <v>1158</v>
      </c>
      <c r="Q2031" s="80" t="s">
        <v>6640</v>
      </c>
      <c r="R2031" s="85" t="s">
        <v>1156</v>
      </c>
    </row>
    <row r="2032" spans="1:19">
      <c r="A2032" s="213" t="s">
        <v>2592</v>
      </c>
      <c r="B2032" s="130"/>
      <c r="C2032" s="118" t="s">
        <v>3817</v>
      </c>
      <c r="D2032" s="141"/>
      <c r="E2032" s="118"/>
      <c r="F2032" s="118"/>
      <c r="G2032" s="118" t="s">
        <v>3618</v>
      </c>
      <c r="H2032" s="118" t="s">
        <v>6223</v>
      </c>
      <c r="I2032" s="118" t="s">
        <v>6224</v>
      </c>
      <c r="J2032" s="118" t="s">
        <v>6757</v>
      </c>
      <c r="K2032" s="141"/>
      <c r="L2032" s="135" t="str">
        <f t="shared" si="116"/>
        <v>Jaculus turcmenicus</v>
      </c>
      <c r="M2032" s="133">
        <v>-999</v>
      </c>
      <c r="N2032" s="133">
        <v>-999</v>
      </c>
      <c r="O2032" s="179" t="s">
        <v>3356</v>
      </c>
      <c r="P2032" s="108">
        <v>-999</v>
      </c>
      <c r="Q2032" s="80"/>
    </row>
    <row r="2033" spans="1:18">
      <c r="A2033" s="213" t="s">
        <v>2592</v>
      </c>
      <c r="B2033" s="141" t="s">
        <v>5957</v>
      </c>
      <c r="C2033" s="118" t="s">
        <v>3817</v>
      </c>
      <c r="D2033" s="141"/>
      <c r="E2033" s="118"/>
      <c r="F2033" s="118"/>
      <c r="G2033" s="118" t="s">
        <v>3618</v>
      </c>
      <c r="H2033" s="118" t="s">
        <v>6223</v>
      </c>
      <c r="I2033" s="118" t="s">
        <v>6224</v>
      </c>
      <c r="J2033" s="118" t="s">
        <v>6452</v>
      </c>
      <c r="K2033" s="141"/>
      <c r="L2033" s="135" t="str">
        <f t="shared" si="116"/>
        <v>Jaculus blanfordi</v>
      </c>
      <c r="M2033" s="133">
        <f>LOG(N2033)</f>
        <v>1.7379873263334307</v>
      </c>
      <c r="N2033" s="133">
        <f>1000*0.0547</f>
        <v>54.699999999999996</v>
      </c>
      <c r="O2033" s="179" t="s">
        <v>3356</v>
      </c>
      <c r="P2033" s="108">
        <v>60</v>
      </c>
      <c r="Q2033" s="80"/>
    </row>
    <row r="2034" spans="1:18" ht="12" customHeight="1">
      <c r="A2034" s="213" t="s">
        <v>2592</v>
      </c>
      <c r="B2034" s="130"/>
      <c r="C2034" s="118" t="s">
        <v>3817</v>
      </c>
      <c r="D2034" s="141"/>
      <c r="E2034" s="118"/>
      <c r="F2034" s="118"/>
      <c r="G2034" s="118" t="s">
        <v>3618</v>
      </c>
      <c r="H2034" s="118" t="s">
        <v>6223</v>
      </c>
      <c r="I2034" s="118" t="s">
        <v>6224</v>
      </c>
      <c r="J2034" s="118" t="s">
        <v>6225</v>
      </c>
      <c r="K2034" s="141"/>
      <c r="L2034" s="135" t="str">
        <f t="shared" si="116"/>
        <v>Jaculus jaculus</v>
      </c>
      <c r="M2034" s="133">
        <f>LOG(N2034)</f>
        <v>1.7524332158008897</v>
      </c>
      <c r="N2034" s="133">
        <f>AVERAGE(70.0003159130897, 55, 50.8, 50.4)</f>
        <v>56.550078978272424</v>
      </c>
      <c r="O2034" s="179" t="s">
        <v>3356</v>
      </c>
      <c r="P2034" s="108" t="s">
        <v>6644</v>
      </c>
      <c r="R2034" s="89" t="s">
        <v>7595</v>
      </c>
    </row>
    <row r="2035" spans="1:18">
      <c r="A2035" s="213" t="s">
        <v>2592</v>
      </c>
      <c r="B2035" s="130"/>
      <c r="C2035" s="118" t="s">
        <v>3817</v>
      </c>
      <c r="D2035" s="141"/>
      <c r="E2035" s="118"/>
      <c r="F2035" s="118"/>
      <c r="G2035" s="118" t="s">
        <v>3618</v>
      </c>
      <c r="H2035" s="118" t="s">
        <v>6223</v>
      </c>
      <c r="I2035" s="118" t="s">
        <v>6224</v>
      </c>
      <c r="J2035" s="118" t="s">
        <v>3805</v>
      </c>
      <c r="K2035" s="141"/>
      <c r="L2035" s="135" t="str">
        <f t="shared" si="116"/>
        <v>Jaculus orientalis</v>
      </c>
      <c r="M2035" s="133">
        <f>LOG(N2035)</f>
        <v>2.1398799999999998</v>
      </c>
      <c r="N2035" s="133">
        <v>138.00029030247268</v>
      </c>
      <c r="O2035" s="179" t="s">
        <v>6931</v>
      </c>
      <c r="P2035" s="108">
        <v>60</v>
      </c>
      <c r="Q2035" s="90" t="s">
        <v>6642</v>
      </c>
    </row>
    <row r="2036" spans="1:18" ht="25.5">
      <c r="A2036" s="213" t="s">
        <v>2592</v>
      </c>
      <c r="B2036" s="141" t="s">
        <v>8100</v>
      </c>
      <c r="C2036" s="118" t="s">
        <v>3817</v>
      </c>
      <c r="D2036" s="141"/>
      <c r="E2036" s="118"/>
      <c r="F2036" s="118"/>
      <c r="G2036" s="118" t="s">
        <v>3618</v>
      </c>
      <c r="H2036" s="118" t="s">
        <v>6223</v>
      </c>
      <c r="I2036" s="118" t="s">
        <v>6755</v>
      </c>
      <c r="J2036" s="118" t="s">
        <v>5842</v>
      </c>
      <c r="K2036" s="141"/>
      <c r="L2036" s="135" t="str">
        <f t="shared" si="116"/>
        <v>Paradipus ctenodactylus</v>
      </c>
      <c r="M2036" s="133">
        <f>LOG(N2036)</f>
        <v>2.0374806960109462</v>
      </c>
      <c r="N2036" s="147">
        <v>109.01360357671456</v>
      </c>
      <c r="O2036" s="179" t="s">
        <v>235</v>
      </c>
      <c r="P2036" s="108" t="s">
        <v>236</v>
      </c>
      <c r="Q2036" s="80">
        <f>-7.1743 + 2.836*LOG(155)</f>
        <v>-0.96251930398905383</v>
      </c>
      <c r="R2036" s="85">
        <f>1000*10^Q2036</f>
        <v>109.01360357671456</v>
      </c>
    </row>
    <row r="2037" spans="1:18">
      <c r="A2037" s="213" t="s">
        <v>2592</v>
      </c>
      <c r="B2037" s="141" t="s">
        <v>7118</v>
      </c>
      <c r="C2037" s="118" t="s">
        <v>3817</v>
      </c>
      <c r="D2037" s="141"/>
      <c r="E2037" s="118"/>
      <c r="F2037" s="118"/>
      <c r="G2037" s="118" t="s">
        <v>3618</v>
      </c>
      <c r="H2037" s="118" t="s">
        <v>6223</v>
      </c>
      <c r="I2037" s="118" t="s">
        <v>8128</v>
      </c>
      <c r="J2037" s="118" t="s">
        <v>5650</v>
      </c>
      <c r="K2037" s="141"/>
      <c r="L2037" s="135" t="str">
        <f t="shared" si="116"/>
        <v>Pygeretmus platyurus</v>
      </c>
      <c r="M2037" s="133">
        <v>-999</v>
      </c>
      <c r="N2037" s="133">
        <v>-999</v>
      </c>
      <c r="O2037" s="179" t="s">
        <v>3356</v>
      </c>
      <c r="P2037" s="108">
        <v>-999</v>
      </c>
      <c r="Q2037" s="80"/>
    </row>
    <row r="2038" spans="1:18" ht="36" customHeight="1">
      <c r="A2038" s="213" t="s">
        <v>2592</v>
      </c>
      <c r="B2038" s="141" t="s">
        <v>7118</v>
      </c>
      <c r="C2038" s="121" t="s">
        <v>3817</v>
      </c>
      <c r="D2038" s="156"/>
      <c r="E2038" s="121"/>
      <c r="F2038" s="121"/>
      <c r="G2038" s="121" t="s">
        <v>3618</v>
      </c>
      <c r="H2038" s="121" t="s">
        <v>6223</v>
      </c>
      <c r="I2038" s="121" t="s">
        <v>8128</v>
      </c>
      <c r="J2038" s="121" t="s">
        <v>6019</v>
      </c>
      <c r="K2038" s="156"/>
      <c r="L2038" s="135" t="str">
        <f t="shared" si="116"/>
        <v>Pygeretmus shitkovi</v>
      </c>
      <c r="M2038" s="133">
        <v>-999</v>
      </c>
      <c r="N2038" s="143">
        <v>-999</v>
      </c>
      <c r="O2038" s="179" t="s">
        <v>6882</v>
      </c>
      <c r="P2038" s="108">
        <v>-999</v>
      </c>
      <c r="Q2038" s="88" t="s">
        <v>6642</v>
      </c>
    </row>
    <row r="2039" spans="1:18" ht="25.5">
      <c r="A2039" s="213" t="s">
        <v>2592</v>
      </c>
      <c r="B2039" s="141" t="s">
        <v>7507</v>
      </c>
      <c r="C2039" s="118" t="s">
        <v>3817</v>
      </c>
      <c r="D2039" s="141"/>
      <c r="E2039" s="118"/>
      <c r="F2039" s="118"/>
      <c r="G2039" s="118" t="s">
        <v>3618</v>
      </c>
      <c r="H2039" s="118" t="s">
        <v>6223</v>
      </c>
      <c r="I2039" s="118" t="s">
        <v>8128</v>
      </c>
      <c r="J2039" s="118" t="s">
        <v>3514</v>
      </c>
      <c r="K2039" s="141"/>
      <c r="L2039" s="135" t="str">
        <f t="shared" si="116"/>
        <v>Pygeretmus pumilio</v>
      </c>
      <c r="M2039" s="133">
        <f>LOG(N2039)</f>
        <v>1.7160033436347992</v>
      </c>
      <c r="N2039" s="133">
        <v>52</v>
      </c>
      <c r="O2039" s="179" t="s">
        <v>3356</v>
      </c>
      <c r="P2039" s="108">
        <v>75</v>
      </c>
    </row>
    <row r="2040" spans="1:18" ht="25.5">
      <c r="A2040" s="213" t="s">
        <v>2592</v>
      </c>
      <c r="B2040" s="130" t="s">
        <v>8251</v>
      </c>
      <c r="C2040" s="118" t="s">
        <v>3817</v>
      </c>
      <c r="D2040" s="141"/>
      <c r="E2040" s="118"/>
      <c r="F2040" s="118"/>
      <c r="G2040" s="118" t="s">
        <v>3618</v>
      </c>
      <c r="H2040" s="118" t="s">
        <v>6223</v>
      </c>
      <c r="I2040" s="118" t="s">
        <v>6016</v>
      </c>
      <c r="J2040" s="118" t="s">
        <v>4184</v>
      </c>
      <c r="K2040" s="141"/>
      <c r="L2040" s="135" t="str">
        <f t="shared" si="116"/>
        <v>Salpingotus crassicauda</v>
      </c>
      <c r="M2040" s="133">
        <v>-999</v>
      </c>
      <c r="N2040" s="133">
        <v>-999</v>
      </c>
      <c r="O2040" s="179" t="s">
        <v>6641</v>
      </c>
      <c r="P2040" s="108">
        <v>-999</v>
      </c>
      <c r="Q2040" s="80" t="s">
        <v>6988</v>
      </c>
    </row>
    <row r="2041" spans="1:18">
      <c r="A2041" s="213" t="s">
        <v>2592</v>
      </c>
      <c r="B2041" s="130" t="s">
        <v>8089</v>
      </c>
      <c r="C2041" s="118" t="s">
        <v>3817</v>
      </c>
      <c r="D2041" s="141"/>
      <c r="E2041" s="118"/>
      <c r="F2041" s="118"/>
      <c r="G2041" s="118" t="s">
        <v>3618</v>
      </c>
      <c r="H2041" s="118" t="s">
        <v>6223</v>
      </c>
      <c r="I2041" s="118" t="s">
        <v>6016</v>
      </c>
      <c r="J2041" s="118" t="s">
        <v>8136</v>
      </c>
      <c r="K2041" s="141"/>
      <c r="L2041" s="135" t="str">
        <f t="shared" si="116"/>
        <v>Salpingotus heptneri</v>
      </c>
      <c r="M2041" s="133">
        <v>-999</v>
      </c>
      <c r="N2041" s="133">
        <v>-999</v>
      </c>
      <c r="O2041" s="179" t="s">
        <v>6882</v>
      </c>
      <c r="P2041" s="108">
        <v>-999</v>
      </c>
      <c r="Q2041" s="80" t="s">
        <v>6642</v>
      </c>
    </row>
    <row r="2042" spans="1:18">
      <c r="A2042" s="213" t="s">
        <v>2592</v>
      </c>
      <c r="B2042" s="141" t="s">
        <v>8090</v>
      </c>
      <c r="C2042" s="121" t="s">
        <v>3817</v>
      </c>
      <c r="D2042" s="156"/>
      <c r="E2042" s="121"/>
      <c r="F2042" s="121"/>
      <c r="G2042" s="121" t="s">
        <v>3618</v>
      </c>
      <c r="H2042" s="121" t="s">
        <v>6223</v>
      </c>
      <c r="I2042" s="121" t="s">
        <v>6016</v>
      </c>
      <c r="J2042" s="121" t="s">
        <v>8137</v>
      </c>
      <c r="K2042" s="156"/>
      <c r="L2042" s="135" t="str">
        <f t="shared" si="116"/>
        <v>Salpingotus kozlovi</v>
      </c>
      <c r="M2042" s="133">
        <v>-999</v>
      </c>
      <c r="N2042" s="143">
        <v>-999</v>
      </c>
      <c r="O2042" s="179" t="s">
        <v>6882</v>
      </c>
      <c r="P2042" s="108">
        <v>-999</v>
      </c>
      <c r="Q2042" s="80" t="s">
        <v>6642</v>
      </c>
    </row>
    <row r="2043" spans="1:18" ht="25.5">
      <c r="A2043" s="213" t="s">
        <v>2592</v>
      </c>
      <c r="B2043" s="141" t="s">
        <v>8244</v>
      </c>
      <c r="C2043" s="118" t="s">
        <v>3817</v>
      </c>
      <c r="D2043" s="141"/>
      <c r="E2043" s="118"/>
      <c r="F2043" s="118"/>
      <c r="G2043" s="118" t="s">
        <v>3618</v>
      </c>
      <c r="H2043" s="118" t="s">
        <v>6223</v>
      </c>
      <c r="I2043" s="118" t="s">
        <v>6016</v>
      </c>
      <c r="J2043" s="118" t="s">
        <v>5379</v>
      </c>
      <c r="K2043" s="141"/>
      <c r="L2043" s="135" t="str">
        <f t="shared" si="116"/>
        <v>Salpingotus pallidus</v>
      </c>
      <c r="M2043" s="133">
        <v>-999</v>
      </c>
      <c r="N2043" s="133">
        <v>-999</v>
      </c>
      <c r="O2043" s="182" t="s">
        <v>3356</v>
      </c>
      <c r="P2043" s="111">
        <v>-999</v>
      </c>
      <c r="Q2043" s="80"/>
    </row>
    <row r="2044" spans="1:18">
      <c r="A2044" s="213" t="s">
        <v>2592</v>
      </c>
      <c r="B2044" s="141" t="s">
        <v>8103</v>
      </c>
      <c r="C2044" s="118" t="s">
        <v>3817</v>
      </c>
      <c r="D2044" s="141"/>
      <c r="E2044" s="118"/>
      <c r="F2044" s="118"/>
      <c r="G2044" s="118" t="s">
        <v>3618</v>
      </c>
      <c r="H2044" s="118" t="s">
        <v>6223</v>
      </c>
      <c r="I2044" s="118" t="s">
        <v>6016</v>
      </c>
      <c r="J2044" s="118" t="s">
        <v>4852</v>
      </c>
      <c r="K2044" s="141"/>
      <c r="L2044" s="135" t="str">
        <f t="shared" si="116"/>
        <v>Salpingotus thomasi</v>
      </c>
      <c r="M2044" s="133">
        <v>-999</v>
      </c>
      <c r="N2044" s="133">
        <v>-999</v>
      </c>
      <c r="O2044" s="179" t="s">
        <v>6882</v>
      </c>
      <c r="P2044" s="108">
        <v>-999</v>
      </c>
      <c r="Q2044" s="80" t="s">
        <v>6987</v>
      </c>
    </row>
    <row r="2045" spans="1:18">
      <c r="A2045" s="213" t="s">
        <v>2592</v>
      </c>
      <c r="B2045" s="141" t="s">
        <v>8248</v>
      </c>
      <c r="C2045" s="118" t="s">
        <v>3817</v>
      </c>
      <c r="D2045" s="141"/>
      <c r="E2045" s="118"/>
      <c r="F2045" s="118"/>
      <c r="G2045" s="118" t="s">
        <v>3618</v>
      </c>
      <c r="H2045" s="118" t="s">
        <v>6223</v>
      </c>
      <c r="I2045" s="118" t="s">
        <v>6016</v>
      </c>
      <c r="J2045" s="118" t="s">
        <v>6451</v>
      </c>
      <c r="K2045" s="141"/>
      <c r="L2045" s="135" t="str">
        <f t="shared" si="116"/>
        <v>Salpingotus michaelis</v>
      </c>
      <c r="M2045" s="133">
        <f>LOG(N2045)</f>
        <v>0.59328606702045728</v>
      </c>
      <c r="N2045" s="133">
        <f>1000*0.00392</f>
        <v>3.92</v>
      </c>
      <c r="O2045" s="179" t="s">
        <v>3356</v>
      </c>
      <c r="P2045" s="108">
        <f>60</f>
        <v>60</v>
      </c>
      <c r="Q2045" s="80"/>
    </row>
    <row r="2046" spans="1:18" ht="15" customHeight="1">
      <c r="A2046" s="213" t="s">
        <v>2592</v>
      </c>
      <c r="B2046" s="141" t="s">
        <v>8097</v>
      </c>
      <c r="C2046" s="118" t="s">
        <v>3817</v>
      </c>
      <c r="D2046" s="141"/>
      <c r="E2046" s="118"/>
      <c r="F2046" s="118"/>
      <c r="G2046" s="118" t="s">
        <v>3618</v>
      </c>
      <c r="H2046" s="118" t="s">
        <v>6223</v>
      </c>
      <c r="I2046" s="118" t="s">
        <v>5250</v>
      </c>
      <c r="J2046" s="118" t="s">
        <v>5843</v>
      </c>
      <c r="K2046" s="141"/>
      <c r="L2046" s="135" t="str">
        <f t="shared" si="116"/>
        <v>Sicista armenica</v>
      </c>
      <c r="M2046" s="133">
        <v>-999</v>
      </c>
      <c r="N2046" s="133">
        <v>-999</v>
      </c>
      <c r="O2046" s="179" t="s">
        <v>6641</v>
      </c>
      <c r="P2046" s="108">
        <v>-999</v>
      </c>
      <c r="Q2046" s="90" t="s">
        <v>7071</v>
      </c>
    </row>
    <row r="2047" spans="1:18">
      <c r="A2047" s="213" t="s">
        <v>2592</v>
      </c>
      <c r="B2047" s="141" t="s">
        <v>1988</v>
      </c>
      <c r="C2047" s="118" t="s">
        <v>3817</v>
      </c>
      <c r="D2047" s="141"/>
      <c r="E2047" s="118"/>
      <c r="F2047" s="118"/>
      <c r="G2047" s="118" t="s">
        <v>3618</v>
      </c>
      <c r="H2047" s="121" t="s">
        <v>6223</v>
      </c>
      <c r="I2047" s="118" t="s">
        <v>5250</v>
      </c>
      <c r="J2047" s="118" t="s">
        <v>8216</v>
      </c>
      <c r="K2047" s="141"/>
      <c r="L2047" s="135" t="str">
        <f t="shared" si="116"/>
        <v>Sicista caudata</v>
      </c>
      <c r="M2047" s="133">
        <v>-999</v>
      </c>
      <c r="N2047" s="133">
        <v>-999</v>
      </c>
      <c r="O2047" s="179" t="s">
        <v>6641</v>
      </c>
      <c r="P2047" s="108">
        <v>-999</v>
      </c>
      <c r="Q2047" s="80" t="s">
        <v>6640</v>
      </c>
    </row>
    <row r="2048" spans="1:18">
      <c r="A2048" s="213" t="s">
        <v>2592</v>
      </c>
      <c r="B2048" s="141" t="s">
        <v>2413</v>
      </c>
      <c r="C2048" s="118" t="s">
        <v>3817</v>
      </c>
      <c r="D2048" s="141"/>
      <c r="E2048" s="118"/>
      <c r="F2048" s="118"/>
      <c r="G2048" s="118" t="s">
        <v>3618</v>
      </c>
      <c r="H2048" s="121" t="s">
        <v>6223</v>
      </c>
      <c r="I2048" s="118" t="s">
        <v>5250</v>
      </c>
      <c r="J2048" s="118" t="s">
        <v>3569</v>
      </c>
      <c r="K2048" s="141"/>
      <c r="L2048" s="135" t="str">
        <f t="shared" si="116"/>
        <v>Sicista concolor</v>
      </c>
      <c r="M2048" s="133">
        <v>-999</v>
      </c>
      <c r="N2048" s="133">
        <v>-999</v>
      </c>
      <c r="O2048" s="179" t="s">
        <v>3356</v>
      </c>
      <c r="P2048" s="108">
        <v>-999</v>
      </c>
      <c r="Q2048" s="80"/>
    </row>
    <row r="2049" spans="1:18" ht="12" customHeight="1">
      <c r="A2049" s="213" t="s">
        <v>2592</v>
      </c>
      <c r="B2049" s="141" t="s">
        <v>8099</v>
      </c>
      <c r="C2049" s="118" t="s">
        <v>3817</v>
      </c>
      <c r="D2049" s="141"/>
      <c r="E2049" s="118"/>
      <c r="F2049" s="118"/>
      <c r="G2049" s="118" t="s">
        <v>3618</v>
      </c>
      <c r="H2049" s="118" t="s">
        <v>6223</v>
      </c>
      <c r="I2049" s="118" t="s">
        <v>5250</v>
      </c>
      <c r="J2049" s="118" t="s">
        <v>5814</v>
      </c>
      <c r="K2049" s="141"/>
      <c r="L2049" s="135" t="str">
        <f t="shared" si="116"/>
        <v>Sicista kazbegica</v>
      </c>
      <c r="M2049" s="133">
        <v>-999</v>
      </c>
      <c r="N2049" s="133">
        <v>-999</v>
      </c>
      <c r="O2049" s="179" t="s">
        <v>6882</v>
      </c>
      <c r="P2049" s="108">
        <v>-999</v>
      </c>
      <c r="Q2049" s="88" t="s">
        <v>6987</v>
      </c>
    </row>
    <row r="2050" spans="1:18">
      <c r="A2050" s="213" t="s">
        <v>2592</v>
      </c>
      <c r="B2050" s="141" t="s">
        <v>3049</v>
      </c>
      <c r="C2050" s="118" t="s">
        <v>3817</v>
      </c>
      <c r="D2050" s="141"/>
      <c r="E2050" s="118"/>
      <c r="F2050" s="118"/>
      <c r="G2050" s="118" t="s">
        <v>3618</v>
      </c>
      <c r="H2050" s="118" t="s">
        <v>6223</v>
      </c>
      <c r="I2050" s="118" t="s">
        <v>5250</v>
      </c>
      <c r="J2050" s="118" t="s">
        <v>6471</v>
      </c>
      <c r="K2050" s="141"/>
      <c r="L2050" s="135" t="str">
        <f t="shared" si="116"/>
        <v>Sicista kluchorica</v>
      </c>
      <c r="M2050" s="133">
        <v>-999</v>
      </c>
      <c r="N2050" s="133">
        <v>-999</v>
      </c>
      <c r="O2050" s="179" t="s">
        <v>6882</v>
      </c>
      <c r="P2050" s="108">
        <v>-999</v>
      </c>
      <c r="Q2050" s="80" t="s">
        <v>6987</v>
      </c>
    </row>
    <row r="2051" spans="1:18">
      <c r="A2051" s="213" t="s">
        <v>2592</v>
      </c>
      <c r="B2051" s="141" t="s">
        <v>7118</v>
      </c>
      <c r="C2051" s="118" t="s">
        <v>3817</v>
      </c>
      <c r="D2051" s="141"/>
      <c r="E2051" s="118"/>
      <c r="F2051" s="118"/>
      <c r="G2051" s="118" t="s">
        <v>3618</v>
      </c>
      <c r="H2051" s="118" t="s">
        <v>6223</v>
      </c>
      <c r="I2051" s="118" t="s">
        <v>5250</v>
      </c>
      <c r="J2051" s="118" t="s">
        <v>5841</v>
      </c>
      <c r="K2051" s="141"/>
      <c r="L2051" s="135" t="str">
        <f t="shared" si="116"/>
        <v>Sicista pseudonapaea</v>
      </c>
      <c r="M2051" s="133">
        <v>-999</v>
      </c>
      <c r="N2051" s="133">
        <v>-999</v>
      </c>
      <c r="O2051" s="179" t="s">
        <v>6882</v>
      </c>
      <c r="P2051" s="108">
        <v>-999</v>
      </c>
      <c r="Q2051" s="90" t="s">
        <v>6987</v>
      </c>
    </row>
    <row r="2052" spans="1:18" ht="15" customHeight="1">
      <c r="A2052" s="213" t="s">
        <v>2592</v>
      </c>
      <c r="B2052" s="141" t="s">
        <v>3049</v>
      </c>
      <c r="C2052" s="118" t="s">
        <v>3817</v>
      </c>
      <c r="D2052" s="141"/>
      <c r="E2052" s="118"/>
      <c r="F2052" s="118"/>
      <c r="G2052" s="118" t="s">
        <v>3618</v>
      </c>
      <c r="H2052" s="118" t="s">
        <v>6223</v>
      </c>
      <c r="I2052" s="118" t="s">
        <v>5250</v>
      </c>
      <c r="J2052" s="118" t="s">
        <v>5643</v>
      </c>
      <c r="K2052" s="141"/>
      <c r="L2052" s="135" t="str">
        <f t="shared" si="116"/>
        <v>Sicista severtzovi</v>
      </c>
      <c r="M2052" s="133">
        <v>-999</v>
      </c>
      <c r="N2052" s="133">
        <v>-999</v>
      </c>
      <c r="O2052" s="179" t="s">
        <v>3356</v>
      </c>
      <c r="P2052" s="108">
        <v>-999</v>
      </c>
      <c r="Q2052" s="80"/>
    </row>
    <row r="2053" spans="1:18">
      <c r="A2053" s="213" t="s">
        <v>2592</v>
      </c>
      <c r="B2053" s="141" t="s">
        <v>7576</v>
      </c>
      <c r="C2053" s="118" t="s">
        <v>3817</v>
      </c>
      <c r="D2053" s="141"/>
      <c r="E2053" s="118"/>
      <c r="F2053" s="118"/>
      <c r="G2053" s="118" t="s">
        <v>3618</v>
      </c>
      <c r="H2053" s="118" t="s">
        <v>6223</v>
      </c>
      <c r="I2053" s="118" t="s">
        <v>5250</v>
      </c>
      <c r="J2053" s="118" t="s">
        <v>5848</v>
      </c>
      <c r="K2053" s="141"/>
      <c r="L2053" s="135" t="str">
        <f t="shared" ref="L2053:L2116" si="119">I2053&amp;" "&amp;J2053</f>
        <v>Sicista tianshanica</v>
      </c>
      <c r="M2053" s="133">
        <v>-999</v>
      </c>
      <c r="N2053" s="133">
        <v>-999</v>
      </c>
      <c r="O2053" s="179" t="s">
        <v>3356</v>
      </c>
      <c r="P2053" s="108">
        <v>-999</v>
      </c>
      <c r="Q2053" s="80"/>
    </row>
    <row r="2054" spans="1:18">
      <c r="A2054" s="213" t="s">
        <v>2592</v>
      </c>
      <c r="B2054" s="130"/>
      <c r="C2054" s="118" t="s">
        <v>3817</v>
      </c>
      <c r="D2054" s="141"/>
      <c r="E2054" s="118"/>
      <c r="F2054" s="118"/>
      <c r="G2054" s="118" t="s">
        <v>3618</v>
      </c>
      <c r="H2054" s="118" t="s">
        <v>6223</v>
      </c>
      <c r="I2054" s="118" t="s">
        <v>5250</v>
      </c>
      <c r="J2054" s="118" t="s">
        <v>5466</v>
      </c>
      <c r="K2054" s="141"/>
      <c r="L2054" s="135" t="str">
        <f t="shared" si="119"/>
        <v>Sicista betulina</v>
      </c>
      <c r="M2054" s="133">
        <f>LOG(N2054)</f>
        <v>0.90308998699194354</v>
      </c>
      <c r="N2054" s="133">
        <v>8</v>
      </c>
      <c r="O2054" s="179" t="s">
        <v>6882</v>
      </c>
      <c r="P2054" s="108">
        <v>75</v>
      </c>
      <c r="Q2054" s="90" t="s">
        <v>6642</v>
      </c>
    </row>
    <row r="2055" spans="1:18" ht="15" customHeight="1">
      <c r="A2055" s="213" t="s">
        <v>2592</v>
      </c>
      <c r="B2055" s="141" t="s">
        <v>3049</v>
      </c>
      <c r="C2055" s="118" t="s">
        <v>3817</v>
      </c>
      <c r="D2055" s="141"/>
      <c r="E2055" s="118"/>
      <c r="F2055" s="118"/>
      <c r="G2055" s="118" t="s">
        <v>3618</v>
      </c>
      <c r="H2055" s="118" t="s">
        <v>6223</v>
      </c>
      <c r="I2055" s="118" t="s">
        <v>5250</v>
      </c>
      <c r="J2055" s="118" t="s">
        <v>5601</v>
      </c>
      <c r="K2055" s="141"/>
      <c r="L2055" s="135" t="str">
        <f t="shared" si="119"/>
        <v>Sicista caucasica</v>
      </c>
      <c r="M2055" s="133">
        <f>LOG(N2055)</f>
        <v>1</v>
      </c>
      <c r="N2055" s="133">
        <v>10</v>
      </c>
      <c r="O2055" s="179" t="s">
        <v>3356</v>
      </c>
      <c r="P2055" s="108" t="s">
        <v>7950</v>
      </c>
      <c r="Q2055" s="80"/>
    </row>
    <row r="2056" spans="1:18">
      <c r="A2056" s="213" t="s">
        <v>2592</v>
      </c>
      <c r="B2056" s="130"/>
      <c r="C2056" s="118" t="s">
        <v>3817</v>
      </c>
      <c r="D2056" s="141"/>
      <c r="E2056" s="118"/>
      <c r="F2056" s="118"/>
      <c r="G2056" s="118" t="s">
        <v>3618</v>
      </c>
      <c r="H2056" s="118" t="s">
        <v>6223</v>
      </c>
      <c r="I2056" s="118" t="s">
        <v>5250</v>
      </c>
      <c r="J2056" s="118" t="s">
        <v>5039</v>
      </c>
      <c r="K2056" s="141"/>
      <c r="L2056" s="135" t="str">
        <f t="shared" si="119"/>
        <v>Sicista napaea</v>
      </c>
      <c r="M2056" s="133">
        <f>LOG(N2056)</f>
        <v>1</v>
      </c>
      <c r="N2056" s="133">
        <v>10</v>
      </c>
      <c r="O2056" s="179" t="s">
        <v>6736</v>
      </c>
      <c r="P2056" s="108">
        <v>-999</v>
      </c>
    </row>
    <row r="2057" spans="1:18">
      <c r="A2057" s="213" t="s">
        <v>2592</v>
      </c>
      <c r="B2057" s="141" t="s">
        <v>3049</v>
      </c>
      <c r="C2057" s="118" t="s">
        <v>3817</v>
      </c>
      <c r="D2057" s="141"/>
      <c r="E2057" s="118"/>
      <c r="F2057" s="118"/>
      <c r="G2057" s="118" t="s">
        <v>3618</v>
      </c>
      <c r="H2057" s="118" t="s">
        <v>6223</v>
      </c>
      <c r="I2057" s="118" t="s">
        <v>5250</v>
      </c>
      <c r="J2057" s="118" t="s">
        <v>5846</v>
      </c>
      <c r="K2057" s="141"/>
      <c r="L2057" s="135" t="str">
        <f t="shared" si="119"/>
        <v>Sicista strandi</v>
      </c>
      <c r="M2057" s="133">
        <f>LOG(N2057)</f>
        <v>1.0128372247051722</v>
      </c>
      <c r="N2057" s="133">
        <v>10.3</v>
      </c>
      <c r="O2057" s="179" t="s">
        <v>3356</v>
      </c>
      <c r="P2057" s="108">
        <v>197</v>
      </c>
      <c r="Q2057" s="80"/>
    </row>
    <row r="2058" spans="1:18" ht="24" customHeight="1">
      <c r="A2058" s="213" t="s">
        <v>2592</v>
      </c>
      <c r="B2058" s="141" t="s">
        <v>7575</v>
      </c>
      <c r="C2058" s="118" t="s">
        <v>3817</v>
      </c>
      <c r="D2058" s="141"/>
      <c r="E2058" s="118"/>
      <c r="F2058" s="118"/>
      <c r="G2058" s="118" t="s">
        <v>3618</v>
      </c>
      <c r="H2058" s="118" t="s">
        <v>6223</v>
      </c>
      <c r="I2058" s="118" t="s">
        <v>5250</v>
      </c>
      <c r="J2058" s="118" t="s">
        <v>5847</v>
      </c>
      <c r="K2058" s="141"/>
      <c r="L2058" s="135" t="str">
        <f t="shared" si="119"/>
        <v>Sicista subtilis</v>
      </c>
      <c r="M2058" s="133">
        <f>LOG(N2058)</f>
        <v>1.070037866607755</v>
      </c>
      <c r="N2058" s="133">
        <f>AVERAGE(9.5, 14)</f>
        <v>11.75</v>
      </c>
      <c r="O2058" s="179" t="s">
        <v>6882</v>
      </c>
      <c r="P2058" s="108" t="s">
        <v>6862</v>
      </c>
      <c r="Q2058" s="88" t="s">
        <v>6642</v>
      </c>
      <c r="R2058" s="79" t="s">
        <v>1457</v>
      </c>
    </row>
    <row r="2059" spans="1:18">
      <c r="A2059" s="213" t="s">
        <v>2592</v>
      </c>
      <c r="B2059" s="141" t="s">
        <v>8090</v>
      </c>
      <c r="C2059" s="118" t="s">
        <v>3817</v>
      </c>
      <c r="D2059" s="141"/>
      <c r="E2059" s="118"/>
      <c r="F2059" s="118"/>
      <c r="G2059" s="118" t="s">
        <v>3618</v>
      </c>
      <c r="H2059" s="118" t="s">
        <v>6223</v>
      </c>
      <c r="I2059" s="118" t="s">
        <v>6758</v>
      </c>
      <c r="J2059" s="118" t="s">
        <v>3576</v>
      </c>
      <c r="K2059" s="141"/>
      <c r="L2059" s="135" t="str">
        <f t="shared" si="119"/>
        <v>Stylodipus andrewsi</v>
      </c>
      <c r="M2059" s="133">
        <v>-999</v>
      </c>
      <c r="N2059" s="133">
        <v>-999</v>
      </c>
      <c r="O2059" s="179" t="s">
        <v>3356</v>
      </c>
      <c r="P2059" s="108">
        <v>-999</v>
      </c>
      <c r="Q2059" s="80"/>
    </row>
    <row r="2060" spans="1:18">
      <c r="A2060" s="213" t="s">
        <v>2592</v>
      </c>
      <c r="B2060" s="141" t="s">
        <v>8090</v>
      </c>
      <c r="C2060" s="118" t="s">
        <v>3817</v>
      </c>
      <c r="D2060" s="141"/>
      <c r="E2060" s="118"/>
      <c r="F2060" s="118"/>
      <c r="G2060" s="118" t="s">
        <v>3618</v>
      </c>
      <c r="H2060" s="118" t="s">
        <v>6223</v>
      </c>
      <c r="I2060" s="118" t="s">
        <v>6758</v>
      </c>
      <c r="J2060" s="118" t="s">
        <v>5511</v>
      </c>
      <c r="K2060" s="141"/>
      <c r="L2060" s="135" t="str">
        <f t="shared" si="119"/>
        <v>Stylodipus sungorus</v>
      </c>
      <c r="M2060" s="133">
        <v>-999</v>
      </c>
      <c r="N2060" s="133">
        <v>-999</v>
      </c>
      <c r="O2060" s="179" t="s">
        <v>3356</v>
      </c>
      <c r="P2060" s="108">
        <v>-999</v>
      </c>
      <c r="Q2060" s="80"/>
    </row>
    <row r="2061" spans="1:18" ht="38.25">
      <c r="A2061" s="213" t="s">
        <v>2592</v>
      </c>
      <c r="B2061" s="141" t="s">
        <v>5044</v>
      </c>
      <c r="C2061" s="118" t="s">
        <v>3817</v>
      </c>
      <c r="D2061" s="141"/>
      <c r="E2061" s="118"/>
      <c r="F2061" s="118"/>
      <c r="G2061" s="118" t="s">
        <v>3618</v>
      </c>
      <c r="H2061" s="118" t="s">
        <v>6223</v>
      </c>
      <c r="I2061" s="118" t="s">
        <v>6758</v>
      </c>
      <c r="J2061" s="118" t="s">
        <v>6749</v>
      </c>
      <c r="K2061" s="141"/>
      <c r="L2061" s="135" t="str">
        <f t="shared" si="119"/>
        <v>Stylodipus telum</v>
      </c>
      <c r="M2061" s="133">
        <f t="shared" ref="M2061:M2067" si="120">LOG(N2061)</f>
        <v>1.7403626894942439</v>
      </c>
      <c r="N2061" s="162">
        <v>55</v>
      </c>
      <c r="O2061" s="179" t="s">
        <v>3356</v>
      </c>
      <c r="P2061" s="108" t="s">
        <v>7944</v>
      </c>
      <c r="Q2061" s="80"/>
    </row>
    <row r="2062" spans="1:18">
      <c r="A2062" s="213" t="s">
        <v>2592</v>
      </c>
      <c r="B2062" s="130"/>
      <c r="C2062" s="118" t="s">
        <v>3817</v>
      </c>
      <c r="D2062" s="141"/>
      <c r="E2062" s="118"/>
      <c r="F2062" s="118"/>
      <c r="G2062" s="118" t="s">
        <v>3618</v>
      </c>
      <c r="H2062" s="118" t="s">
        <v>4007</v>
      </c>
      <c r="I2062" s="118" t="s">
        <v>3011</v>
      </c>
      <c r="J2062" s="118" t="s">
        <v>4404</v>
      </c>
      <c r="K2062" s="141"/>
      <c r="L2062" s="135" t="str">
        <f t="shared" si="119"/>
        <v>Dipodomys californicus</v>
      </c>
      <c r="M2062" s="133">
        <f t="shared" si="120"/>
        <v>1.9292145037373938</v>
      </c>
      <c r="N2062" s="133">
        <v>84.96</v>
      </c>
      <c r="O2062" s="179" t="s">
        <v>6736</v>
      </c>
      <c r="P2062" s="108">
        <v>68</v>
      </c>
    </row>
    <row r="2063" spans="1:18">
      <c r="A2063" s="213" t="s">
        <v>2592</v>
      </c>
      <c r="B2063" s="130"/>
      <c r="C2063" s="118" t="s">
        <v>3817</v>
      </c>
      <c r="D2063" s="141"/>
      <c r="E2063" s="118"/>
      <c r="F2063" s="118"/>
      <c r="G2063" s="118" t="s">
        <v>3618</v>
      </c>
      <c r="H2063" s="118" t="s">
        <v>7240</v>
      </c>
      <c r="I2063" s="118" t="s">
        <v>7241</v>
      </c>
      <c r="J2063" s="118" t="s">
        <v>2349</v>
      </c>
      <c r="K2063" s="141"/>
      <c r="L2063" s="135" t="str">
        <f t="shared" si="119"/>
        <v>Atherurus macrourus</v>
      </c>
      <c r="M2063" s="133">
        <f t="shared" si="120"/>
        <v>3.3010299956639813</v>
      </c>
      <c r="N2063" s="133">
        <v>2000</v>
      </c>
      <c r="O2063" s="179" t="s">
        <v>3356</v>
      </c>
      <c r="P2063" s="108">
        <v>119</v>
      </c>
      <c r="Q2063" s="80"/>
    </row>
    <row r="2064" spans="1:18">
      <c r="A2064" s="213" t="s">
        <v>2592</v>
      </c>
      <c r="B2064" s="130"/>
      <c r="C2064" s="118" t="s">
        <v>3817</v>
      </c>
      <c r="D2064" s="141"/>
      <c r="E2064" s="118"/>
      <c r="F2064" s="118"/>
      <c r="G2064" s="118" t="s">
        <v>3618</v>
      </c>
      <c r="H2064" s="118" t="s">
        <v>7240</v>
      </c>
      <c r="I2064" s="118" t="s">
        <v>7243</v>
      </c>
      <c r="J2064" s="118" t="s">
        <v>5486</v>
      </c>
      <c r="K2064" s="141"/>
      <c r="L2064" s="135" t="str">
        <f t="shared" si="119"/>
        <v>Hystrix brachyura</v>
      </c>
      <c r="M2064" s="133">
        <f t="shared" si="120"/>
        <v>3.9030899869919438</v>
      </c>
      <c r="N2064" s="133">
        <v>8000</v>
      </c>
      <c r="O2064" s="179" t="s">
        <v>6736</v>
      </c>
      <c r="P2064" s="108" t="s">
        <v>1324</v>
      </c>
    </row>
    <row r="2065" spans="1:19">
      <c r="A2065" s="213" t="s">
        <v>2592</v>
      </c>
      <c r="B2065" s="144"/>
      <c r="C2065" s="118" t="s">
        <v>3817</v>
      </c>
      <c r="D2065" s="141"/>
      <c r="E2065" s="118"/>
      <c r="F2065" s="118"/>
      <c r="G2065" s="118" t="s">
        <v>3618</v>
      </c>
      <c r="H2065" s="118" t="s">
        <v>7240</v>
      </c>
      <c r="I2065" s="118" t="s">
        <v>7243</v>
      </c>
      <c r="J2065" s="118" t="s">
        <v>2461</v>
      </c>
      <c r="K2065" s="141"/>
      <c r="L2065" s="135" t="str">
        <f t="shared" si="119"/>
        <v>Hystrix cristata</v>
      </c>
      <c r="M2065" s="133">
        <f t="shared" si="120"/>
        <v>4.0969100130080562</v>
      </c>
      <c r="N2065" s="133">
        <f>AVERAGE(10000, 15000)</f>
        <v>12500</v>
      </c>
      <c r="O2065" s="179" t="s">
        <v>1686</v>
      </c>
      <c r="P2065" s="108">
        <v>111</v>
      </c>
      <c r="Q2065" s="80" t="s">
        <v>6642</v>
      </c>
    </row>
    <row r="2066" spans="1:19" ht="24" customHeight="1">
      <c r="A2066" s="213" t="s">
        <v>2592</v>
      </c>
      <c r="B2066" s="130"/>
      <c r="C2066" s="118" t="s">
        <v>3817</v>
      </c>
      <c r="D2066" s="141"/>
      <c r="E2066" s="118"/>
      <c r="F2066" s="118"/>
      <c r="G2066" s="118" t="s">
        <v>3618</v>
      </c>
      <c r="H2066" s="118" t="s">
        <v>7240</v>
      </c>
      <c r="I2066" s="118" t="s">
        <v>7243</v>
      </c>
      <c r="J2066" s="118" t="s">
        <v>4108</v>
      </c>
      <c r="K2066" s="141"/>
      <c r="L2066" s="135" t="str">
        <f t="shared" si="119"/>
        <v>Hystrix indica</v>
      </c>
      <c r="M2066" s="133">
        <f t="shared" si="120"/>
        <v>4.1658376246901279</v>
      </c>
      <c r="N2066" s="133">
        <v>14650</v>
      </c>
      <c r="O2066" s="179" t="s">
        <v>6736</v>
      </c>
      <c r="P2066" s="108">
        <v>68</v>
      </c>
    </row>
    <row r="2067" spans="1:19">
      <c r="A2067" s="217" t="s">
        <v>2592</v>
      </c>
      <c r="B2067" s="130" t="s">
        <v>3097</v>
      </c>
      <c r="C2067" s="131" t="s">
        <v>3817</v>
      </c>
      <c r="D2067" s="130"/>
      <c r="E2067" s="131"/>
      <c r="F2067" s="131"/>
      <c r="G2067" s="131" t="s">
        <v>3618</v>
      </c>
      <c r="H2067" s="131" t="s">
        <v>7240</v>
      </c>
      <c r="I2067" s="131" t="s">
        <v>7579</v>
      </c>
      <c r="J2067" s="131" t="s">
        <v>7580</v>
      </c>
      <c r="K2067" s="130"/>
      <c r="L2067" s="135" t="str">
        <f t="shared" si="119"/>
        <v>Trichys fasciculata</v>
      </c>
      <c r="M2067" s="133">
        <f t="shared" si="120"/>
        <v>3.1931245983544616</v>
      </c>
      <c r="N2067" s="132">
        <f>AVERAGE(1000, 1525, 2155)</f>
        <v>1560</v>
      </c>
      <c r="O2067" s="184"/>
      <c r="P2067" s="117" t="s">
        <v>1428</v>
      </c>
      <c r="Q2067" s="78"/>
    </row>
    <row r="2068" spans="1:19" ht="24" customHeight="1">
      <c r="A2068" s="213" t="s">
        <v>2592</v>
      </c>
      <c r="B2068" s="130" t="s">
        <v>2567</v>
      </c>
      <c r="C2068" s="118" t="s">
        <v>3817</v>
      </c>
      <c r="D2068" s="141"/>
      <c r="E2068" s="118"/>
      <c r="F2068" s="118"/>
      <c r="G2068" s="118" t="s">
        <v>3618</v>
      </c>
      <c r="H2068" s="121" t="s">
        <v>3638</v>
      </c>
      <c r="I2068" s="118" t="s">
        <v>3639</v>
      </c>
      <c r="J2068" s="118" t="s">
        <v>3076</v>
      </c>
      <c r="K2068" s="141"/>
      <c r="L2068" s="135" t="str">
        <f t="shared" si="119"/>
        <v>Acomys cilicicus</v>
      </c>
      <c r="M2068" s="133">
        <v>-999</v>
      </c>
      <c r="N2068" s="133">
        <v>-999</v>
      </c>
      <c r="O2068" s="179" t="s">
        <v>6882</v>
      </c>
      <c r="P2068" s="108">
        <v>-999</v>
      </c>
      <c r="Q2068" s="88" t="s">
        <v>7071</v>
      </c>
    </row>
    <row r="2069" spans="1:19">
      <c r="A2069" s="213" t="s">
        <v>2592</v>
      </c>
      <c r="B2069" s="130"/>
      <c r="C2069" s="118" t="s">
        <v>3817</v>
      </c>
      <c r="D2069" s="141"/>
      <c r="E2069" s="118"/>
      <c r="F2069" s="118"/>
      <c r="G2069" s="118" t="s">
        <v>3618</v>
      </c>
      <c r="H2069" s="118" t="s">
        <v>3638</v>
      </c>
      <c r="I2069" s="118" t="s">
        <v>3639</v>
      </c>
      <c r="J2069" s="118" t="s">
        <v>3183</v>
      </c>
      <c r="K2069" s="141"/>
      <c r="L2069" s="135" t="str">
        <f t="shared" si="119"/>
        <v>Acomys russatus</v>
      </c>
      <c r="M2069" s="133">
        <f>LOG(N2069)</f>
        <v>1.6967930741872248</v>
      </c>
      <c r="N2069" s="133">
        <f>AVERAGE(62.499997503987, 37)</f>
        <v>49.749998751993502</v>
      </c>
      <c r="O2069" s="179" t="s">
        <v>3356</v>
      </c>
      <c r="P2069" s="108" t="s">
        <v>6644</v>
      </c>
      <c r="R2069" s="90" t="s">
        <v>7605</v>
      </c>
    </row>
    <row r="2070" spans="1:19" ht="15" customHeight="1">
      <c r="A2070" s="213" t="s">
        <v>2592</v>
      </c>
      <c r="B2070" s="130"/>
      <c r="C2070" s="118" t="s">
        <v>3817</v>
      </c>
      <c r="D2070" s="141"/>
      <c r="E2070" s="118"/>
      <c r="F2070" s="118"/>
      <c r="G2070" s="118" t="s">
        <v>3618</v>
      </c>
      <c r="H2070" s="118" t="s">
        <v>3638</v>
      </c>
      <c r="I2070" s="118" t="s">
        <v>3639</v>
      </c>
      <c r="J2070" s="118" t="s">
        <v>3181</v>
      </c>
      <c r="K2070" s="141"/>
      <c r="L2070" s="135" t="str">
        <f t="shared" si="119"/>
        <v>Acomys cahirinus</v>
      </c>
      <c r="M2070" s="133">
        <f>LOG(N2070)</f>
        <v>1.8211858826088454</v>
      </c>
      <c r="N2070" s="133">
        <f>AVERAGE(40, 85, 50, 90)</f>
        <v>66.25</v>
      </c>
      <c r="O2070" s="179" t="s">
        <v>1299</v>
      </c>
      <c r="P2070" s="108" t="s">
        <v>1409</v>
      </c>
      <c r="Q2070" s="80"/>
      <c r="R2070" s="85" t="s">
        <v>7604</v>
      </c>
    </row>
    <row r="2071" spans="1:19" ht="127.5">
      <c r="A2071" s="213" t="s">
        <v>2592</v>
      </c>
      <c r="B2071" s="130"/>
      <c r="C2071" s="118" t="s">
        <v>3817</v>
      </c>
      <c r="D2071" s="141"/>
      <c r="E2071" s="118"/>
      <c r="F2071" s="118"/>
      <c r="G2071" s="118" t="s">
        <v>3618</v>
      </c>
      <c r="H2071" s="118" t="s">
        <v>3638</v>
      </c>
      <c r="I2071" s="118" t="s">
        <v>6334</v>
      </c>
      <c r="J2071" s="118" t="s">
        <v>3980</v>
      </c>
      <c r="K2071" s="141"/>
      <c r="L2071" s="135" t="str">
        <f t="shared" si="119"/>
        <v>Allocricetulus curtatus</v>
      </c>
      <c r="M2071" s="133">
        <f>LOG(N2071)</f>
        <v>1.6797239315844965</v>
      </c>
      <c r="N2071" s="133">
        <v>47.832593772589071</v>
      </c>
      <c r="O2071" s="179" t="s">
        <v>7831</v>
      </c>
      <c r="P2071" s="108">
        <v>-999</v>
      </c>
      <c r="Q2071" s="80">
        <f>-6.8244+2.671*(LOG(115))</f>
        <v>-1.3202760684155033</v>
      </c>
      <c r="R2071" s="85" t="s">
        <v>279</v>
      </c>
    </row>
    <row r="2072" spans="1:19" ht="15" customHeight="1">
      <c r="A2072" s="213" t="s">
        <v>2592</v>
      </c>
      <c r="B2072" s="130"/>
      <c r="C2072" s="118" t="s">
        <v>3817</v>
      </c>
      <c r="D2072" s="141"/>
      <c r="E2072" s="118"/>
      <c r="F2072" s="118"/>
      <c r="G2072" s="118" t="s">
        <v>3618</v>
      </c>
      <c r="H2072" s="118" t="s">
        <v>3638</v>
      </c>
      <c r="I2072" s="118" t="s">
        <v>6334</v>
      </c>
      <c r="J2072" s="118" t="s">
        <v>6335</v>
      </c>
      <c r="K2072" s="141"/>
      <c r="L2072" s="135" t="str">
        <f t="shared" si="119"/>
        <v>Allocricetulus eversmanni</v>
      </c>
      <c r="M2072" s="133">
        <f>LOG(N2072)</f>
        <v>2.0628000167609422</v>
      </c>
      <c r="N2072" s="133">
        <v>115.55800000000001</v>
      </c>
      <c r="O2072" s="179" t="s">
        <v>1868</v>
      </c>
      <c r="P2072" s="108" t="s">
        <v>1157</v>
      </c>
      <c r="Q2072" s="80">
        <f>-6.8244+2.671*(LOG(160))</f>
        <v>-0.93719552632602543</v>
      </c>
      <c r="R2072" s="85" t="s">
        <v>279</v>
      </c>
    </row>
    <row r="2073" spans="1:19" ht="24" customHeight="1">
      <c r="A2073" s="213" t="s">
        <v>2592</v>
      </c>
      <c r="B2073" s="130"/>
      <c r="C2073" s="118" t="s">
        <v>3817</v>
      </c>
      <c r="D2073" s="141"/>
      <c r="E2073" s="118"/>
      <c r="F2073" s="118"/>
      <c r="G2073" s="118" t="s">
        <v>3618</v>
      </c>
      <c r="H2073" s="118" t="s">
        <v>3638</v>
      </c>
      <c r="I2073" s="118" t="s">
        <v>5844</v>
      </c>
      <c r="J2073" s="118" t="s">
        <v>7096</v>
      </c>
      <c r="K2073" s="141"/>
      <c r="L2073" s="135" t="str">
        <f t="shared" si="119"/>
        <v>Alticola albicauda</v>
      </c>
      <c r="M2073" s="133">
        <v>-999</v>
      </c>
      <c r="N2073" s="133">
        <v>-999</v>
      </c>
      <c r="O2073" s="179" t="s">
        <v>6882</v>
      </c>
      <c r="P2073" s="108">
        <v>-999</v>
      </c>
      <c r="Q2073" s="80" t="s">
        <v>6642</v>
      </c>
    </row>
    <row r="2074" spans="1:19">
      <c r="A2074" s="213" t="s">
        <v>2592</v>
      </c>
      <c r="B2074" s="130"/>
      <c r="C2074" s="118" t="s">
        <v>3817</v>
      </c>
      <c r="D2074" s="141"/>
      <c r="E2074" s="118"/>
      <c r="F2074" s="118"/>
      <c r="G2074" s="118" t="s">
        <v>3618</v>
      </c>
      <c r="H2074" s="118" t="s">
        <v>3638</v>
      </c>
      <c r="I2074" s="118" t="s">
        <v>5844</v>
      </c>
      <c r="J2074" s="118" t="s">
        <v>6472</v>
      </c>
      <c r="K2074" s="141"/>
      <c r="L2074" s="135" t="str">
        <f t="shared" si="119"/>
        <v>Alticola barakshin</v>
      </c>
      <c r="M2074" s="133">
        <v>-999</v>
      </c>
      <c r="N2074" s="133">
        <v>-999</v>
      </c>
      <c r="O2074" s="179" t="s">
        <v>3356</v>
      </c>
      <c r="P2074" s="108">
        <v>-999</v>
      </c>
      <c r="Q2074" s="80"/>
    </row>
    <row r="2075" spans="1:19">
      <c r="A2075" s="213" t="s">
        <v>2592</v>
      </c>
      <c r="B2075" s="130"/>
      <c r="C2075" s="118" t="s">
        <v>3817</v>
      </c>
      <c r="D2075" s="141"/>
      <c r="E2075" s="118"/>
      <c r="F2075" s="118"/>
      <c r="G2075" s="118" t="s">
        <v>3618</v>
      </c>
      <c r="H2075" s="118" t="s">
        <v>3638</v>
      </c>
      <c r="I2075" s="118" t="s">
        <v>5844</v>
      </c>
      <c r="J2075" s="118" t="s">
        <v>7546</v>
      </c>
      <c r="K2075" s="141"/>
      <c r="L2075" s="135" t="str">
        <f t="shared" si="119"/>
        <v>Alticola lemminus</v>
      </c>
      <c r="M2075" s="133">
        <v>-999</v>
      </c>
      <c r="N2075" s="133">
        <v>-999</v>
      </c>
      <c r="O2075" s="179" t="s">
        <v>3356</v>
      </c>
      <c r="P2075" s="108">
        <v>-999</v>
      </c>
      <c r="Q2075" s="80"/>
    </row>
    <row r="2076" spans="1:19" ht="15" customHeight="1">
      <c r="A2076" s="213" t="s">
        <v>2592</v>
      </c>
      <c r="B2076" s="130" t="s">
        <v>2527</v>
      </c>
      <c r="C2076" s="121" t="s">
        <v>3817</v>
      </c>
      <c r="D2076" s="156"/>
      <c r="E2076" s="121"/>
      <c r="F2076" s="121"/>
      <c r="G2076" s="121" t="s">
        <v>3618</v>
      </c>
      <c r="H2076" s="121" t="s">
        <v>3638</v>
      </c>
      <c r="I2076" s="121" t="s">
        <v>5844</v>
      </c>
      <c r="J2076" s="121" t="s">
        <v>6473</v>
      </c>
      <c r="K2076" s="156"/>
      <c r="L2076" s="135" t="str">
        <f t="shared" si="119"/>
        <v>Alticola montosa</v>
      </c>
      <c r="M2076" s="133">
        <v>-999</v>
      </c>
      <c r="N2076" s="143">
        <v>-999</v>
      </c>
      <c r="O2076" s="179" t="s">
        <v>6882</v>
      </c>
      <c r="P2076" s="108">
        <v>-999</v>
      </c>
      <c r="Q2076" s="80" t="s">
        <v>6988</v>
      </c>
    </row>
    <row r="2077" spans="1:19">
      <c r="A2077" s="213" t="s">
        <v>2592</v>
      </c>
      <c r="B2077" s="130"/>
      <c r="C2077" s="118" t="s">
        <v>3817</v>
      </c>
      <c r="D2077" s="141"/>
      <c r="E2077" s="118"/>
      <c r="F2077" s="118"/>
      <c r="G2077" s="118" t="s">
        <v>3618</v>
      </c>
      <c r="H2077" s="118" t="s">
        <v>3638</v>
      </c>
      <c r="I2077" s="118" t="s">
        <v>5844</v>
      </c>
      <c r="J2077" s="118" t="s">
        <v>6475</v>
      </c>
      <c r="K2077" s="141"/>
      <c r="L2077" s="135" t="str">
        <f t="shared" si="119"/>
        <v>Alticola semicanus</v>
      </c>
      <c r="M2077" s="133">
        <v>-999</v>
      </c>
      <c r="N2077" s="133">
        <v>-999</v>
      </c>
      <c r="O2077" s="179" t="s">
        <v>3356</v>
      </c>
      <c r="P2077" s="108">
        <v>-999</v>
      </c>
      <c r="Q2077" s="80"/>
      <c r="S2077" s="82"/>
    </row>
    <row r="2078" spans="1:19">
      <c r="A2078" s="213" t="s">
        <v>2592</v>
      </c>
      <c r="B2078" s="130" t="s">
        <v>2527</v>
      </c>
      <c r="C2078" s="118" t="s">
        <v>3817</v>
      </c>
      <c r="D2078" s="141"/>
      <c r="E2078" s="118"/>
      <c r="F2078" s="118"/>
      <c r="G2078" s="118" t="s">
        <v>3618</v>
      </c>
      <c r="H2078" s="118" t="s">
        <v>3638</v>
      </c>
      <c r="I2078" s="118" t="s">
        <v>5844</v>
      </c>
      <c r="J2078" s="118" t="s">
        <v>6477</v>
      </c>
      <c r="K2078" s="141"/>
      <c r="L2078" s="135" t="str">
        <f t="shared" si="119"/>
        <v>Alticola stracheyi</v>
      </c>
      <c r="M2078" s="133">
        <v>-999</v>
      </c>
      <c r="N2078" s="133">
        <v>-999</v>
      </c>
      <c r="O2078" s="179" t="s">
        <v>3356</v>
      </c>
      <c r="P2078" s="108">
        <v>-999</v>
      </c>
      <c r="Q2078" s="80"/>
    </row>
    <row r="2079" spans="1:19">
      <c r="A2079" s="213" t="s">
        <v>2592</v>
      </c>
      <c r="B2079" s="130"/>
      <c r="C2079" s="118" t="s">
        <v>3817</v>
      </c>
      <c r="D2079" s="141"/>
      <c r="E2079" s="118"/>
      <c r="F2079" s="118"/>
      <c r="G2079" s="118" t="s">
        <v>3618</v>
      </c>
      <c r="H2079" s="118" t="s">
        <v>3638</v>
      </c>
      <c r="I2079" s="118" t="s">
        <v>5844</v>
      </c>
      <c r="J2079" s="118" t="s">
        <v>3138</v>
      </c>
      <c r="K2079" s="141"/>
      <c r="L2079" s="135" t="str">
        <f t="shared" si="119"/>
        <v>Alticola tuvinicus</v>
      </c>
      <c r="M2079" s="133">
        <v>-999</v>
      </c>
      <c r="N2079" s="133">
        <v>-999</v>
      </c>
      <c r="O2079" s="179" t="s">
        <v>3356</v>
      </c>
      <c r="P2079" s="108">
        <v>-999</v>
      </c>
      <c r="Q2079" s="80"/>
    </row>
    <row r="2080" spans="1:19">
      <c r="A2080" s="213" t="s">
        <v>2592</v>
      </c>
      <c r="B2080" s="130"/>
      <c r="C2080" s="118" t="s">
        <v>3817</v>
      </c>
      <c r="D2080" s="141"/>
      <c r="E2080" s="118"/>
      <c r="F2080" s="118"/>
      <c r="G2080" s="118" t="s">
        <v>3618</v>
      </c>
      <c r="H2080" s="118" t="s">
        <v>3638</v>
      </c>
      <c r="I2080" s="118" t="s">
        <v>5844</v>
      </c>
      <c r="J2080" s="118" t="s">
        <v>6476</v>
      </c>
      <c r="K2080" s="141"/>
      <c r="L2080" s="135" t="str">
        <f t="shared" si="119"/>
        <v>Alticola stoliczkanus</v>
      </c>
      <c r="M2080" s="133">
        <f>LOG(N2080)</f>
        <v>1.4388059569774534</v>
      </c>
      <c r="N2080" s="133">
        <f>AVERAGE(26.5, 34, 21.9)</f>
        <v>27.466666666666669</v>
      </c>
      <c r="O2080" s="179" t="s">
        <v>6583</v>
      </c>
      <c r="P2080" s="108" t="s">
        <v>277</v>
      </c>
    </row>
    <row r="2081" spans="1:17">
      <c r="A2081" s="213" t="s">
        <v>2592</v>
      </c>
      <c r="B2081" s="130"/>
      <c r="C2081" s="118" t="s">
        <v>3817</v>
      </c>
      <c r="D2081" s="141"/>
      <c r="E2081" s="118"/>
      <c r="F2081" s="118"/>
      <c r="G2081" s="118" t="s">
        <v>3618</v>
      </c>
      <c r="H2081" s="118" t="s">
        <v>3638</v>
      </c>
      <c r="I2081" s="118" t="s">
        <v>5844</v>
      </c>
      <c r="J2081" s="118" t="s">
        <v>4141</v>
      </c>
      <c r="K2081" s="141"/>
      <c r="L2081" s="135" t="str">
        <f t="shared" si="119"/>
        <v>Alticola macrotis</v>
      </c>
      <c r="M2081" s="133">
        <f>LOG(N2081)</f>
        <v>1.5563025007672873</v>
      </c>
      <c r="N2081" s="133">
        <f>1000*0.036</f>
        <v>36</v>
      </c>
      <c r="O2081" s="179" t="s">
        <v>3356</v>
      </c>
      <c r="P2081" s="108">
        <v>60</v>
      </c>
      <c r="Q2081" s="80"/>
    </row>
    <row r="2082" spans="1:17">
      <c r="A2082" s="213" t="s">
        <v>2592</v>
      </c>
      <c r="B2082" s="130" t="s">
        <v>2527</v>
      </c>
      <c r="C2082" s="118" t="s">
        <v>3817</v>
      </c>
      <c r="D2082" s="141"/>
      <c r="E2082" s="118"/>
      <c r="F2082" s="118"/>
      <c r="G2082" s="118" t="s">
        <v>3618</v>
      </c>
      <c r="H2082" s="118" t="s">
        <v>3638</v>
      </c>
      <c r="I2082" s="118" t="s">
        <v>5844</v>
      </c>
      <c r="J2082" s="118" t="s">
        <v>6474</v>
      </c>
      <c r="K2082" s="141"/>
      <c r="L2082" s="135" t="str">
        <f t="shared" si="119"/>
        <v>Alticola roylei</v>
      </c>
      <c r="M2082" s="133">
        <f>LOG(N2082)</f>
        <v>1.568201724066995</v>
      </c>
      <c r="N2082" s="133">
        <v>37</v>
      </c>
      <c r="O2082" s="179" t="s">
        <v>6882</v>
      </c>
      <c r="P2082" s="108">
        <v>117</v>
      </c>
      <c r="Q2082" s="80" t="s">
        <v>6642</v>
      </c>
    </row>
    <row r="2083" spans="1:17" ht="15" customHeight="1">
      <c r="A2083" s="213" t="s">
        <v>2592</v>
      </c>
      <c r="B2083" s="130"/>
      <c r="C2083" s="118" t="s">
        <v>3817</v>
      </c>
      <c r="D2083" s="141"/>
      <c r="E2083" s="118"/>
      <c r="F2083" s="118"/>
      <c r="G2083" s="118" t="s">
        <v>3618</v>
      </c>
      <c r="H2083" s="118" t="s">
        <v>3638</v>
      </c>
      <c r="I2083" s="118" t="s">
        <v>5844</v>
      </c>
      <c r="J2083" s="118" t="s">
        <v>5845</v>
      </c>
      <c r="K2083" s="141"/>
      <c r="L2083" s="135" t="str">
        <f t="shared" si="119"/>
        <v>Alticola argentatus</v>
      </c>
      <c r="M2083" s="133">
        <f>LOG(N2083)</f>
        <v>1.5763413502057928</v>
      </c>
      <c r="N2083" s="133">
        <v>37.700000000000003</v>
      </c>
      <c r="O2083" s="179" t="s">
        <v>6736</v>
      </c>
      <c r="P2083" s="108">
        <v>68</v>
      </c>
    </row>
    <row r="2084" spans="1:17">
      <c r="A2084" s="213" t="s">
        <v>2592</v>
      </c>
      <c r="B2084" s="130"/>
      <c r="C2084" s="118" t="s">
        <v>3817</v>
      </c>
      <c r="D2084" s="141"/>
      <c r="E2084" s="118"/>
      <c r="F2084" s="118"/>
      <c r="G2084" s="118" t="s">
        <v>3618</v>
      </c>
      <c r="H2084" s="118" t="s">
        <v>3638</v>
      </c>
      <c r="I2084" s="118" t="s">
        <v>5844</v>
      </c>
      <c r="J2084" s="118" t="s">
        <v>5260</v>
      </c>
      <c r="K2084" s="141"/>
      <c r="L2084" s="135" t="str">
        <f t="shared" si="119"/>
        <v>Alticola strelzowi</v>
      </c>
      <c r="M2084" s="133">
        <f>LOG(N2084)</f>
        <v>1.6989700043360187</v>
      </c>
      <c r="N2084" s="133">
        <v>50</v>
      </c>
      <c r="O2084" s="179" t="s">
        <v>6736</v>
      </c>
      <c r="P2084" s="108">
        <v>68</v>
      </c>
    </row>
    <row r="2085" spans="1:17" ht="15" customHeight="1">
      <c r="A2085" s="213" t="s">
        <v>2592</v>
      </c>
      <c r="B2085" s="130"/>
      <c r="C2085" s="118" t="s">
        <v>3817</v>
      </c>
      <c r="D2085" s="141"/>
      <c r="E2085" s="118"/>
      <c r="F2085" s="118"/>
      <c r="G2085" s="118" t="s">
        <v>3618</v>
      </c>
      <c r="H2085" s="118" t="s">
        <v>3638</v>
      </c>
      <c r="I2085" s="118" t="s">
        <v>5261</v>
      </c>
      <c r="J2085" s="118" t="s">
        <v>6250</v>
      </c>
      <c r="K2085" s="141"/>
      <c r="L2085" s="135" t="str">
        <f t="shared" si="119"/>
        <v>Apodemus arianus</v>
      </c>
      <c r="M2085" s="133">
        <v>-999</v>
      </c>
      <c r="N2085" s="133">
        <v>-999</v>
      </c>
      <c r="O2085" s="179" t="s">
        <v>3356</v>
      </c>
      <c r="P2085" s="108">
        <v>-999</v>
      </c>
      <c r="Q2085" s="80"/>
    </row>
    <row r="2086" spans="1:17">
      <c r="A2086" s="213" t="s">
        <v>2592</v>
      </c>
      <c r="B2086" s="130"/>
      <c r="C2086" s="118" t="s">
        <v>3817</v>
      </c>
      <c r="D2086" s="141"/>
      <c r="E2086" s="118"/>
      <c r="F2086" s="118"/>
      <c r="G2086" s="118" t="s">
        <v>3618</v>
      </c>
      <c r="H2086" s="118" t="s">
        <v>3638</v>
      </c>
      <c r="I2086" s="118" t="s">
        <v>5261</v>
      </c>
      <c r="J2086" s="118" t="s">
        <v>6407</v>
      </c>
      <c r="K2086" s="141"/>
      <c r="L2086" s="135" t="str">
        <f t="shared" si="119"/>
        <v>Apodemus hyrcanicus</v>
      </c>
      <c r="M2086" s="133">
        <v>-999</v>
      </c>
      <c r="N2086" s="133">
        <v>-999</v>
      </c>
      <c r="O2086" s="179" t="s">
        <v>6882</v>
      </c>
      <c r="P2086" s="108">
        <v>-999</v>
      </c>
      <c r="Q2086" s="80" t="s">
        <v>6987</v>
      </c>
    </row>
    <row r="2087" spans="1:17">
      <c r="A2087" s="213" t="s">
        <v>2592</v>
      </c>
      <c r="B2087" s="130"/>
      <c r="C2087" s="118" t="s">
        <v>3817</v>
      </c>
      <c r="D2087" s="141"/>
      <c r="E2087" s="118"/>
      <c r="F2087" s="118"/>
      <c r="G2087" s="118" t="s">
        <v>3618</v>
      </c>
      <c r="H2087" s="118" t="s">
        <v>3638</v>
      </c>
      <c r="I2087" s="118" t="s">
        <v>5261</v>
      </c>
      <c r="J2087" s="118" t="s">
        <v>6256</v>
      </c>
      <c r="K2087" s="141"/>
      <c r="L2087" s="135" t="str">
        <f t="shared" si="119"/>
        <v>Apodemus ponticus</v>
      </c>
      <c r="M2087" s="133">
        <v>-999</v>
      </c>
      <c r="N2087" s="143">
        <v>-999</v>
      </c>
      <c r="O2087" s="179" t="s">
        <v>3356</v>
      </c>
      <c r="P2087" s="108">
        <v>-999</v>
      </c>
      <c r="Q2087" s="80"/>
    </row>
    <row r="2088" spans="1:17">
      <c r="A2088" s="213" t="s">
        <v>2592</v>
      </c>
      <c r="B2088" s="130" t="s">
        <v>2527</v>
      </c>
      <c r="C2088" s="121" t="s">
        <v>3817</v>
      </c>
      <c r="D2088" s="156"/>
      <c r="E2088" s="121"/>
      <c r="F2088" s="121"/>
      <c r="G2088" s="121" t="s">
        <v>3618</v>
      </c>
      <c r="H2088" s="118" t="s">
        <v>3638</v>
      </c>
      <c r="I2088" s="121" t="s">
        <v>5261</v>
      </c>
      <c r="J2088" s="121" t="s">
        <v>6257</v>
      </c>
      <c r="K2088" s="156"/>
      <c r="L2088" s="135" t="str">
        <f t="shared" si="119"/>
        <v>Apodemus rusiges</v>
      </c>
      <c r="M2088" s="133">
        <v>-999</v>
      </c>
      <c r="N2088" s="143">
        <v>-999</v>
      </c>
      <c r="O2088" s="179" t="s">
        <v>3356</v>
      </c>
      <c r="P2088" s="108">
        <v>-999</v>
      </c>
      <c r="Q2088" s="80"/>
    </row>
    <row r="2089" spans="1:17" ht="15" customHeight="1">
      <c r="A2089" s="213" t="s">
        <v>2592</v>
      </c>
      <c r="B2089" s="130"/>
      <c r="C2089" s="121" t="s">
        <v>3817</v>
      </c>
      <c r="D2089" s="156"/>
      <c r="E2089" s="121"/>
      <c r="F2089" s="121"/>
      <c r="G2089" s="121" t="s">
        <v>3618</v>
      </c>
      <c r="H2089" s="118" t="s">
        <v>3638</v>
      </c>
      <c r="I2089" s="121" t="s">
        <v>5261</v>
      </c>
      <c r="J2089" s="121" t="s">
        <v>6260</v>
      </c>
      <c r="K2089" s="156"/>
      <c r="L2089" s="135" t="str">
        <f t="shared" si="119"/>
        <v>Apodemus wardi</v>
      </c>
      <c r="M2089" s="133">
        <v>-999</v>
      </c>
      <c r="N2089" s="143">
        <v>-999</v>
      </c>
      <c r="O2089" s="179" t="s">
        <v>3356</v>
      </c>
      <c r="P2089" s="108">
        <v>-999</v>
      </c>
      <c r="Q2089" s="80"/>
    </row>
    <row r="2090" spans="1:17">
      <c r="A2090" s="213" t="s">
        <v>2592</v>
      </c>
      <c r="B2090" s="130"/>
      <c r="C2090" s="118" t="s">
        <v>3817</v>
      </c>
      <c r="D2090" s="141"/>
      <c r="E2090" s="118"/>
      <c r="F2090" s="118"/>
      <c r="G2090" s="118" t="s">
        <v>3618</v>
      </c>
      <c r="H2090" s="118" t="s">
        <v>3638</v>
      </c>
      <c r="I2090" s="118" t="s">
        <v>5261</v>
      </c>
      <c r="J2090" s="118" t="s">
        <v>6259</v>
      </c>
      <c r="K2090" s="141"/>
      <c r="L2090" s="135" t="str">
        <f t="shared" si="119"/>
        <v>Apodemus uralensis</v>
      </c>
      <c r="M2090" s="133">
        <f t="shared" ref="M2090:M2112" si="121">LOG(N2090)</f>
        <v>1.2329961103921538</v>
      </c>
      <c r="N2090" s="133">
        <f>AVERAGE(19, 15.2)</f>
        <v>17.100000000000001</v>
      </c>
      <c r="O2090" s="179" t="s">
        <v>3356</v>
      </c>
      <c r="P2090" s="108" t="s">
        <v>1709</v>
      </c>
      <c r="Q2090" s="80"/>
    </row>
    <row r="2091" spans="1:17">
      <c r="A2091" s="213" t="s">
        <v>2592</v>
      </c>
      <c r="B2091" s="130"/>
      <c r="C2091" s="118" t="s">
        <v>3817</v>
      </c>
      <c r="D2091" s="141"/>
      <c r="E2091" s="118"/>
      <c r="F2091" s="118"/>
      <c r="G2091" s="118" t="s">
        <v>3618</v>
      </c>
      <c r="H2091" s="118" t="s">
        <v>3638</v>
      </c>
      <c r="I2091" s="118" t="s">
        <v>5261</v>
      </c>
      <c r="J2091" s="118" t="s">
        <v>6289</v>
      </c>
      <c r="K2091" s="141"/>
      <c r="L2091" s="135" t="str">
        <f t="shared" si="119"/>
        <v>Apodemus hermonensis</v>
      </c>
      <c r="M2091" s="133">
        <f t="shared" si="121"/>
        <v>1.3159703454569178</v>
      </c>
      <c r="N2091" s="133">
        <v>20.7</v>
      </c>
      <c r="O2091" s="179" t="s">
        <v>6882</v>
      </c>
      <c r="P2091" s="108">
        <v>-999</v>
      </c>
      <c r="Q2091" s="90" t="s">
        <v>6640</v>
      </c>
    </row>
    <row r="2092" spans="1:17">
      <c r="A2092" s="213" t="s">
        <v>2592</v>
      </c>
      <c r="B2092" s="130"/>
      <c r="C2092" s="118" t="s">
        <v>3817</v>
      </c>
      <c r="D2092" s="141"/>
      <c r="E2092" s="118"/>
      <c r="F2092" s="118"/>
      <c r="G2092" s="118" t="s">
        <v>3618</v>
      </c>
      <c r="H2092" s="118" t="s">
        <v>3638</v>
      </c>
      <c r="I2092" s="118" t="s">
        <v>5261</v>
      </c>
      <c r="J2092" s="118" t="s">
        <v>6252</v>
      </c>
      <c r="K2092" s="141"/>
      <c r="L2092" s="135" t="str">
        <f t="shared" si="119"/>
        <v>Apodemus draco</v>
      </c>
      <c r="M2092" s="133">
        <f t="shared" si="121"/>
        <v>1.3473300153169503</v>
      </c>
      <c r="N2092" s="133">
        <f>AVERAGE(1000*0.0236, 1000*0.0209)</f>
        <v>22.25</v>
      </c>
      <c r="O2092" s="179" t="s">
        <v>3356</v>
      </c>
      <c r="P2092" s="108">
        <v>60</v>
      </c>
      <c r="Q2092" s="80"/>
    </row>
    <row r="2093" spans="1:17">
      <c r="A2093" s="213" t="s">
        <v>2592</v>
      </c>
      <c r="B2093" s="130"/>
      <c r="C2093" s="118" t="s">
        <v>3817</v>
      </c>
      <c r="D2093" s="141"/>
      <c r="E2093" s="118"/>
      <c r="F2093" s="118"/>
      <c r="G2093" s="118" t="s">
        <v>3618</v>
      </c>
      <c r="H2093" s="118" t="s">
        <v>3638</v>
      </c>
      <c r="I2093" s="118" t="s">
        <v>5261</v>
      </c>
      <c r="J2093" s="118" t="s">
        <v>5262</v>
      </c>
      <c r="K2093" s="141"/>
      <c r="L2093" s="135" t="str">
        <f t="shared" si="119"/>
        <v>Apodemus agrarius</v>
      </c>
      <c r="M2093" s="133">
        <f t="shared" si="121"/>
        <v>1.3673559210260189</v>
      </c>
      <c r="N2093" s="133">
        <f>AVERAGE(21.5, 25.1)</f>
        <v>23.3</v>
      </c>
      <c r="O2093" s="179" t="s">
        <v>6736</v>
      </c>
      <c r="P2093" s="108" t="s">
        <v>1961</v>
      </c>
    </row>
    <row r="2094" spans="1:17">
      <c r="A2094" s="213" t="s">
        <v>2592</v>
      </c>
      <c r="B2094" s="130"/>
      <c r="C2094" s="118" t="s">
        <v>3817</v>
      </c>
      <c r="D2094" s="141"/>
      <c r="E2094" s="118"/>
      <c r="F2094" s="118"/>
      <c r="G2094" s="118" t="s">
        <v>3618</v>
      </c>
      <c r="H2094" s="118" t="s">
        <v>3638</v>
      </c>
      <c r="I2094" s="118" t="s">
        <v>5261</v>
      </c>
      <c r="J2094" s="118" t="s">
        <v>6648</v>
      </c>
      <c r="K2094" s="141"/>
      <c r="L2094" s="135" t="str">
        <f t="shared" si="119"/>
        <v>Apodemus flavicollis</v>
      </c>
      <c r="M2094" s="133">
        <f t="shared" si="121"/>
        <v>1.4265112613645752</v>
      </c>
      <c r="N2094" s="133">
        <v>26.7</v>
      </c>
      <c r="O2094" s="179" t="s">
        <v>6736</v>
      </c>
      <c r="P2094" s="108">
        <v>68</v>
      </c>
    </row>
    <row r="2095" spans="1:17" ht="24" customHeight="1">
      <c r="A2095" s="213" t="s">
        <v>2592</v>
      </c>
      <c r="B2095" s="141" t="s">
        <v>6063</v>
      </c>
      <c r="C2095" s="118" t="s">
        <v>3817</v>
      </c>
      <c r="D2095" s="141"/>
      <c r="E2095" s="118"/>
      <c r="F2095" s="118"/>
      <c r="G2095" s="118" t="s">
        <v>3618</v>
      </c>
      <c r="H2095" s="121" t="s">
        <v>3638</v>
      </c>
      <c r="I2095" s="118" t="s">
        <v>5261</v>
      </c>
      <c r="J2095" s="118" t="s">
        <v>6248</v>
      </c>
      <c r="K2095" s="141"/>
      <c r="L2095" s="135" t="str">
        <f t="shared" si="119"/>
        <v>Apodemus alpicola</v>
      </c>
      <c r="M2095" s="133">
        <f t="shared" si="121"/>
        <v>1.4480102730394759</v>
      </c>
      <c r="N2095" s="133">
        <f>AVERAGE(25.03, 31.08)</f>
        <v>28.055</v>
      </c>
      <c r="O2095" s="179" t="s">
        <v>6882</v>
      </c>
      <c r="P2095" s="108">
        <v>199</v>
      </c>
      <c r="Q2095" s="88" t="s">
        <v>6987</v>
      </c>
    </row>
    <row r="2096" spans="1:17">
      <c r="A2096" s="213" t="s">
        <v>2592</v>
      </c>
      <c r="B2096" s="130"/>
      <c r="C2096" s="121" t="s">
        <v>3817</v>
      </c>
      <c r="D2096" s="156"/>
      <c r="E2096" s="121"/>
      <c r="F2096" s="121"/>
      <c r="G2096" s="121" t="s">
        <v>3618</v>
      </c>
      <c r="H2096" s="118" t="s">
        <v>3638</v>
      </c>
      <c r="I2096" s="121" t="s">
        <v>5261</v>
      </c>
      <c r="J2096" s="121" t="s">
        <v>6405</v>
      </c>
      <c r="K2096" s="156"/>
      <c r="L2096" s="135" t="str">
        <f t="shared" si="119"/>
        <v>Apodemus fulvipectus</v>
      </c>
      <c r="M2096" s="133">
        <f t="shared" si="121"/>
        <v>1.4771212547196624</v>
      </c>
      <c r="N2096" s="143">
        <v>30</v>
      </c>
      <c r="O2096" s="179" t="s">
        <v>3356</v>
      </c>
      <c r="P2096" s="108" t="s">
        <v>7950</v>
      </c>
      <c r="Q2096" s="80"/>
    </row>
    <row r="2097" spans="1:18">
      <c r="A2097" s="213" t="s">
        <v>2592</v>
      </c>
      <c r="B2097" s="130"/>
      <c r="C2097" s="118" t="s">
        <v>3817</v>
      </c>
      <c r="D2097" s="141"/>
      <c r="E2097" s="118"/>
      <c r="F2097" s="118"/>
      <c r="G2097" s="118" t="s">
        <v>3618</v>
      </c>
      <c r="H2097" s="118" t="s">
        <v>3638</v>
      </c>
      <c r="I2097" s="118" t="s">
        <v>5261</v>
      </c>
      <c r="J2097" s="118" t="s">
        <v>6251</v>
      </c>
      <c r="K2097" s="141"/>
      <c r="L2097" s="135" t="str">
        <f t="shared" si="119"/>
        <v>Apodemus chevrieri</v>
      </c>
      <c r="M2097" s="133">
        <f t="shared" si="121"/>
        <v>1.5171958979499742</v>
      </c>
      <c r="N2097" s="133">
        <f>1000*0.0329</f>
        <v>32.9</v>
      </c>
      <c r="O2097" s="179" t="s">
        <v>3356</v>
      </c>
      <c r="P2097" s="108">
        <v>60</v>
      </c>
      <c r="Q2097" s="80"/>
    </row>
    <row r="2098" spans="1:18">
      <c r="A2098" s="213" t="s">
        <v>2592</v>
      </c>
      <c r="B2098" s="130"/>
      <c r="C2098" s="118" t="s">
        <v>3817</v>
      </c>
      <c r="D2098" s="141"/>
      <c r="E2098" s="118"/>
      <c r="F2098" s="118"/>
      <c r="G2098" s="118" t="s">
        <v>3618</v>
      </c>
      <c r="H2098" s="118" t="s">
        <v>3638</v>
      </c>
      <c r="I2098" s="118" t="s">
        <v>5261</v>
      </c>
      <c r="J2098" s="118" t="s">
        <v>6255</v>
      </c>
      <c r="K2098" s="141"/>
      <c r="L2098" s="135" t="str">
        <f t="shared" si="119"/>
        <v>Apodemus peninsulae</v>
      </c>
      <c r="M2098" s="133">
        <f t="shared" si="121"/>
        <v>1.5171958979499742</v>
      </c>
      <c r="N2098" s="133">
        <f>1000*0.0329</f>
        <v>32.9</v>
      </c>
      <c r="O2098" s="179" t="s">
        <v>3356</v>
      </c>
      <c r="P2098" s="108">
        <v>60</v>
      </c>
      <c r="Q2098" s="80"/>
    </row>
    <row r="2099" spans="1:18">
      <c r="A2099" s="213" t="s">
        <v>2592</v>
      </c>
      <c r="B2099" s="130"/>
      <c r="C2099" s="118" t="s">
        <v>3817</v>
      </c>
      <c r="D2099" s="141"/>
      <c r="E2099" s="118"/>
      <c r="F2099" s="118"/>
      <c r="G2099" s="118" t="s">
        <v>3618</v>
      </c>
      <c r="H2099" s="118" t="s">
        <v>3638</v>
      </c>
      <c r="I2099" s="118" t="s">
        <v>5261</v>
      </c>
      <c r="J2099" s="118" t="s">
        <v>6408</v>
      </c>
      <c r="K2099" s="141"/>
      <c r="L2099" s="135" t="str">
        <f t="shared" si="119"/>
        <v>Apodemus latronum</v>
      </c>
      <c r="M2099" s="133">
        <f t="shared" si="121"/>
        <v>1.546542663478131</v>
      </c>
      <c r="N2099" s="133">
        <f>1000*0.0352</f>
        <v>35.200000000000003</v>
      </c>
      <c r="O2099" s="179" t="s">
        <v>3356</v>
      </c>
      <c r="P2099" s="108">
        <v>60</v>
      </c>
      <c r="Q2099" s="80"/>
    </row>
    <row r="2100" spans="1:18">
      <c r="A2100" s="213" t="s">
        <v>2592</v>
      </c>
      <c r="B2100" s="130"/>
      <c r="C2100" s="118" t="s">
        <v>3817</v>
      </c>
      <c r="D2100" s="141"/>
      <c r="E2100" s="118"/>
      <c r="F2100" s="118"/>
      <c r="G2100" s="118" t="s">
        <v>3618</v>
      </c>
      <c r="H2100" s="118" t="s">
        <v>3638</v>
      </c>
      <c r="I2100" s="118" t="s">
        <v>5261</v>
      </c>
      <c r="J2100" s="118" t="s">
        <v>5739</v>
      </c>
      <c r="K2100" s="141"/>
      <c r="L2100" s="135" t="str">
        <f t="shared" si="119"/>
        <v>Apodemus sylvaticus</v>
      </c>
      <c r="M2100" s="133">
        <f t="shared" si="121"/>
        <v>1.5954962218255742</v>
      </c>
      <c r="N2100" s="133">
        <v>39.4</v>
      </c>
      <c r="O2100" s="179"/>
      <c r="P2100" s="108">
        <v>117</v>
      </c>
      <c r="R2100" s="85" t="s">
        <v>7597</v>
      </c>
    </row>
    <row r="2101" spans="1:18">
      <c r="A2101" s="213" t="s">
        <v>2592</v>
      </c>
      <c r="B2101" s="130"/>
      <c r="C2101" s="121" t="s">
        <v>3817</v>
      </c>
      <c r="D2101" s="156"/>
      <c r="E2101" s="121"/>
      <c r="F2101" s="121"/>
      <c r="G2101" s="121" t="s">
        <v>3618</v>
      </c>
      <c r="H2101" s="118" t="s">
        <v>3638</v>
      </c>
      <c r="I2101" s="121" t="s">
        <v>5261</v>
      </c>
      <c r="J2101" s="121" t="s">
        <v>6406</v>
      </c>
      <c r="K2101" s="156"/>
      <c r="L2101" s="135" t="str">
        <f t="shared" si="119"/>
        <v>Apodemus gurkha</v>
      </c>
      <c r="M2101" s="133">
        <f t="shared" si="121"/>
        <v>1.6009728956867482</v>
      </c>
      <c r="N2101" s="133">
        <f>1000*0.0399</f>
        <v>39.9</v>
      </c>
      <c r="O2101" s="179" t="s">
        <v>3356</v>
      </c>
      <c r="P2101" s="108">
        <v>60</v>
      </c>
      <c r="Q2101" s="80"/>
    </row>
    <row r="2102" spans="1:18">
      <c r="A2102" s="213" t="s">
        <v>2592</v>
      </c>
      <c r="B2102" s="130"/>
      <c r="C2102" s="118" t="s">
        <v>3817</v>
      </c>
      <c r="D2102" s="141"/>
      <c r="E2102" s="118"/>
      <c r="F2102" s="118"/>
      <c r="G2102" s="118" t="s">
        <v>3618</v>
      </c>
      <c r="H2102" s="118" t="s">
        <v>3638</v>
      </c>
      <c r="I2102" s="118" t="s">
        <v>5261</v>
      </c>
      <c r="J2102" s="118" t="s">
        <v>5738</v>
      </c>
      <c r="K2102" s="141"/>
      <c r="L2102" s="135" t="str">
        <f t="shared" si="119"/>
        <v>Apodemus mystacinus</v>
      </c>
      <c r="M2102" s="133">
        <f t="shared" si="121"/>
        <v>1.658964842664435</v>
      </c>
      <c r="N2102" s="133">
        <v>45.6</v>
      </c>
      <c r="O2102" s="179" t="s">
        <v>6736</v>
      </c>
      <c r="P2102" s="108">
        <v>68</v>
      </c>
      <c r="R2102" s="85" t="s">
        <v>7596</v>
      </c>
    </row>
    <row r="2103" spans="1:18">
      <c r="A2103" s="213" t="s">
        <v>2592</v>
      </c>
      <c r="B2103" s="130" t="s">
        <v>7598</v>
      </c>
      <c r="C2103" s="118" t="s">
        <v>3817</v>
      </c>
      <c r="D2103" s="141"/>
      <c r="E2103" s="118"/>
      <c r="F2103" s="118"/>
      <c r="G2103" s="118" t="s">
        <v>3618</v>
      </c>
      <c r="H2103" s="118" t="s">
        <v>3638</v>
      </c>
      <c r="I2103" s="118" t="s">
        <v>6323</v>
      </c>
      <c r="J2103" s="118" t="s">
        <v>4894</v>
      </c>
      <c r="K2103" s="141"/>
      <c r="L2103" s="135" t="str">
        <f t="shared" si="119"/>
        <v>Arvicanthis niloticus</v>
      </c>
      <c r="M2103" s="133">
        <f t="shared" si="121"/>
        <v>2.0289777052087778</v>
      </c>
      <c r="N2103" s="133">
        <f>AVERAGE(75,138.8)</f>
        <v>106.9</v>
      </c>
      <c r="O2103" s="179" t="s">
        <v>3356</v>
      </c>
      <c r="P2103" s="108" t="s">
        <v>1549</v>
      </c>
      <c r="R2103" s="85" t="s">
        <v>7599</v>
      </c>
    </row>
    <row r="2104" spans="1:18">
      <c r="A2104" s="213" t="s">
        <v>2592</v>
      </c>
      <c r="B2104" s="130"/>
      <c r="C2104" s="118" t="s">
        <v>3817</v>
      </c>
      <c r="D2104" s="141"/>
      <c r="E2104" s="118"/>
      <c r="F2104" s="118"/>
      <c r="G2104" s="118" t="s">
        <v>3618</v>
      </c>
      <c r="H2104" s="118" t="s">
        <v>3638</v>
      </c>
      <c r="I2104" s="118" t="s">
        <v>5740</v>
      </c>
      <c r="J2104" s="118" t="s">
        <v>4820</v>
      </c>
      <c r="K2104" s="141"/>
      <c r="L2104" s="135" t="str">
        <f t="shared" si="119"/>
        <v>Arvicola terrestris</v>
      </c>
      <c r="M2104" s="133">
        <f t="shared" si="121"/>
        <v>2.0791812460476247</v>
      </c>
      <c r="N2104" s="133">
        <v>120</v>
      </c>
      <c r="O2104" s="179" t="s">
        <v>6736</v>
      </c>
      <c r="P2104" s="108">
        <v>68</v>
      </c>
    </row>
    <row r="2105" spans="1:18">
      <c r="A2105" s="213" t="s">
        <v>2592</v>
      </c>
      <c r="B2105" s="130" t="s">
        <v>6063</v>
      </c>
      <c r="C2105" s="118" t="s">
        <v>3817</v>
      </c>
      <c r="D2105" s="141"/>
      <c r="E2105" s="118"/>
      <c r="F2105" s="118"/>
      <c r="G2105" s="118" t="s">
        <v>3618</v>
      </c>
      <c r="H2105" s="118" t="s">
        <v>3638</v>
      </c>
      <c r="I2105" s="118" t="s">
        <v>5740</v>
      </c>
      <c r="J2105" s="118" t="s">
        <v>4198</v>
      </c>
      <c r="K2105" s="141"/>
      <c r="L2105" s="135" t="str">
        <f t="shared" si="119"/>
        <v>Arvicola sapidus</v>
      </c>
      <c r="M2105" s="133">
        <f t="shared" si="121"/>
        <v>2.3424226808222062</v>
      </c>
      <c r="N2105" s="133">
        <f>(165+275)/2</f>
        <v>220</v>
      </c>
      <c r="O2105" s="179" t="s">
        <v>6882</v>
      </c>
      <c r="P2105" s="108">
        <v>134</v>
      </c>
      <c r="Q2105" s="90" t="s">
        <v>6642</v>
      </c>
      <c r="R2105" s="80" t="s">
        <v>7884</v>
      </c>
    </row>
    <row r="2106" spans="1:18">
      <c r="A2106" s="213" t="s">
        <v>2592</v>
      </c>
      <c r="B2106" s="130"/>
      <c r="C2106" s="118" t="s">
        <v>3817</v>
      </c>
      <c r="D2106" s="141"/>
      <c r="E2106" s="118"/>
      <c r="F2106" s="118"/>
      <c r="G2106" s="118" t="s">
        <v>3618</v>
      </c>
      <c r="H2106" s="118" t="s">
        <v>3638</v>
      </c>
      <c r="I2106" s="118" t="s">
        <v>5736</v>
      </c>
      <c r="J2106" s="118" t="s">
        <v>6178</v>
      </c>
      <c r="K2106" s="141"/>
      <c r="L2106" s="135" t="str">
        <f t="shared" si="119"/>
        <v>Bandicota bengalensis</v>
      </c>
      <c r="M2106" s="133">
        <f t="shared" si="121"/>
        <v>2.1760912590556813</v>
      </c>
      <c r="N2106" s="133">
        <v>150</v>
      </c>
      <c r="O2106" s="179" t="s">
        <v>6736</v>
      </c>
      <c r="P2106" s="108">
        <v>68</v>
      </c>
    </row>
    <row r="2107" spans="1:18" ht="15" customHeight="1">
      <c r="A2107" s="213" t="s">
        <v>2592</v>
      </c>
      <c r="B2107" s="130"/>
      <c r="C2107" s="118" t="s">
        <v>3817</v>
      </c>
      <c r="D2107" s="141"/>
      <c r="E2107" s="118"/>
      <c r="F2107" s="118"/>
      <c r="G2107" s="118" t="s">
        <v>3618</v>
      </c>
      <c r="H2107" s="118" t="s">
        <v>3638</v>
      </c>
      <c r="I2107" s="118" t="s">
        <v>5736</v>
      </c>
      <c r="J2107" s="118" t="s">
        <v>5357</v>
      </c>
      <c r="K2107" s="141"/>
      <c r="L2107" s="135" t="str">
        <f t="shared" si="119"/>
        <v>Bandicota savilei</v>
      </c>
      <c r="M2107" s="133">
        <f t="shared" si="121"/>
        <v>2.2988530764097068</v>
      </c>
      <c r="N2107" s="133">
        <v>199</v>
      </c>
      <c r="O2107" s="179" t="s">
        <v>3356</v>
      </c>
      <c r="P2107" s="108">
        <v>60</v>
      </c>
      <c r="Q2107" s="80"/>
    </row>
    <row r="2108" spans="1:18">
      <c r="A2108" s="213" t="s">
        <v>2592</v>
      </c>
      <c r="B2108" s="130"/>
      <c r="C2108" s="118" t="s">
        <v>3817</v>
      </c>
      <c r="D2108" s="141"/>
      <c r="E2108" s="118"/>
      <c r="F2108" s="118"/>
      <c r="G2108" s="118" t="s">
        <v>3618</v>
      </c>
      <c r="H2108" s="118" t="s">
        <v>3638</v>
      </c>
      <c r="I2108" s="118" t="s">
        <v>5736</v>
      </c>
      <c r="J2108" s="118" t="s">
        <v>4108</v>
      </c>
      <c r="K2108" s="141"/>
      <c r="L2108" s="135" t="str">
        <f t="shared" si="119"/>
        <v>Bandicota indica</v>
      </c>
      <c r="M2108" s="133">
        <f t="shared" si="121"/>
        <v>2.6989700043360187</v>
      </c>
      <c r="N2108" s="133">
        <v>500</v>
      </c>
      <c r="O2108" s="179" t="s">
        <v>3356</v>
      </c>
      <c r="P2108" s="108">
        <v>119</v>
      </c>
      <c r="Q2108" s="80"/>
    </row>
    <row r="2109" spans="1:18">
      <c r="A2109" s="213" t="s">
        <v>2592</v>
      </c>
      <c r="B2109" s="130"/>
      <c r="C2109" s="118" t="s">
        <v>3817</v>
      </c>
      <c r="D2109" s="141"/>
      <c r="E2109" s="118"/>
      <c r="F2109" s="118"/>
      <c r="G2109" s="118" t="s">
        <v>3618</v>
      </c>
      <c r="H2109" s="118" t="s">
        <v>3638</v>
      </c>
      <c r="I2109" s="118" t="s">
        <v>5353</v>
      </c>
      <c r="J2109" s="118" t="s">
        <v>7997</v>
      </c>
      <c r="K2109" s="141"/>
      <c r="L2109" s="135" t="str">
        <f t="shared" si="119"/>
        <v>Berylmys manipulus</v>
      </c>
      <c r="M2109" s="133">
        <f t="shared" si="121"/>
        <v>2.0644579892269186</v>
      </c>
      <c r="N2109" s="133">
        <v>116</v>
      </c>
      <c r="O2109" s="179" t="s">
        <v>3356</v>
      </c>
      <c r="P2109" s="108">
        <v>60</v>
      </c>
      <c r="Q2109" s="80"/>
    </row>
    <row r="2110" spans="1:18">
      <c r="A2110" s="213" t="s">
        <v>2592</v>
      </c>
      <c r="B2110" s="130"/>
      <c r="C2110" s="118" t="s">
        <v>3817</v>
      </c>
      <c r="D2110" s="141"/>
      <c r="E2110" s="118"/>
      <c r="F2110" s="118"/>
      <c r="G2110" s="118" t="s">
        <v>3618</v>
      </c>
      <c r="H2110" s="118" t="s">
        <v>3638</v>
      </c>
      <c r="I2110" s="118" t="s">
        <v>5353</v>
      </c>
      <c r="J2110" s="118" t="s">
        <v>6547</v>
      </c>
      <c r="K2110" s="141"/>
      <c r="L2110" s="135" t="str">
        <f t="shared" si="119"/>
        <v>Berylmys berdmorei</v>
      </c>
      <c r="M2110" s="133">
        <f t="shared" si="121"/>
        <v>2.3710678622717363</v>
      </c>
      <c r="N2110" s="133">
        <v>235</v>
      </c>
      <c r="O2110" s="179" t="s">
        <v>3356</v>
      </c>
      <c r="P2110" s="108">
        <v>60</v>
      </c>
      <c r="Q2110" s="80"/>
    </row>
    <row r="2111" spans="1:18">
      <c r="A2111" s="213" t="s">
        <v>2592</v>
      </c>
      <c r="B2111" s="130"/>
      <c r="C2111" s="121" t="s">
        <v>3817</v>
      </c>
      <c r="D2111" s="156"/>
      <c r="E2111" s="121"/>
      <c r="F2111" s="121"/>
      <c r="G2111" s="121" t="s">
        <v>3618</v>
      </c>
      <c r="H2111" s="118" t="s">
        <v>3638</v>
      </c>
      <c r="I2111" s="121" t="s">
        <v>5353</v>
      </c>
      <c r="J2111" s="121" t="s">
        <v>7998</v>
      </c>
      <c r="K2111" s="156"/>
      <c r="L2111" s="135" t="str">
        <f t="shared" si="119"/>
        <v>Berylmys mackenziei</v>
      </c>
      <c r="M2111" s="133">
        <f t="shared" si="121"/>
        <v>2.4082399653118496</v>
      </c>
      <c r="N2111" s="143">
        <v>256</v>
      </c>
      <c r="O2111" s="179" t="s">
        <v>3356</v>
      </c>
      <c r="P2111" s="108">
        <v>60</v>
      </c>
      <c r="Q2111" s="80"/>
    </row>
    <row r="2112" spans="1:18">
      <c r="A2112" s="213" t="s">
        <v>2592</v>
      </c>
      <c r="B2112" s="130"/>
      <c r="C2112" s="118" t="s">
        <v>3817</v>
      </c>
      <c r="D2112" s="141"/>
      <c r="E2112" s="118"/>
      <c r="F2112" s="118"/>
      <c r="G2112" s="118" t="s">
        <v>3618</v>
      </c>
      <c r="H2112" s="118" t="s">
        <v>3638</v>
      </c>
      <c r="I2112" s="118" t="s">
        <v>5353</v>
      </c>
      <c r="J2112" s="118" t="s">
        <v>5553</v>
      </c>
      <c r="K2112" s="141"/>
      <c r="L2112" s="135" t="str">
        <f t="shared" si="119"/>
        <v>Berylmys bowersi</v>
      </c>
      <c r="M2112" s="133">
        <f t="shared" si="121"/>
        <v>2.4771212547196626</v>
      </c>
      <c r="N2112" s="133">
        <v>300</v>
      </c>
      <c r="O2112" s="179" t="s">
        <v>3356</v>
      </c>
      <c r="P2112" s="108">
        <v>119</v>
      </c>
      <c r="Q2112" s="80"/>
    </row>
    <row r="2113" spans="1:19">
      <c r="A2113" s="213" t="s">
        <v>2592</v>
      </c>
      <c r="B2113" s="130"/>
      <c r="C2113" s="121" t="s">
        <v>3817</v>
      </c>
      <c r="D2113" s="156"/>
      <c r="E2113" s="121"/>
      <c r="F2113" s="121"/>
      <c r="G2113" s="121" t="s">
        <v>3618</v>
      </c>
      <c r="H2113" s="118" t="s">
        <v>3638</v>
      </c>
      <c r="I2113" s="121" t="s">
        <v>3140</v>
      </c>
      <c r="J2113" s="121" t="s">
        <v>6479</v>
      </c>
      <c r="K2113" s="156"/>
      <c r="L2113" s="135" t="str">
        <f t="shared" si="119"/>
        <v>Blanfordimys afghanus</v>
      </c>
      <c r="M2113" s="133">
        <v>-999</v>
      </c>
      <c r="N2113" s="143">
        <v>-999</v>
      </c>
      <c r="O2113" s="179" t="s">
        <v>3356</v>
      </c>
      <c r="P2113" s="108">
        <v>-999</v>
      </c>
      <c r="Q2113" s="80"/>
    </row>
    <row r="2114" spans="1:19">
      <c r="A2114" s="213" t="s">
        <v>2592</v>
      </c>
      <c r="B2114" s="130"/>
      <c r="C2114" s="118" t="s">
        <v>3817</v>
      </c>
      <c r="D2114" s="141"/>
      <c r="E2114" s="118"/>
      <c r="F2114" s="118"/>
      <c r="G2114" s="118" t="s">
        <v>3618</v>
      </c>
      <c r="H2114" s="118" t="s">
        <v>3638</v>
      </c>
      <c r="I2114" s="118" t="s">
        <v>3140</v>
      </c>
      <c r="J2114" s="118" t="s">
        <v>6763</v>
      </c>
      <c r="K2114" s="141"/>
      <c r="L2114" s="135" t="str">
        <f t="shared" si="119"/>
        <v>Blanfordimys bucharicus</v>
      </c>
      <c r="M2114" s="133">
        <v>-999</v>
      </c>
      <c r="N2114" s="133">
        <v>-999</v>
      </c>
      <c r="O2114" s="179" t="s">
        <v>6882</v>
      </c>
      <c r="P2114" s="108">
        <v>-999</v>
      </c>
      <c r="Q2114" s="80" t="s">
        <v>6642</v>
      </c>
    </row>
    <row r="2115" spans="1:19">
      <c r="A2115" s="213" t="s">
        <v>2592</v>
      </c>
      <c r="B2115" s="130"/>
      <c r="C2115" s="118" t="s">
        <v>3817</v>
      </c>
      <c r="D2115" s="141"/>
      <c r="E2115" s="118"/>
      <c r="F2115" s="118"/>
      <c r="G2115" s="118" t="s">
        <v>3618</v>
      </c>
      <c r="H2115" s="118" t="s">
        <v>3638</v>
      </c>
      <c r="I2115" s="118" t="s">
        <v>3885</v>
      </c>
      <c r="J2115" s="118" t="s">
        <v>5916</v>
      </c>
      <c r="K2115" s="141"/>
      <c r="L2115" s="135" t="str">
        <f t="shared" si="119"/>
        <v>Brachiones przewalskii</v>
      </c>
      <c r="M2115" s="133">
        <v>-999</v>
      </c>
      <c r="N2115" s="133">
        <v>-999</v>
      </c>
      <c r="O2115" s="179" t="s">
        <v>3356</v>
      </c>
      <c r="P2115" s="108">
        <v>-999</v>
      </c>
      <c r="Q2115" s="80"/>
    </row>
    <row r="2116" spans="1:19">
      <c r="A2116" s="213" t="s">
        <v>2592</v>
      </c>
      <c r="B2116" s="130"/>
      <c r="C2116" s="121" t="s">
        <v>3817</v>
      </c>
      <c r="D2116" s="156"/>
      <c r="E2116" s="121"/>
      <c r="F2116" s="121"/>
      <c r="G2116" s="121" t="s">
        <v>3618</v>
      </c>
      <c r="H2116" s="118" t="s">
        <v>3638</v>
      </c>
      <c r="I2116" s="121" t="s">
        <v>6179</v>
      </c>
      <c r="J2116" s="121" t="s">
        <v>6331</v>
      </c>
      <c r="K2116" s="156"/>
      <c r="L2116" s="135" t="str">
        <f t="shared" si="119"/>
        <v>Calomyscus baluchi</v>
      </c>
      <c r="M2116" s="133">
        <v>-999</v>
      </c>
      <c r="N2116" s="143">
        <v>-999</v>
      </c>
      <c r="O2116" s="179" t="s">
        <v>3356</v>
      </c>
      <c r="P2116" s="108">
        <v>-999</v>
      </c>
      <c r="Q2116" s="80"/>
    </row>
    <row r="2117" spans="1:19">
      <c r="A2117" s="213" t="s">
        <v>2592</v>
      </c>
      <c r="B2117" s="144"/>
      <c r="C2117" s="121" t="s">
        <v>3817</v>
      </c>
      <c r="D2117" s="156"/>
      <c r="E2117" s="121"/>
      <c r="F2117" s="121"/>
      <c r="G2117" s="121" t="s">
        <v>3618</v>
      </c>
      <c r="H2117" s="121" t="s">
        <v>3638</v>
      </c>
      <c r="I2117" s="121" t="s">
        <v>6179</v>
      </c>
      <c r="J2117" s="121" t="s">
        <v>6444</v>
      </c>
      <c r="K2117" s="156"/>
      <c r="L2117" s="135" t="str">
        <f t="shared" ref="L2117:L2180" si="122">I2117&amp;" "&amp;J2117</f>
        <v>Calomyscus hotsoni</v>
      </c>
      <c r="M2117" s="133">
        <v>-999</v>
      </c>
      <c r="N2117" s="143">
        <v>-999</v>
      </c>
      <c r="O2117" s="179" t="s">
        <v>6882</v>
      </c>
      <c r="P2117" s="108">
        <v>-999</v>
      </c>
      <c r="Q2117" s="80" t="s">
        <v>6640</v>
      </c>
    </row>
    <row r="2118" spans="1:19">
      <c r="A2118" s="213" t="s">
        <v>2592</v>
      </c>
      <c r="B2118" s="130"/>
      <c r="C2118" s="121" t="s">
        <v>3817</v>
      </c>
      <c r="D2118" s="156"/>
      <c r="E2118" s="121"/>
      <c r="F2118" s="121"/>
      <c r="G2118" s="121" t="s">
        <v>3618</v>
      </c>
      <c r="H2118" s="121" t="s">
        <v>3638</v>
      </c>
      <c r="I2118" s="121" t="s">
        <v>6179</v>
      </c>
      <c r="J2118" s="121" t="s">
        <v>6332</v>
      </c>
      <c r="K2118" s="156"/>
      <c r="L2118" s="135" t="str">
        <f t="shared" si="122"/>
        <v>Calomyscus tsolovi</v>
      </c>
      <c r="M2118" s="133">
        <v>-999</v>
      </c>
      <c r="N2118" s="143">
        <v>-999</v>
      </c>
      <c r="O2118" s="179" t="s">
        <v>6882</v>
      </c>
      <c r="P2118" s="108">
        <v>-999</v>
      </c>
      <c r="Q2118" s="80" t="s">
        <v>6642</v>
      </c>
    </row>
    <row r="2119" spans="1:19" ht="24" customHeight="1">
      <c r="A2119" s="213" t="s">
        <v>2592</v>
      </c>
      <c r="B2119" s="130"/>
      <c r="C2119" s="121" t="s">
        <v>3817</v>
      </c>
      <c r="D2119" s="156"/>
      <c r="E2119" s="121"/>
      <c r="F2119" s="121"/>
      <c r="G2119" s="121" t="s">
        <v>3618</v>
      </c>
      <c r="H2119" s="121" t="s">
        <v>3638</v>
      </c>
      <c r="I2119" s="121" t="s">
        <v>6179</v>
      </c>
      <c r="J2119" s="121" t="s">
        <v>6333</v>
      </c>
      <c r="K2119" s="156"/>
      <c r="L2119" s="135" t="str">
        <f t="shared" si="122"/>
        <v>Calomyscus urartensis</v>
      </c>
      <c r="M2119" s="133">
        <v>-999</v>
      </c>
      <c r="N2119" s="143">
        <v>-999</v>
      </c>
      <c r="O2119" s="179" t="s">
        <v>6882</v>
      </c>
      <c r="P2119" s="108">
        <v>-999</v>
      </c>
      <c r="Q2119" s="80" t="s">
        <v>6642</v>
      </c>
      <c r="R2119" s="89"/>
      <c r="S2119" s="80"/>
    </row>
    <row r="2120" spans="1:19" ht="63.75">
      <c r="A2120" s="213" t="s">
        <v>2592</v>
      </c>
      <c r="B2120" s="130"/>
      <c r="C2120" s="121" t="s">
        <v>3817</v>
      </c>
      <c r="D2120" s="156"/>
      <c r="E2120" s="121"/>
      <c r="F2120" s="121"/>
      <c r="G2120" s="121" t="s">
        <v>3618</v>
      </c>
      <c r="H2120" s="121" t="s">
        <v>3638</v>
      </c>
      <c r="I2120" s="121" t="s">
        <v>6179</v>
      </c>
      <c r="J2120" s="121" t="s">
        <v>7494</v>
      </c>
      <c r="K2120" s="156"/>
      <c r="L2120" s="135" t="str">
        <f t="shared" si="122"/>
        <v>Calomyscus mystax</v>
      </c>
      <c r="M2120" s="133">
        <f>LOG(N2120)</f>
        <v>1.2304489213782739</v>
      </c>
      <c r="N2120" s="143">
        <v>17</v>
      </c>
      <c r="O2120" s="179" t="s">
        <v>6882</v>
      </c>
      <c r="P2120" s="108">
        <v>184</v>
      </c>
      <c r="Q2120" s="80" t="s">
        <v>6642</v>
      </c>
      <c r="R2120" s="85" t="s">
        <v>7945</v>
      </c>
    </row>
    <row r="2121" spans="1:19">
      <c r="A2121" s="213" t="s">
        <v>2592</v>
      </c>
      <c r="B2121" s="130"/>
      <c r="C2121" s="118" t="s">
        <v>3817</v>
      </c>
      <c r="D2121" s="141"/>
      <c r="E2121" s="118"/>
      <c r="F2121" s="118"/>
      <c r="G2121" s="118" t="s">
        <v>3618</v>
      </c>
      <c r="H2121" s="118" t="s">
        <v>3638</v>
      </c>
      <c r="I2121" s="118" t="s">
        <v>6179</v>
      </c>
      <c r="J2121" s="118" t="s">
        <v>5324</v>
      </c>
      <c r="K2121" s="141"/>
      <c r="L2121" s="135" t="str">
        <f t="shared" si="122"/>
        <v>Calomyscus bailwardi</v>
      </c>
      <c r="M2121" s="133">
        <f>LOG(N2121)</f>
        <v>1.3096301674258988</v>
      </c>
      <c r="N2121" s="133">
        <v>20.399999999999999</v>
      </c>
      <c r="O2121" s="179" t="s">
        <v>6736</v>
      </c>
      <c r="P2121" s="108" t="s">
        <v>1323</v>
      </c>
    </row>
    <row r="2122" spans="1:19">
      <c r="A2122" s="213" t="s">
        <v>2592</v>
      </c>
      <c r="B2122" s="130"/>
      <c r="C2122" s="118" t="s">
        <v>3817</v>
      </c>
      <c r="D2122" s="141"/>
      <c r="E2122" s="118"/>
      <c r="F2122" s="118"/>
      <c r="G2122" s="118" t="s">
        <v>3618</v>
      </c>
      <c r="H2122" s="118" t="s">
        <v>3638</v>
      </c>
      <c r="I2122" s="118" t="s">
        <v>5854</v>
      </c>
      <c r="J2122" s="118" t="s">
        <v>3179</v>
      </c>
      <c r="K2122" s="141"/>
      <c r="L2122" s="135" t="str">
        <f t="shared" si="122"/>
        <v>Cannomys badius</v>
      </c>
      <c r="M2122" s="133">
        <f>LOG(N2122)</f>
        <v>2.8129133566428557</v>
      </c>
      <c r="N2122" s="133">
        <v>650</v>
      </c>
      <c r="O2122" s="179" t="s">
        <v>6736</v>
      </c>
      <c r="P2122" s="108">
        <v>68</v>
      </c>
    </row>
    <row r="2123" spans="1:19">
      <c r="A2123" s="213" t="s">
        <v>2592</v>
      </c>
      <c r="B2123" s="130"/>
      <c r="C2123" s="118" t="s">
        <v>3817</v>
      </c>
      <c r="D2123" s="141"/>
      <c r="E2123" s="118"/>
      <c r="F2123" s="118"/>
      <c r="G2123" s="118" t="s">
        <v>3618</v>
      </c>
      <c r="H2123" s="118" t="s">
        <v>3638</v>
      </c>
      <c r="I2123" s="118" t="s">
        <v>6337</v>
      </c>
      <c r="J2123" s="118" t="s">
        <v>6247</v>
      </c>
      <c r="K2123" s="141"/>
      <c r="L2123" s="135" t="str">
        <f t="shared" si="122"/>
        <v>Cansumys canus</v>
      </c>
      <c r="M2123" s="133">
        <v>-999</v>
      </c>
      <c r="N2123" s="133">
        <v>-999</v>
      </c>
      <c r="O2123" s="179" t="s">
        <v>3356</v>
      </c>
      <c r="P2123" s="108">
        <v>-999</v>
      </c>
      <c r="Q2123" s="80"/>
    </row>
    <row r="2124" spans="1:19" ht="15.75">
      <c r="A2124" s="213" t="s">
        <v>2592</v>
      </c>
      <c r="B2124" s="130"/>
      <c r="C2124" s="118" t="s">
        <v>3817</v>
      </c>
      <c r="D2124" s="141"/>
      <c r="E2124" s="118"/>
      <c r="F2124" s="118"/>
      <c r="G2124" s="118" t="s">
        <v>3618</v>
      </c>
      <c r="H2124" s="118" t="s">
        <v>3638</v>
      </c>
      <c r="I2124" s="118" t="s">
        <v>6000</v>
      </c>
      <c r="J2124" s="118" t="s">
        <v>3806</v>
      </c>
      <c r="K2124" s="141"/>
      <c r="L2124" s="135" t="str">
        <f t="shared" si="122"/>
        <v>Chionomys nivalis</v>
      </c>
      <c r="M2124" s="133">
        <f t="shared" ref="M2124:M2135" si="123">LOG(N2124)</f>
        <v>1.7323937598229686</v>
      </c>
      <c r="N2124" s="133">
        <v>54</v>
      </c>
      <c r="O2124" s="179" t="s">
        <v>6736</v>
      </c>
      <c r="P2124" s="108">
        <v>68</v>
      </c>
      <c r="Q2124" s="90" t="s">
        <v>6642</v>
      </c>
      <c r="R2124" s="89" t="s">
        <v>7623</v>
      </c>
    </row>
    <row r="2125" spans="1:19">
      <c r="A2125" s="213" t="s">
        <v>2592</v>
      </c>
      <c r="B2125" s="141" t="s">
        <v>2386</v>
      </c>
      <c r="C2125" s="121" t="s">
        <v>3817</v>
      </c>
      <c r="D2125" s="156"/>
      <c r="E2125" s="121"/>
      <c r="F2125" s="121"/>
      <c r="G2125" s="121" t="s">
        <v>3618</v>
      </c>
      <c r="H2125" s="121" t="s">
        <v>3638</v>
      </c>
      <c r="I2125" s="121" t="s">
        <v>6000</v>
      </c>
      <c r="J2125" s="121" t="s">
        <v>6764</v>
      </c>
      <c r="K2125" s="156"/>
      <c r="L2125" s="135" t="str">
        <f t="shared" si="122"/>
        <v>Chionomys gud</v>
      </c>
      <c r="M2125" s="133">
        <f t="shared" si="123"/>
        <v>1.9708116108725178</v>
      </c>
      <c r="N2125" s="143">
        <f>0.0935*1000</f>
        <v>93.5</v>
      </c>
      <c r="O2125" s="179" t="s">
        <v>7080</v>
      </c>
      <c r="P2125" s="108" t="s">
        <v>7950</v>
      </c>
      <c r="Q2125" s="80" t="s">
        <v>6642</v>
      </c>
    </row>
    <row r="2126" spans="1:19">
      <c r="A2126" s="213" t="s">
        <v>2592</v>
      </c>
      <c r="B2126" s="141" t="s">
        <v>2386</v>
      </c>
      <c r="C2126" s="121" t="s">
        <v>3817</v>
      </c>
      <c r="D2126" s="156"/>
      <c r="E2126" s="121"/>
      <c r="F2126" s="121"/>
      <c r="G2126" s="121" t="s">
        <v>3618</v>
      </c>
      <c r="H2126" s="121" t="s">
        <v>3638</v>
      </c>
      <c r="I2126" s="121" t="s">
        <v>6000</v>
      </c>
      <c r="J2126" s="121" t="s">
        <v>4665</v>
      </c>
      <c r="K2126" s="156"/>
      <c r="L2126" s="135" t="str">
        <f t="shared" si="122"/>
        <v>Chionomys roberti</v>
      </c>
      <c r="M2126" s="133">
        <f t="shared" si="123"/>
        <v>1.9708116108725178</v>
      </c>
      <c r="N2126" s="143">
        <f>0.0935*1000</f>
        <v>93.5</v>
      </c>
      <c r="O2126" s="179" t="s">
        <v>7080</v>
      </c>
      <c r="P2126" s="108" t="s">
        <v>7950</v>
      </c>
      <c r="Q2126" s="90" t="s">
        <v>6642</v>
      </c>
    </row>
    <row r="2127" spans="1:19" ht="12" customHeight="1">
      <c r="A2127" s="213" t="s">
        <v>2592</v>
      </c>
      <c r="B2127" s="141" t="s">
        <v>2244</v>
      </c>
      <c r="C2127" s="121" t="s">
        <v>3817</v>
      </c>
      <c r="D2127" s="156"/>
      <c r="E2127" s="121"/>
      <c r="F2127" s="121"/>
      <c r="G2127" s="121" t="s">
        <v>3618</v>
      </c>
      <c r="H2127" s="118" t="s">
        <v>3638</v>
      </c>
      <c r="I2127" s="121" t="s">
        <v>5575</v>
      </c>
      <c r="J2127" s="121" t="s">
        <v>5576</v>
      </c>
      <c r="K2127" s="156"/>
      <c r="L2127" s="135" t="str">
        <f t="shared" si="122"/>
        <v>Chiromyscus chiropus</v>
      </c>
      <c r="M2127" s="133">
        <f t="shared" si="123"/>
        <v>1.890979596989689</v>
      </c>
      <c r="N2127" s="133">
        <v>77.8</v>
      </c>
      <c r="O2127" s="179" t="s">
        <v>3356</v>
      </c>
      <c r="P2127" s="108">
        <v>60</v>
      </c>
      <c r="Q2127" s="88"/>
    </row>
    <row r="2128" spans="1:19">
      <c r="A2128" s="213" t="s">
        <v>2592</v>
      </c>
      <c r="B2128" s="130"/>
      <c r="C2128" s="118" t="s">
        <v>3817</v>
      </c>
      <c r="D2128" s="141"/>
      <c r="E2128" s="118"/>
      <c r="F2128" s="118"/>
      <c r="G2128" s="118" t="s">
        <v>3618</v>
      </c>
      <c r="H2128" s="118" t="s">
        <v>3638</v>
      </c>
      <c r="I2128" s="118" t="s">
        <v>6001</v>
      </c>
      <c r="J2128" s="118" t="s">
        <v>7265</v>
      </c>
      <c r="K2128" s="141"/>
      <c r="L2128" s="135" t="str">
        <f t="shared" si="122"/>
        <v>Chiropodomys gliroides</v>
      </c>
      <c r="M2128" s="133">
        <f t="shared" si="123"/>
        <v>1.3979400086720377</v>
      </c>
      <c r="N2128" s="133">
        <v>25</v>
      </c>
      <c r="O2128" s="179" t="s">
        <v>6736</v>
      </c>
      <c r="P2128" s="108">
        <v>68</v>
      </c>
    </row>
    <row r="2129" spans="1:18">
      <c r="A2129" s="213" t="s">
        <v>2592</v>
      </c>
      <c r="B2129" s="130"/>
      <c r="C2129" s="118" t="s">
        <v>3817</v>
      </c>
      <c r="D2129" s="141"/>
      <c r="E2129" s="118"/>
      <c r="F2129" s="118"/>
      <c r="G2129" s="118" t="s">
        <v>3618</v>
      </c>
      <c r="H2129" s="118" t="s">
        <v>3638</v>
      </c>
      <c r="I2129" s="118" t="s">
        <v>4221</v>
      </c>
      <c r="J2129" s="118" t="s">
        <v>6163</v>
      </c>
      <c r="K2129" s="141"/>
      <c r="L2129" s="135" t="str">
        <f t="shared" si="122"/>
        <v>Clethrionomys glareolus</v>
      </c>
      <c r="M2129" s="133">
        <f t="shared" si="123"/>
        <v>1.3263358609287514</v>
      </c>
      <c r="N2129" s="133">
        <v>21.2</v>
      </c>
      <c r="O2129" s="179" t="s">
        <v>6736</v>
      </c>
      <c r="P2129" s="108">
        <v>68</v>
      </c>
    </row>
    <row r="2130" spans="1:18">
      <c r="A2130" s="213" t="s">
        <v>2592</v>
      </c>
      <c r="B2130" s="130"/>
      <c r="C2130" s="118" t="s">
        <v>3817</v>
      </c>
      <c r="D2130" s="141"/>
      <c r="E2130" s="118"/>
      <c r="F2130" s="118"/>
      <c r="G2130" s="118" t="s">
        <v>3618</v>
      </c>
      <c r="H2130" s="118" t="s">
        <v>3638</v>
      </c>
      <c r="I2130" s="118" t="s">
        <v>4221</v>
      </c>
      <c r="J2130" s="118" t="s">
        <v>4407</v>
      </c>
      <c r="K2130" s="141"/>
      <c r="L2130" s="135" t="str">
        <f t="shared" si="122"/>
        <v>Clethrionomys rutilus</v>
      </c>
      <c r="M2130" s="133">
        <f t="shared" si="123"/>
        <v>1.4393326938302626</v>
      </c>
      <c r="N2130" s="133">
        <f>AVERAGE(15, 40)</f>
        <v>27.5</v>
      </c>
      <c r="O2130" s="179" t="s">
        <v>5899</v>
      </c>
      <c r="P2130" s="117">
        <v>111</v>
      </c>
      <c r="Q2130" s="80"/>
    </row>
    <row r="2131" spans="1:18">
      <c r="A2131" s="213" t="s">
        <v>2592</v>
      </c>
      <c r="B2131" s="130"/>
      <c r="C2131" s="118" t="s">
        <v>3817</v>
      </c>
      <c r="D2131" s="141"/>
      <c r="E2131" s="118"/>
      <c r="F2131" s="118"/>
      <c r="G2131" s="118" t="s">
        <v>3618</v>
      </c>
      <c r="H2131" s="118" t="s">
        <v>3638</v>
      </c>
      <c r="I2131" s="118" t="s">
        <v>4221</v>
      </c>
      <c r="J2131" s="118" t="s">
        <v>3499</v>
      </c>
      <c r="K2131" s="141"/>
      <c r="L2131" s="135" t="str">
        <f t="shared" si="122"/>
        <v>Clethrionomys centralis</v>
      </c>
      <c r="M2131" s="133">
        <f t="shared" si="123"/>
        <v>1.505149978319906</v>
      </c>
      <c r="N2131" s="133">
        <f>AVERAGE(1000*0.024, 1000*0.04)</f>
        <v>32</v>
      </c>
      <c r="O2131" s="179" t="s">
        <v>3356</v>
      </c>
      <c r="P2131" s="108">
        <v>60</v>
      </c>
      <c r="Q2131" s="80"/>
    </row>
    <row r="2132" spans="1:18" ht="24" customHeight="1">
      <c r="A2132" s="213" t="s">
        <v>2592</v>
      </c>
      <c r="B2132" s="130"/>
      <c r="C2132" s="118" t="s">
        <v>3817</v>
      </c>
      <c r="D2132" s="141"/>
      <c r="E2132" s="118"/>
      <c r="F2132" s="118"/>
      <c r="G2132" s="118" t="s">
        <v>3618</v>
      </c>
      <c r="H2132" s="118" t="s">
        <v>3638</v>
      </c>
      <c r="I2132" s="118" t="s">
        <v>4221</v>
      </c>
      <c r="J2132" s="118" t="s">
        <v>6164</v>
      </c>
      <c r="K2132" s="141"/>
      <c r="L2132" s="135" t="str">
        <f t="shared" si="122"/>
        <v>Clethrionomys rufocanus</v>
      </c>
      <c r="M2132" s="133">
        <f t="shared" si="123"/>
        <v>1.568201724066995</v>
      </c>
      <c r="N2132" s="133">
        <v>37</v>
      </c>
      <c r="O2132" s="179" t="s">
        <v>6736</v>
      </c>
      <c r="P2132" s="108">
        <v>68</v>
      </c>
      <c r="R2132" s="89"/>
    </row>
    <row r="2133" spans="1:18">
      <c r="A2133" s="213" t="s">
        <v>2592</v>
      </c>
      <c r="B2133" s="141" t="s">
        <v>2527</v>
      </c>
      <c r="C2133" s="118" t="s">
        <v>3817</v>
      </c>
      <c r="D2133" s="141"/>
      <c r="E2133" s="118"/>
      <c r="F2133" s="118"/>
      <c r="G2133" s="118" t="s">
        <v>3618</v>
      </c>
      <c r="H2133" s="118" t="s">
        <v>3638</v>
      </c>
      <c r="I2133" s="118" t="s">
        <v>3290</v>
      </c>
      <c r="J2133" s="118" t="s">
        <v>3291</v>
      </c>
      <c r="K2133" s="141"/>
      <c r="L2133" s="135" t="str">
        <f t="shared" si="122"/>
        <v>Cremnomys cutchicus</v>
      </c>
      <c r="M2133" s="133">
        <f t="shared" si="123"/>
        <v>1.7767011839884108</v>
      </c>
      <c r="N2133" s="133">
        <f>1000*0.0598</f>
        <v>59.8</v>
      </c>
      <c r="O2133" s="179" t="s">
        <v>3356</v>
      </c>
      <c r="P2133" s="108">
        <v>60</v>
      </c>
      <c r="Q2133" s="80"/>
    </row>
    <row r="2134" spans="1:18">
      <c r="A2134" s="213" t="s">
        <v>2592</v>
      </c>
      <c r="B2134" s="141" t="s">
        <v>2527</v>
      </c>
      <c r="C2134" s="121" t="s">
        <v>3817</v>
      </c>
      <c r="D2134" s="156"/>
      <c r="E2134" s="121"/>
      <c r="F2134" s="121"/>
      <c r="G2134" s="121" t="s">
        <v>3618</v>
      </c>
      <c r="H2134" s="121" t="s">
        <v>3638</v>
      </c>
      <c r="I2134" s="121" t="s">
        <v>3290</v>
      </c>
      <c r="J2134" s="121" t="s">
        <v>3121</v>
      </c>
      <c r="K2134" s="156"/>
      <c r="L2134" s="135" t="str">
        <f t="shared" si="122"/>
        <v>Cremnomys elvira</v>
      </c>
      <c r="M2134" s="133">
        <f t="shared" si="123"/>
        <v>1.887054378050957</v>
      </c>
      <c r="N2134" s="133">
        <f>1000*0.0771</f>
        <v>77.100000000000009</v>
      </c>
      <c r="O2134" s="179" t="s">
        <v>7080</v>
      </c>
      <c r="P2134" s="108">
        <v>60</v>
      </c>
      <c r="Q2134" s="80" t="s">
        <v>6988</v>
      </c>
    </row>
    <row r="2135" spans="1:18" ht="36" customHeight="1">
      <c r="A2135" s="213" t="s">
        <v>2592</v>
      </c>
      <c r="B2135" s="141" t="s">
        <v>2527</v>
      </c>
      <c r="C2135" s="118" t="s">
        <v>3817</v>
      </c>
      <c r="D2135" s="141"/>
      <c r="E2135" s="118"/>
      <c r="F2135" s="118"/>
      <c r="G2135" s="118" t="s">
        <v>3618</v>
      </c>
      <c r="H2135" s="118" t="s">
        <v>3638</v>
      </c>
      <c r="I2135" s="118" t="s">
        <v>3290</v>
      </c>
      <c r="J2135" s="118" t="s">
        <v>6452</v>
      </c>
      <c r="K2135" s="141"/>
      <c r="L2135" s="135" t="str">
        <f t="shared" si="122"/>
        <v>Cremnomys blanfordi</v>
      </c>
      <c r="M2135" s="133">
        <f t="shared" si="123"/>
        <v>2.1492191126553797</v>
      </c>
      <c r="N2135" s="133">
        <f>1000*0.141</f>
        <v>141</v>
      </c>
      <c r="O2135" s="179" t="s">
        <v>3356</v>
      </c>
      <c r="P2135" s="108">
        <v>60</v>
      </c>
      <c r="Q2135" s="88"/>
    </row>
    <row r="2136" spans="1:18" ht="15" customHeight="1">
      <c r="A2136" s="213" t="s">
        <v>2592</v>
      </c>
      <c r="B2136" s="141" t="s">
        <v>2527</v>
      </c>
      <c r="C2136" s="118" t="s">
        <v>3817</v>
      </c>
      <c r="D2136" s="141"/>
      <c r="E2136" s="118"/>
      <c r="F2136" s="118"/>
      <c r="G2136" s="118" t="s">
        <v>3618</v>
      </c>
      <c r="H2136" s="118" t="s">
        <v>3638</v>
      </c>
      <c r="I2136" s="118" t="s">
        <v>6165</v>
      </c>
      <c r="J2136" s="118" t="s">
        <v>5373</v>
      </c>
      <c r="K2136" s="141"/>
      <c r="L2136" s="135" t="str">
        <f t="shared" si="122"/>
        <v>Cricetulus alticola</v>
      </c>
      <c r="M2136" s="133">
        <v>-999</v>
      </c>
      <c r="N2136" s="133">
        <v>-999</v>
      </c>
      <c r="O2136" s="179" t="s">
        <v>3356</v>
      </c>
      <c r="P2136" s="108">
        <v>-999</v>
      </c>
      <c r="Q2136" s="80"/>
    </row>
    <row r="2137" spans="1:18">
      <c r="A2137" s="213" t="s">
        <v>2592</v>
      </c>
      <c r="B2137" s="141" t="s">
        <v>2246</v>
      </c>
      <c r="C2137" s="121" t="s">
        <v>3817</v>
      </c>
      <c r="D2137" s="156"/>
      <c r="E2137" s="121"/>
      <c r="F2137" s="121"/>
      <c r="G2137" s="121" t="s">
        <v>3618</v>
      </c>
      <c r="H2137" s="118" t="s">
        <v>3638</v>
      </c>
      <c r="I2137" s="121" t="s">
        <v>6165</v>
      </c>
      <c r="J2137" s="121" t="s">
        <v>6336</v>
      </c>
      <c r="K2137" s="156"/>
      <c r="L2137" s="135" t="str">
        <f t="shared" si="122"/>
        <v>Cricetulus kamensis</v>
      </c>
      <c r="M2137" s="133">
        <v>-999</v>
      </c>
      <c r="N2137" s="143">
        <v>-999</v>
      </c>
      <c r="O2137" s="179" t="s">
        <v>3356</v>
      </c>
      <c r="P2137" s="108">
        <v>-999</v>
      </c>
      <c r="Q2137" s="80"/>
    </row>
    <row r="2138" spans="1:18">
      <c r="A2138" s="213" t="s">
        <v>2592</v>
      </c>
      <c r="B2138" s="130"/>
      <c r="C2138" s="121" t="s">
        <v>3817</v>
      </c>
      <c r="D2138" s="156"/>
      <c r="E2138" s="121"/>
      <c r="F2138" s="121"/>
      <c r="G2138" s="121" t="s">
        <v>3618</v>
      </c>
      <c r="H2138" s="118" t="s">
        <v>3638</v>
      </c>
      <c r="I2138" s="121" t="s">
        <v>6165</v>
      </c>
      <c r="J2138" s="121" t="s">
        <v>8253</v>
      </c>
      <c r="K2138" s="156"/>
      <c r="L2138" s="135" t="str">
        <f t="shared" si="122"/>
        <v>Cricetulus sokolovi</v>
      </c>
      <c r="M2138" s="133">
        <v>-999</v>
      </c>
      <c r="N2138" s="143">
        <v>-999</v>
      </c>
      <c r="O2138" s="179" t="s">
        <v>3356</v>
      </c>
      <c r="P2138" s="108">
        <v>-999</v>
      </c>
      <c r="Q2138" s="80"/>
    </row>
    <row r="2139" spans="1:18">
      <c r="A2139" s="213" t="s">
        <v>2592</v>
      </c>
      <c r="B2139" s="130"/>
      <c r="C2139" s="118" t="s">
        <v>3817</v>
      </c>
      <c r="D2139" s="141"/>
      <c r="E2139" s="118"/>
      <c r="F2139" s="118"/>
      <c r="G2139" s="118" t="s">
        <v>3618</v>
      </c>
      <c r="H2139" s="118" t="s">
        <v>3638</v>
      </c>
      <c r="I2139" s="118" t="s">
        <v>6165</v>
      </c>
      <c r="J2139" s="118" t="s">
        <v>3295</v>
      </c>
      <c r="K2139" s="141"/>
      <c r="L2139" s="135" t="str">
        <f t="shared" si="122"/>
        <v>Cricetulus longicaudatus</v>
      </c>
      <c r="M2139" s="133">
        <f>LOG(N2139)</f>
        <v>1.3443922736851108</v>
      </c>
      <c r="N2139" s="133">
        <v>22.1</v>
      </c>
      <c r="O2139" s="179" t="s">
        <v>3356</v>
      </c>
      <c r="P2139" s="108">
        <v>173</v>
      </c>
      <c r="Q2139" s="80"/>
    </row>
    <row r="2140" spans="1:18">
      <c r="A2140" s="213" t="s">
        <v>2592</v>
      </c>
      <c r="B2140" s="130"/>
      <c r="C2140" s="118" t="s">
        <v>3817</v>
      </c>
      <c r="D2140" s="141"/>
      <c r="E2140" s="118"/>
      <c r="F2140" s="118"/>
      <c r="G2140" s="118" t="s">
        <v>3618</v>
      </c>
      <c r="H2140" s="118" t="s">
        <v>3638</v>
      </c>
      <c r="I2140" s="118" t="s">
        <v>6165</v>
      </c>
      <c r="J2140" s="118" t="s">
        <v>6505</v>
      </c>
      <c r="K2140" s="141"/>
      <c r="L2140" s="135" t="str">
        <f t="shared" si="122"/>
        <v>Cricetulus barabensis</v>
      </c>
      <c r="M2140" s="133">
        <f>LOG(N2140)</f>
        <v>1.3588862044058692</v>
      </c>
      <c r="N2140" s="133">
        <f>AVERAGE(20.9, 24.8)</f>
        <v>22.85</v>
      </c>
      <c r="O2140" s="179" t="s">
        <v>7957</v>
      </c>
      <c r="P2140" s="108" t="s">
        <v>1207</v>
      </c>
      <c r="Q2140" s="80"/>
    </row>
    <row r="2141" spans="1:18">
      <c r="A2141" s="213" t="s">
        <v>2592</v>
      </c>
      <c r="B2141" s="130"/>
      <c r="C2141" s="118" t="s">
        <v>3817</v>
      </c>
      <c r="D2141" s="141"/>
      <c r="E2141" s="118"/>
      <c r="F2141" s="118"/>
      <c r="G2141" s="118" t="s">
        <v>3618</v>
      </c>
      <c r="H2141" s="118" t="s">
        <v>3638</v>
      </c>
      <c r="I2141" s="118" t="s">
        <v>6165</v>
      </c>
      <c r="J2141" s="118" t="s">
        <v>5037</v>
      </c>
      <c r="K2141" s="141"/>
      <c r="L2141" s="135" t="str">
        <f t="shared" si="122"/>
        <v>Cricetulus migratorius</v>
      </c>
      <c r="M2141" s="133">
        <f>LOG(N2141)</f>
        <v>1.5854607295085006</v>
      </c>
      <c r="N2141" s="133">
        <v>38.5</v>
      </c>
      <c r="O2141" s="179" t="s">
        <v>6882</v>
      </c>
      <c r="P2141" s="108">
        <v>173</v>
      </c>
      <c r="Q2141" s="90" t="s">
        <v>6642</v>
      </c>
      <c r="R2141" s="85" t="s">
        <v>7607</v>
      </c>
    </row>
    <row r="2142" spans="1:18">
      <c r="A2142" s="213" t="s">
        <v>2592</v>
      </c>
      <c r="B2142" s="130"/>
      <c r="C2142" s="118" t="s">
        <v>3817</v>
      </c>
      <c r="D2142" s="141"/>
      <c r="E2142" s="118"/>
      <c r="F2142" s="118"/>
      <c r="G2142" s="118" t="s">
        <v>3618</v>
      </c>
      <c r="H2142" s="118" t="s">
        <v>3638</v>
      </c>
      <c r="I2142" s="118" t="s">
        <v>8194</v>
      </c>
      <c r="J2142" s="118" t="s">
        <v>5471</v>
      </c>
      <c r="K2142" s="141"/>
      <c r="L2142" s="135" t="str">
        <f t="shared" si="122"/>
        <v>Cricetus cricetus</v>
      </c>
      <c r="M2142" s="133">
        <f>LOG(N2142)</f>
        <v>2.7075701760979363</v>
      </c>
      <c r="N2142" s="133">
        <v>510</v>
      </c>
      <c r="O2142" s="179" t="s">
        <v>6736</v>
      </c>
      <c r="P2142" s="108">
        <v>68</v>
      </c>
    </row>
    <row r="2143" spans="1:18" ht="25.5">
      <c r="A2143" s="213" t="s">
        <v>2592</v>
      </c>
      <c r="B2143" s="130"/>
      <c r="C2143" s="118" t="s">
        <v>3817</v>
      </c>
      <c r="D2143" s="141"/>
      <c r="E2143" s="118"/>
      <c r="F2143" s="118"/>
      <c r="G2143" s="118" t="s">
        <v>3618</v>
      </c>
      <c r="H2143" s="118" t="s">
        <v>3638</v>
      </c>
      <c r="I2143" s="118" t="s">
        <v>3128</v>
      </c>
      <c r="J2143" s="118" t="s">
        <v>6740</v>
      </c>
      <c r="K2143" s="141"/>
      <c r="L2143" s="135" t="str">
        <f t="shared" si="122"/>
        <v>Dacnomys millardi</v>
      </c>
      <c r="M2143" s="133">
        <v>-999</v>
      </c>
      <c r="N2143" s="133">
        <v>-999</v>
      </c>
      <c r="O2143" s="179" t="s">
        <v>7873</v>
      </c>
      <c r="P2143" s="108">
        <v>-999</v>
      </c>
      <c r="Q2143" s="80"/>
    </row>
    <row r="2144" spans="1:18">
      <c r="A2144" s="213" t="s">
        <v>2592</v>
      </c>
      <c r="B2144" s="130"/>
      <c r="C2144" s="118" t="s">
        <v>3817</v>
      </c>
      <c r="D2144" s="141"/>
      <c r="E2144" s="118"/>
      <c r="F2144" s="118"/>
      <c r="G2144" s="118" t="s">
        <v>3618</v>
      </c>
      <c r="H2144" s="118" t="s">
        <v>3638</v>
      </c>
      <c r="I2144" s="118" t="s">
        <v>4408</v>
      </c>
      <c r="J2144" s="118" t="s">
        <v>5472</v>
      </c>
      <c r="K2144" s="141"/>
      <c r="L2144" s="135" t="str">
        <f t="shared" si="122"/>
        <v>Dicrostonyx rubricatus</v>
      </c>
      <c r="M2144" s="133">
        <f>LOG(N2144)</f>
        <v>1.6720978579357175</v>
      </c>
      <c r="N2144" s="133">
        <v>47</v>
      </c>
      <c r="O2144" s="179" t="s">
        <v>6736</v>
      </c>
      <c r="P2144" s="108">
        <v>-999</v>
      </c>
    </row>
    <row r="2145" spans="1:18">
      <c r="A2145" s="213" t="s">
        <v>2592</v>
      </c>
      <c r="B2145" s="130"/>
      <c r="C2145" s="118" t="s">
        <v>3817</v>
      </c>
      <c r="D2145" s="141"/>
      <c r="E2145" s="118"/>
      <c r="F2145" s="118"/>
      <c r="G2145" s="118" t="s">
        <v>3618</v>
      </c>
      <c r="H2145" s="118" t="s">
        <v>3638</v>
      </c>
      <c r="I2145" s="118" t="s">
        <v>4408</v>
      </c>
      <c r="J2145" s="118" t="s">
        <v>3712</v>
      </c>
      <c r="K2145" s="141"/>
      <c r="L2145" s="135" t="str">
        <f t="shared" si="122"/>
        <v>Dicrostonyx torquatus</v>
      </c>
      <c r="M2145" s="133">
        <f>LOG(N2145)</f>
        <v>1.9294189257142926</v>
      </c>
      <c r="N2145" s="133">
        <v>85</v>
      </c>
      <c r="O2145" s="179" t="s">
        <v>6736</v>
      </c>
      <c r="P2145" s="108">
        <v>68</v>
      </c>
    </row>
    <row r="2146" spans="1:18">
      <c r="A2146" s="213" t="s">
        <v>2592</v>
      </c>
      <c r="B2146" s="130"/>
      <c r="C2146" s="118" t="s">
        <v>3817</v>
      </c>
      <c r="D2146" s="141"/>
      <c r="E2146" s="118"/>
      <c r="F2146" s="118"/>
      <c r="G2146" s="118" t="s">
        <v>3618</v>
      </c>
      <c r="H2146" s="118" t="s">
        <v>3638</v>
      </c>
      <c r="I2146" s="118" t="s">
        <v>5473</v>
      </c>
      <c r="J2146" s="118" t="s">
        <v>5677</v>
      </c>
      <c r="K2146" s="141"/>
      <c r="L2146" s="135" t="str">
        <f t="shared" si="122"/>
        <v>Dinaromys bogdanovi</v>
      </c>
      <c r="M2146" s="133">
        <f>LOG(N2146)</f>
        <v>1.7481880270062005</v>
      </c>
      <c r="N2146" s="133">
        <v>56</v>
      </c>
      <c r="O2146" s="179" t="s">
        <v>7080</v>
      </c>
      <c r="P2146" s="108">
        <v>68</v>
      </c>
      <c r="Q2146" s="90" t="s">
        <v>6642</v>
      </c>
    </row>
    <row r="2147" spans="1:18" ht="24" customHeight="1">
      <c r="A2147" s="213" t="s">
        <v>2592</v>
      </c>
      <c r="B2147" s="141" t="s">
        <v>2157</v>
      </c>
      <c r="C2147" s="118" t="s">
        <v>3817</v>
      </c>
      <c r="D2147" s="141"/>
      <c r="E2147" s="118"/>
      <c r="F2147" s="118"/>
      <c r="G2147" s="118" t="s">
        <v>3618</v>
      </c>
      <c r="H2147" s="121" t="s">
        <v>3638</v>
      </c>
      <c r="I2147" s="118" t="s">
        <v>8301</v>
      </c>
      <c r="J2147" s="118" t="s">
        <v>8302</v>
      </c>
      <c r="K2147" s="141"/>
      <c r="L2147" s="135" t="str">
        <f t="shared" si="122"/>
        <v>Diomys crumpi</v>
      </c>
      <c r="M2147" s="133">
        <v>-999</v>
      </c>
      <c r="N2147" s="133">
        <v>-999</v>
      </c>
      <c r="O2147" s="179" t="s">
        <v>6882</v>
      </c>
      <c r="P2147" s="108">
        <v>-999</v>
      </c>
      <c r="Q2147" s="90" t="s">
        <v>6642</v>
      </c>
      <c r="R2147" s="89"/>
    </row>
    <row r="2148" spans="1:18">
      <c r="A2148" s="213" t="s">
        <v>2592</v>
      </c>
      <c r="B2148" s="141" t="s">
        <v>2158</v>
      </c>
      <c r="C2148" s="118" t="s">
        <v>3817</v>
      </c>
      <c r="D2148" s="141"/>
      <c r="E2148" s="118"/>
      <c r="F2148" s="118"/>
      <c r="G2148" s="118" t="s">
        <v>3618</v>
      </c>
      <c r="H2148" s="118" t="s">
        <v>3638</v>
      </c>
      <c r="I2148" s="118" t="s">
        <v>6167</v>
      </c>
      <c r="J2148" s="118" t="s">
        <v>6168</v>
      </c>
      <c r="K2148" s="141"/>
      <c r="L2148" s="135" t="str">
        <f t="shared" si="122"/>
        <v>Ellobius alaicus</v>
      </c>
      <c r="M2148" s="133">
        <v>-999</v>
      </c>
      <c r="N2148" s="133">
        <v>-999</v>
      </c>
      <c r="O2148" s="179" t="s">
        <v>6641</v>
      </c>
      <c r="P2148" s="108">
        <v>-999</v>
      </c>
      <c r="Q2148" s="80" t="s">
        <v>6640</v>
      </c>
    </row>
    <row r="2149" spans="1:18">
      <c r="A2149" s="213" t="s">
        <v>2592</v>
      </c>
      <c r="B2149" s="130"/>
      <c r="C2149" s="118" t="s">
        <v>3817</v>
      </c>
      <c r="D2149" s="141"/>
      <c r="E2149" s="118"/>
      <c r="F2149" s="118"/>
      <c r="G2149" s="118" t="s">
        <v>3618</v>
      </c>
      <c r="H2149" s="118" t="s">
        <v>3638</v>
      </c>
      <c r="I2149" s="118" t="s">
        <v>6167</v>
      </c>
      <c r="J2149" s="118" t="s">
        <v>4000</v>
      </c>
      <c r="K2149" s="141"/>
      <c r="L2149" s="135" t="str">
        <f t="shared" si="122"/>
        <v>Ellobius tancrei</v>
      </c>
      <c r="M2149" s="133">
        <v>-999</v>
      </c>
      <c r="N2149" s="133">
        <v>-999</v>
      </c>
      <c r="O2149" s="179" t="s">
        <v>3356</v>
      </c>
      <c r="P2149" s="108">
        <v>-999</v>
      </c>
      <c r="Q2149" s="80"/>
    </row>
    <row r="2150" spans="1:18" ht="12" customHeight="1">
      <c r="A2150" s="213" t="s">
        <v>2592</v>
      </c>
      <c r="B2150" s="130"/>
      <c r="C2150" s="118" t="s">
        <v>3817</v>
      </c>
      <c r="D2150" s="141"/>
      <c r="E2150" s="118"/>
      <c r="F2150" s="118"/>
      <c r="G2150" s="118" t="s">
        <v>3618</v>
      </c>
      <c r="H2150" s="118" t="s">
        <v>3638</v>
      </c>
      <c r="I2150" s="118" t="s">
        <v>6167</v>
      </c>
      <c r="J2150" s="118" t="s">
        <v>3351</v>
      </c>
      <c r="K2150" s="141"/>
      <c r="L2150" s="135" t="str">
        <f t="shared" si="122"/>
        <v>Ellobius talpinus</v>
      </c>
      <c r="M2150" s="133">
        <f>LOG(N2150)</f>
        <v>1.6020599913279623</v>
      </c>
      <c r="N2150" s="133">
        <v>40</v>
      </c>
      <c r="O2150" s="179" t="s">
        <v>3356</v>
      </c>
      <c r="P2150" s="108">
        <v>75</v>
      </c>
      <c r="R2150" s="89"/>
    </row>
    <row r="2151" spans="1:18">
      <c r="A2151" s="213" t="s">
        <v>2592</v>
      </c>
      <c r="B2151" s="130"/>
      <c r="C2151" s="118" t="s">
        <v>3817</v>
      </c>
      <c r="D2151" s="141"/>
      <c r="E2151" s="118"/>
      <c r="F2151" s="118"/>
      <c r="G2151" s="118" t="s">
        <v>3618</v>
      </c>
      <c r="H2151" s="118" t="s">
        <v>3638</v>
      </c>
      <c r="I2151" s="118" t="s">
        <v>6167</v>
      </c>
      <c r="J2151" s="118" t="s">
        <v>6611</v>
      </c>
      <c r="K2151" s="141"/>
      <c r="L2151" s="135" t="str">
        <f t="shared" si="122"/>
        <v>Ellobius fuscocapillus</v>
      </c>
      <c r="M2151" s="133">
        <f>LOG(N2151)</f>
        <v>1.9030899869919435</v>
      </c>
      <c r="N2151" s="133">
        <f>AVERAGE(50, 110)</f>
        <v>80</v>
      </c>
      <c r="O2151" s="179" t="s">
        <v>3356</v>
      </c>
      <c r="P2151" s="108">
        <v>138</v>
      </c>
      <c r="Q2151" s="80"/>
    </row>
    <row r="2152" spans="1:18">
      <c r="A2152" s="213" t="s">
        <v>2592</v>
      </c>
      <c r="B2152" s="141" t="s">
        <v>2625</v>
      </c>
      <c r="C2152" s="118" t="s">
        <v>3817</v>
      </c>
      <c r="D2152" s="141"/>
      <c r="E2152" s="118"/>
      <c r="F2152" s="118"/>
      <c r="G2152" s="118" t="s">
        <v>3618</v>
      </c>
      <c r="H2152" s="118" t="s">
        <v>3638</v>
      </c>
      <c r="I2152" s="118" t="s">
        <v>6167</v>
      </c>
      <c r="J2152" s="118" t="s">
        <v>3350</v>
      </c>
      <c r="K2152" s="141"/>
      <c r="L2152" s="135" t="str">
        <f t="shared" si="122"/>
        <v>Ellobius lutescens</v>
      </c>
      <c r="M2152" s="133">
        <f>LOG(N2152)</f>
        <v>2.0693442899654215</v>
      </c>
      <c r="N2152" s="133">
        <f>AVERAGE(64, 70,  68,  76, 131, 137, 136, 144, 121, 128, 128, 123, 141, 133, 138, 139)</f>
        <v>117.3125</v>
      </c>
      <c r="O2152" s="179" t="s">
        <v>3356</v>
      </c>
      <c r="P2152" s="108">
        <v>176</v>
      </c>
      <c r="Q2152" s="80"/>
    </row>
    <row r="2153" spans="1:18" ht="15" customHeight="1">
      <c r="A2153" s="213" t="s">
        <v>2592</v>
      </c>
      <c r="B2153" s="130" t="s">
        <v>2626</v>
      </c>
      <c r="C2153" s="118" t="s">
        <v>3817</v>
      </c>
      <c r="D2153" s="141"/>
      <c r="E2153" s="118"/>
      <c r="F2153" s="118"/>
      <c r="G2153" s="118" t="s">
        <v>3618</v>
      </c>
      <c r="H2153" s="118" t="s">
        <v>3638</v>
      </c>
      <c r="I2153" s="118" t="s">
        <v>5678</v>
      </c>
      <c r="J2153" s="118" t="s">
        <v>5916</v>
      </c>
      <c r="K2153" s="141"/>
      <c r="L2153" s="135" t="str">
        <f t="shared" si="122"/>
        <v>Eolagurus przewalskii</v>
      </c>
      <c r="M2153" s="133">
        <v>-999</v>
      </c>
      <c r="N2153" s="133">
        <v>-999</v>
      </c>
      <c r="O2153" s="179" t="s">
        <v>3356</v>
      </c>
      <c r="P2153" s="108">
        <v>-999</v>
      </c>
      <c r="Q2153" s="80"/>
    </row>
    <row r="2154" spans="1:18" ht="24" customHeight="1">
      <c r="A2154" s="213" t="s">
        <v>2592</v>
      </c>
      <c r="B2154" s="130"/>
      <c r="C2154" s="118" t="s">
        <v>3817</v>
      </c>
      <c r="D2154" s="141"/>
      <c r="E2154" s="118"/>
      <c r="F2154" s="118"/>
      <c r="G2154" s="118" t="s">
        <v>3618</v>
      </c>
      <c r="H2154" s="118" t="s">
        <v>3638</v>
      </c>
      <c r="I2154" s="118" t="s">
        <v>5678</v>
      </c>
      <c r="J2154" s="118" t="s">
        <v>5679</v>
      </c>
      <c r="K2154" s="141"/>
      <c r="L2154" s="135" t="str">
        <f t="shared" si="122"/>
        <v>Eolagurus luteus</v>
      </c>
      <c r="M2154" s="133">
        <f>LOG(N2154)</f>
        <v>1.414973347970818</v>
      </c>
      <c r="N2154" s="133">
        <v>26</v>
      </c>
      <c r="O2154" s="179" t="s">
        <v>6882</v>
      </c>
      <c r="P2154" s="108">
        <v>75</v>
      </c>
      <c r="Q2154" s="90" t="s">
        <v>6642</v>
      </c>
      <c r="R2154" s="89"/>
    </row>
    <row r="2155" spans="1:18" ht="24" customHeight="1">
      <c r="A2155" s="213" t="s">
        <v>2592</v>
      </c>
      <c r="B2155" s="141" t="s">
        <v>2627</v>
      </c>
      <c r="C2155" s="118" t="s">
        <v>3817</v>
      </c>
      <c r="D2155" s="141"/>
      <c r="E2155" s="118"/>
      <c r="F2155" s="118"/>
      <c r="G2155" s="118" t="s">
        <v>3618</v>
      </c>
      <c r="H2155" s="118" t="s">
        <v>3638</v>
      </c>
      <c r="I2155" s="118" t="s">
        <v>4001</v>
      </c>
      <c r="J2155" s="118" t="s">
        <v>3545</v>
      </c>
      <c r="K2155" s="141"/>
      <c r="L2155" s="135" t="str">
        <f t="shared" si="122"/>
        <v>Eothenomys regulus</v>
      </c>
      <c r="M2155" s="133">
        <v>-999</v>
      </c>
      <c r="N2155" s="133">
        <v>-999</v>
      </c>
      <c r="O2155" s="179" t="s">
        <v>3356</v>
      </c>
      <c r="P2155" s="108">
        <v>-999</v>
      </c>
      <c r="Q2155" s="88"/>
    </row>
    <row r="2156" spans="1:18" ht="15" customHeight="1">
      <c r="A2156" s="213" t="s">
        <v>2592</v>
      </c>
      <c r="B2156" s="141" t="s">
        <v>1988</v>
      </c>
      <c r="C2156" s="118" t="s">
        <v>3817</v>
      </c>
      <c r="D2156" s="141"/>
      <c r="E2156" s="118"/>
      <c r="F2156" s="118"/>
      <c r="G2156" s="118" t="s">
        <v>3618</v>
      </c>
      <c r="H2156" s="118" t="s">
        <v>3638</v>
      </c>
      <c r="I2156" s="118" t="s">
        <v>4001</v>
      </c>
      <c r="J2156" s="118" t="s">
        <v>3990</v>
      </c>
      <c r="K2156" s="141"/>
      <c r="L2156" s="135" t="str">
        <f t="shared" si="122"/>
        <v>Eothenomys shanseius</v>
      </c>
      <c r="M2156" s="133">
        <v>-999</v>
      </c>
      <c r="N2156" s="133">
        <v>-999</v>
      </c>
      <c r="O2156" s="179" t="s">
        <v>3356</v>
      </c>
      <c r="P2156" s="108">
        <v>-999</v>
      </c>
      <c r="Q2156" s="80"/>
    </row>
    <row r="2157" spans="1:18">
      <c r="A2157" s="213" t="s">
        <v>2592</v>
      </c>
      <c r="B2157" s="141" t="s">
        <v>1988</v>
      </c>
      <c r="C2157" s="118" t="s">
        <v>3817</v>
      </c>
      <c r="D2157" s="141"/>
      <c r="E2157" s="118"/>
      <c r="F2157" s="118"/>
      <c r="G2157" s="118" t="s">
        <v>3618</v>
      </c>
      <c r="H2157" s="118" t="s">
        <v>3638</v>
      </c>
      <c r="I2157" s="118" t="s">
        <v>4001</v>
      </c>
      <c r="J2157" s="118" t="s">
        <v>4288</v>
      </c>
      <c r="K2157" s="141"/>
      <c r="L2157" s="135" t="str">
        <f t="shared" si="122"/>
        <v>Eothenomys olitor</v>
      </c>
      <c r="M2157" s="133">
        <f t="shared" ref="M2157:M2163" si="124">LOG(N2157)</f>
        <v>1.3424226808222062</v>
      </c>
      <c r="N2157" s="133">
        <f>1000*0.022</f>
        <v>22</v>
      </c>
      <c r="O2157" s="179" t="s">
        <v>3356</v>
      </c>
      <c r="P2157" s="108">
        <v>60</v>
      </c>
      <c r="Q2157" s="80"/>
    </row>
    <row r="2158" spans="1:18">
      <c r="A2158" s="213" t="s">
        <v>2592</v>
      </c>
      <c r="B2158" s="141" t="s">
        <v>1988</v>
      </c>
      <c r="C2158" s="118" t="s">
        <v>3817</v>
      </c>
      <c r="D2158" s="141"/>
      <c r="E2158" s="118"/>
      <c r="F2158" s="118"/>
      <c r="G2158" s="118" t="s">
        <v>3618</v>
      </c>
      <c r="H2158" s="118" t="s">
        <v>3638</v>
      </c>
      <c r="I2158" s="118" t="s">
        <v>4001</v>
      </c>
      <c r="J2158" s="118" t="s">
        <v>3211</v>
      </c>
      <c r="K2158" s="141"/>
      <c r="L2158" s="135" t="str">
        <f t="shared" si="122"/>
        <v>Eothenomys eva</v>
      </c>
      <c r="M2158" s="133">
        <f t="shared" si="124"/>
        <v>1.4265112613645752</v>
      </c>
      <c r="N2158" s="133">
        <f>1000*0.0267</f>
        <v>26.700000000000003</v>
      </c>
      <c r="O2158" s="196"/>
      <c r="P2158" s="108">
        <v>60</v>
      </c>
      <c r="Q2158" s="80"/>
    </row>
    <row r="2159" spans="1:18" ht="15" customHeight="1">
      <c r="A2159" s="213" t="s">
        <v>2592</v>
      </c>
      <c r="B2159" s="141" t="s">
        <v>1988</v>
      </c>
      <c r="C2159" s="118" t="s">
        <v>3817</v>
      </c>
      <c r="D2159" s="141"/>
      <c r="E2159" s="118"/>
      <c r="F2159" s="118"/>
      <c r="G2159" s="118" t="s">
        <v>3618</v>
      </c>
      <c r="H2159" s="118" t="s">
        <v>3638</v>
      </c>
      <c r="I2159" s="118" t="s">
        <v>4001</v>
      </c>
      <c r="J2159" s="118" t="s">
        <v>4287</v>
      </c>
      <c r="K2159" s="141"/>
      <c r="L2159" s="135" t="str">
        <f t="shared" si="122"/>
        <v>Eothenomys inez</v>
      </c>
      <c r="M2159" s="133">
        <f t="shared" si="124"/>
        <v>1.4265112613645752</v>
      </c>
      <c r="N2159" s="133">
        <f>1000*0.0267</f>
        <v>26.700000000000003</v>
      </c>
      <c r="O2159" s="179" t="s">
        <v>3356</v>
      </c>
      <c r="P2159" s="108">
        <v>60</v>
      </c>
      <c r="Q2159" s="80"/>
    </row>
    <row r="2160" spans="1:18">
      <c r="A2160" s="217" t="s">
        <v>2592</v>
      </c>
      <c r="B2160" s="130"/>
      <c r="C2160" s="118" t="s">
        <v>3817</v>
      </c>
      <c r="D2160" s="141"/>
      <c r="E2160" s="118"/>
      <c r="F2160" s="118"/>
      <c r="G2160" s="118" t="s">
        <v>3618</v>
      </c>
      <c r="H2160" s="118" t="s">
        <v>3638</v>
      </c>
      <c r="I2160" s="118" t="s">
        <v>4001</v>
      </c>
      <c r="J2160" s="118" t="s">
        <v>6793</v>
      </c>
      <c r="K2160" s="141"/>
      <c r="L2160" s="135" t="str">
        <f t="shared" si="122"/>
        <v>Eothenomys melanogaster</v>
      </c>
      <c r="M2160" s="133">
        <f t="shared" si="124"/>
        <v>1.4313637641589874</v>
      </c>
      <c r="N2160" s="133">
        <v>27</v>
      </c>
      <c r="O2160" s="179" t="s">
        <v>3356</v>
      </c>
      <c r="P2160" s="108" t="s">
        <v>6946</v>
      </c>
      <c r="Q2160" s="80"/>
    </row>
    <row r="2161" spans="1:19">
      <c r="A2161" s="213" t="s">
        <v>2592</v>
      </c>
      <c r="B2161" s="141" t="s">
        <v>1988</v>
      </c>
      <c r="C2161" s="118" t="s">
        <v>3817</v>
      </c>
      <c r="D2161" s="141"/>
      <c r="E2161" s="118"/>
      <c r="F2161" s="118"/>
      <c r="G2161" s="118" t="s">
        <v>3618</v>
      </c>
      <c r="H2161" s="118" t="s">
        <v>3638</v>
      </c>
      <c r="I2161" s="118" t="s">
        <v>4001</v>
      </c>
      <c r="J2161" s="118" t="s">
        <v>4037</v>
      </c>
      <c r="K2161" s="141"/>
      <c r="L2161" s="135" t="str">
        <f t="shared" si="122"/>
        <v>Eothenomys custos</v>
      </c>
      <c r="M2161" s="133">
        <f t="shared" si="124"/>
        <v>1.4885507165004443</v>
      </c>
      <c r="N2161" s="133">
        <f>1000*0.0308</f>
        <v>30.8</v>
      </c>
      <c r="O2161" s="179" t="s">
        <v>3356</v>
      </c>
      <c r="P2161" s="108">
        <v>60</v>
      </c>
      <c r="Q2161" s="80"/>
    </row>
    <row r="2162" spans="1:19">
      <c r="A2162" s="213" t="s">
        <v>2592</v>
      </c>
      <c r="B2162" s="141" t="s">
        <v>1988</v>
      </c>
      <c r="C2162" s="118" t="s">
        <v>3817</v>
      </c>
      <c r="D2162" s="141"/>
      <c r="E2162" s="118"/>
      <c r="F2162" s="118"/>
      <c r="G2162" s="118" t="s">
        <v>3618</v>
      </c>
      <c r="H2162" s="118" t="s">
        <v>3638</v>
      </c>
      <c r="I2162" s="118" t="s">
        <v>4001</v>
      </c>
      <c r="J2162" s="118" t="s">
        <v>3544</v>
      </c>
      <c r="K2162" s="141"/>
      <c r="L2162" s="135" t="str">
        <f t="shared" si="122"/>
        <v>Eothenomys proditor</v>
      </c>
      <c r="M2162" s="133">
        <f t="shared" si="124"/>
        <v>1.6283889300503116</v>
      </c>
      <c r="N2162" s="133">
        <f>1000*0.0425</f>
        <v>42.5</v>
      </c>
      <c r="O2162" s="179" t="s">
        <v>3356</v>
      </c>
      <c r="P2162" s="108">
        <v>60</v>
      </c>
      <c r="Q2162" s="80"/>
    </row>
    <row r="2163" spans="1:19" ht="12" customHeight="1">
      <c r="A2163" s="213" t="s">
        <v>2592</v>
      </c>
      <c r="B2163" s="130" t="s">
        <v>2626</v>
      </c>
      <c r="C2163" s="118" t="s">
        <v>3817</v>
      </c>
      <c r="D2163" s="141"/>
      <c r="E2163" s="118"/>
      <c r="F2163" s="118"/>
      <c r="G2163" s="118" t="s">
        <v>3618</v>
      </c>
      <c r="H2163" s="118" t="s">
        <v>3638</v>
      </c>
      <c r="I2163" s="118" t="s">
        <v>4001</v>
      </c>
      <c r="J2163" s="118" t="s">
        <v>4036</v>
      </c>
      <c r="K2163" s="141"/>
      <c r="L2163" s="135" t="str">
        <f t="shared" si="122"/>
        <v>Eothenomys chinensis</v>
      </c>
      <c r="M2163" s="133">
        <f t="shared" si="124"/>
        <v>1.6560982020128319</v>
      </c>
      <c r="N2163" s="133">
        <f>AVERAGE(1000*0.0507, 1000*0.0399)</f>
        <v>45.3</v>
      </c>
      <c r="O2163" s="196">
        <f>AVERAGE(N2163:N2169)</f>
        <v>-121.95712629800273</v>
      </c>
      <c r="P2163" s="108">
        <v>60</v>
      </c>
      <c r="Q2163" s="88"/>
    </row>
    <row r="2164" spans="1:19" ht="12" customHeight="1">
      <c r="A2164" s="213" t="s">
        <v>2592</v>
      </c>
      <c r="B2164" s="141" t="s">
        <v>2541</v>
      </c>
      <c r="C2164" s="118" t="s">
        <v>3817</v>
      </c>
      <c r="D2164" s="141"/>
      <c r="E2164" s="118"/>
      <c r="F2164" s="118"/>
      <c r="G2164" s="118" t="s">
        <v>3618</v>
      </c>
      <c r="H2164" s="121" t="s">
        <v>3638</v>
      </c>
      <c r="I2164" s="118" t="s">
        <v>4775</v>
      </c>
      <c r="J2164" s="118" t="s">
        <v>5716</v>
      </c>
      <c r="K2164" s="141"/>
      <c r="L2164" s="135" t="str">
        <f t="shared" si="122"/>
        <v>Gerbillus aquilus</v>
      </c>
      <c r="M2164" s="133">
        <v>-999</v>
      </c>
      <c r="N2164" s="133">
        <v>-999</v>
      </c>
      <c r="O2164" s="179" t="s">
        <v>3356</v>
      </c>
      <c r="P2164" s="108">
        <v>-999</v>
      </c>
      <c r="Q2164" s="88"/>
    </row>
    <row r="2165" spans="1:19">
      <c r="A2165" s="213" t="s">
        <v>2592</v>
      </c>
      <c r="B2165" s="130"/>
      <c r="C2165" s="118" t="s">
        <v>3817</v>
      </c>
      <c r="D2165" s="141"/>
      <c r="E2165" s="118"/>
      <c r="F2165" s="118"/>
      <c r="G2165" s="118" t="s">
        <v>3618</v>
      </c>
      <c r="H2165" s="118" t="s">
        <v>3638</v>
      </c>
      <c r="I2165" s="118" t="s">
        <v>4775</v>
      </c>
      <c r="J2165" s="118" t="s">
        <v>3626</v>
      </c>
      <c r="K2165" s="141"/>
      <c r="L2165" s="135" t="str">
        <f t="shared" si="122"/>
        <v>Gerbillus henleyi</v>
      </c>
      <c r="M2165" s="133">
        <f>LOG(N2165)</f>
        <v>0.90309000000000006</v>
      </c>
      <c r="N2165" s="133">
        <v>8.0000002396172594</v>
      </c>
      <c r="O2165" s="179" t="s">
        <v>3356</v>
      </c>
      <c r="P2165" s="108">
        <v>60</v>
      </c>
      <c r="R2165" s="82" t="s">
        <v>7610</v>
      </c>
    </row>
    <row r="2166" spans="1:19">
      <c r="A2166" s="213" t="s">
        <v>2592</v>
      </c>
      <c r="B2166" s="141" t="s">
        <v>2667</v>
      </c>
      <c r="C2166" s="121" t="s">
        <v>3817</v>
      </c>
      <c r="D2166" s="156"/>
      <c r="E2166" s="121"/>
      <c r="F2166" s="121"/>
      <c r="G2166" s="121" t="s">
        <v>3618</v>
      </c>
      <c r="H2166" s="121" t="s">
        <v>3638</v>
      </c>
      <c r="I2166" s="121" t="s">
        <v>4775</v>
      </c>
      <c r="J2166" s="121" t="s">
        <v>6529</v>
      </c>
      <c r="K2166" s="156"/>
      <c r="L2166" s="135" t="str">
        <f t="shared" si="122"/>
        <v>Gerbillus mesopotamiae</v>
      </c>
      <c r="M2166" s="133">
        <f>LOG(N2166)</f>
        <v>1.3010299956639813</v>
      </c>
      <c r="N2166" s="133">
        <f>1000*0.02</f>
        <v>20</v>
      </c>
      <c r="O2166" s="179" t="s">
        <v>3356</v>
      </c>
      <c r="P2166" s="108">
        <v>60</v>
      </c>
      <c r="Q2166" s="80"/>
      <c r="R2166" s="85" t="s">
        <v>7613</v>
      </c>
    </row>
    <row r="2167" spans="1:19" ht="15" customHeight="1">
      <c r="A2167" s="213" t="s">
        <v>2592</v>
      </c>
      <c r="B2167" s="130"/>
      <c r="C2167" s="118" t="s">
        <v>3817</v>
      </c>
      <c r="D2167" s="141"/>
      <c r="E2167" s="118"/>
      <c r="F2167" s="118"/>
      <c r="G2167" s="118" t="s">
        <v>3618</v>
      </c>
      <c r="H2167" s="118" t="s">
        <v>3638</v>
      </c>
      <c r="I2167" s="118" t="s">
        <v>4775</v>
      </c>
      <c r="J2167" s="118" t="s">
        <v>4302</v>
      </c>
      <c r="K2167" s="141"/>
      <c r="L2167" s="135" t="str">
        <f t="shared" si="122"/>
        <v>Gerbillus dasyurus</v>
      </c>
      <c r="M2167" s="133">
        <f>LOG(N2167)</f>
        <v>1.3710700000000002</v>
      </c>
      <c r="N2167" s="133">
        <v>23.500115674363677</v>
      </c>
      <c r="O2167" s="179" t="s">
        <v>3356</v>
      </c>
      <c r="P2167" s="108">
        <v>64</v>
      </c>
      <c r="R2167" s="85" t="s">
        <v>7612</v>
      </c>
    </row>
    <row r="2168" spans="1:19">
      <c r="A2168" s="213" t="s">
        <v>2592</v>
      </c>
      <c r="B2168" s="141" t="s">
        <v>2454</v>
      </c>
      <c r="C2168" s="118" t="s">
        <v>3817</v>
      </c>
      <c r="D2168" s="141"/>
      <c r="E2168" s="118"/>
      <c r="F2168" s="118"/>
      <c r="G2168" s="118" t="s">
        <v>3618</v>
      </c>
      <c r="H2168" s="118" t="s">
        <v>3638</v>
      </c>
      <c r="I2168" s="118" t="s">
        <v>4775</v>
      </c>
      <c r="J2168" s="118" t="s">
        <v>6525</v>
      </c>
      <c r="K2168" s="141"/>
      <c r="L2168" s="135" t="str">
        <f t="shared" si="122"/>
        <v>Gerbillus gleadowi</v>
      </c>
      <c r="M2168" s="133">
        <f>LOG(N2168)</f>
        <v>1.3802112417116059</v>
      </c>
      <c r="N2168" s="133">
        <v>24</v>
      </c>
      <c r="O2168" s="179" t="s">
        <v>3356</v>
      </c>
      <c r="P2168" s="108">
        <v>117</v>
      </c>
      <c r="Q2168" s="80"/>
    </row>
    <row r="2169" spans="1:19">
      <c r="A2169" s="213" t="s">
        <v>2592</v>
      </c>
      <c r="B2169" s="130"/>
      <c r="C2169" s="118" t="s">
        <v>3817</v>
      </c>
      <c r="D2169" s="141"/>
      <c r="E2169" s="118"/>
      <c r="F2169" s="118"/>
      <c r="G2169" s="118" t="s">
        <v>3618</v>
      </c>
      <c r="H2169" s="118" t="s">
        <v>3638</v>
      </c>
      <c r="I2169" s="118" t="s">
        <v>4775</v>
      </c>
      <c r="J2169" s="118" t="s">
        <v>5680</v>
      </c>
      <c r="K2169" s="141"/>
      <c r="L2169" s="135" t="str">
        <f t="shared" si="122"/>
        <v>Gerbillus allenbyi</v>
      </c>
      <c r="M2169" s="133">
        <f>LOG(N2169)</f>
        <v>1.3891660843645324</v>
      </c>
      <c r="N2169" s="133">
        <v>24.5</v>
      </c>
      <c r="O2169" s="179" t="s">
        <v>6882</v>
      </c>
      <c r="P2169" s="108">
        <v>217</v>
      </c>
      <c r="Q2169" s="80" t="s">
        <v>6988</v>
      </c>
      <c r="R2169" s="79"/>
    </row>
    <row r="2170" spans="1:19">
      <c r="A2170" s="212" t="s">
        <v>2592</v>
      </c>
      <c r="B2170" s="163"/>
      <c r="C2170" s="109" t="s">
        <v>3817</v>
      </c>
      <c r="D2170" s="163"/>
      <c r="E2170" s="109"/>
      <c r="F2170" s="109"/>
      <c r="G2170" s="109" t="s">
        <v>3618</v>
      </c>
      <c r="H2170" s="109" t="s">
        <v>3638</v>
      </c>
      <c r="I2170" s="109" t="s">
        <v>4775</v>
      </c>
      <c r="J2170" s="109" t="s">
        <v>2177</v>
      </c>
      <c r="K2170" s="163"/>
      <c r="L2170" s="135" t="str">
        <f t="shared" si="122"/>
        <v>Gerbillus nanus</v>
      </c>
      <c r="M2170" s="151">
        <v>1.4065399999999999</v>
      </c>
      <c r="N2170" s="151">
        <v>25.499989405656553</v>
      </c>
      <c r="O2170" s="189"/>
      <c r="P2170" s="115">
        <v>60</v>
      </c>
      <c r="Q2170" s="82"/>
      <c r="R2170" s="82" t="s">
        <v>7611</v>
      </c>
      <c r="S2170" s="82"/>
    </row>
    <row r="2171" spans="1:19" ht="15" customHeight="1">
      <c r="A2171" s="213" t="s">
        <v>2592</v>
      </c>
      <c r="B2171" s="141" t="s">
        <v>2375</v>
      </c>
      <c r="C2171" s="118" t="s">
        <v>3817</v>
      </c>
      <c r="D2171" s="141"/>
      <c r="E2171" s="118"/>
      <c r="F2171" s="118"/>
      <c r="G2171" s="118" t="s">
        <v>3618</v>
      </c>
      <c r="H2171" s="118" t="s">
        <v>3638</v>
      </c>
      <c r="I2171" s="118" t="s">
        <v>4775</v>
      </c>
      <c r="J2171" s="118" t="s">
        <v>8204</v>
      </c>
      <c r="K2171" s="141"/>
      <c r="L2171" s="135" t="str">
        <f t="shared" si="122"/>
        <v>Gerbillus cheesmani</v>
      </c>
      <c r="M2171" s="133">
        <f t="shared" ref="M2171:M2180" si="125">LOG(N2171)</f>
        <v>1.4471580313422192</v>
      </c>
      <c r="N2171" s="133">
        <v>28</v>
      </c>
      <c r="O2171" s="179" t="s">
        <v>3356</v>
      </c>
      <c r="P2171" s="108">
        <v>117</v>
      </c>
      <c r="Q2171" s="80"/>
      <c r="R2171" s="85" t="s">
        <v>7614</v>
      </c>
    </row>
    <row r="2172" spans="1:19" ht="15" customHeight="1">
      <c r="A2172" s="213" t="s">
        <v>2592</v>
      </c>
      <c r="B2172" s="141" t="s">
        <v>3231</v>
      </c>
      <c r="C2172" s="121" t="s">
        <v>3817</v>
      </c>
      <c r="D2172" s="156"/>
      <c r="E2172" s="121"/>
      <c r="F2172" s="121"/>
      <c r="G2172" s="121" t="s">
        <v>3618</v>
      </c>
      <c r="H2172" s="121" t="s">
        <v>3638</v>
      </c>
      <c r="I2172" s="121" t="s">
        <v>4775</v>
      </c>
      <c r="J2172" s="121" t="s">
        <v>6534</v>
      </c>
      <c r="K2172" s="156"/>
      <c r="L2172" s="135" t="str">
        <f t="shared" si="122"/>
        <v>Gerbillus poecilops</v>
      </c>
      <c r="M2172" s="133">
        <f t="shared" si="125"/>
        <v>1.4983105537896004</v>
      </c>
      <c r="N2172" s="133">
        <f>1000*0.0315</f>
        <v>31.5</v>
      </c>
      <c r="O2172" s="179" t="s">
        <v>6882</v>
      </c>
      <c r="P2172" s="108">
        <v>60</v>
      </c>
      <c r="Q2172" s="80" t="s">
        <v>6642</v>
      </c>
      <c r="R2172" s="85" t="s">
        <v>7608</v>
      </c>
    </row>
    <row r="2173" spans="1:19" ht="15" customHeight="1">
      <c r="A2173" s="213" t="s">
        <v>2592</v>
      </c>
      <c r="B2173" s="141" t="s">
        <v>2320</v>
      </c>
      <c r="C2173" s="118" t="s">
        <v>3817</v>
      </c>
      <c r="D2173" s="141"/>
      <c r="E2173" s="118"/>
      <c r="F2173" s="118"/>
      <c r="G2173" s="118" t="s">
        <v>3618</v>
      </c>
      <c r="H2173" s="118" t="s">
        <v>3638</v>
      </c>
      <c r="I2173" s="118" t="s">
        <v>4775</v>
      </c>
      <c r="J2173" s="118" t="s">
        <v>6523</v>
      </c>
      <c r="K2173" s="141"/>
      <c r="L2173" s="135" t="str">
        <f t="shared" si="122"/>
        <v>Gerbillus famulus</v>
      </c>
      <c r="M2173" s="133">
        <f t="shared" si="125"/>
        <v>1.568201724066995</v>
      </c>
      <c r="N2173" s="133">
        <f>1000*0.037</f>
        <v>37</v>
      </c>
      <c r="O2173" s="179" t="s">
        <v>3356</v>
      </c>
      <c r="P2173" s="108">
        <v>60</v>
      </c>
      <c r="Q2173" s="80"/>
      <c r="R2173" s="85" t="s">
        <v>7609</v>
      </c>
    </row>
    <row r="2174" spans="1:19">
      <c r="A2174" s="213" t="s">
        <v>2592</v>
      </c>
      <c r="B2174" s="130"/>
      <c r="C2174" s="118" t="s">
        <v>3817</v>
      </c>
      <c r="D2174" s="141"/>
      <c r="E2174" s="118"/>
      <c r="F2174" s="118"/>
      <c r="G2174" s="118" t="s">
        <v>3618</v>
      </c>
      <c r="H2174" s="118" t="s">
        <v>3638</v>
      </c>
      <c r="I2174" s="118" t="s">
        <v>8300</v>
      </c>
      <c r="J2174" s="118" t="s">
        <v>6011</v>
      </c>
      <c r="K2174" s="141"/>
      <c r="L2174" s="135" t="str">
        <f t="shared" si="122"/>
        <v>Golunda ellioti</v>
      </c>
      <c r="M2174" s="133">
        <f t="shared" si="125"/>
        <v>1.7539658658651602</v>
      </c>
      <c r="N2174" s="133">
        <f>454*(2/16)</f>
        <v>56.75</v>
      </c>
      <c r="O2174" s="179" t="s">
        <v>3356</v>
      </c>
      <c r="P2174" s="108">
        <v>132</v>
      </c>
      <c r="Q2174" s="80"/>
    </row>
    <row r="2175" spans="1:19">
      <c r="A2175" s="213" t="s">
        <v>2592</v>
      </c>
      <c r="B2175" s="141" t="s">
        <v>6084</v>
      </c>
      <c r="C2175" s="121" t="s">
        <v>3817</v>
      </c>
      <c r="D2175" s="156"/>
      <c r="E2175" s="121"/>
      <c r="F2175" s="121"/>
      <c r="G2175" s="121" t="s">
        <v>3618</v>
      </c>
      <c r="H2175" s="121" t="s">
        <v>3638</v>
      </c>
      <c r="I2175" s="121" t="s">
        <v>8294</v>
      </c>
      <c r="J2175" s="121" t="s">
        <v>8295</v>
      </c>
      <c r="K2175" s="156"/>
      <c r="L2175" s="135" t="str">
        <f t="shared" si="122"/>
        <v>Hadromys humei</v>
      </c>
      <c r="M2175" s="133">
        <f t="shared" si="125"/>
        <v>1.7708520116421442</v>
      </c>
      <c r="N2175" s="143">
        <f>AVERAGE(41, 77)</f>
        <v>59</v>
      </c>
      <c r="O2175" s="179" t="s">
        <v>3356</v>
      </c>
      <c r="P2175" s="108" t="s">
        <v>6946</v>
      </c>
      <c r="Q2175" s="80"/>
    </row>
    <row r="2176" spans="1:19" ht="25.5">
      <c r="A2176" s="213" t="s">
        <v>2592</v>
      </c>
      <c r="B2176" s="141" t="s">
        <v>3239</v>
      </c>
      <c r="C2176" s="118" t="s">
        <v>3817</v>
      </c>
      <c r="D2176" s="141"/>
      <c r="E2176" s="118"/>
      <c r="F2176" s="118"/>
      <c r="G2176" s="118" t="s">
        <v>3618</v>
      </c>
      <c r="H2176" s="118" t="s">
        <v>3638</v>
      </c>
      <c r="I2176" s="118" t="s">
        <v>6015</v>
      </c>
      <c r="J2176" s="118" t="s">
        <v>3579</v>
      </c>
      <c r="K2176" s="141"/>
      <c r="L2176" s="135" t="str">
        <f t="shared" si="122"/>
        <v>Hapalomys delacouri</v>
      </c>
      <c r="M2176" s="133">
        <f t="shared" si="125"/>
        <v>1.8082109729242219</v>
      </c>
      <c r="N2176" s="133">
        <f>1000*0.0643</f>
        <v>64.3</v>
      </c>
      <c r="O2176" s="179" t="s">
        <v>6641</v>
      </c>
      <c r="P2176" s="108">
        <v>60</v>
      </c>
      <c r="Q2176" s="80" t="s">
        <v>6642</v>
      </c>
    </row>
    <row r="2177" spans="1:22" ht="38.25">
      <c r="A2177" s="213" t="s">
        <v>2592</v>
      </c>
      <c r="B2177" s="141" t="s">
        <v>5978</v>
      </c>
      <c r="C2177" s="118" t="s">
        <v>3817</v>
      </c>
      <c r="D2177" s="141"/>
      <c r="E2177" s="118"/>
      <c r="F2177" s="118"/>
      <c r="G2177" s="118" t="s">
        <v>3618</v>
      </c>
      <c r="H2177" s="118" t="s">
        <v>3638</v>
      </c>
      <c r="I2177" s="118" t="s">
        <v>6015</v>
      </c>
      <c r="J2177" s="118" t="s">
        <v>3295</v>
      </c>
      <c r="K2177" s="141"/>
      <c r="L2177" s="135" t="str">
        <f t="shared" si="122"/>
        <v>Hapalomys longicaudatus</v>
      </c>
      <c r="M2177" s="133">
        <f t="shared" si="125"/>
        <v>1.8450980400142569</v>
      </c>
      <c r="N2177" s="133">
        <v>70</v>
      </c>
      <c r="O2177" s="179" t="s">
        <v>6641</v>
      </c>
      <c r="P2177" s="108">
        <v>119</v>
      </c>
      <c r="Q2177" s="80" t="s">
        <v>6642</v>
      </c>
    </row>
    <row r="2178" spans="1:22" ht="15">
      <c r="A2178" s="213" t="s">
        <v>2592</v>
      </c>
      <c r="B2178" s="141" t="s">
        <v>3111</v>
      </c>
      <c r="C2178" s="118" t="s">
        <v>3817</v>
      </c>
      <c r="D2178" s="141"/>
      <c r="E2178" s="118"/>
      <c r="F2178" s="118"/>
      <c r="G2178" s="118" t="s">
        <v>3618</v>
      </c>
      <c r="H2178" s="118" t="s">
        <v>3638</v>
      </c>
      <c r="I2178" s="118" t="s">
        <v>2999</v>
      </c>
      <c r="J2178" s="118" t="s">
        <v>3004</v>
      </c>
      <c r="K2178" s="141"/>
      <c r="L2178" s="135" t="str">
        <f t="shared" si="122"/>
        <v>Hyperacrius fertilis</v>
      </c>
      <c r="M2178" s="133">
        <f t="shared" si="125"/>
        <v>1.3473300153169503</v>
      </c>
      <c r="N2178" s="133">
        <f>AVERAGE(21.5, 23)</f>
        <v>22.25</v>
      </c>
      <c r="O2178" s="179" t="s">
        <v>3356</v>
      </c>
      <c r="P2178" s="108">
        <v>117</v>
      </c>
      <c r="Q2178" s="88"/>
    </row>
    <row r="2179" spans="1:22">
      <c r="A2179" s="213" t="s">
        <v>2592</v>
      </c>
      <c r="B2179" s="141" t="s">
        <v>3112</v>
      </c>
      <c r="C2179" s="118" t="s">
        <v>3817</v>
      </c>
      <c r="D2179" s="141"/>
      <c r="E2179" s="118"/>
      <c r="F2179" s="118"/>
      <c r="G2179" s="118" t="s">
        <v>3618</v>
      </c>
      <c r="H2179" s="118" t="s">
        <v>3638</v>
      </c>
      <c r="I2179" s="118" t="s">
        <v>2999</v>
      </c>
      <c r="J2179" s="118" t="s">
        <v>3005</v>
      </c>
      <c r="K2179" s="141"/>
      <c r="L2179" s="135" t="str">
        <f t="shared" si="122"/>
        <v>Hyperacrius wynnei</v>
      </c>
      <c r="M2179" s="133">
        <f t="shared" si="125"/>
        <v>1.7209857441537391</v>
      </c>
      <c r="N2179" s="133">
        <v>52.6</v>
      </c>
      <c r="O2179" s="179" t="s">
        <v>3356</v>
      </c>
      <c r="P2179" s="108">
        <v>117</v>
      </c>
      <c r="Q2179" s="80"/>
    </row>
    <row r="2180" spans="1:22" ht="25.5">
      <c r="A2180" s="213" t="s">
        <v>2592</v>
      </c>
      <c r="B2180" s="130" t="s">
        <v>4645</v>
      </c>
      <c r="C2180" s="121" t="s">
        <v>3817</v>
      </c>
      <c r="D2180" s="156"/>
      <c r="E2180" s="121"/>
      <c r="F2180" s="121"/>
      <c r="G2180" s="121" t="s">
        <v>3618</v>
      </c>
      <c r="H2180" s="121" t="s">
        <v>3638</v>
      </c>
      <c r="I2180" s="121" t="s">
        <v>3006</v>
      </c>
      <c r="J2180" s="121" t="s">
        <v>3007</v>
      </c>
      <c r="K2180" s="156"/>
      <c r="L2180" s="135" t="str">
        <f t="shared" si="122"/>
        <v>Lagurus lagurus</v>
      </c>
      <c r="M2180" s="133">
        <f t="shared" si="125"/>
        <v>1.3074960379132128</v>
      </c>
      <c r="N2180" s="133">
        <f>1000*0.0203</f>
        <v>20.299999999999997</v>
      </c>
      <c r="O2180" s="179" t="s">
        <v>3356</v>
      </c>
      <c r="P2180" s="108">
        <v>60</v>
      </c>
      <c r="Q2180" s="80"/>
      <c r="U2180" s="20"/>
      <c r="V2180" s="20"/>
    </row>
    <row r="2181" spans="1:22" ht="15" customHeight="1">
      <c r="A2181" s="213" t="s">
        <v>2592</v>
      </c>
      <c r="B2181" s="141" t="s">
        <v>4644</v>
      </c>
      <c r="C2181" s="118" t="s">
        <v>3817</v>
      </c>
      <c r="D2181" s="141"/>
      <c r="E2181" s="118"/>
      <c r="F2181" s="118"/>
      <c r="G2181" s="118" t="s">
        <v>3618</v>
      </c>
      <c r="H2181" s="118" t="s">
        <v>3638</v>
      </c>
      <c r="I2181" s="118" t="s">
        <v>6302</v>
      </c>
      <c r="J2181" s="118" t="s">
        <v>8021</v>
      </c>
      <c r="K2181" s="141"/>
      <c r="L2181" s="135" t="str">
        <f t="shared" ref="L2181:L2244" si="126">I2181&amp;" "&amp;J2181</f>
        <v>Lasiopodomys mandarinus</v>
      </c>
      <c r="M2181" s="133">
        <v>-999</v>
      </c>
      <c r="N2181" s="133">
        <v>-999</v>
      </c>
      <c r="O2181" s="179" t="s">
        <v>3356</v>
      </c>
      <c r="P2181" s="108">
        <v>-999</v>
      </c>
      <c r="Q2181" s="80"/>
      <c r="U2181" s="20"/>
      <c r="V2181" s="20"/>
    </row>
    <row r="2182" spans="1:22">
      <c r="A2182" s="213" t="s">
        <v>2592</v>
      </c>
      <c r="B2182" s="141" t="s">
        <v>1988</v>
      </c>
      <c r="C2182" s="118" t="s">
        <v>3817</v>
      </c>
      <c r="D2182" s="141"/>
      <c r="E2182" s="118"/>
      <c r="F2182" s="118"/>
      <c r="G2182" s="118" t="s">
        <v>3618</v>
      </c>
      <c r="H2182" s="118" t="s">
        <v>3638</v>
      </c>
      <c r="I2182" s="118" t="s">
        <v>6302</v>
      </c>
      <c r="J2182" s="118" t="s">
        <v>4847</v>
      </c>
      <c r="K2182" s="141"/>
      <c r="L2182" s="135" t="str">
        <f t="shared" si="126"/>
        <v>Lasiopodomys fuscus</v>
      </c>
      <c r="M2182" s="133">
        <f>LOG(N2182)</f>
        <v>1.6283889300503116</v>
      </c>
      <c r="N2182" s="133">
        <v>42.5</v>
      </c>
      <c r="O2182" s="179" t="s">
        <v>7080</v>
      </c>
      <c r="P2182" s="108">
        <v>186</v>
      </c>
      <c r="Q2182" s="80" t="s">
        <v>6642</v>
      </c>
      <c r="U2182" s="20"/>
      <c r="V2182" s="20"/>
    </row>
    <row r="2183" spans="1:22">
      <c r="A2183" s="213" t="s">
        <v>2592</v>
      </c>
      <c r="B2183" s="141" t="s">
        <v>4643</v>
      </c>
      <c r="C2183" s="121" t="s">
        <v>3817</v>
      </c>
      <c r="D2183" s="156"/>
      <c r="E2183" s="121"/>
      <c r="F2183" s="121"/>
      <c r="G2183" s="121" t="s">
        <v>3618</v>
      </c>
      <c r="H2183" s="121" t="s">
        <v>3638</v>
      </c>
      <c r="I2183" s="121" t="s">
        <v>6302</v>
      </c>
      <c r="J2183" s="121" t="s">
        <v>6303</v>
      </c>
      <c r="K2183" s="156"/>
      <c r="L2183" s="135" t="str">
        <f t="shared" si="126"/>
        <v>Lasiopodomys brandtii</v>
      </c>
      <c r="M2183" s="133">
        <f>LOG(N2183)</f>
        <v>1.9722954286111396</v>
      </c>
      <c r="N2183" s="143">
        <v>93.82</v>
      </c>
      <c r="O2183" s="179" t="s">
        <v>7895</v>
      </c>
      <c r="P2183" s="108" t="s">
        <v>1835</v>
      </c>
      <c r="Q2183" s="80">
        <f>-6.82444 + 2.671*LOG(148)</f>
        <v>-1.0276709581800691</v>
      </c>
      <c r="R2183" s="85" t="s">
        <v>279</v>
      </c>
      <c r="U2183" s="20"/>
      <c r="V2183" s="20"/>
    </row>
    <row r="2184" spans="1:22" ht="36" customHeight="1">
      <c r="A2184" s="213" t="s">
        <v>2592</v>
      </c>
      <c r="B2184" s="141" t="s">
        <v>2292</v>
      </c>
      <c r="C2184" s="118" t="s">
        <v>3817</v>
      </c>
      <c r="D2184" s="141"/>
      <c r="E2184" s="118"/>
      <c r="F2184" s="118"/>
      <c r="G2184" s="118" t="s">
        <v>3618</v>
      </c>
      <c r="H2184" s="121" t="s">
        <v>3638</v>
      </c>
      <c r="I2184" s="118" t="s">
        <v>7093</v>
      </c>
      <c r="J2184" s="118" t="s">
        <v>8022</v>
      </c>
      <c r="K2184" s="141"/>
      <c r="L2184" s="135" t="str">
        <f t="shared" si="126"/>
        <v>Lemmus amurensis</v>
      </c>
      <c r="M2184" s="133">
        <v>-999</v>
      </c>
      <c r="N2184" s="133">
        <v>-999</v>
      </c>
      <c r="O2184" s="179" t="s">
        <v>3356</v>
      </c>
      <c r="P2184" s="108">
        <v>-999</v>
      </c>
      <c r="Q2184" s="80"/>
      <c r="U2184" s="20"/>
      <c r="V2184" s="20"/>
    </row>
    <row r="2185" spans="1:22">
      <c r="A2185" s="213" t="s">
        <v>2592</v>
      </c>
      <c r="B2185" s="130"/>
      <c r="C2185" s="118" t="s">
        <v>3817</v>
      </c>
      <c r="D2185" s="141"/>
      <c r="E2185" s="118"/>
      <c r="F2185" s="118"/>
      <c r="G2185" s="118" t="s">
        <v>3618</v>
      </c>
      <c r="H2185" s="118" t="s">
        <v>3638</v>
      </c>
      <c r="I2185" s="118" t="s">
        <v>7093</v>
      </c>
      <c r="J2185" s="118" t="s">
        <v>8322</v>
      </c>
      <c r="K2185" s="141"/>
      <c r="L2185" s="135" t="str">
        <f t="shared" si="126"/>
        <v>Lemmus lemmus</v>
      </c>
      <c r="M2185" s="133">
        <f t="shared" ref="M2185:M2195" si="127">LOG(N2185)</f>
        <v>1.6766936096248666</v>
      </c>
      <c r="N2185" s="133">
        <v>47.5</v>
      </c>
      <c r="O2185" s="179" t="s">
        <v>6736</v>
      </c>
      <c r="P2185" s="108">
        <v>68</v>
      </c>
      <c r="U2185" s="20"/>
      <c r="V2185" s="20"/>
    </row>
    <row r="2186" spans="1:22">
      <c r="A2186" s="213" t="s">
        <v>2592</v>
      </c>
      <c r="B2186" s="130"/>
      <c r="C2186" s="118" t="s">
        <v>3817</v>
      </c>
      <c r="D2186" s="141"/>
      <c r="E2186" s="118"/>
      <c r="F2186" s="118"/>
      <c r="G2186" s="118" t="s">
        <v>3618</v>
      </c>
      <c r="H2186" s="118" t="s">
        <v>3638</v>
      </c>
      <c r="I2186" s="118" t="s">
        <v>7093</v>
      </c>
      <c r="J2186" s="118" t="s">
        <v>7094</v>
      </c>
      <c r="K2186" s="141"/>
      <c r="L2186" s="135" t="str">
        <f t="shared" si="126"/>
        <v>Lemmus sibiricus</v>
      </c>
      <c r="M2186" s="133">
        <f t="shared" si="127"/>
        <v>1.7182200000000003</v>
      </c>
      <c r="N2186" s="133">
        <v>52.266088560600423</v>
      </c>
      <c r="O2186" s="179" t="s">
        <v>3356</v>
      </c>
      <c r="P2186" s="108">
        <v>60</v>
      </c>
      <c r="U2186" s="20"/>
      <c r="V2186" s="20"/>
    </row>
    <row r="2187" spans="1:22">
      <c r="A2187" s="213" t="s">
        <v>2592</v>
      </c>
      <c r="B2187" s="141" t="s">
        <v>2623</v>
      </c>
      <c r="C2187" s="118" t="s">
        <v>3817</v>
      </c>
      <c r="D2187" s="141"/>
      <c r="E2187" s="118"/>
      <c r="F2187" s="118"/>
      <c r="G2187" s="118" t="s">
        <v>3618</v>
      </c>
      <c r="H2187" s="118" t="s">
        <v>3638</v>
      </c>
      <c r="I2187" s="118" t="s">
        <v>6491</v>
      </c>
      <c r="J2187" s="118" t="s">
        <v>6247</v>
      </c>
      <c r="K2187" s="141"/>
      <c r="L2187" s="135" t="str">
        <f t="shared" si="126"/>
        <v>Lenothrix canus</v>
      </c>
      <c r="M2187" s="133">
        <f t="shared" si="127"/>
        <v>2.0791812460476247</v>
      </c>
      <c r="N2187" s="133">
        <v>120</v>
      </c>
      <c r="O2187" s="179" t="s">
        <v>3356</v>
      </c>
      <c r="P2187" s="108">
        <v>119</v>
      </c>
      <c r="Q2187" s="80"/>
      <c r="U2187" s="20"/>
      <c r="V2187" s="20"/>
    </row>
    <row r="2188" spans="1:22">
      <c r="A2188" s="213" t="s">
        <v>2592</v>
      </c>
      <c r="B2188" s="141" t="s">
        <v>2276</v>
      </c>
      <c r="C2188" s="118" t="s">
        <v>3817</v>
      </c>
      <c r="D2188" s="141"/>
      <c r="E2188" s="118"/>
      <c r="F2188" s="118"/>
      <c r="G2188" s="118" t="s">
        <v>3618</v>
      </c>
      <c r="H2188" s="118" t="s">
        <v>3638</v>
      </c>
      <c r="I2188" s="118" t="s">
        <v>6492</v>
      </c>
      <c r="J2188" s="118" t="s">
        <v>6493</v>
      </c>
      <c r="K2188" s="141"/>
      <c r="L2188" s="135" t="str">
        <f t="shared" si="126"/>
        <v>Leopoldamys neilli</v>
      </c>
      <c r="M2188" s="133">
        <f t="shared" si="127"/>
        <v>2.3404441148401185</v>
      </c>
      <c r="N2188" s="133">
        <f>1000*0.219</f>
        <v>219</v>
      </c>
      <c r="O2188" s="179" t="s">
        <v>6882</v>
      </c>
      <c r="P2188" s="108">
        <v>60</v>
      </c>
      <c r="Q2188" s="80" t="s">
        <v>6640</v>
      </c>
      <c r="U2188" s="20"/>
      <c r="V2188" s="20"/>
    </row>
    <row r="2189" spans="1:22" ht="38.25">
      <c r="A2189" s="213" t="s">
        <v>2592</v>
      </c>
      <c r="B2189" s="141" t="s">
        <v>2052</v>
      </c>
      <c r="C2189" s="118" t="s">
        <v>3817</v>
      </c>
      <c r="D2189" s="141"/>
      <c r="E2189" s="118"/>
      <c r="F2189" s="118"/>
      <c r="G2189" s="118" t="s">
        <v>3618</v>
      </c>
      <c r="H2189" s="118" t="s">
        <v>3638</v>
      </c>
      <c r="I2189" s="118" t="s">
        <v>6492</v>
      </c>
      <c r="J2189" s="118" t="s">
        <v>4060</v>
      </c>
      <c r="K2189" s="141"/>
      <c r="L2189" s="135" t="str">
        <f t="shared" si="126"/>
        <v>Leopoldamys edwardsi</v>
      </c>
      <c r="M2189" s="133">
        <f t="shared" si="127"/>
        <v>2.4771212547196626</v>
      </c>
      <c r="N2189" s="133">
        <v>300</v>
      </c>
      <c r="O2189" s="179" t="s">
        <v>3356</v>
      </c>
      <c r="P2189" s="108">
        <v>119</v>
      </c>
      <c r="Q2189" s="80"/>
      <c r="U2189" s="7"/>
      <c r="V2189" s="7"/>
    </row>
    <row r="2190" spans="1:22" ht="24" customHeight="1">
      <c r="A2190" s="213" t="s">
        <v>2592</v>
      </c>
      <c r="B2190" s="141" t="s">
        <v>2620</v>
      </c>
      <c r="C2190" s="118" t="s">
        <v>3817</v>
      </c>
      <c r="D2190" s="141"/>
      <c r="E2190" s="118"/>
      <c r="F2190" s="118"/>
      <c r="G2190" s="118" t="s">
        <v>3618</v>
      </c>
      <c r="H2190" s="118" t="s">
        <v>3638</v>
      </c>
      <c r="I2190" s="118" t="s">
        <v>6492</v>
      </c>
      <c r="J2190" s="118" t="s">
        <v>3387</v>
      </c>
      <c r="K2190" s="141"/>
      <c r="L2190" s="135" t="str">
        <f t="shared" si="126"/>
        <v>Leopoldamys sabanus</v>
      </c>
      <c r="M2190" s="133">
        <f t="shared" si="127"/>
        <v>2.53655844257153</v>
      </c>
      <c r="N2190" s="133">
        <f>AVERAGE(250, 532, 250)</f>
        <v>344</v>
      </c>
      <c r="O2190" s="179" t="s">
        <v>3356</v>
      </c>
      <c r="P2190" s="118" t="s">
        <v>1529</v>
      </c>
      <c r="Q2190" s="88"/>
      <c r="U2190"/>
      <c r="V2190"/>
    </row>
    <row r="2191" spans="1:22">
      <c r="A2191" s="213" t="s">
        <v>2592</v>
      </c>
      <c r="B2191" s="130"/>
      <c r="C2191" s="118" t="s">
        <v>3817</v>
      </c>
      <c r="D2191" s="141"/>
      <c r="E2191" s="118"/>
      <c r="F2191" s="118"/>
      <c r="G2191" s="118" t="s">
        <v>3618</v>
      </c>
      <c r="H2191" s="118" t="s">
        <v>3638</v>
      </c>
      <c r="I2191" s="118" t="s">
        <v>8323</v>
      </c>
      <c r="J2191" s="118" t="s">
        <v>5495</v>
      </c>
      <c r="K2191" s="141"/>
      <c r="L2191" s="135" t="str">
        <f t="shared" si="126"/>
        <v>Maxomys whiteheadi</v>
      </c>
      <c r="M2191" s="133">
        <f t="shared" si="127"/>
        <v>1.7350663496842953</v>
      </c>
      <c r="N2191" s="133">
        <f>AVERAGE(30, 83, 50)</f>
        <v>54.333333333333336</v>
      </c>
      <c r="O2191" s="179"/>
      <c r="P2191" s="108" t="s">
        <v>1529</v>
      </c>
    </row>
    <row r="2192" spans="1:22" ht="12" customHeight="1">
      <c r="A2192" s="213" t="s">
        <v>2592</v>
      </c>
      <c r="B2192" s="141" t="s">
        <v>2623</v>
      </c>
      <c r="C2192" s="118" t="s">
        <v>3817</v>
      </c>
      <c r="D2192" s="141"/>
      <c r="E2192" s="118"/>
      <c r="F2192" s="118"/>
      <c r="G2192" s="118" t="s">
        <v>3618</v>
      </c>
      <c r="H2192" s="118" t="s">
        <v>3638</v>
      </c>
      <c r="I2192" s="118" t="s">
        <v>8323</v>
      </c>
      <c r="J2192" s="118" t="s">
        <v>8020</v>
      </c>
      <c r="K2192" s="141"/>
      <c r="L2192" s="135" t="str">
        <f t="shared" si="126"/>
        <v>Maxomys inas</v>
      </c>
      <c r="M2192" s="133">
        <f t="shared" si="127"/>
        <v>1.954242509439325</v>
      </c>
      <c r="N2192" s="133">
        <v>90</v>
      </c>
      <c r="O2192" s="179" t="s">
        <v>3356</v>
      </c>
      <c r="P2192" s="108">
        <v>119</v>
      </c>
      <c r="Q2192" s="88"/>
    </row>
    <row r="2193" spans="1:19" ht="38.25">
      <c r="A2193" s="213" t="s">
        <v>2592</v>
      </c>
      <c r="B2193" s="141" t="s">
        <v>1344</v>
      </c>
      <c r="C2193" s="118" t="s">
        <v>3817</v>
      </c>
      <c r="D2193" s="141"/>
      <c r="E2193" s="118"/>
      <c r="F2193" s="118"/>
      <c r="G2193" s="118" t="s">
        <v>3618</v>
      </c>
      <c r="H2193" s="118" t="s">
        <v>3638</v>
      </c>
      <c r="I2193" s="118" t="s">
        <v>8323</v>
      </c>
      <c r="J2193" s="118" t="s">
        <v>5675</v>
      </c>
      <c r="K2193" s="141"/>
      <c r="L2193" s="135" t="str">
        <f t="shared" si="126"/>
        <v>Maxomys surifer</v>
      </c>
      <c r="M2193" s="133">
        <f t="shared" si="127"/>
        <v>2.1430668708113068</v>
      </c>
      <c r="N2193" s="133">
        <f>AVERAGE(138.7, 125.8, 165, 143.8, 120.8, 140)</f>
        <v>139.01666666666665</v>
      </c>
      <c r="O2193" s="179" t="s">
        <v>3356</v>
      </c>
      <c r="P2193" s="108">
        <v>123</v>
      </c>
      <c r="Q2193" s="80"/>
    </row>
    <row r="2194" spans="1:19">
      <c r="A2194" s="213" t="s">
        <v>2592</v>
      </c>
      <c r="B2194" s="141" t="s">
        <v>2734</v>
      </c>
      <c r="C2194" s="118" t="s">
        <v>3817</v>
      </c>
      <c r="D2194" s="141"/>
      <c r="E2194" s="118"/>
      <c r="F2194" s="118"/>
      <c r="G2194" s="118" t="s">
        <v>3618</v>
      </c>
      <c r="H2194" s="121" t="s">
        <v>3638</v>
      </c>
      <c r="I2194" s="118" t="s">
        <v>8323</v>
      </c>
      <c r="J2194" s="118" t="s">
        <v>6053</v>
      </c>
      <c r="K2194" s="141"/>
      <c r="L2194" s="135" t="str">
        <f t="shared" si="126"/>
        <v>Maxomys moi</v>
      </c>
      <c r="M2194" s="133">
        <f t="shared" si="127"/>
        <v>2.167317334748176</v>
      </c>
      <c r="N2194" s="133">
        <f>1000*0.147</f>
        <v>147</v>
      </c>
      <c r="O2194" s="179" t="s">
        <v>3356</v>
      </c>
      <c r="P2194" s="108">
        <v>60</v>
      </c>
      <c r="Q2194" s="80"/>
    </row>
    <row r="2195" spans="1:19" ht="25.5">
      <c r="A2195" s="213" t="s">
        <v>2592</v>
      </c>
      <c r="B2195" s="141" t="s">
        <v>3048</v>
      </c>
      <c r="C2195" s="118" t="s">
        <v>3817</v>
      </c>
      <c r="D2195" s="141"/>
      <c r="E2195" s="118"/>
      <c r="F2195" s="118"/>
      <c r="G2195" s="118" t="s">
        <v>3618</v>
      </c>
      <c r="H2195" s="118" t="s">
        <v>3638</v>
      </c>
      <c r="I2195" s="118" t="s">
        <v>8323</v>
      </c>
      <c r="J2195" s="118" t="s">
        <v>5674</v>
      </c>
      <c r="K2195" s="141"/>
      <c r="L2195" s="135" t="str">
        <f t="shared" si="126"/>
        <v>Maxomys rajah</v>
      </c>
      <c r="M2195" s="133">
        <f t="shared" si="127"/>
        <v>2.1760912590556813</v>
      </c>
      <c r="N2195" s="133">
        <v>150</v>
      </c>
      <c r="O2195" s="179" t="s">
        <v>3356</v>
      </c>
      <c r="P2195" s="118">
        <v>119</v>
      </c>
      <c r="Q2195" s="80"/>
    </row>
    <row r="2196" spans="1:19">
      <c r="A2196" s="213" t="s">
        <v>2592</v>
      </c>
      <c r="B2196" s="141" t="s">
        <v>5950</v>
      </c>
      <c r="C2196" s="118" t="s">
        <v>3817</v>
      </c>
      <c r="D2196" s="141"/>
      <c r="E2196" s="118"/>
      <c r="F2196" s="118"/>
      <c r="G2196" s="118" t="s">
        <v>3618</v>
      </c>
      <c r="H2196" s="118" t="s">
        <v>3638</v>
      </c>
      <c r="I2196" s="118" t="s">
        <v>6815</v>
      </c>
      <c r="J2196" s="118" t="s">
        <v>6116</v>
      </c>
      <c r="K2196" s="141"/>
      <c r="L2196" s="135" t="str">
        <f t="shared" si="126"/>
        <v>Meriones arimalius</v>
      </c>
      <c r="M2196" s="133">
        <v>-999</v>
      </c>
      <c r="N2196" s="133">
        <v>-999</v>
      </c>
      <c r="O2196" s="179" t="s">
        <v>3356</v>
      </c>
      <c r="P2196" s="108">
        <v>-999</v>
      </c>
      <c r="Q2196" s="80" t="s">
        <v>6640</v>
      </c>
    </row>
    <row r="2197" spans="1:19" ht="24" customHeight="1">
      <c r="A2197" s="213" t="s">
        <v>2592</v>
      </c>
      <c r="B2197" s="141" t="s">
        <v>1988</v>
      </c>
      <c r="C2197" s="121" t="s">
        <v>3817</v>
      </c>
      <c r="D2197" s="156"/>
      <c r="E2197" s="121"/>
      <c r="F2197" s="121"/>
      <c r="G2197" s="121" t="s">
        <v>3618</v>
      </c>
      <c r="H2197" s="121" t="s">
        <v>3638</v>
      </c>
      <c r="I2197" s="121" t="s">
        <v>6815</v>
      </c>
      <c r="J2197" s="121" t="s">
        <v>8220</v>
      </c>
      <c r="K2197" s="156"/>
      <c r="L2197" s="135" t="str">
        <f t="shared" si="126"/>
        <v>Meriones chengi</v>
      </c>
      <c r="M2197" s="133">
        <v>-999</v>
      </c>
      <c r="N2197" s="143">
        <v>-999</v>
      </c>
      <c r="O2197" s="179" t="s">
        <v>3356</v>
      </c>
      <c r="P2197" s="108">
        <v>-999</v>
      </c>
      <c r="Q2197" s="88" t="s">
        <v>7071</v>
      </c>
    </row>
    <row r="2198" spans="1:19">
      <c r="A2198" s="213" t="s">
        <v>2592</v>
      </c>
      <c r="B2198" s="141" t="s">
        <v>5066</v>
      </c>
      <c r="C2198" s="118" t="s">
        <v>3817</v>
      </c>
      <c r="D2198" s="141"/>
      <c r="E2198" s="118"/>
      <c r="F2198" s="118"/>
      <c r="G2198" s="118" t="s">
        <v>3618</v>
      </c>
      <c r="H2198" s="118" t="s">
        <v>3638</v>
      </c>
      <c r="I2198" s="118" t="s">
        <v>6815</v>
      </c>
      <c r="J2198" s="118" t="s">
        <v>4457</v>
      </c>
      <c r="K2198" s="141"/>
      <c r="L2198" s="135" t="str">
        <f t="shared" si="126"/>
        <v>Meriones dahli</v>
      </c>
      <c r="M2198" s="133">
        <v>-999</v>
      </c>
      <c r="N2198" s="133">
        <v>-999</v>
      </c>
      <c r="O2198" s="179" t="s">
        <v>3356</v>
      </c>
      <c r="P2198" s="108">
        <v>-999</v>
      </c>
      <c r="Q2198" s="80" t="s">
        <v>6640</v>
      </c>
    </row>
    <row r="2199" spans="1:19" ht="24" customHeight="1">
      <c r="A2199" s="213" t="s">
        <v>2592</v>
      </c>
      <c r="B2199" s="130"/>
      <c r="C2199" s="118" t="s">
        <v>3817</v>
      </c>
      <c r="D2199" s="141"/>
      <c r="E2199" s="118"/>
      <c r="F2199" s="118"/>
      <c r="G2199" s="118" t="s">
        <v>3618</v>
      </c>
      <c r="H2199" s="118" t="s">
        <v>3638</v>
      </c>
      <c r="I2199" s="118" t="s">
        <v>6815</v>
      </c>
      <c r="J2199" s="118" t="s">
        <v>5498</v>
      </c>
      <c r="K2199" s="141"/>
      <c r="L2199" s="135" t="str">
        <f t="shared" si="126"/>
        <v>Meriones unguiculatus</v>
      </c>
      <c r="M2199" s="133">
        <f t="shared" ref="M2199:M2210" si="128">LOG(N2199)</f>
        <v>1.7267272090265722</v>
      </c>
      <c r="N2199" s="133">
        <v>53.3</v>
      </c>
      <c r="O2199" s="179" t="s">
        <v>6736</v>
      </c>
      <c r="P2199" s="108">
        <v>68</v>
      </c>
      <c r="R2199" s="89"/>
    </row>
    <row r="2200" spans="1:19" ht="25.5">
      <c r="A2200" s="213" t="s">
        <v>2592</v>
      </c>
      <c r="B2200" s="141" t="s">
        <v>2670</v>
      </c>
      <c r="C2200" s="118" t="s">
        <v>3817</v>
      </c>
      <c r="D2200" s="141"/>
      <c r="E2200" s="118"/>
      <c r="F2200" s="118"/>
      <c r="G2200" s="118" t="s">
        <v>3618</v>
      </c>
      <c r="H2200" s="118" t="s">
        <v>3638</v>
      </c>
      <c r="I2200" s="118" t="s">
        <v>6815</v>
      </c>
      <c r="J2200" s="118" t="s">
        <v>3699</v>
      </c>
      <c r="K2200" s="141"/>
      <c r="L2200" s="135" t="str">
        <f t="shared" si="126"/>
        <v>Meriones meridianus</v>
      </c>
      <c r="M2200" s="133">
        <f t="shared" si="128"/>
        <v>1.7930916001765802</v>
      </c>
      <c r="N2200" s="133">
        <v>62.1</v>
      </c>
      <c r="O2200" s="179" t="s">
        <v>3356</v>
      </c>
      <c r="P2200" s="108">
        <v>173</v>
      </c>
      <c r="Q2200" s="80"/>
    </row>
    <row r="2201" spans="1:19">
      <c r="A2201" s="213" t="s">
        <v>2592</v>
      </c>
      <c r="B2201" s="130"/>
      <c r="C2201" s="118" t="s">
        <v>3817</v>
      </c>
      <c r="D2201" s="141"/>
      <c r="E2201" s="118"/>
      <c r="F2201" s="118"/>
      <c r="G2201" s="118" t="s">
        <v>3618</v>
      </c>
      <c r="H2201" s="118" t="s">
        <v>3638</v>
      </c>
      <c r="I2201" s="118" t="s">
        <v>6815</v>
      </c>
      <c r="J2201" s="118" t="s">
        <v>5496</v>
      </c>
      <c r="K2201" s="141"/>
      <c r="L2201" s="135" t="str">
        <f t="shared" si="126"/>
        <v>Meriones hurrianae</v>
      </c>
      <c r="M2201" s="133">
        <f t="shared" si="128"/>
        <v>1.8450980400142569</v>
      </c>
      <c r="N2201" s="133">
        <v>70</v>
      </c>
      <c r="O2201" s="179" t="s">
        <v>6736</v>
      </c>
      <c r="P2201" s="108" t="s">
        <v>1323</v>
      </c>
    </row>
    <row r="2202" spans="1:19" ht="15" customHeight="1">
      <c r="A2202" s="213" t="s">
        <v>2592</v>
      </c>
      <c r="B2202" s="130"/>
      <c r="C2202" s="118" t="s">
        <v>3817</v>
      </c>
      <c r="D2202" s="141"/>
      <c r="E2202" s="118"/>
      <c r="F2202" s="118"/>
      <c r="G2202" s="118" t="s">
        <v>3618</v>
      </c>
      <c r="H2202" s="118" t="s">
        <v>3638</v>
      </c>
      <c r="I2202" s="118" t="s">
        <v>6815</v>
      </c>
      <c r="J2202" s="118" t="s">
        <v>6816</v>
      </c>
      <c r="K2202" s="141"/>
      <c r="L2202" s="135" t="str">
        <f t="shared" si="126"/>
        <v>Meriones crassus</v>
      </c>
      <c r="M2202" s="133">
        <f t="shared" si="128"/>
        <v>1.9029270960172628</v>
      </c>
      <c r="N2202" s="133">
        <f>AVERAGE(35.25, 83.3, 85.2, 76, 120.1)</f>
        <v>79.97</v>
      </c>
      <c r="O2202" s="179" t="s">
        <v>3356</v>
      </c>
      <c r="P2202" s="108" t="s">
        <v>6588</v>
      </c>
      <c r="R2202" s="85" t="s">
        <v>7620</v>
      </c>
    </row>
    <row r="2203" spans="1:19" ht="25.5">
      <c r="A2203" s="213" t="s">
        <v>2592</v>
      </c>
      <c r="B2203" s="141" t="s">
        <v>1530</v>
      </c>
      <c r="C2203" s="118" t="s">
        <v>3817</v>
      </c>
      <c r="D2203" s="141"/>
      <c r="E2203" s="118"/>
      <c r="F2203" s="118"/>
      <c r="G2203" s="118" t="s">
        <v>3618</v>
      </c>
      <c r="H2203" s="118" t="s">
        <v>3638</v>
      </c>
      <c r="I2203" s="118" t="s">
        <v>6815</v>
      </c>
      <c r="J2203" s="118" t="s">
        <v>3927</v>
      </c>
      <c r="K2203" s="141"/>
      <c r="L2203" s="135" t="str">
        <f t="shared" si="126"/>
        <v>Meriones zarudnyi</v>
      </c>
      <c r="M2203" s="133">
        <f t="shared" si="128"/>
        <v>1.9161642499025191</v>
      </c>
      <c r="N2203" s="133">
        <v>82.444986248235026</v>
      </c>
      <c r="O2203" s="179" t="s">
        <v>7916</v>
      </c>
      <c r="P2203" s="108" t="s">
        <v>7838</v>
      </c>
      <c r="Q2203" s="80" t="s">
        <v>6640</v>
      </c>
      <c r="R2203" s="85">
        <f>-6.8244+2.671*LOG(141)</f>
        <v>-1.0838357500974807</v>
      </c>
      <c r="S2203" s="85">
        <f>10^R2203*1000</f>
        <v>82.444986248235026</v>
      </c>
    </row>
    <row r="2204" spans="1:19" ht="15" customHeight="1">
      <c r="A2204" s="213" t="s">
        <v>2592</v>
      </c>
      <c r="B2204" s="130"/>
      <c r="C2204" s="118" t="s">
        <v>3817</v>
      </c>
      <c r="D2204" s="141"/>
      <c r="E2204" s="118"/>
      <c r="F2204" s="118"/>
      <c r="G2204" s="118" t="s">
        <v>3618</v>
      </c>
      <c r="H2204" s="118" t="s">
        <v>3638</v>
      </c>
      <c r="I2204" s="118" t="s">
        <v>6815</v>
      </c>
      <c r="J2204" s="118" t="s">
        <v>6817</v>
      </c>
      <c r="K2204" s="141"/>
      <c r="L2204" s="135" t="str">
        <f t="shared" si="126"/>
        <v>Meriones libycus</v>
      </c>
      <c r="M2204" s="133">
        <f t="shared" si="128"/>
        <v>1.9606293081007256</v>
      </c>
      <c r="N2204" s="133">
        <f>AVERAGE(100, 90, 84)</f>
        <v>91.333333333333329</v>
      </c>
      <c r="O2204" s="179" t="s">
        <v>3356</v>
      </c>
      <c r="P2204" s="108" t="s">
        <v>6838</v>
      </c>
      <c r="R2204" s="85" t="s">
        <v>7619</v>
      </c>
    </row>
    <row r="2205" spans="1:19">
      <c r="A2205" s="213" t="s">
        <v>2592</v>
      </c>
      <c r="B2205" s="130"/>
      <c r="C2205" s="118" t="s">
        <v>3817</v>
      </c>
      <c r="D2205" s="141"/>
      <c r="E2205" s="118"/>
      <c r="F2205" s="118"/>
      <c r="G2205" s="118" t="s">
        <v>3618</v>
      </c>
      <c r="H2205" s="118" t="s">
        <v>3638</v>
      </c>
      <c r="I2205" s="118" t="s">
        <v>6815</v>
      </c>
      <c r="J2205" s="118" t="s">
        <v>5497</v>
      </c>
      <c r="K2205" s="141"/>
      <c r="L2205" s="135" t="str">
        <f t="shared" si="126"/>
        <v>Meriones persicus</v>
      </c>
      <c r="M2205" s="133">
        <f t="shared" si="128"/>
        <v>2</v>
      </c>
      <c r="N2205" s="133">
        <v>100</v>
      </c>
      <c r="O2205" s="179" t="s">
        <v>6736</v>
      </c>
      <c r="P2205" s="108" t="s">
        <v>1323</v>
      </c>
      <c r="R2205" s="85" t="s">
        <v>7617</v>
      </c>
    </row>
    <row r="2206" spans="1:19">
      <c r="A2206" s="213" t="s">
        <v>2592</v>
      </c>
      <c r="B2206" s="141" t="s">
        <v>2375</v>
      </c>
      <c r="C2206" s="118" t="s">
        <v>3817</v>
      </c>
      <c r="D2206" s="141"/>
      <c r="E2206" s="118"/>
      <c r="F2206" s="118"/>
      <c r="G2206" s="118" t="s">
        <v>3618</v>
      </c>
      <c r="H2206" s="118" t="s">
        <v>3638</v>
      </c>
      <c r="I2206" s="118" t="s">
        <v>6815</v>
      </c>
      <c r="J2206" s="118" t="s">
        <v>6548</v>
      </c>
      <c r="K2206" s="141"/>
      <c r="L2206" s="135" t="str">
        <f t="shared" si="126"/>
        <v>Meriones tristrami</v>
      </c>
      <c r="M2206" s="133">
        <f t="shared" si="128"/>
        <v>2.0211892990699383</v>
      </c>
      <c r="N2206" s="133">
        <f>AVERAGE(1000*0.06, 1000*0.15)</f>
        <v>105</v>
      </c>
      <c r="O2206" s="179" t="s">
        <v>3356</v>
      </c>
      <c r="P2206" s="108">
        <v>60</v>
      </c>
      <c r="Q2206" s="80"/>
      <c r="R2206" s="85" t="s">
        <v>7618</v>
      </c>
    </row>
    <row r="2207" spans="1:19">
      <c r="A2207" s="213" t="s">
        <v>2592</v>
      </c>
      <c r="B2207" s="130"/>
      <c r="C2207" s="118" t="s">
        <v>3817</v>
      </c>
      <c r="D2207" s="141"/>
      <c r="E2207" s="118"/>
      <c r="F2207" s="118"/>
      <c r="G2207" s="118" t="s">
        <v>3618</v>
      </c>
      <c r="H2207" s="118" t="s">
        <v>3638</v>
      </c>
      <c r="I2207" s="118" t="s">
        <v>6815</v>
      </c>
      <c r="J2207" s="118" t="s">
        <v>3671</v>
      </c>
      <c r="K2207" s="141"/>
      <c r="L2207" s="135" t="str">
        <f t="shared" si="126"/>
        <v>Meriones tamariscinus</v>
      </c>
      <c r="M2207" s="133">
        <f t="shared" si="128"/>
        <v>2.0791812460476247</v>
      </c>
      <c r="N2207" s="133">
        <v>120</v>
      </c>
      <c r="O2207" s="179" t="s">
        <v>3356</v>
      </c>
      <c r="P2207" s="108">
        <v>187</v>
      </c>
      <c r="Q2207" s="80"/>
    </row>
    <row r="2208" spans="1:19" ht="15" customHeight="1">
      <c r="A2208" s="213" t="s">
        <v>2592</v>
      </c>
      <c r="B2208" s="141" t="s">
        <v>6147</v>
      </c>
      <c r="C2208" s="121" t="s">
        <v>3817</v>
      </c>
      <c r="D2208" s="156"/>
      <c r="E2208" s="121"/>
      <c r="F2208" s="121"/>
      <c r="G2208" s="121" t="s">
        <v>3618</v>
      </c>
      <c r="H2208" s="121" t="s">
        <v>3638</v>
      </c>
      <c r="I2208" s="121" t="s">
        <v>6815</v>
      </c>
      <c r="J2208" s="121" t="s">
        <v>2050</v>
      </c>
      <c r="K2208" s="156"/>
      <c r="L2208" s="135" t="str">
        <f t="shared" si="126"/>
        <v>Meriones rex</v>
      </c>
      <c r="M2208" s="133">
        <f t="shared" si="128"/>
        <v>2.0977777345392834</v>
      </c>
      <c r="N2208" s="143">
        <f>AVERAGE(1000*0.127, 123.5)</f>
        <v>125.25</v>
      </c>
      <c r="O2208" s="179">
        <f>AVERAGE(1000*0.095, 1000*0.152)</f>
        <v>123.5</v>
      </c>
      <c r="P2208" s="108">
        <v>60</v>
      </c>
      <c r="Q2208" s="80"/>
      <c r="R2208" s="85" t="s">
        <v>7616</v>
      </c>
    </row>
    <row r="2209" spans="1:19">
      <c r="A2209" s="213" t="s">
        <v>2592</v>
      </c>
      <c r="B2209" s="141" t="s">
        <v>2375</v>
      </c>
      <c r="C2209" s="118" t="s">
        <v>3817</v>
      </c>
      <c r="D2209" s="141"/>
      <c r="E2209" s="118"/>
      <c r="F2209" s="118"/>
      <c r="G2209" s="118" t="s">
        <v>3618</v>
      </c>
      <c r="H2209" s="118" t="s">
        <v>3638</v>
      </c>
      <c r="I2209" s="118" t="s">
        <v>6815</v>
      </c>
      <c r="J2209" s="118" t="s">
        <v>8132</v>
      </c>
      <c r="K2209" s="141"/>
      <c r="L2209" s="135" t="str">
        <f t="shared" si="126"/>
        <v>Meriones vinogradovi</v>
      </c>
      <c r="M2209" s="133">
        <f t="shared" si="128"/>
        <v>2.1760912590556813</v>
      </c>
      <c r="N2209" s="133">
        <f>AVERAGE(1000*0.1, 1000*0.2)</f>
        <v>150</v>
      </c>
      <c r="O2209" s="179" t="s">
        <v>3356</v>
      </c>
      <c r="P2209" s="108">
        <v>60</v>
      </c>
      <c r="Q2209" s="80"/>
    </row>
    <row r="2210" spans="1:19">
      <c r="A2210" s="213" t="s">
        <v>2592</v>
      </c>
      <c r="B2210" s="141" t="s">
        <v>6148</v>
      </c>
      <c r="C2210" s="118" t="s">
        <v>3817</v>
      </c>
      <c r="D2210" s="141"/>
      <c r="E2210" s="118"/>
      <c r="F2210" s="118"/>
      <c r="G2210" s="118" t="s">
        <v>3618</v>
      </c>
      <c r="H2210" s="118" t="s">
        <v>3638</v>
      </c>
      <c r="I2210" s="118" t="s">
        <v>6815</v>
      </c>
      <c r="J2210" s="118" t="s">
        <v>3700</v>
      </c>
      <c r="K2210" s="141"/>
      <c r="L2210" s="135" t="str">
        <f t="shared" si="126"/>
        <v>Meriones sacramenti</v>
      </c>
      <c r="M2210" s="133">
        <f t="shared" si="128"/>
        <v>2.3010299956639813</v>
      </c>
      <c r="N2210" s="133">
        <f>AVERAGE(1000*0.125, 1000*0.275)</f>
        <v>200</v>
      </c>
      <c r="O2210" s="179" t="s">
        <v>3356</v>
      </c>
      <c r="P2210" s="108">
        <v>60</v>
      </c>
      <c r="Q2210" s="80" t="s">
        <v>6640</v>
      </c>
      <c r="R2210" s="85" t="s">
        <v>7621</v>
      </c>
    </row>
    <row r="2211" spans="1:19">
      <c r="A2211" s="213" t="s">
        <v>2592</v>
      </c>
      <c r="B2211" s="141" t="s">
        <v>3049</v>
      </c>
      <c r="C2211" s="118" t="s">
        <v>3817</v>
      </c>
      <c r="D2211" s="141"/>
      <c r="E2211" s="118"/>
      <c r="F2211" s="118"/>
      <c r="G2211" s="118" t="s">
        <v>3618</v>
      </c>
      <c r="H2211" s="118" t="s">
        <v>3638</v>
      </c>
      <c r="I2211" s="118" t="s">
        <v>5499</v>
      </c>
      <c r="J2211" s="118" t="s">
        <v>3443</v>
      </c>
      <c r="K2211" s="141"/>
      <c r="L2211" s="135" t="str">
        <f t="shared" si="126"/>
        <v>Mesocricetus raddei</v>
      </c>
      <c r="M2211" s="133">
        <v>-999</v>
      </c>
      <c r="N2211" s="133">
        <v>-999</v>
      </c>
      <c r="O2211" s="179" t="s">
        <v>3356</v>
      </c>
      <c r="P2211" s="108">
        <v>-999</v>
      </c>
      <c r="Q2211" s="80"/>
    </row>
    <row r="2212" spans="1:19">
      <c r="A2212" s="213" t="s">
        <v>2592</v>
      </c>
      <c r="B2212" s="141" t="s">
        <v>5801</v>
      </c>
      <c r="C2212" s="118" t="s">
        <v>3817</v>
      </c>
      <c r="D2212" s="141"/>
      <c r="E2212" s="118"/>
      <c r="F2212" s="118"/>
      <c r="G2212" s="118" t="s">
        <v>3618</v>
      </c>
      <c r="H2212" s="118" t="s">
        <v>3638</v>
      </c>
      <c r="I2212" s="118" t="s">
        <v>5499</v>
      </c>
      <c r="J2212" s="118" t="s">
        <v>3442</v>
      </c>
      <c r="K2212" s="141"/>
      <c r="L2212" s="135" t="str">
        <f t="shared" si="126"/>
        <v>Mesocricetus newtoni</v>
      </c>
      <c r="M2212" s="133">
        <f>LOG(N2212)</f>
        <v>1.9890046156985368</v>
      </c>
      <c r="N2212" s="133">
        <f>195/2</f>
        <v>97.5</v>
      </c>
      <c r="O2212" s="182" t="s">
        <v>7973</v>
      </c>
      <c r="P2212" s="108">
        <v>134</v>
      </c>
      <c r="Q2212" s="90" t="s">
        <v>6988</v>
      </c>
      <c r="R2212" s="87"/>
    </row>
    <row r="2213" spans="1:19">
      <c r="A2213" s="213" t="s">
        <v>2592</v>
      </c>
      <c r="B2213" s="130"/>
      <c r="C2213" s="118" t="s">
        <v>3817</v>
      </c>
      <c r="D2213" s="141"/>
      <c r="E2213" s="118"/>
      <c r="F2213" s="118"/>
      <c r="G2213" s="118" t="s">
        <v>3618</v>
      </c>
      <c r="H2213" s="118" t="s">
        <v>3638</v>
      </c>
      <c r="I2213" s="118" t="s">
        <v>5499</v>
      </c>
      <c r="J2213" s="118" t="s">
        <v>2341</v>
      </c>
      <c r="K2213" s="141"/>
      <c r="L2213" s="135" t="str">
        <f t="shared" si="126"/>
        <v>Mesocricetus auratus</v>
      </c>
      <c r="M2213" s="133">
        <f>LOG(N2213)</f>
        <v>2.0211892990699383</v>
      </c>
      <c r="N2213" s="133">
        <v>105</v>
      </c>
      <c r="O2213" s="179" t="s">
        <v>6736</v>
      </c>
      <c r="P2213" s="108">
        <v>68</v>
      </c>
      <c r="Q2213" s="90" t="s">
        <v>6640</v>
      </c>
    </row>
    <row r="2214" spans="1:19">
      <c r="A2214" s="213" t="s">
        <v>2592</v>
      </c>
      <c r="B2214" s="130"/>
      <c r="C2214" s="118" t="s">
        <v>3817</v>
      </c>
      <c r="D2214" s="141"/>
      <c r="E2214" s="118"/>
      <c r="F2214" s="118"/>
      <c r="G2214" s="118" t="s">
        <v>3618</v>
      </c>
      <c r="H2214" s="118" t="s">
        <v>3638</v>
      </c>
      <c r="I2214" s="118" t="s">
        <v>5499</v>
      </c>
      <c r="J2214" s="118" t="s">
        <v>5500</v>
      </c>
      <c r="K2214" s="141"/>
      <c r="L2214" s="135" t="str">
        <f t="shared" si="126"/>
        <v>Mesocricetus brandti</v>
      </c>
      <c r="M2214" s="133">
        <f>LOG(N2214)</f>
        <v>2.2966651902615309</v>
      </c>
      <c r="N2214" s="133">
        <v>198</v>
      </c>
      <c r="O2214" s="179" t="s">
        <v>6736</v>
      </c>
      <c r="P2214" s="108">
        <v>68</v>
      </c>
    </row>
    <row r="2215" spans="1:19" ht="12" customHeight="1">
      <c r="A2215" s="213" t="s">
        <v>2592</v>
      </c>
      <c r="B2215" s="130"/>
      <c r="C2215" s="118" t="s">
        <v>3817</v>
      </c>
      <c r="D2215" s="141"/>
      <c r="E2215" s="118"/>
      <c r="F2215" s="118"/>
      <c r="G2215" s="118" t="s">
        <v>3618</v>
      </c>
      <c r="H2215" s="118" t="s">
        <v>3638</v>
      </c>
      <c r="I2215" s="118" t="s">
        <v>5735</v>
      </c>
      <c r="J2215" s="118" t="s">
        <v>3876</v>
      </c>
      <c r="K2215" s="141"/>
      <c r="L2215" s="135" t="str">
        <f t="shared" si="126"/>
        <v>Micromys minutus</v>
      </c>
      <c r="M2215" s="133">
        <f>LOG(N2215)</f>
        <v>0.77815125038364363</v>
      </c>
      <c r="N2215" s="133">
        <v>6</v>
      </c>
      <c r="O2215" s="179" t="s">
        <v>6736</v>
      </c>
      <c r="P2215" s="108">
        <v>68</v>
      </c>
      <c r="Q2215" s="80" t="s">
        <v>6642</v>
      </c>
      <c r="R2215" s="89"/>
      <c r="S2215" s="80"/>
    </row>
    <row r="2216" spans="1:19" ht="15" customHeight="1">
      <c r="A2216" s="213" t="s">
        <v>2592</v>
      </c>
      <c r="B2216" s="141" t="s">
        <v>3049</v>
      </c>
      <c r="C2216" s="118" t="s">
        <v>3817</v>
      </c>
      <c r="D2216" s="141"/>
      <c r="E2216" s="118"/>
      <c r="F2216" s="118"/>
      <c r="G2216" s="118" t="s">
        <v>3618</v>
      </c>
      <c r="H2216" s="118" t="s">
        <v>3638</v>
      </c>
      <c r="I2216" s="118" t="s">
        <v>4228</v>
      </c>
      <c r="J2216" s="118" t="s">
        <v>2990</v>
      </c>
      <c r="K2216" s="141"/>
      <c r="L2216" s="135" t="str">
        <f t="shared" si="126"/>
        <v>Microtus evoronensis</v>
      </c>
      <c r="M2216" s="133">
        <v>-999</v>
      </c>
      <c r="N2216" s="133">
        <v>-999</v>
      </c>
      <c r="O2216" s="179" t="s">
        <v>3356</v>
      </c>
      <c r="P2216" s="108">
        <v>-999</v>
      </c>
      <c r="Q2216" s="80" t="s">
        <v>7071</v>
      </c>
    </row>
    <row r="2217" spans="1:19" ht="24" customHeight="1">
      <c r="A2217" s="213" t="s">
        <v>2592</v>
      </c>
      <c r="B2217" s="141" t="s">
        <v>2253</v>
      </c>
      <c r="C2217" s="118" t="s">
        <v>3817</v>
      </c>
      <c r="D2217" s="141"/>
      <c r="E2217" s="118"/>
      <c r="F2217" s="118"/>
      <c r="G2217" s="118" t="s">
        <v>3618</v>
      </c>
      <c r="H2217" s="118" t="s">
        <v>3638</v>
      </c>
      <c r="I2217" s="118" t="s">
        <v>4228</v>
      </c>
      <c r="J2217" s="118" t="s">
        <v>8196</v>
      </c>
      <c r="K2217" s="141"/>
      <c r="L2217" s="135" t="str">
        <f t="shared" si="126"/>
        <v>Microtus felteni</v>
      </c>
      <c r="M2217" s="133">
        <v>-999</v>
      </c>
      <c r="N2217" s="133">
        <v>-999</v>
      </c>
      <c r="O2217" s="179" t="s">
        <v>3356</v>
      </c>
      <c r="P2217" s="108">
        <v>-999</v>
      </c>
      <c r="Q2217" s="80" t="s">
        <v>6642</v>
      </c>
    </row>
    <row r="2218" spans="1:19" ht="12" customHeight="1">
      <c r="A2218" s="213" t="s">
        <v>2592</v>
      </c>
      <c r="B2218" s="141" t="s">
        <v>2379</v>
      </c>
      <c r="C2218" s="118" t="s">
        <v>3817</v>
      </c>
      <c r="D2218" s="141"/>
      <c r="E2218" s="118"/>
      <c r="F2218" s="118"/>
      <c r="G2218" s="118" t="s">
        <v>3618</v>
      </c>
      <c r="H2218" s="118" t="s">
        <v>3638</v>
      </c>
      <c r="I2218" s="118" t="s">
        <v>4228</v>
      </c>
      <c r="J2218" s="118" t="s">
        <v>8198</v>
      </c>
      <c r="K2218" s="141"/>
      <c r="L2218" s="135" t="str">
        <f t="shared" si="126"/>
        <v>Microtus gerbei</v>
      </c>
      <c r="M2218" s="133">
        <v>-999</v>
      </c>
      <c r="N2218" s="133">
        <v>-999</v>
      </c>
      <c r="O2218" s="179" t="s">
        <v>3356</v>
      </c>
      <c r="P2218" s="108">
        <v>-999</v>
      </c>
      <c r="Q2218" s="80"/>
      <c r="R2218" s="89"/>
    </row>
    <row r="2219" spans="1:19">
      <c r="A2219" s="213" t="s">
        <v>2592</v>
      </c>
      <c r="B2219" s="141" t="s">
        <v>2292</v>
      </c>
      <c r="C2219" s="118" t="s">
        <v>3817</v>
      </c>
      <c r="D2219" s="141"/>
      <c r="E2219" s="118"/>
      <c r="F2219" s="118"/>
      <c r="G2219" s="118" t="s">
        <v>3618</v>
      </c>
      <c r="H2219" s="118" t="s">
        <v>3638</v>
      </c>
      <c r="I2219" s="118" t="s">
        <v>4228</v>
      </c>
      <c r="J2219" s="118" t="s">
        <v>6309</v>
      </c>
      <c r="K2219" s="141"/>
      <c r="L2219" s="135" t="str">
        <f t="shared" si="126"/>
        <v>Microtus hyperboreus</v>
      </c>
      <c r="M2219" s="133">
        <v>-999</v>
      </c>
      <c r="N2219" s="133">
        <v>-999</v>
      </c>
      <c r="O2219" s="179" t="s">
        <v>3356</v>
      </c>
      <c r="P2219" s="108">
        <v>-999</v>
      </c>
      <c r="Q2219" s="80"/>
    </row>
    <row r="2220" spans="1:19">
      <c r="A2220" s="213" t="s">
        <v>2592</v>
      </c>
      <c r="B2220" s="141" t="s">
        <v>2375</v>
      </c>
      <c r="C2220" s="118" t="s">
        <v>3817</v>
      </c>
      <c r="D2220" s="141"/>
      <c r="E2220" s="118"/>
      <c r="F2220" s="118"/>
      <c r="G2220" s="118" t="s">
        <v>3618</v>
      </c>
      <c r="H2220" s="118" t="s">
        <v>3638</v>
      </c>
      <c r="I2220" s="118" t="s">
        <v>4228</v>
      </c>
      <c r="J2220" s="118" t="s">
        <v>8163</v>
      </c>
      <c r="K2220" s="141"/>
      <c r="L2220" s="135" t="str">
        <f t="shared" si="126"/>
        <v>Microtus irani</v>
      </c>
      <c r="M2220" s="133">
        <v>-999</v>
      </c>
      <c r="N2220" s="133">
        <v>-999</v>
      </c>
      <c r="O2220" s="179" t="s">
        <v>3356</v>
      </c>
      <c r="P2220" s="108">
        <v>-999</v>
      </c>
      <c r="Q2220" s="80"/>
    </row>
    <row r="2221" spans="1:19">
      <c r="A2221" s="213" t="s">
        <v>2592</v>
      </c>
      <c r="B2221" s="141" t="s">
        <v>2367</v>
      </c>
      <c r="C2221" s="118" t="s">
        <v>3817</v>
      </c>
      <c r="D2221" s="141"/>
      <c r="E2221" s="118"/>
      <c r="F2221" s="118"/>
      <c r="G2221" s="118" t="s">
        <v>3618</v>
      </c>
      <c r="H2221" s="118" t="s">
        <v>3638</v>
      </c>
      <c r="I2221" s="118" t="s">
        <v>4228</v>
      </c>
      <c r="J2221" s="118" t="s">
        <v>8164</v>
      </c>
      <c r="K2221" s="141"/>
      <c r="L2221" s="135" t="str">
        <f t="shared" si="126"/>
        <v>Microtus irene</v>
      </c>
      <c r="M2221" s="133">
        <v>-999</v>
      </c>
      <c r="N2221" s="133">
        <v>-999</v>
      </c>
      <c r="O2221" s="179" t="s">
        <v>3356</v>
      </c>
      <c r="P2221" s="108">
        <v>-999</v>
      </c>
      <c r="Q2221" s="80"/>
    </row>
    <row r="2222" spans="1:19">
      <c r="A2222" s="213" t="s">
        <v>2592</v>
      </c>
      <c r="B2222" s="141" t="s">
        <v>2667</v>
      </c>
      <c r="C2222" s="118" t="s">
        <v>3817</v>
      </c>
      <c r="D2222" s="141"/>
      <c r="E2222" s="118"/>
      <c r="F2222" s="118"/>
      <c r="G2222" s="118" t="s">
        <v>3618</v>
      </c>
      <c r="H2222" s="118" t="s">
        <v>3638</v>
      </c>
      <c r="I2222" s="118" t="s">
        <v>4228</v>
      </c>
      <c r="J2222" s="118" t="s">
        <v>8166</v>
      </c>
      <c r="K2222" s="141"/>
      <c r="L2222" s="135" t="str">
        <f t="shared" si="126"/>
        <v>Microtus kermanensis</v>
      </c>
      <c r="M2222" s="133">
        <v>-999</v>
      </c>
      <c r="N2222" s="133">
        <v>-999</v>
      </c>
      <c r="O2222" s="179" t="s">
        <v>3356</v>
      </c>
      <c r="P2222" s="108">
        <v>-999</v>
      </c>
      <c r="Q2222" s="80" t="s">
        <v>6640</v>
      </c>
    </row>
    <row r="2223" spans="1:19" ht="25.5">
      <c r="A2223" s="213" t="s">
        <v>2592</v>
      </c>
      <c r="B2223" s="141" t="s">
        <v>6195</v>
      </c>
      <c r="C2223" s="118" t="s">
        <v>3817</v>
      </c>
      <c r="D2223" s="141"/>
      <c r="E2223" s="118"/>
      <c r="F2223" s="118"/>
      <c r="G2223" s="118" t="s">
        <v>3618</v>
      </c>
      <c r="H2223" s="121" t="s">
        <v>3638</v>
      </c>
      <c r="I2223" s="118" t="s">
        <v>4228</v>
      </c>
      <c r="J2223" s="118" t="s">
        <v>8167</v>
      </c>
      <c r="K2223" s="141"/>
      <c r="L2223" s="135" t="str">
        <f t="shared" si="126"/>
        <v>Microtus kirgisorum</v>
      </c>
      <c r="M2223" s="133">
        <v>-999</v>
      </c>
      <c r="N2223" s="133">
        <v>-999</v>
      </c>
      <c r="O2223" s="179" t="s">
        <v>3356</v>
      </c>
      <c r="P2223" s="108">
        <v>-999</v>
      </c>
      <c r="Q2223" s="80"/>
    </row>
    <row r="2224" spans="1:19" ht="25.5">
      <c r="A2224" s="213" t="s">
        <v>2592</v>
      </c>
      <c r="B2224" s="141" t="s">
        <v>6196</v>
      </c>
      <c r="C2224" s="118" t="s">
        <v>3817</v>
      </c>
      <c r="D2224" s="141"/>
      <c r="E2224" s="118"/>
      <c r="F2224" s="118"/>
      <c r="G2224" s="118" t="s">
        <v>3618</v>
      </c>
      <c r="H2224" s="118" t="s">
        <v>3638</v>
      </c>
      <c r="I2224" s="118" t="s">
        <v>4228</v>
      </c>
      <c r="J2224" s="118" t="s">
        <v>6796</v>
      </c>
      <c r="K2224" s="141"/>
      <c r="L2224" s="135" t="str">
        <f t="shared" si="126"/>
        <v>Microtus leucurus</v>
      </c>
      <c r="M2224" s="133">
        <v>-999</v>
      </c>
      <c r="N2224" s="133">
        <v>-999</v>
      </c>
      <c r="O2224" s="179" t="s">
        <v>3356</v>
      </c>
      <c r="P2224" s="108">
        <v>-999</v>
      </c>
      <c r="Q2224" s="80"/>
    </row>
    <row r="2225" spans="1:18" ht="15">
      <c r="A2225" s="213" t="s">
        <v>2592</v>
      </c>
      <c r="B2225" s="141" t="s">
        <v>1988</v>
      </c>
      <c r="C2225" s="118" t="s">
        <v>3817</v>
      </c>
      <c r="D2225" s="141"/>
      <c r="E2225" s="118"/>
      <c r="F2225" s="118"/>
      <c r="G2225" s="118" t="s">
        <v>3618</v>
      </c>
      <c r="H2225" s="118" t="s">
        <v>3638</v>
      </c>
      <c r="I2225" s="118" t="s">
        <v>4228</v>
      </c>
      <c r="J2225" s="118" t="s">
        <v>8168</v>
      </c>
      <c r="K2225" s="141"/>
      <c r="L2225" s="135" t="str">
        <f t="shared" si="126"/>
        <v>Microtus limnophilus</v>
      </c>
      <c r="M2225" s="133">
        <v>-999</v>
      </c>
      <c r="N2225" s="133">
        <v>-999</v>
      </c>
      <c r="O2225" s="179" t="s">
        <v>3356</v>
      </c>
      <c r="P2225" s="108">
        <v>-999</v>
      </c>
      <c r="Q2225" s="88"/>
    </row>
    <row r="2226" spans="1:18" ht="12" customHeight="1">
      <c r="A2226" s="213" t="s">
        <v>2592</v>
      </c>
      <c r="B2226" s="141" t="s">
        <v>2406</v>
      </c>
      <c r="C2226" s="118" t="s">
        <v>3817</v>
      </c>
      <c r="D2226" s="141"/>
      <c r="E2226" s="118"/>
      <c r="F2226" s="118"/>
      <c r="G2226" s="118" t="s">
        <v>3618</v>
      </c>
      <c r="H2226" s="118" t="s">
        <v>3638</v>
      </c>
      <c r="I2226" s="118" t="s">
        <v>4228</v>
      </c>
      <c r="J2226" s="118" t="s">
        <v>5474</v>
      </c>
      <c r="K2226" s="141"/>
      <c r="L2226" s="135" t="str">
        <f t="shared" si="126"/>
        <v>Microtus lusitanicus</v>
      </c>
      <c r="M2226" s="133">
        <v>-999</v>
      </c>
      <c r="N2226" s="133">
        <v>-999</v>
      </c>
      <c r="O2226" s="179" t="s">
        <v>3356</v>
      </c>
      <c r="P2226" s="108">
        <v>-999</v>
      </c>
      <c r="Q2226" s="88"/>
    </row>
    <row r="2227" spans="1:18">
      <c r="A2227" s="213" t="s">
        <v>2592</v>
      </c>
      <c r="B2227" s="141" t="s">
        <v>2310</v>
      </c>
      <c r="C2227" s="118" t="s">
        <v>3817</v>
      </c>
      <c r="D2227" s="141"/>
      <c r="E2227" s="118"/>
      <c r="F2227" s="118"/>
      <c r="G2227" s="118" t="s">
        <v>3618</v>
      </c>
      <c r="H2227" s="121" t="s">
        <v>3638</v>
      </c>
      <c r="I2227" s="118" t="s">
        <v>4228</v>
      </c>
      <c r="J2227" s="118" t="s">
        <v>5445</v>
      </c>
      <c r="K2227" s="141"/>
      <c r="L2227" s="135" t="str">
        <f t="shared" si="126"/>
        <v>Microtus maximowiczii</v>
      </c>
      <c r="M2227" s="133">
        <v>-999</v>
      </c>
      <c r="N2227" s="133">
        <v>-999</v>
      </c>
      <c r="O2227" s="179" t="s">
        <v>3356</v>
      </c>
      <c r="P2227" s="108">
        <v>-999</v>
      </c>
      <c r="Q2227" s="80"/>
    </row>
    <row r="2228" spans="1:18">
      <c r="A2228" s="213" t="s">
        <v>2592</v>
      </c>
      <c r="B2228" s="141" t="s">
        <v>2292</v>
      </c>
      <c r="C2228" s="118" t="s">
        <v>3817</v>
      </c>
      <c r="D2228" s="141"/>
      <c r="E2228" s="118"/>
      <c r="F2228" s="118"/>
      <c r="G2228" s="118" t="s">
        <v>3618</v>
      </c>
      <c r="H2228" s="118" t="s">
        <v>3638</v>
      </c>
      <c r="I2228" s="118" t="s">
        <v>4228</v>
      </c>
      <c r="J2228" s="118" t="s">
        <v>8039</v>
      </c>
      <c r="K2228" s="141"/>
      <c r="L2228" s="135" t="str">
        <f t="shared" si="126"/>
        <v>Microtus middendorffi</v>
      </c>
      <c r="M2228" s="133">
        <v>-999</v>
      </c>
      <c r="N2228" s="133">
        <v>-999</v>
      </c>
      <c r="O2228" s="179" t="s">
        <v>3356</v>
      </c>
      <c r="P2228" s="108">
        <v>-999</v>
      </c>
      <c r="Q2228" s="80"/>
    </row>
    <row r="2229" spans="1:18">
      <c r="A2229" s="213" t="s">
        <v>2592</v>
      </c>
      <c r="B2229" s="141" t="s">
        <v>3049</v>
      </c>
      <c r="C2229" s="118" t="s">
        <v>3817</v>
      </c>
      <c r="D2229" s="141"/>
      <c r="E2229" s="118"/>
      <c r="F2229" s="118"/>
      <c r="G2229" s="118" t="s">
        <v>3618</v>
      </c>
      <c r="H2229" s="118" t="s">
        <v>3638</v>
      </c>
      <c r="I2229" s="118" t="s">
        <v>4228</v>
      </c>
      <c r="J2229" s="118" t="s">
        <v>5889</v>
      </c>
      <c r="K2229" s="141"/>
      <c r="L2229" s="135" t="str">
        <f t="shared" si="126"/>
        <v>Microtus mujanensis</v>
      </c>
      <c r="M2229" s="133">
        <v>-999</v>
      </c>
      <c r="N2229" s="133">
        <v>-999</v>
      </c>
      <c r="O2229" s="179" t="s">
        <v>3356</v>
      </c>
      <c r="P2229" s="108">
        <v>-999</v>
      </c>
      <c r="Q2229" s="80" t="s">
        <v>7071</v>
      </c>
    </row>
    <row r="2230" spans="1:18">
      <c r="A2230" s="213" t="s">
        <v>2592</v>
      </c>
      <c r="B2230" s="141" t="s">
        <v>3049</v>
      </c>
      <c r="C2230" s="121" t="s">
        <v>3817</v>
      </c>
      <c r="D2230" s="156"/>
      <c r="E2230" s="121"/>
      <c r="F2230" s="121"/>
      <c r="G2230" s="121" t="s">
        <v>3618</v>
      </c>
      <c r="H2230" s="121" t="s">
        <v>3638</v>
      </c>
      <c r="I2230" s="121" t="s">
        <v>4228</v>
      </c>
      <c r="J2230" s="121" t="s">
        <v>5891</v>
      </c>
      <c r="K2230" s="156"/>
      <c r="L2230" s="135" t="str">
        <f t="shared" si="126"/>
        <v>Microtus nasarovi</v>
      </c>
      <c r="M2230" s="133">
        <v>-999</v>
      </c>
      <c r="N2230" s="143">
        <v>-999</v>
      </c>
      <c r="O2230" s="179" t="s">
        <v>3356</v>
      </c>
      <c r="P2230" s="108">
        <v>-999</v>
      </c>
      <c r="Q2230" s="80" t="s">
        <v>6642</v>
      </c>
    </row>
    <row r="2231" spans="1:18">
      <c r="A2231" s="213" t="s">
        <v>2592</v>
      </c>
      <c r="B2231" s="141" t="s">
        <v>2310</v>
      </c>
      <c r="C2231" s="121" t="s">
        <v>3817</v>
      </c>
      <c r="D2231" s="156"/>
      <c r="E2231" s="121"/>
      <c r="F2231" s="121"/>
      <c r="G2231" s="121" t="s">
        <v>3618</v>
      </c>
      <c r="H2231" s="121" t="s">
        <v>3638</v>
      </c>
      <c r="I2231" s="121" t="s">
        <v>4228</v>
      </c>
      <c r="J2231" s="121" t="s">
        <v>7543</v>
      </c>
      <c r="K2231" s="156"/>
      <c r="L2231" s="135" t="str">
        <f t="shared" si="126"/>
        <v>Microtus obscurus</v>
      </c>
      <c r="M2231" s="133">
        <v>-999</v>
      </c>
      <c r="N2231" s="143">
        <v>-999</v>
      </c>
      <c r="O2231" s="179" t="s">
        <v>3356</v>
      </c>
      <c r="P2231" s="108">
        <v>-999</v>
      </c>
      <c r="Q2231" s="80"/>
    </row>
    <row r="2232" spans="1:18">
      <c r="A2232" s="213" t="s">
        <v>2592</v>
      </c>
      <c r="B2232" s="141" t="s">
        <v>2400</v>
      </c>
      <c r="C2232" s="118" t="s">
        <v>3817</v>
      </c>
      <c r="D2232" s="141"/>
      <c r="E2232" s="118"/>
      <c r="F2232" s="118"/>
      <c r="G2232" s="118" t="s">
        <v>3618</v>
      </c>
      <c r="H2232" s="118" t="s">
        <v>3638</v>
      </c>
      <c r="I2232" s="118" t="s">
        <v>4228</v>
      </c>
      <c r="J2232" s="118" t="s">
        <v>5684</v>
      </c>
      <c r="K2232" s="141"/>
      <c r="L2232" s="135" t="str">
        <f t="shared" si="126"/>
        <v>Microtus schelkovnikovi</v>
      </c>
      <c r="M2232" s="133">
        <v>-999</v>
      </c>
      <c r="N2232" s="133">
        <v>-999</v>
      </c>
      <c r="O2232" s="179" t="s">
        <v>3356</v>
      </c>
      <c r="P2232" s="108">
        <v>-999</v>
      </c>
      <c r="Q2232" s="80"/>
    </row>
    <row r="2233" spans="1:18" ht="25.5">
      <c r="A2233" s="213" t="s">
        <v>2592</v>
      </c>
      <c r="B2233" s="141" t="s">
        <v>2401</v>
      </c>
      <c r="C2233" s="118" t="s">
        <v>3817</v>
      </c>
      <c r="D2233" s="141"/>
      <c r="E2233" s="118"/>
      <c r="F2233" s="118"/>
      <c r="G2233" s="118" t="s">
        <v>3618</v>
      </c>
      <c r="H2233" s="118" t="s">
        <v>3638</v>
      </c>
      <c r="I2233" s="118" t="s">
        <v>4228</v>
      </c>
      <c r="J2233" s="118" t="s">
        <v>5685</v>
      </c>
      <c r="K2233" s="141"/>
      <c r="L2233" s="135" t="str">
        <f t="shared" si="126"/>
        <v>Microtus sikimensis</v>
      </c>
      <c r="M2233" s="133">
        <v>-999</v>
      </c>
      <c r="N2233" s="133">
        <v>-999</v>
      </c>
      <c r="O2233" s="179" t="s">
        <v>3356</v>
      </c>
      <c r="P2233" s="108">
        <v>-999</v>
      </c>
      <c r="Q2233" s="80"/>
    </row>
    <row r="2234" spans="1:18" ht="25.5">
      <c r="A2234" s="213" t="s">
        <v>2592</v>
      </c>
      <c r="B2234" s="141" t="s">
        <v>2659</v>
      </c>
      <c r="C2234" s="118" t="s">
        <v>3817</v>
      </c>
      <c r="D2234" s="141"/>
      <c r="E2234" s="118"/>
      <c r="F2234" s="118"/>
      <c r="G2234" s="118" t="s">
        <v>3618</v>
      </c>
      <c r="H2234" s="118" t="s">
        <v>3638</v>
      </c>
      <c r="I2234" s="118" t="s">
        <v>4228</v>
      </c>
      <c r="J2234" s="118" t="s">
        <v>4852</v>
      </c>
      <c r="K2234" s="141"/>
      <c r="L2234" s="135" t="str">
        <f t="shared" si="126"/>
        <v>Microtus thomasi</v>
      </c>
      <c r="M2234" s="133">
        <v>-999</v>
      </c>
      <c r="N2234" s="133">
        <v>-999</v>
      </c>
      <c r="O2234" s="179" t="s">
        <v>3356</v>
      </c>
      <c r="P2234" s="108">
        <v>-999</v>
      </c>
      <c r="Q2234" s="80" t="s">
        <v>6642</v>
      </c>
    </row>
    <row r="2235" spans="1:18" ht="25.5">
      <c r="A2235" s="213" t="s">
        <v>2592</v>
      </c>
      <c r="B2235" s="141" t="s">
        <v>2660</v>
      </c>
      <c r="C2235" s="121" t="s">
        <v>3817</v>
      </c>
      <c r="D2235" s="156"/>
      <c r="E2235" s="121"/>
      <c r="F2235" s="121"/>
      <c r="G2235" s="121" t="s">
        <v>3618</v>
      </c>
      <c r="H2235" s="121" t="s">
        <v>3638</v>
      </c>
      <c r="I2235" s="121" t="s">
        <v>4228</v>
      </c>
      <c r="J2235" s="121" t="s">
        <v>5687</v>
      </c>
      <c r="K2235" s="156"/>
      <c r="L2235" s="135" t="str">
        <f t="shared" si="126"/>
        <v>Microtus transcaspicus</v>
      </c>
      <c r="M2235" s="133">
        <v>-999</v>
      </c>
      <c r="N2235" s="143">
        <v>-999</v>
      </c>
      <c r="O2235" s="179" t="s">
        <v>3356</v>
      </c>
      <c r="P2235" s="108">
        <v>-999</v>
      </c>
      <c r="Q2235" s="80"/>
    </row>
    <row r="2236" spans="1:18">
      <c r="A2236" s="213" t="s">
        <v>2592</v>
      </c>
      <c r="B2236" s="141" t="s">
        <v>3049</v>
      </c>
      <c r="C2236" s="118" t="s">
        <v>3817</v>
      </c>
      <c r="D2236" s="141"/>
      <c r="E2236" s="118"/>
      <c r="F2236" s="118"/>
      <c r="G2236" s="118" t="s">
        <v>3618</v>
      </c>
      <c r="H2236" s="118" t="s">
        <v>3638</v>
      </c>
      <c r="I2236" s="118" t="s">
        <v>4228</v>
      </c>
      <c r="J2236" s="118" t="s">
        <v>3199</v>
      </c>
      <c r="K2236" s="141"/>
      <c r="L2236" s="135" t="str">
        <f t="shared" si="126"/>
        <v>Microtus daghestanicus</v>
      </c>
      <c r="M2236" s="133">
        <f t="shared" ref="M2236:M2272" si="129">LOG(N2236)</f>
        <v>1.1136091510730279</v>
      </c>
      <c r="N2236" s="133">
        <v>12.99</v>
      </c>
      <c r="O2236" s="179" t="s">
        <v>3356</v>
      </c>
      <c r="P2236" s="108">
        <v>188</v>
      </c>
      <c r="Q2236" s="80"/>
    </row>
    <row r="2237" spans="1:18" ht="12" customHeight="1">
      <c r="A2237" s="213" t="s">
        <v>2592</v>
      </c>
      <c r="B2237" s="141" t="s">
        <v>5959</v>
      </c>
      <c r="C2237" s="121" t="s">
        <v>3817</v>
      </c>
      <c r="D2237" s="156"/>
      <c r="E2237" s="121"/>
      <c r="F2237" s="121"/>
      <c r="G2237" s="121" t="s">
        <v>3618</v>
      </c>
      <c r="H2237" s="121" t="s">
        <v>3638</v>
      </c>
      <c r="I2237" s="121" t="s">
        <v>4228</v>
      </c>
      <c r="J2237" s="121" t="s">
        <v>5475</v>
      </c>
      <c r="K2237" s="156"/>
      <c r="L2237" s="135" t="str">
        <f t="shared" si="126"/>
        <v>Microtus majori</v>
      </c>
      <c r="M2237" s="133">
        <f t="shared" si="129"/>
        <v>1.2600713879850747</v>
      </c>
      <c r="N2237" s="143">
        <v>18.2</v>
      </c>
      <c r="O2237" s="179" t="s">
        <v>3356</v>
      </c>
      <c r="P2237" s="108">
        <v>189</v>
      </c>
      <c r="Q2237" s="88"/>
    </row>
    <row r="2238" spans="1:18">
      <c r="A2238" s="213" t="s">
        <v>2592</v>
      </c>
      <c r="B2238" s="130"/>
      <c r="C2238" s="118" t="s">
        <v>3817</v>
      </c>
      <c r="D2238" s="141"/>
      <c r="E2238" s="118"/>
      <c r="F2238" s="118"/>
      <c r="G2238" s="118" t="s">
        <v>3618</v>
      </c>
      <c r="H2238" s="118" t="s">
        <v>3638</v>
      </c>
      <c r="I2238" s="118" t="s">
        <v>4228</v>
      </c>
      <c r="J2238" s="118" t="s">
        <v>6055</v>
      </c>
      <c r="K2238" s="141"/>
      <c r="L2238" s="135" t="str">
        <f t="shared" si="126"/>
        <v>Microtus subterraneus</v>
      </c>
      <c r="M2238" s="133">
        <f t="shared" si="129"/>
        <v>1.2900346113625181</v>
      </c>
      <c r="N2238" s="133">
        <v>19.5</v>
      </c>
      <c r="O2238" s="179" t="s">
        <v>6736</v>
      </c>
      <c r="P2238" s="108">
        <v>68</v>
      </c>
    </row>
    <row r="2239" spans="1:18" ht="15" customHeight="1">
      <c r="A2239" s="213" t="s">
        <v>2592</v>
      </c>
      <c r="B2239" s="141" t="s">
        <v>2398</v>
      </c>
      <c r="C2239" s="118" t="s">
        <v>3817</v>
      </c>
      <c r="D2239" s="141"/>
      <c r="E2239" s="118"/>
      <c r="F2239" s="118"/>
      <c r="G2239" s="118" t="s">
        <v>3618</v>
      </c>
      <c r="H2239" s="118" t="s">
        <v>3638</v>
      </c>
      <c r="I2239" s="118" t="s">
        <v>4228</v>
      </c>
      <c r="J2239" s="118" t="s">
        <v>5683</v>
      </c>
      <c r="K2239" s="141"/>
      <c r="L2239" s="135" t="str">
        <f t="shared" si="126"/>
        <v>Microtus savii</v>
      </c>
      <c r="M2239" s="133">
        <f t="shared" si="129"/>
        <v>1.3010299956639813</v>
      </c>
      <c r="N2239" s="133">
        <v>20</v>
      </c>
      <c r="O2239" s="179" t="s">
        <v>3356</v>
      </c>
      <c r="P2239" s="108">
        <v>134</v>
      </c>
      <c r="Q2239" s="80" t="s">
        <v>6730</v>
      </c>
      <c r="R2239" s="87"/>
    </row>
    <row r="2240" spans="1:18">
      <c r="A2240" s="213" t="s">
        <v>2592</v>
      </c>
      <c r="B2240" s="141" t="s">
        <v>2406</v>
      </c>
      <c r="C2240" s="118" t="s">
        <v>3817</v>
      </c>
      <c r="D2240" s="141"/>
      <c r="E2240" s="118"/>
      <c r="F2240" s="118"/>
      <c r="G2240" s="118" t="s">
        <v>3618</v>
      </c>
      <c r="H2240" s="118" t="s">
        <v>3638</v>
      </c>
      <c r="I2240" s="118" t="s">
        <v>4228</v>
      </c>
      <c r="J2240" s="118" t="s">
        <v>2989</v>
      </c>
      <c r="K2240" s="141"/>
      <c r="L2240" s="135" t="str">
        <f t="shared" si="126"/>
        <v>Microtus duodecimcostatus</v>
      </c>
      <c r="M2240" s="133">
        <f t="shared" si="129"/>
        <v>1.3617278360175928</v>
      </c>
      <c r="N2240" s="133">
        <v>23</v>
      </c>
      <c r="O2240" s="179" t="s">
        <v>3356</v>
      </c>
      <c r="P2240" s="108">
        <v>134</v>
      </c>
      <c r="Q2240" s="80" t="s">
        <v>6784</v>
      </c>
      <c r="R2240" s="87"/>
    </row>
    <row r="2241" spans="1:19" ht="25.5">
      <c r="A2241" s="213" t="s">
        <v>2592</v>
      </c>
      <c r="B2241" s="141" t="s">
        <v>2396</v>
      </c>
      <c r="C2241" s="118" t="s">
        <v>3817</v>
      </c>
      <c r="D2241" s="141"/>
      <c r="E2241" s="118"/>
      <c r="F2241" s="118"/>
      <c r="G2241" s="118" t="s">
        <v>3618</v>
      </c>
      <c r="H2241" s="118" t="s">
        <v>3638</v>
      </c>
      <c r="I2241" s="118" t="s">
        <v>4228</v>
      </c>
      <c r="J2241" s="118" t="s">
        <v>5890</v>
      </c>
      <c r="K2241" s="141"/>
      <c r="L2241" s="135" t="str">
        <f t="shared" si="126"/>
        <v>Microtus multiplex</v>
      </c>
      <c r="M2241" s="133">
        <f t="shared" si="129"/>
        <v>1.3648635498704516</v>
      </c>
      <c r="N2241" s="133">
        <f>AVERAGE(14, 32.5, 23)</f>
        <v>23.166666666666668</v>
      </c>
      <c r="O2241" s="179" t="s">
        <v>3356</v>
      </c>
      <c r="P2241" s="108" t="s">
        <v>6863</v>
      </c>
      <c r="Q2241" s="80"/>
    </row>
    <row r="2242" spans="1:19" ht="24" customHeight="1">
      <c r="A2242" s="213" t="s">
        <v>2592</v>
      </c>
      <c r="B2242" s="141" t="s">
        <v>2310</v>
      </c>
      <c r="C2242" s="121" t="s">
        <v>3817</v>
      </c>
      <c r="D2242" s="156"/>
      <c r="E2242" s="121"/>
      <c r="F2242" s="121"/>
      <c r="G2242" s="121" t="s">
        <v>3618</v>
      </c>
      <c r="H2242" s="121" t="s">
        <v>3638</v>
      </c>
      <c r="I2242" s="118" t="s">
        <v>4228</v>
      </c>
      <c r="J2242" s="118" t="s">
        <v>8040</v>
      </c>
      <c r="K2242" s="141"/>
      <c r="L2242" s="135" t="str">
        <f t="shared" si="126"/>
        <v>Microtus mongolicus</v>
      </c>
      <c r="M2242" s="133">
        <f t="shared" si="129"/>
        <v>1.4393326938302626</v>
      </c>
      <c r="N2242" s="133">
        <f>1000*AVERAGE(0.025, 0.03)</f>
        <v>27.5</v>
      </c>
      <c r="O2242" s="179" t="s">
        <v>3356</v>
      </c>
      <c r="P2242" s="108">
        <v>60</v>
      </c>
      <c r="Q2242" s="80"/>
    </row>
    <row r="2243" spans="1:19" ht="12" customHeight="1">
      <c r="A2243" s="213" t="s">
        <v>2592</v>
      </c>
      <c r="B2243" s="130"/>
      <c r="C2243" s="118" t="s">
        <v>3817</v>
      </c>
      <c r="D2243" s="141"/>
      <c r="E2243" s="118"/>
      <c r="F2243" s="118"/>
      <c r="G2243" s="118" t="s">
        <v>3618</v>
      </c>
      <c r="H2243" s="118" t="s">
        <v>3638</v>
      </c>
      <c r="I2243" s="118" t="s">
        <v>4228</v>
      </c>
      <c r="J2243" s="118" t="s">
        <v>5730</v>
      </c>
      <c r="K2243" s="141"/>
      <c r="L2243" s="135" t="str">
        <f t="shared" si="126"/>
        <v>Microtus arvalis</v>
      </c>
      <c r="M2243" s="133">
        <f t="shared" si="129"/>
        <v>1.4471580313422192</v>
      </c>
      <c r="N2243" s="133">
        <v>28</v>
      </c>
      <c r="O2243" s="179" t="s">
        <v>6736</v>
      </c>
      <c r="P2243" s="108">
        <v>68</v>
      </c>
      <c r="R2243" s="89"/>
    </row>
    <row r="2244" spans="1:19">
      <c r="A2244" s="213" t="s">
        <v>2592</v>
      </c>
      <c r="B2244" s="130"/>
      <c r="C2244" s="118" t="s">
        <v>3817</v>
      </c>
      <c r="D2244" s="141"/>
      <c r="E2244" s="118"/>
      <c r="F2244" s="118"/>
      <c r="G2244" s="118" t="s">
        <v>3618</v>
      </c>
      <c r="H2244" s="118" t="s">
        <v>3638</v>
      </c>
      <c r="I2244" s="118" t="s">
        <v>4228</v>
      </c>
      <c r="J2244" s="118" t="s">
        <v>3971</v>
      </c>
      <c r="K2244" s="141"/>
      <c r="L2244" s="135" t="str">
        <f t="shared" si="126"/>
        <v>Microtus oeconomus</v>
      </c>
      <c r="M2244" s="133">
        <f t="shared" si="129"/>
        <v>1.5626892994286878</v>
      </c>
      <c r="N2244" s="133">
        <f>AVERAGE(24, 62, 23.6)</f>
        <v>36.533333333333331</v>
      </c>
      <c r="O2244" s="179" t="s">
        <v>3046</v>
      </c>
      <c r="P2244" s="108" t="s">
        <v>278</v>
      </c>
      <c r="Q2244" s="80"/>
    </row>
    <row r="2245" spans="1:19">
      <c r="A2245" s="213" t="s">
        <v>2592</v>
      </c>
      <c r="B2245" s="130"/>
      <c r="C2245" s="118" t="s">
        <v>3817</v>
      </c>
      <c r="D2245" s="141"/>
      <c r="E2245" s="118"/>
      <c r="F2245" s="118"/>
      <c r="G2245" s="118" t="s">
        <v>3618</v>
      </c>
      <c r="H2245" s="118" t="s">
        <v>3638</v>
      </c>
      <c r="I2245" s="118" t="s">
        <v>4228</v>
      </c>
      <c r="J2245" s="118" t="s">
        <v>5892</v>
      </c>
      <c r="K2245" s="141"/>
      <c r="L2245" s="135" t="str">
        <f t="shared" ref="L2245:L2308" si="130">I2245&amp;" "&amp;J2245</f>
        <v>Microtus rossiaemeridionalis</v>
      </c>
      <c r="M2245" s="133">
        <f t="shared" si="129"/>
        <v>1.5693739096150459</v>
      </c>
      <c r="N2245" s="133">
        <f>AVERAGE(35.5,38.1,37.7)</f>
        <v>37.1</v>
      </c>
      <c r="O2245" s="179" t="s">
        <v>3356</v>
      </c>
      <c r="P2245" s="108" t="s">
        <v>144</v>
      </c>
      <c r="Q2245" s="80" t="s">
        <v>6783</v>
      </c>
      <c r="R2245" s="87"/>
    </row>
    <row r="2246" spans="1:19" ht="25.5">
      <c r="A2246" s="213" t="s">
        <v>2592</v>
      </c>
      <c r="B2246" s="141" t="s">
        <v>2658</v>
      </c>
      <c r="C2246" s="118" t="s">
        <v>3817</v>
      </c>
      <c r="D2246" s="141"/>
      <c r="E2246" s="118"/>
      <c r="F2246" s="118"/>
      <c r="G2246" s="118" t="s">
        <v>3618</v>
      </c>
      <c r="H2246" s="118" t="s">
        <v>3638</v>
      </c>
      <c r="I2246" s="118" t="s">
        <v>4228</v>
      </c>
      <c r="J2246" s="118" t="s">
        <v>5686</v>
      </c>
      <c r="K2246" s="141"/>
      <c r="L2246" s="135" t="str">
        <f t="shared" si="130"/>
        <v>Microtus tatricus</v>
      </c>
      <c r="M2246" s="133">
        <f t="shared" si="129"/>
        <v>1.6020599913279623</v>
      </c>
      <c r="N2246" s="133">
        <v>40</v>
      </c>
      <c r="O2246" s="179" t="s">
        <v>3356</v>
      </c>
      <c r="P2246" s="108" t="s">
        <v>7950</v>
      </c>
      <c r="Q2246" s="80" t="s">
        <v>6642</v>
      </c>
    </row>
    <row r="2247" spans="1:19">
      <c r="A2247" s="213" t="s">
        <v>2592</v>
      </c>
      <c r="B2247" s="130"/>
      <c r="C2247" s="118" t="s">
        <v>3817</v>
      </c>
      <c r="D2247" s="141"/>
      <c r="E2247" s="118"/>
      <c r="F2247" s="118"/>
      <c r="G2247" s="118" t="s">
        <v>3618</v>
      </c>
      <c r="H2247" s="118" t="s">
        <v>3638</v>
      </c>
      <c r="I2247" s="118" t="s">
        <v>4228</v>
      </c>
      <c r="J2247" s="118" t="s">
        <v>5729</v>
      </c>
      <c r="K2247" s="141"/>
      <c r="L2247" s="135" t="str">
        <f t="shared" si="130"/>
        <v>Microtus agrestis</v>
      </c>
      <c r="M2247" s="133">
        <f t="shared" si="129"/>
        <v>1.6283889300503116</v>
      </c>
      <c r="N2247" s="133">
        <f>AVERAGE(30, 55)</f>
        <v>42.5</v>
      </c>
      <c r="O2247" s="179"/>
      <c r="P2247" s="108">
        <v>114</v>
      </c>
    </row>
    <row r="2248" spans="1:19" ht="12" customHeight="1">
      <c r="A2248" s="213" t="s">
        <v>2592</v>
      </c>
      <c r="B2248" s="141" t="s">
        <v>6554</v>
      </c>
      <c r="C2248" s="121" t="s">
        <v>3817</v>
      </c>
      <c r="D2248" s="156"/>
      <c r="E2248" s="121"/>
      <c r="F2248" s="121"/>
      <c r="G2248" s="121" t="s">
        <v>3618</v>
      </c>
      <c r="H2248" s="121" t="s">
        <v>3638</v>
      </c>
      <c r="I2248" s="121" t="s">
        <v>4228</v>
      </c>
      <c r="J2248" s="121" t="s">
        <v>8165</v>
      </c>
      <c r="K2248" s="156"/>
      <c r="L2248" s="135" t="str">
        <f t="shared" si="130"/>
        <v>Microtus juldaschi</v>
      </c>
      <c r="M2248" s="133">
        <f t="shared" si="129"/>
        <v>1.6490613385520545</v>
      </c>
      <c r="N2248" s="143">
        <v>44.571919609922375</v>
      </c>
      <c r="O2248" s="179" t="s">
        <v>7839</v>
      </c>
      <c r="P2248" s="108" t="s">
        <v>7838</v>
      </c>
      <c r="Q2248" s="88"/>
      <c r="R2248" s="85">
        <f>-6.8244+2.671*LOG(112)</f>
        <v>-1.3509386614479455</v>
      </c>
      <c r="S2248" s="85">
        <f>10^R2248*1000</f>
        <v>44.571919609922375</v>
      </c>
    </row>
    <row r="2249" spans="1:19">
      <c r="A2249" s="213" t="s">
        <v>2592</v>
      </c>
      <c r="B2249" s="130"/>
      <c r="C2249" s="118" t="s">
        <v>3817</v>
      </c>
      <c r="D2249" s="141"/>
      <c r="E2249" s="118"/>
      <c r="F2249" s="118"/>
      <c r="G2249" s="118" t="s">
        <v>3618</v>
      </c>
      <c r="H2249" s="118" t="s">
        <v>3638</v>
      </c>
      <c r="I2249" s="118" t="s">
        <v>4228</v>
      </c>
      <c r="J2249" s="118" t="s">
        <v>6308</v>
      </c>
      <c r="K2249" s="141"/>
      <c r="L2249" s="135" t="str">
        <f t="shared" si="130"/>
        <v>Microtus gregalis</v>
      </c>
      <c r="M2249" s="133">
        <f t="shared" si="129"/>
        <v>1.6766936096248666</v>
      </c>
      <c r="N2249" s="133">
        <f>1000*(AVERAGE(0.035, 0.06))</f>
        <v>47.5</v>
      </c>
      <c r="O2249" s="179" t="s">
        <v>3356</v>
      </c>
      <c r="P2249" s="108">
        <v>60</v>
      </c>
      <c r="Q2249" s="80"/>
    </row>
    <row r="2250" spans="1:19">
      <c r="A2250" s="213" t="s">
        <v>2592</v>
      </c>
      <c r="B2250" s="130"/>
      <c r="C2250" s="118" t="s">
        <v>3817</v>
      </c>
      <c r="D2250" s="141"/>
      <c r="E2250" s="118"/>
      <c r="F2250" s="118"/>
      <c r="G2250" s="118" t="s">
        <v>3618</v>
      </c>
      <c r="H2250" s="118" t="s">
        <v>3638</v>
      </c>
      <c r="I2250" s="118" t="s">
        <v>4228</v>
      </c>
      <c r="J2250" s="118" t="s">
        <v>5449</v>
      </c>
      <c r="K2250" s="141"/>
      <c r="L2250" s="135" t="str">
        <f t="shared" si="130"/>
        <v>Microtus socialis</v>
      </c>
      <c r="M2250" s="133">
        <f t="shared" si="129"/>
        <v>1.6812412373755872</v>
      </c>
      <c r="N2250" s="133">
        <v>48</v>
      </c>
      <c r="O2250" s="179" t="s">
        <v>6736</v>
      </c>
      <c r="P2250" s="108">
        <v>68</v>
      </c>
      <c r="R2250" s="85" t="s">
        <v>7624</v>
      </c>
    </row>
    <row r="2251" spans="1:19" ht="25.5">
      <c r="A2251" s="213" t="s">
        <v>2592</v>
      </c>
      <c r="B2251" s="141" t="s">
        <v>2380</v>
      </c>
      <c r="C2251" s="118" t="s">
        <v>3817</v>
      </c>
      <c r="D2251" s="141"/>
      <c r="E2251" s="118"/>
      <c r="F2251" s="118"/>
      <c r="G2251" s="118" t="s">
        <v>3618</v>
      </c>
      <c r="H2251" s="118" t="s">
        <v>3638</v>
      </c>
      <c r="I2251" s="118" t="s">
        <v>4228</v>
      </c>
      <c r="J2251" s="118" t="s">
        <v>3895</v>
      </c>
      <c r="K2251" s="141"/>
      <c r="L2251" s="135" t="str">
        <f t="shared" si="130"/>
        <v>Microtus guentheri</v>
      </c>
      <c r="M2251" s="133">
        <f t="shared" si="129"/>
        <v>1.6989700043360187</v>
      </c>
      <c r="N2251" s="133">
        <f>AVERAGE(32, 68)</f>
        <v>50</v>
      </c>
      <c r="O2251" s="179" t="s">
        <v>3047</v>
      </c>
      <c r="P2251" s="108" t="s">
        <v>6862</v>
      </c>
      <c r="Q2251" s="80" t="s">
        <v>6642</v>
      </c>
    </row>
    <row r="2252" spans="1:19" ht="25.5">
      <c r="A2252" s="213" t="s">
        <v>2592</v>
      </c>
      <c r="B2252" s="141" t="s">
        <v>2252</v>
      </c>
      <c r="C2252" s="118" t="s">
        <v>3817</v>
      </c>
      <c r="D2252" s="141"/>
      <c r="E2252" s="118"/>
      <c r="F2252" s="118"/>
      <c r="G2252" s="118" t="s">
        <v>3618</v>
      </c>
      <c r="H2252" s="118" t="s">
        <v>3638</v>
      </c>
      <c r="I2252" s="118" t="s">
        <v>4228</v>
      </c>
      <c r="J2252" s="118" t="s">
        <v>6307</v>
      </c>
      <c r="K2252" s="141"/>
      <c r="L2252" s="135" t="str">
        <f t="shared" si="130"/>
        <v>Microtus cabrerae</v>
      </c>
      <c r="M2252" s="133">
        <f t="shared" si="129"/>
        <v>1.7201593034059568</v>
      </c>
      <c r="N2252" s="133">
        <f>(40+65)/2</f>
        <v>52.5</v>
      </c>
      <c r="O2252" s="182" t="s">
        <v>6781</v>
      </c>
      <c r="P2252" s="108">
        <v>134</v>
      </c>
      <c r="Q2252" s="90" t="s">
        <v>6642</v>
      </c>
      <c r="R2252" s="87"/>
    </row>
    <row r="2253" spans="1:19">
      <c r="A2253" s="213" t="s">
        <v>2592</v>
      </c>
      <c r="B2253" s="141" t="s">
        <v>6562</v>
      </c>
      <c r="C2253" s="121" t="s">
        <v>3817</v>
      </c>
      <c r="D2253" s="156"/>
      <c r="E2253" s="121"/>
      <c r="F2253" s="121"/>
      <c r="G2253" s="121" t="s">
        <v>3618</v>
      </c>
      <c r="H2253" s="121" t="s">
        <v>3638</v>
      </c>
      <c r="I2253" s="121" t="s">
        <v>4228</v>
      </c>
      <c r="J2253" s="121" t="s">
        <v>8197</v>
      </c>
      <c r="K2253" s="156"/>
      <c r="L2253" s="135" t="str">
        <f t="shared" si="130"/>
        <v>Microtus fortis</v>
      </c>
      <c r="M2253" s="133">
        <f t="shared" si="129"/>
        <v>1.7993405494535817</v>
      </c>
      <c r="N2253" s="133">
        <f>1000*0.063</f>
        <v>63</v>
      </c>
      <c r="O2253" s="179" t="s">
        <v>3356</v>
      </c>
      <c r="P2253" s="108">
        <v>60</v>
      </c>
      <c r="Q2253" s="80"/>
    </row>
    <row r="2254" spans="1:19" ht="25.5">
      <c r="A2254" s="213" t="s">
        <v>2592</v>
      </c>
      <c r="B2254" s="141" t="s">
        <v>2655</v>
      </c>
      <c r="C2254" s="118" t="s">
        <v>3817</v>
      </c>
      <c r="D2254" s="141"/>
      <c r="E2254" s="118"/>
      <c r="F2254" s="118"/>
      <c r="G2254" s="118" t="s">
        <v>3618</v>
      </c>
      <c r="H2254" s="118" t="s">
        <v>3638</v>
      </c>
      <c r="I2254" s="118" t="s">
        <v>6056</v>
      </c>
      <c r="J2254" s="118" t="s">
        <v>6525</v>
      </c>
      <c r="K2254" s="141"/>
      <c r="L2254" s="135" t="str">
        <f t="shared" si="130"/>
        <v>Millardia gleadowi</v>
      </c>
      <c r="M2254" s="133">
        <f t="shared" si="129"/>
        <v>1.4885507165004443</v>
      </c>
      <c r="N2254" s="133">
        <f>1000*0.0308</f>
        <v>30.8</v>
      </c>
      <c r="O2254" s="179" t="s">
        <v>3356</v>
      </c>
      <c r="P2254" s="108">
        <v>60</v>
      </c>
      <c r="Q2254" s="80"/>
    </row>
    <row r="2255" spans="1:19">
      <c r="A2255" s="213" t="s">
        <v>2592</v>
      </c>
      <c r="B2255" s="130"/>
      <c r="C2255" s="118" t="s">
        <v>3817</v>
      </c>
      <c r="D2255" s="141"/>
      <c r="E2255" s="118"/>
      <c r="F2255" s="118"/>
      <c r="G2255" s="118" t="s">
        <v>3618</v>
      </c>
      <c r="H2255" s="118" t="s">
        <v>3638</v>
      </c>
      <c r="I2255" s="118" t="s">
        <v>6056</v>
      </c>
      <c r="J2255" s="118" t="s">
        <v>5454</v>
      </c>
      <c r="K2255" s="141"/>
      <c r="L2255" s="135" t="str">
        <f t="shared" si="130"/>
        <v>Millardia meltada</v>
      </c>
      <c r="M2255" s="133">
        <f t="shared" si="129"/>
        <v>1.8450980400142569</v>
      </c>
      <c r="N2255" s="133">
        <v>70</v>
      </c>
      <c r="O2255" s="179" t="s">
        <v>6736</v>
      </c>
      <c r="P2255" s="108">
        <v>68</v>
      </c>
    </row>
    <row r="2256" spans="1:19" ht="12" customHeight="1">
      <c r="A2256" s="213" t="s">
        <v>2592</v>
      </c>
      <c r="B2256" s="141" t="s">
        <v>2661</v>
      </c>
      <c r="C2256" s="118" t="s">
        <v>3817</v>
      </c>
      <c r="D2256" s="141"/>
      <c r="E2256" s="118"/>
      <c r="F2256" s="118"/>
      <c r="G2256" s="118" t="s">
        <v>3618</v>
      </c>
      <c r="H2256" s="118" t="s">
        <v>3638</v>
      </c>
      <c r="I2256" s="118" t="s">
        <v>6056</v>
      </c>
      <c r="J2256" s="118" t="s">
        <v>5857</v>
      </c>
      <c r="K2256" s="141"/>
      <c r="L2256" s="135" t="str">
        <f t="shared" si="130"/>
        <v>Millardia kathleenae</v>
      </c>
      <c r="M2256" s="133">
        <f t="shared" si="129"/>
        <v>1.968482948553935</v>
      </c>
      <c r="N2256" s="133">
        <f>1000*0.093</f>
        <v>93</v>
      </c>
      <c r="O2256" s="179" t="s">
        <v>3356</v>
      </c>
      <c r="P2256" s="108">
        <v>60</v>
      </c>
      <c r="Q2256" s="88"/>
    </row>
    <row r="2257" spans="1:18">
      <c r="A2257" s="213" t="s">
        <v>2592</v>
      </c>
      <c r="B2257" s="141" t="s">
        <v>2527</v>
      </c>
      <c r="C2257" s="118" t="s">
        <v>3817</v>
      </c>
      <c r="D2257" s="141"/>
      <c r="E2257" s="118"/>
      <c r="F2257" s="118"/>
      <c r="G2257" s="118" t="s">
        <v>3618</v>
      </c>
      <c r="H2257" s="121" t="s">
        <v>3638</v>
      </c>
      <c r="I2257" s="118" t="s">
        <v>6056</v>
      </c>
      <c r="J2257" s="118" t="s">
        <v>5858</v>
      </c>
      <c r="K2257" s="141"/>
      <c r="L2257" s="135" t="str">
        <f t="shared" si="130"/>
        <v>Millardia kondana</v>
      </c>
      <c r="M2257" s="133">
        <f t="shared" si="129"/>
        <v>2.167317334748176</v>
      </c>
      <c r="N2257" s="133">
        <f>1000*0.147</f>
        <v>147</v>
      </c>
      <c r="O2257" s="179" t="s">
        <v>6882</v>
      </c>
      <c r="P2257" s="108">
        <v>60</v>
      </c>
      <c r="Q2257" s="80" t="s">
        <v>6640</v>
      </c>
    </row>
    <row r="2258" spans="1:18" ht="25.5">
      <c r="A2258" s="213" t="s">
        <v>2592</v>
      </c>
      <c r="B2258" s="141" t="s">
        <v>2523</v>
      </c>
      <c r="C2258" s="118" t="s">
        <v>3817</v>
      </c>
      <c r="D2258" s="141"/>
      <c r="E2258" s="118"/>
      <c r="F2258" s="118"/>
      <c r="G2258" s="118" t="s">
        <v>3618</v>
      </c>
      <c r="H2258" s="118" t="s">
        <v>3638</v>
      </c>
      <c r="I2258" s="118" t="s">
        <v>6536</v>
      </c>
      <c r="J2258" s="118" t="s">
        <v>6498</v>
      </c>
      <c r="K2258" s="141"/>
      <c r="L2258" s="135" t="str">
        <f t="shared" si="130"/>
        <v>Mus terricolor</v>
      </c>
      <c r="M2258" s="133">
        <f t="shared" si="129"/>
        <v>0.95424250943932487</v>
      </c>
      <c r="N2258" s="133">
        <f>AVERAGE(7, 11)</f>
        <v>9</v>
      </c>
      <c r="O2258" s="179" t="s">
        <v>3356</v>
      </c>
      <c r="P2258" s="108" t="s">
        <v>7970</v>
      </c>
      <c r="Q2258" s="80"/>
    </row>
    <row r="2259" spans="1:18" ht="51">
      <c r="A2259" s="213" t="s">
        <v>2592</v>
      </c>
      <c r="B2259" s="141" t="s">
        <v>2242</v>
      </c>
      <c r="C2259" s="118" t="s">
        <v>3817</v>
      </c>
      <c r="D2259" s="141"/>
      <c r="E2259" s="118"/>
      <c r="F2259" s="118"/>
      <c r="G2259" s="118" t="s">
        <v>3618</v>
      </c>
      <c r="H2259" s="118" t="s">
        <v>3638</v>
      </c>
      <c r="I2259" s="118" t="s">
        <v>6536</v>
      </c>
      <c r="J2259" s="118" t="s">
        <v>6046</v>
      </c>
      <c r="K2259" s="141"/>
      <c r="L2259" s="135" t="str">
        <f t="shared" si="130"/>
        <v>Mus caroli</v>
      </c>
      <c r="M2259" s="133">
        <f t="shared" si="129"/>
        <v>1.0511525224473812</v>
      </c>
      <c r="N2259" s="133">
        <f>1000*AVERAGE(0.011, 0.011, 0.011, 0.012)</f>
        <v>11.25</v>
      </c>
      <c r="O2259" s="179" t="s">
        <v>3356</v>
      </c>
      <c r="P2259" s="108">
        <v>60</v>
      </c>
      <c r="Q2259" s="80"/>
    </row>
    <row r="2260" spans="1:18" ht="12" customHeight="1">
      <c r="A2260" s="213" t="s">
        <v>2592</v>
      </c>
      <c r="B2260" s="141" t="s">
        <v>5986</v>
      </c>
      <c r="C2260" s="121" t="s">
        <v>3817</v>
      </c>
      <c r="D2260" s="156"/>
      <c r="E2260" s="121"/>
      <c r="F2260" s="121"/>
      <c r="G2260" s="121" t="s">
        <v>3618</v>
      </c>
      <c r="H2260" s="121" t="s">
        <v>3638</v>
      </c>
      <c r="I2260" s="121" t="s">
        <v>6536</v>
      </c>
      <c r="J2260" s="121" t="s">
        <v>6393</v>
      </c>
      <c r="K2260" s="156"/>
      <c r="L2260" s="135" t="str">
        <f t="shared" si="130"/>
        <v>Mus phillipsi</v>
      </c>
      <c r="M2260" s="133">
        <f t="shared" si="129"/>
        <v>1.0899051114393981</v>
      </c>
      <c r="N2260" s="133">
        <f>1000*0.0123</f>
        <v>12.3</v>
      </c>
      <c r="O2260" s="179" t="s">
        <v>3356</v>
      </c>
      <c r="P2260" s="108">
        <v>60</v>
      </c>
      <c r="Q2260" s="80"/>
      <c r="R2260" s="89"/>
    </row>
    <row r="2261" spans="1:18" ht="25.5">
      <c r="A2261" s="213" t="s">
        <v>2592</v>
      </c>
      <c r="B2261" s="141" t="s">
        <v>2785</v>
      </c>
      <c r="C2261" s="118" t="s">
        <v>3817</v>
      </c>
      <c r="D2261" s="141"/>
      <c r="E2261" s="118"/>
      <c r="F2261" s="118"/>
      <c r="G2261" s="118" t="s">
        <v>3618</v>
      </c>
      <c r="H2261" s="118" t="s">
        <v>3638</v>
      </c>
      <c r="I2261" s="118" t="s">
        <v>6536</v>
      </c>
      <c r="J2261" s="118" t="s">
        <v>8160</v>
      </c>
      <c r="K2261" s="141"/>
      <c r="L2261" s="135" t="str">
        <f t="shared" si="130"/>
        <v>Mus booduga</v>
      </c>
      <c r="M2261" s="133">
        <f t="shared" si="129"/>
        <v>1.0969100130080565</v>
      </c>
      <c r="N2261" s="133">
        <f>AVERAGE(10, 15)</f>
        <v>12.5</v>
      </c>
      <c r="O2261" s="179" t="s">
        <v>3356</v>
      </c>
      <c r="P2261" s="108">
        <v>117</v>
      </c>
      <c r="Q2261" s="80"/>
    </row>
    <row r="2262" spans="1:18">
      <c r="A2262" s="213" t="s">
        <v>2592</v>
      </c>
      <c r="B2262" s="130"/>
      <c r="C2262" s="118" t="s">
        <v>3817</v>
      </c>
      <c r="D2262" s="141"/>
      <c r="E2262" s="118"/>
      <c r="F2262" s="118"/>
      <c r="G2262" s="118" t="s">
        <v>3618</v>
      </c>
      <c r="H2262" s="118" t="s">
        <v>3638</v>
      </c>
      <c r="I2262" s="118" t="s">
        <v>6536</v>
      </c>
      <c r="J2262" s="118" t="s">
        <v>5456</v>
      </c>
      <c r="K2262" s="141"/>
      <c r="L2262" s="135" t="str">
        <f t="shared" si="130"/>
        <v>Mus spretus</v>
      </c>
      <c r="M2262" s="133">
        <f t="shared" si="129"/>
        <v>1.1072099696478683</v>
      </c>
      <c r="N2262" s="133">
        <v>12.8</v>
      </c>
      <c r="O2262" s="179" t="s">
        <v>6736</v>
      </c>
      <c r="P2262" s="108">
        <v>68</v>
      </c>
    </row>
    <row r="2263" spans="1:18" ht="38.25">
      <c r="A2263" s="213" t="s">
        <v>2592</v>
      </c>
      <c r="B2263" s="141" t="s">
        <v>2877</v>
      </c>
      <c r="C2263" s="118" t="s">
        <v>3817</v>
      </c>
      <c r="D2263" s="141"/>
      <c r="E2263" s="118"/>
      <c r="F2263" s="118"/>
      <c r="G2263" s="118" t="s">
        <v>3618</v>
      </c>
      <c r="H2263" s="118" t="s">
        <v>3638</v>
      </c>
      <c r="I2263" s="118" t="s">
        <v>6536</v>
      </c>
      <c r="J2263" s="118" t="s">
        <v>3195</v>
      </c>
      <c r="K2263" s="141"/>
      <c r="L2263" s="135" t="str">
        <f t="shared" si="130"/>
        <v>Mus spicilegus</v>
      </c>
      <c r="M2263" s="133">
        <f t="shared" si="129"/>
        <v>1.146128035678238</v>
      </c>
      <c r="N2263" s="133">
        <v>14</v>
      </c>
      <c r="O2263" s="179" t="s">
        <v>3356</v>
      </c>
      <c r="P2263" s="108">
        <v>188</v>
      </c>
      <c r="Q2263" s="80" t="s">
        <v>6642</v>
      </c>
    </row>
    <row r="2264" spans="1:18" ht="38.25">
      <c r="A2264" s="213" t="s">
        <v>2592</v>
      </c>
      <c r="B2264" s="141" t="s">
        <v>6091</v>
      </c>
      <c r="C2264" s="121" t="s">
        <v>3817</v>
      </c>
      <c r="D2264" s="156"/>
      <c r="E2264" s="121"/>
      <c r="F2264" s="121"/>
      <c r="G2264" s="121" t="s">
        <v>3618</v>
      </c>
      <c r="H2264" s="121" t="s">
        <v>3638</v>
      </c>
      <c r="I2264" s="121" t="s">
        <v>6536</v>
      </c>
      <c r="J2264" s="121" t="s">
        <v>6622</v>
      </c>
      <c r="K2264" s="156"/>
      <c r="L2264" s="135" t="str">
        <f t="shared" si="130"/>
        <v>Mus macedonicus</v>
      </c>
      <c r="M2264" s="133">
        <f t="shared" si="129"/>
        <v>1.1760912590556813</v>
      </c>
      <c r="N2264" s="143">
        <v>15</v>
      </c>
      <c r="O2264" s="179" t="s">
        <v>3356</v>
      </c>
      <c r="P2264" s="108">
        <v>190</v>
      </c>
      <c r="Q2264" s="80"/>
      <c r="R2264" s="85" t="s">
        <v>7603</v>
      </c>
    </row>
    <row r="2265" spans="1:18">
      <c r="A2265" s="217" t="s">
        <v>2592</v>
      </c>
      <c r="B2265" s="130"/>
      <c r="C2265" s="131" t="s">
        <v>3817</v>
      </c>
      <c r="D2265" s="130"/>
      <c r="E2265" s="131"/>
      <c r="F2265" s="131"/>
      <c r="G2265" s="131" t="s">
        <v>3618</v>
      </c>
      <c r="H2265" s="131" t="s">
        <v>3638</v>
      </c>
      <c r="I2265" s="131" t="s">
        <v>6536</v>
      </c>
      <c r="J2265" s="131" t="s">
        <v>4307</v>
      </c>
      <c r="K2265" s="130"/>
      <c r="L2265" s="135" t="str">
        <f t="shared" si="130"/>
        <v>Mus musculus</v>
      </c>
      <c r="M2265" s="133">
        <f t="shared" si="129"/>
        <v>1.1760912590556813</v>
      </c>
      <c r="N2265" s="132">
        <f>AVERAGE(10, 24, 7, 19)</f>
        <v>15</v>
      </c>
      <c r="O2265" s="187" t="s">
        <v>1459</v>
      </c>
      <c r="P2265" s="120" t="s">
        <v>5905</v>
      </c>
      <c r="Q2265" s="78"/>
      <c r="R2265" s="85" t="s">
        <v>7602</v>
      </c>
    </row>
    <row r="2266" spans="1:18" ht="38.25">
      <c r="A2266" s="213" t="s">
        <v>2592</v>
      </c>
      <c r="B2266" s="141" t="s">
        <v>2372</v>
      </c>
      <c r="C2266" s="118" t="s">
        <v>3817</v>
      </c>
      <c r="D2266" s="141"/>
      <c r="E2266" s="118"/>
      <c r="F2266" s="118"/>
      <c r="G2266" s="118" t="s">
        <v>3618</v>
      </c>
      <c r="H2266" s="118" t="s">
        <v>3638</v>
      </c>
      <c r="I2266" s="118" t="s">
        <v>6536</v>
      </c>
      <c r="J2266" s="118" t="s">
        <v>7786</v>
      </c>
      <c r="K2266" s="141"/>
      <c r="L2266" s="135" t="str">
        <f t="shared" si="130"/>
        <v>Mus cervicolor</v>
      </c>
      <c r="M2266" s="133">
        <f t="shared" si="129"/>
        <v>1.2479732663618066</v>
      </c>
      <c r="N2266" s="133">
        <f>1000*AVERAGE(0.0196, 0.0146, 0.0146, 0.022)</f>
        <v>17.7</v>
      </c>
      <c r="O2266" s="179" t="s">
        <v>3356</v>
      </c>
      <c r="P2266" s="108">
        <v>60</v>
      </c>
      <c r="Q2266" s="80"/>
    </row>
    <row r="2267" spans="1:18" ht="38.25">
      <c r="A2267" s="213" t="s">
        <v>2592</v>
      </c>
      <c r="B2267" s="141" t="s">
        <v>2364</v>
      </c>
      <c r="C2267" s="121" t="s">
        <v>3817</v>
      </c>
      <c r="D2267" s="156"/>
      <c r="E2267" s="121"/>
      <c r="F2267" s="121"/>
      <c r="G2267" s="121" t="s">
        <v>3618</v>
      </c>
      <c r="H2267" s="121" t="s">
        <v>3638</v>
      </c>
      <c r="I2267" s="121" t="s">
        <v>6536</v>
      </c>
      <c r="J2267" s="121" t="s">
        <v>6174</v>
      </c>
      <c r="K2267" s="156"/>
      <c r="L2267" s="135" t="str">
        <f t="shared" si="130"/>
        <v>Mus cookii</v>
      </c>
      <c r="M2267" s="133">
        <f t="shared" si="129"/>
        <v>1.3110471164215052</v>
      </c>
      <c r="N2267" s="133">
        <f>1000*AVERAGE(0.0151, 0.0233, 0.023)</f>
        <v>20.466666666666669</v>
      </c>
      <c r="O2267" s="179" t="s">
        <v>3356</v>
      </c>
      <c r="P2267" s="108">
        <v>60</v>
      </c>
      <c r="Q2267" s="80"/>
    </row>
    <row r="2268" spans="1:18" ht="15" customHeight="1">
      <c r="A2268" s="213" t="s">
        <v>2592</v>
      </c>
      <c r="B2268" s="141" t="s">
        <v>5987</v>
      </c>
      <c r="C2268" s="118" t="s">
        <v>3817</v>
      </c>
      <c r="D2268" s="141"/>
      <c r="E2268" s="118"/>
      <c r="F2268" s="118"/>
      <c r="G2268" s="118" t="s">
        <v>3618</v>
      </c>
      <c r="H2268" s="118" t="s">
        <v>3638</v>
      </c>
      <c r="I2268" s="118" t="s">
        <v>6536</v>
      </c>
      <c r="J2268" s="118" t="s">
        <v>4798</v>
      </c>
      <c r="K2268" s="141"/>
      <c r="L2268" s="135" t="str">
        <f t="shared" si="130"/>
        <v>Mus saxicola</v>
      </c>
      <c r="M2268" s="133">
        <f t="shared" si="129"/>
        <v>1.3304137733491908</v>
      </c>
      <c r="N2268" s="133">
        <f>1000*0.0214</f>
        <v>21.4</v>
      </c>
      <c r="O2268" s="179" t="s">
        <v>3356</v>
      </c>
      <c r="P2268" s="108">
        <v>60</v>
      </c>
      <c r="Q2268" s="80"/>
    </row>
    <row r="2269" spans="1:18">
      <c r="A2269" s="213" t="s">
        <v>2592</v>
      </c>
      <c r="B2269" s="141" t="s">
        <v>2566</v>
      </c>
      <c r="C2269" s="118" t="s">
        <v>3817</v>
      </c>
      <c r="D2269" s="141"/>
      <c r="E2269" s="118"/>
      <c r="F2269" s="118"/>
      <c r="G2269" s="118" t="s">
        <v>3618</v>
      </c>
      <c r="H2269" s="118" t="s">
        <v>3638</v>
      </c>
      <c r="I2269" s="118" t="s">
        <v>6536</v>
      </c>
      <c r="J2269" s="118" t="s">
        <v>6523</v>
      </c>
      <c r="K2269" s="141"/>
      <c r="L2269" s="135" t="str">
        <f t="shared" si="130"/>
        <v>Mus famulus</v>
      </c>
      <c r="M2269" s="133">
        <f t="shared" si="129"/>
        <v>1.3594560201209867</v>
      </c>
      <c r="N2269" s="133">
        <v>22.88</v>
      </c>
      <c r="O2269" s="179" t="s">
        <v>6641</v>
      </c>
      <c r="P2269" s="108">
        <v>179</v>
      </c>
      <c r="Q2269" s="80" t="s">
        <v>6640</v>
      </c>
    </row>
    <row r="2270" spans="1:18" ht="24" customHeight="1">
      <c r="A2270" s="213" t="s">
        <v>2592</v>
      </c>
      <c r="B2270" s="141" t="s">
        <v>5986</v>
      </c>
      <c r="C2270" s="118" t="s">
        <v>3817</v>
      </c>
      <c r="D2270" s="141"/>
      <c r="E2270" s="118"/>
      <c r="F2270" s="118"/>
      <c r="G2270" s="118" t="s">
        <v>3618</v>
      </c>
      <c r="H2270" s="118" t="s">
        <v>3638</v>
      </c>
      <c r="I2270" s="118" t="s">
        <v>6536</v>
      </c>
      <c r="J2270" s="118" t="s">
        <v>4797</v>
      </c>
      <c r="K2270" s="141"/>
      <c r="L2270" s="135" t="str">
        <f t="shared" si="130"/>
        <v>Mus platythrix</v>
      </c>
      <c r="M2270" s="133">
        <f t="shared" si="129"/>
        <v>1.4014005407815442</v>
      </c>
      <c r="N2270" s="133">
        <f>1000*AVERAGE(0.018, 0.0294, 0.0282)</f>
        <v>25.2</v>
      </c>
      <c r="O2270" s="179" t="s">
        <v>3356</v>
      </c>
      <c r="P2270" s="108">
        <v>60</v>
      </c>
      <c r="Q2270" s="80"/>
      <c r="R2270" s="89"/>
    </row>
    <row r="2271" spans="1:18" ht="25.5">
      <c r="A2271" s="213" t="s">
        <v>2592</v>
      </c>
      <c r="B2271" s="141" t="s">
        <v>5985</v>
      </c>
      <c r="C2271" s="121" t="s">
        <v>3817</v>
      </c>
      <c r="D2271" s="156"/>
      <c r="E2271" s="121"/>
      <c r="F2271" s="121"/>
      <c r="G2271" s="121" t="s">
        <v>3618</v>
      </c>
      <c r="H2271" s="121" t="s">
        <v>3638</v>
      </c>
      <c r="I2271" s="121" t="s">
        <v>6536</v>
      </c>
      <c r="J2271" s="121" t="s">
        <v>4796</v>
      </c>
      <c r="K2271" s="156"/>
      <c r="L2271" s="135" t="str">
        <f t="shared" si="130"/>
        <v>Mus pahari</v>
      </c>
      <c r="M2271" s="133">
        <f t="shared" si="129"/>
        <v>1.4104960456160738</v>
      </c>
      <c r="N2271" s="133">
        <f>1000*AVERAGE(0.0264, 0.0228, 0.028)</f>
        <v>25.733333333333334</v>
      </c>
      <c r="O2271" s="179" t="s">
        <v>3356</v>
      </c>
      <c r="P2271" s="108">
        <v>60</v>
      </c>
      <c r="Q2271" s="80"/>
    </row>
    <row r="2272" spans="1:18" ht="15" customHeight="1">
      <c r="A2272" s="213" t="s">
        <v>2592</v>
      </c>
      <c r="B2272" s="141" t="s">
        <v>3130</v>
      </c>
      <c r="C2272" s="118" t="s">
        <v>3817</v>
      </c>
      <c r="D2272" s="141"/>
      <c r="E2272" s="118"/>
      <c r="F2272" s="118"/>
      <c r="G2272" s="118" t="s">
        <v>3618</v>
      </c>
      <c r="H2272" s="118" t="s">
        <v>3638</v>
      </c>
      <c r="I2272" s="118" t="s">
        <v>6536</v>
      </c>
      <c r="J2272" s="118" t="s">
        <v>3430</v>
      </c>
      <c r="K2272" s="141"/>
      <c r="L2272" s="135" t="str">
        <f t="shared" si="130"/>
        <v>Mus shortridgei</v>
      </c>
      <c r="M2272" s="133">
        <f t="shared" si="129"/>
        <v>1.5390760987927767</v>
      </c>
      <c r="N2272" s="133">
        <f>1000*AVERAGE(0.034, 0.0352)</f>
        <v>34.600000000000009</v>
      </c>
      <c r="O2272" s="179" t="s">
        <v>3356</v>
      </c>
      <c r="P2272" s="108">
        <v>60</v>
      </c>
      <c r="Q2272" s="80"/>
    </row>
    <row r="2273" spans="1:32">
      <c r="A2273" s="213" t="s">
        <v>2592</v>
      </c>
      <c r="B2273" s="141" t="s">
        <v>2282</v>
      </c>
      <c r="C2273" s="118" t="s">
        <v>3817</v>
      </c>
      <c r="D2273" s="141"/>
      <c r="E2273" s="118"/>
      <c r="F2273" s="118"/>
      <c r="G2273" s="118" t="s">
        <v>3618</v>
      </c>
      <c r="H2273" s="118" t="s">
        <v>3638</v>
      </c>
      <c r="I2273" s="118" t="s">
        <v>4310</v>
      </c>
      <c r="J2273" s="118" t="s">
        <v>6654</v>
      </c>
      <c r="K2273" s="141"/>
      <c r="L2273" s="135" t="str">
        <f t="shared" si="130"/>
        <v>Myomys yemeni</v>
      </c>
      <c r="M2273" s="133">
        <v>-999</v>
      </c>
      <c r="N2273" s="133">
        <v>-999</v>
      </c>
      <c r="O2273" s="179" t="s">
        <v>3356</v>
      </c>
      <c r="P2273" s="108">
        <v>-999</v>
      </c>
      <c r="Q2273" s="80"/>
    </row>
    <row r="2274" spans="1:32" ht="12" customHeight="1">
      <c r="A2274" s="213" t="s">
        <v>2592</v>
      </c>
      <c r="B2274" s="130"/>
      <c r="C2274" s="118" t="s">
        <v>3817</v>
      </c>
      <c r="D2274" s="141"/>
      <c r="E2274" s="118"/>
      <c r="F2274" s="118"/>
      <c r="G2274" s="118" t="s">
        <v>3618</v>
      </c>
      <c r="H2274" s="118" t="s">
        <v>3638</v>
      </c>
      <c r="I2274" s="118" t="s">
        <v>5457</v>
      </c>
      <c r="J2274" s="118" t="s">
        <v>5506</v>
      </c>
      <c r="K2274" s="141"/>
      <c r="L2274" s="135" t="str">
        <f t="shared" si="130"/>
        <v>Myopus schisticolor</v>
      </c>
      <c r="M2274" s="133">
        <f>LOG(N2274)</f>
        <v>1.3979400086720377</v>
      </c>
      <c r="N2274" s="133">
        <v>25</v>
      </c>
      <c r="O2274" s="179" t="s">
        <v>6641</v>
      </c>
      <c r="P2274" s="108">
        <v>68</v>
      </c>
      <c r="Q2274" s="88" t="s">
        <v>6985</v>
      </c>
    </row>
    <row r="2275" spans="1:32">
      <c r="A2275" s="213" t="s">
        <v>2592</v>
      </c>
      <c r="B2275" s="141" t="s">
        <v>4643</v>
      </c>
      <c r="C2275" s="118" t="s">
        <v>3817</v>
      </c>
      <c r="D2275" s="141"/>
      <c r="E2275" s="118"/>
      <c r="F2275" s="118"/>
      <c r="G2275" s="118" t="s">
        <v>3618</v>
      </c>
      <c r="H2275" s="118" t="s">
        <v>3638</v>
      </c>
      <c r="I2275" s="118" t="s">
        <v>6215</v>
      </c>
      <c r="J2275" s="118" t="s">
        <v>6380</v>
      </c>
      <c r="K2275" s="141"/>
      <c r="L2275" s="135" t="str">
        <f t="shared" si="130"/>
        <v>Myospalax aspalax</v>
      </c>
      <c r="M2275" s="133">
        <v>-999</v>
      </c>
      <c r="N2275" s="133">
        <v>-999</v>
      </c>
      <c r="O2275" s="179" t="s">
        <v>3356</v>
      </c>
      <c r="P2275" s="108">
        <v>-999</v>
      </c>
      <c r="Q2275" s="80"/>
    </row>
    <row r="2276" spans="1:32" ht="12" customHeight="1">
      <c r="A2276" s="213" t="s">
        <v>2592</v>
      </c>
      <c r="B2276" s="141" t="s">
        <v>4643</v>
      </c>
      <c r="C2276" s="118" t="s">
        <v>3817</v>
      </c>
      <c r="D2276" s="141"/>
      <c r="E2276" s="118"/>
      <c r="F2276" s="118"/>
      <c r="G2276" s="118" t="s">
        <v>3618</v>
      </c>
      <c r="H2276" s="118" t="s">
        <v>3638</v>
      </c>
      <c r="I2276" s="118" t="s">
        <v>6215</v>
      </c>
      <c r="J2276" s="118" t="s">
        <v>6823</v>
      </c>
      <c r="K2276" s="141"/>
      <c r="L2276" s="135" t="str">
        <f t="shared" si="130"/>
        <v>Myospalax epsilanus</v>
      </c>
      <c r="M2276" s="133">
        <v>-999</v>
      </c>
      <c r="N2276" s="133">
        <v>-999</v>
      </c>
      <c r="O2276" s="179" t="s">
        <v>3356</v>
      </c>
      <c r="P2276" s="108">
        <v>-999</v>
      </c>
      <c r="Q2276" s="88" t="s">
        <v>6642</v>
      </c>
    </row>
    <row r="2277" spans="1:32" ht="25.5">
      <c r="A2277" s="213" t="s">
        <v>2592</v>
      </c>
      <c r="B2277" s="141" t="s">
        <v>2284</v>
      </c>
      <c r="C2277" s="118" t="s">
        <v>3817</v>
      </c>
      <c r="D2277" s="141"/>
      <c r="E2277" s="118"/>
      <c r="F2277" s="118"/>
      <c r="G2277" s="118" t="s">
        <v>3618</v>
      </c>
      <c r="H2277" s="118" t="s">
        <v>3638</v>
      </c>
      <c r="I2277" s="118" t="s">
        <v>6215</v>
      </c>
      <c r="J2277" s="118" t="s">
        <v>4145</v>
      </c>
      <c r="K2277" s="141"/>
      <c r="L2277" s="135" t="str">
        <f t="shared" si="130"/>
        <v>Myospalax psilurus</v>
      </c>
      <c r="M2277" s="133">
        <v>-999</v>
      </c>
      <c r="N2277" s="133">
        <v>-999</v>
      </c>
      <c r="O2277" s="179" t="s">
        <v>3356</v>
      </c>
      <c r="P2277" s="108">
        <v>-999</v>
      </c>
      <c r="Q2277" s="80"/>
    </row>
    <row r="2278" spans="1:32" ht="12" customHeight="1">
      <c r="A2278" s="213" t="s">
        <v>2592</v>
      </c>
      <c r="B2278" s="141" t="s">
        <v>2283</v>
      </c>
      <c r="C2278" s="118" t="s">
        <v>3817</v>
      </c>
      <c r="D2278" s="141"/>
      <c r="E2278" s="118"/>
      <c r="F2278" s="118"/>
      <c r="G2278" s="118" t="s">
        <v>3618</v>
      </c>
      <c r="H2278" s="121" t="s">
        <v>3638</v>
      </c>
      <c r="I2278" s="118" t="s">
        <v>6215</v>
      </c>
      <c r="J2278" s="118" t="s">
        <v>4144</v>
      </c>
      <c r="K2278" s="141"/>
      <c r="L2278" s="135" t="str">
        <f t="shared" si="130"/>
        <v>Myospalax myospalax</v>
      </c>
      <c r="M2278" s="133">
        <f t="shared" ref="M2278:M2283" si="131">LOG(N2278)</f>
        <v>2.3521825181113627</v>
      </c>
      <c r="N2278" s="133">
        <f>AVERAGE(160, 290)</f>
        <v>225</v>
      </c>
      <c r="O2278" s="179" t="s">
        <v>3356</v>
      </c>
      <c r="P2278" s="108">
        <v>138</v>
      </c>
      <c r="Q2278" s="80"/>
      <c r="R2278" s="89"/>
    </row>
    <row r="2279" spans="1:32" ht="12" customHeight="1">
      <c r="A2279" s="213" t="s">
        <v>2592</v>
      </c>
      <c r="B2279" s="141" t="s">
        <v>1988</v>
      </c>
      <c r="C2279" s="118" t="s">
        <v>3817</v>
      </c>
      <c r="D2279" s="141"/>
      <c r="E2279" s="118"/>
      <c r="F2279" s="118"/>
      <c r="G2279" s="118" t="s">
        <v>3618</v>
      </c>
      <c r="H2279" s="118" t="s">
        <v>3638</v>
      </c>
      <c r="I2279" s="118" t="s">
        <v>6215</v>
      </c>
      <c r="J2279" s="118" t="s">
        <v>4178</v>
      </c>
      <c r="K2279" s="141"/>
      <c r="L2279" s="135" t="str">
        <f t="shared" si="130"/>
        <v>Myospalax rothschildi</v>
      </c>
      <c r="M2279" s="133">
        <f t="shared" si="131"/>
        <v>2.3802112417116059</v>
      </c>
      <c r="N2279" s="133">
        <f>1000*0.24</f>
        <v>240</v>
      </c>
      <c r="O2279" s="179" t="s">
        <v>7964</v>
      </c>
      <c r="P2279" s="108">
        <v>60</v>
      </c>
      <c r="Q2279" s="88" t="s">
        <v>6642</v>
      </c>
    </row>
    <row r="2280" spans="1:32">
      <c r="A2280" s="213" t="s">
        <v>2592</v>
      </c>
      <c r="B2280" s="141" t="s">
        <v>1988</v>
      </c>
      <c r="C2280" s="118" t="s">
        <v>3817</v>
      </c>
      <c r="D2280" s="141"/>
      <c r="E2280" s="118"/>
      <c r="F2280" s="118"/>
      <c r="G2280" s="118" t="s">
        <v>3618</v>
      </c>
      <c r="H2280" s="118" t="s">
        <v>3638</v>
      </c>
      <c r="I2280" s="118" t="s">
        <v>6215</v>
      </c>
      <c r="J2280" s="118" t="s">
        <v>4143</v>
      </c>
      <c r="K2280" s="141"/>
      <c r="L2280" s="135" t="str">
        <f t="shared" si="130"/>
        <v>Myospalax fontanierii</v>
      </c>
      <c r="M2280" s="133">
        <f t="shared" si="131"/>
        <v>2.3891660843645326</v>
      </c>
      <c r="N2280" s="133">
        <f>AVERAGE(220, 270)</f>
        <v>245</v>
      </c>
      <c r="O2280" s="179" t="s">
        <v>3356</v>
      </c>
      <c r="P2280" s="108">
        <v>167</v>
      </c>
      <c r="Q2280" s="80" t="s">
        <v>6988</v>
      </c>
    </row>
    <row r="2281" spans="1:32" ht="38.25">
      <c r="A2281" s="213" t="s">
        <v>2592</v>
      </c>
      <c r="B2281" s="141" t="s">
        <v>1988</v>
      </c>
      <c r="C2281" s="118" t="s">
        <v>3817</v>
      </c>
      <c r="D2281" s="141"/>
      <c r="E2281" s="118"/>
      <c r="F2281" s="118"/>
      <c r="G2281" s="118" t="s">
        <v>3618</v>
      </c>
      <c r="H2281" s="118" t="s">
        <v>3638</v>
      </c>
      <c r="I2281" s="118" t="s">
        <v>6215</v>
      </c>
      <c r="J2281" s="118" t="s">
        <v>4168</v>
      </c>
      <c r="K2281" s="141"/>
      <c r="L2281" s="135" t="str">
        <f t="shared" si="130"/>
        <v>Myospalax smithii</v>
      </c>
      <c r="M2281" s="133">
        <f t="shared" si="131"/>
        <v>2.5786392099680722</v>
      </c>
      <c r="N2281" s="133">
        <f>1000*0.379</f>
        <v>379</v>
      </c>
      <c r="O2281" s="179" t="s">
        <v>7822</v>
      </c>
      <c r="P2281" s="108">
        <v>60</v>
      </c>
      <c r="Q2281" s="80" t="s">
        <v>6642</v>
      </c>
    </row>
    <row r="2282" spans="1:32">
      <c r="A2282" s="213" t="s">
        <v>2592</v>
      </c>
      <c r="B2282" s="141" t="s">
        <v>2285</v>
      </c>
      <c r="C2282" s="118" t="s">
        <v>3817</v>
      </c>
      <c r="D2282" s="141"/>
      <c r="E2282" s="118"/>
      <c r="F2282" s="118"/>
      <c r="G2282" s="118" t="s">
        <v>3618</v>
      </c>
      <c r="H2282" s="118" t="s">
        <v>3638</v>
      </c>
      <c r="I2282" s="118" t="s">
        <v>3432</v>
      </c>
      <c r="J2282" s="118" t="s">
        <v>4944</v>
      </c>
      <c r="K2282" s="141"/>
      <c r="L2282" s="135" t="str">
        <f t="shared" si="130"/>
        <v>Nannospalax nehringi</v>
      </c>
      <c r="M2282" s="133">
        <f t="shared" si="131"/>
        <v>2.2455126678141499</v>
      </c>
      <c r="N2282" s="133">
        <v>176</v>
      </c>
      <c r="O2282" s="179" t="s">
        <v>3356</v>
      </c>
      <c r="P2282" s="108">
        <v>60</v>
      </c>
      <c r="Q2282" s="80"/>
    </row>
    <row r="2283" spans="1:32" ht="15" customHeight="1">
      <c r="A2283" s="213" t="s">
        <v>2592</v>
      </c>
      <c r="B2283" s="130"/>
      <c r="C2283" s="118" t="s">
        <v>3817</v>
      </c>
      <c r="D2283" s="141"/>
      <c r="E2283" s="118"/>
      <c r="F2283" s="118"/>
      <c r="G2283" s="118" t="s">
        <v>3618</v>
      </c>
      <c r="H2283" s="118" t="s">
        <v>3638</v>
      </c>
      <c r="I2283" s="118" t="s">
        <v>3432</v>
      </c>
      <c r="J2283" s="118" t="s">
        <v>3691</v>
      </c>
      <c r="K2283" s="141"/>
      <c r="L2283" s="135" t="str">
        <f t="shared" si="130"/>
        <v>Nannospalax leucodon</v>
      </c>
      <c r="M2283" s="133">
        <f t="shared" si="131"/>
        <v>2.2504200023088941</v>
      </c>
      <c r="N2283" s="133">
        <v>178</v>
      </c>
      <c r="O2283" s="179" t="s">
        <v>6736</v>
      </c>
      <c r="P2283" s="108">
        <v>68</v>
      </c>
      <c r="Q2283" s="90" t="s">
        <v>6988</v>
      </c>
      <c r="R2283" s="85" t="s">
        <v>7856</v>
      </c>
    </row>
    <row r="2284" spans="1:32">
      <c r="A2284" s="213" t="s">
        <v>2592</v>
      </c>
      <c r="B2284" s="141" t="s">
        <v>7696</v>
      </c>
      <c r="C2284" s="118" t="s">
        <v>3817</v>
      </c>
      <c r="D2284" s="141"/>
      <c r="E2284" s="118"/>
      <c r="F2284" s="118"/>
      <c r="G2284" s="118" t="s">
        <v>3618</v>
      </c>
      <c r="H2284" s="118" t="s">
        <v>3638</v>
      </c>
      <c r="I2284" s="118" t="s">
        <v>4337</v>
      </c>
      <c r="J2284" s="118" t="s">
        <v>6170</v>
      </c>
      <c r="K2284" s="141"/>
      <c r="L2284" s="135" t="str">
        <f t="shared" si="130"/>
        <v>Nesokia bunnii</v>
      </c>
      <c r="M2284" s="133">
        <v>-999</v>
      </c>
      <c r="N2284" s="133">
        <v>-999</v>
      </c>
      <c r="O2284" s="179" t="s">
        <v>3356</v>
      </c>
      <c r="P2284" s="108">
        <v>-999</v>
      </c>
      <c r="Q2284" s="80" t="s">
        <v>6642</v>
      </c>
    </row>
    <row r="2285" spans="1:32" ht="12" customHeight="1">
      <c r="A2285" s="213" t="s">
        <v>2592</v>
      </c>
      <c r="B2285" s="130"/>
      <c r="C2285" s="118" t="s">
        <v>3817</v>
      </c>
      <c r="D2285" s="141"/>
      <c r="E2285" s="118"/>
      <c r="F2285" s="118"/>
      <c r="G2285" s="118" t="s">
        <v>3618</v>
      </c>
      <c r="H2285" s="118" t="s">
        <v>3638</v>
      </c>
      <c r="I2285" s="118" t="s">
        <v>4337</v>
      </c>
      <c r="J2285" s="118" t="s">
        <v>4108</v>
      </c>
      <c r="K2285" s="141"/>
      <c r="L2285" s="135" t="str">
        <f t="shared" si="130"/>
        <v>Nesokia indica</v>
      </c>
      <c r="M2285" s="133">
        <f t="shared" ref="M2285:M2303" si="132">LOG(N2285)</f>
        <v>2.2496059543069098</v>
      </c>
      <c r="N2285" s="133">
        <f>AVERAGE(112, 177, 244)</f>
        <v>177.66666666666666</v>
      </c>
      <c r="O2285" s="179" t="s">
        <v>3356</v>
      </c>
      <c r="P2285" s="108" t="s">
        <v>7002</v>
      </c>
      <c r="Q2285" s="80"/>
      <c r="R2285" s="89" t="s">
        <v>7606</v>
      </c>
    </row>
    <row r="2286" spans="1:32" ht="25.5">
      <c r="A2286" s="213" t="s">
        <v>2592</v>
      </c>
      <c r="B2286" s="141" t="s">
        <v>4735</v>
      </c>
      <c r="C2286" s="118" t="s">
        <v>3817</v>
      </c>
      <c r="D2286" s="141"/>
      <c r="E2286" s="118"/>
      <c r="F2286" s="118"/>
      <c r="G2286" s="118" t="s">
        <v>3618</v>
      </c>
      <c r="H2286" s="118" t="s">
        <v>3638</v>
      </c>
      <c r="I2286" s="118" t="s">
        <v>5507</v>
      </c>
      <c r="J2286" s="118" t="s">
        <v>4285</v>
      </c>
      <c r="K2286" s="141"/>
      <c r="L2286" s="135" t="str">
        <f t="shared" si="130"/>
        <v>Niviventer eha</v>
      </c>
      <c r="M2286" s="133">
        <f t="shared" si="132"/>
        <v>1.72916478969277</v>
      </c>
      <c r="N2286" s="133">
        <f>1000*0.0536</f>
        <v>53.6</v>
      </c>
      <c r="O2286" s="179" t="s">
        <v>3356</v>
      </c>
      <c r="P2286" s="108">
        <v>60</v>
      </c>
      <c r="Q2286" s="80"/>
    </row>
    <row r="2287" spans="1:32">
      <c r="A2287" s="213" t="s">
        <v>2592</v>
      </c>
      <c r="B2287" s="141" t="s">
        <v>2276</v>
      </c>
      <c r="C2287" s="118" t="s">
        <v>3817</v>
      </c>
      <c r="D2287" s="141"/>
      <c r="E2287" s="118"/>
      <c r="F2287" s="118"/>
      <c r="G2287" s="118" t="s">
        <v>3618</v>
      </c>
      <c r="H2287" s="118" t="s">
        <v>3638</v>
      </c>
      <c r="I2287" s="118" t="s">
        <v>5507</v>
      </c>
      <c r="J2287" s="118" t="s">
        <v>3142</v>
      </c>
      <c r="K2287" s="141"/>
      <c r="L2287" s="135" t="str">
        <f t="shared" si="130"/>
        <v>Niviventer hinpoon</v>
      </c>
      <c r="M2287" s="133">
        <f t="shared" si="132"/>
        <v>1.7853298350107671</v>
      </c>
      <c r="N2287" s="133">
        <f>1000*0.061</f>
        <v>61</v>
      </c>
      <c r="O2287" s="179" t="s">
        <v>3356</v>
      </c>
      <c r="P2287" s="108">
        <v>60</v>
      </c>
      <c r="Q2287" s="80" t="s">
        <v>6642</v>
      </c>
      <c r="AD2287" s="16"/>
      <c r="AE2287" s="16"/>
      <c r="AF2287" s="18"/>
    </row>
    <row r="2288" spans="1:32">
      <c r="A2288" s="213" t="s">
        <v>2592</v>
      </c>
      <c r="B2288" s="141" t="s">
        <v>7513</v>
      </c>
      <c r="C2288" s="118" t="s">
        <v>3817</v>
      </c>
      <c r="D2288" s="141"/>
      <c r="E2288" s="118"/>
      <c r="F2288" s="118"/>
      <c r="G2288" s="118" t="s">
        <v>3618</v>
      </c>
      <c r="H2288" s="118" t="s">
        <v>3638</v>
      </c>
      <c r="I2288" s="118" t="s">
        <v>5507</v>
      </c>
      <c r="J2288" s="118" t="s">
        <v>4282</v>
      </c>
      <c r="K2288" s="141"/>
      <c r="L2288" s="135" t="str">
        <f t="shared" si="130"/>
        <v>Niviventer confucianus</v>
      </c>
      <c r="M2288" s="133">
        <f t="shared" si="132"/>
        <v>1.8129133566428555</v>
      </c>
      <c r="N2288" s="133">
        <f>1000*0.065</f>
        <v>65</v>
      </c>
      <c r="O2288" s="179" t="s">
        <v>3356</v>
      </c>
      <c r="P2288" s="108">
        <v>60</v>
      </c>
      <c r="Q2288" s="80"/>
      <c r="AD2288" s="16"/>
      <c r="AE2288" s="16"/>
      <c r="AF2288" s="18"/>
    </row>
    <row r="2289" spans="1:32">
      <c r="A2289" s="213" t="s">
        <v>2592</v>
      </c>
      <c r="B2289" s="130"/>
      <c r="C2289" s="118" t="s">
        <v>3817</v>
      </c>
      <c r="D2289" s="141"/>
      <c r="E2289" s="118"/>
      <c r="F2289" s="118"/>
      <c r="G2289" s="118" t="s">
        <v>3618</v>
      </c>
      <c r="H2289" s="118" t="s">
        <v>3638</v>
      </c>
      <c r="I2289" s="118" t="s">
        <v>5507</v>
      </c>
      <c r="J2289" s="118" t="s">
        <v>5508</v>
      </c>
      <c r="K2289" s="141"/>
      <c r="L2289" s="135" t="str">
        <f t="shared" si="130"/>
        <v>Niviventer cremoriventer</v>
      </c>
      <c r="M2289" s="133">
        <f t="shared" si="132"/>
        <v>1.8221680793680175</v>
      </c>
      <c r="N2289" s="133">
        <v>66.400000000000006</v>
      </c>
      <c r="O2289" s="179" t="s">
        <v>6736</v>
      </c>
      <c r="P2289" s="108">
        <v>68</v>
      </c>
      <c r="AD2289" s="16"/>
      <c r="AE2289" s="16"/>
      <c r="AF2289" s="18"/>
    </row>
    <row r="2290" spans="1:32" ht="25.5">
      <c r="A2290" s="213" t="s">
        <v>2592</v>
      </c>
      <c r="B2290" s="141" t="s">
        <v>5031</v>
      </c>
      <c r="C2290" s="118" t="s">
        <v>3817</v>
      </c>
      <c r="D2290" s="141"/>
      <c r="E2290" s="118"/>
      <c r="F2290" s="118"/>
      <c r="G2290" s="118" t="s">
        <v>3618</v>
      </c>
      <c r="H2290" s="118" t="s">
        <v>3638</v>
      </c>
      <c r="I2290" s="118" t="s">
        <v>5507</v>
      </c>
      <c r="J2290" s="118" t="s">
        <v>3143</v>
      </c>
      <c r="K2290" s="141"/>
      <c r="L2290" s="135" t="str">
        <f t="shared" si="130"/>
        <v>Niviventer langbianis</v>
      </c>
      <c r="M2290" s="133">
        <f t="shared" si="132"/>
        <v>1.8438554226231612</v>
      </c>
      <c r="N2290" s="133">
        <f>1000*0.0698</f>
        <v>69.8</v>
      </c>
      <c r="O2290" s="179" t="s">
        <v>3356</v>
      </c>
      <c r="P2290" s="108">
        <v>60</v>
      </c>
      <c r="Q2290" s="80"/>
      <c r="AD2290" s="16"/>
      <c r="AE2290" s="16"/>
      <c r="AF2290" s="18"/>
    </row>
    <row r="2291" spans="1:32" ht="51">
      <c r="A2291" s="213" t="s">
        <v>2592</v>
      </c>
      <c r="B2291" s="141" t="s">
        <v>5315</v>
      </c>
      <c r="C2291" s="118" t="s">
        <v>3817</v>
      </c>
      <c r="D2291" s="141"/>
      <c r="E2291" s="118"/>
      <c r="F2291" s="118"/>
      <c r="G2291" s="118" t="s">
        <v>3618</v>
      </c>
      <c r="H2291" s="118" t="s">
        <v>3638</v>
      </c>
      <c r="I2291" s="118" t="s">
        <v>5507</v>
      </c>
      <c r="J2291" s="118" t="s">
        <v>3368</v>
      </c>
      <c r="K2291" s="141"/>
      <c r="L2291" s="135" t="str">
        <f t="shared" si="130"/>
        <v>Niviventer fulvescens</v>
      </c>
      <c r="M2291" s="133">
        <f t="shared" si="132"/>
        <v>1.9011630606434409</v>
      </c>
      <c r="N2291" s="133">
        <f>AVERAGE(60, 108, ((2.5/16)*454))</f>
        <v>79.645833333333329</v>
      </c>
      <c r="O2291" s="179" t="s">
        <v>3356</v>
      </c>
      <c r="P2291" s="108" t="s">
        <v>1613</v>
      </c>
      <c r="Q2291" s="80"/>
      <c r="AD2291" s="16"/>
      <c r="AE2291" s="16"/>
      <c r="AF2291" s="18"/>
    </row>
    <row r="2292" spans="1:32" ht="36" customHeight="1">
      <c r="A2292" s="213" t="s">
        <v>2592</v>
      </c>
      <c r="B2292" s="141" t="s">
        <v>5023</v>
      </c>
      <c r="C2292" s="118" t="s">
        <v>3817</v>
      </c>
      <c r="D2292" s="141"/>
      <c r="E2292" s="118"/>
      <c r="F2292" s="118"/>
      <c r="G2292" s="118" t="s">
        <v>3618</v>
      </c>
      <c r="H2292" s="118" t="s">
        <v>3638</v>
      </c>
      <c r="I2292" s="118" t="s">
        <v>5507</v>
      </c>
      <c r="J2292" s="118" t="s">
        <v>3558</v>
      </c>
      <c r="K2292" s="141"/>
      <c r="L2292" s="135" t="str">
        <f t="shared" si="130"/>
        <v>Niviventer rapit</v>
      </c>
      <c r="M2292" s="133">
        <f t="shared" si="132"/>
        <v>1.9382694834629113</v>
      </c>
      <c r="N2292" s="133">
        <f>1000*AVERAGE(0.0935, 0.08)</f>
        <v>86.75</v>
      </c>
      <c r="O2292" s="179"/>
      <c r="P2292" s="108">
        <v>60</v>
      </c>
      <c r="Q2292" s="80"/>
      <c r="AD2292" s="16"/>
      <c r="AE2292" s="16"/>
      <c r="AF2292" s="18"/>
    </row>
    <row r="2293" spans="1:32" ht="12" customHeight="1">
      <c r="A2293" s="213" t="s">
        <v>2592</v>
      </c>
      <c r="B2293" s="141" t="s">
        <v>7122</v>
      </c>
      <c r="C2293" s="121" t="s">
        <v>3817</v>
      </c>
      <c r="D2293" s="156"/>
      <c r="E2293" s="121"/>
      <c r="F2293" s="121"/>
      <c r="G2293" s="121" t="s">
        <v>3618</v>
      </c>
      <c r="H2293" s="121" t="s">
        <v>3638</v>
      </c>
      <c r="I2293" s="121" t="s">
        <v>5507</v>
      </c>
      <c r="J2293" s="121" t="s">
        <v>3548</v>
      </c>
      <c r="K2293" s="156"/>
      <c r="L2293" s="135" t="str">
        <f t="shared" si="130"/>
        <v>Niviventer brahma</v>
      </c>
      <c r="M2293" s="133">
        <f t="shared" si="132"/>
        <v>1.9881128402683519</v>
      </c>
      <c r="N2293" s="133">
        <f>1000*0.0973</f>
        <v>97.3</v>
      </c>
      <c r="O2293" s="179" t="s">
        <v>3356</v>
      </c>
      <c r="P2293" s="108">
        <v>60</v>
      </c>
      <c r="Q2293" s="80"/>
      <c r="R2293" s="89"/>
      <c r="AD2293" s="16"/>
      <c r="AE2293" s="16"/>
      <c r="AF2293" s="18"/>
    </row>
    <row r="2294" spans="1:32">
      <c r="A2294" s="213" t="s">
        <v>2592</v>
      </c>
      <c r="B2294" s="141" t="s">
        <v>5022</v>
      </c>
      <c r="C2294" s="118" t="s">
        <v>3817</v>
      </c>
      <c r="D2294" s="141"/>
      <c r="E2294" s="118"/>
      <c r="F2294" s="118"/>
      <c r="G2294" s="118" t="s">
        <v>3618</v>
      </c>
      <c r="H2294" s="118" t="s">
        <v>3638</v>
      </c>
      <c r="I2294" s="118" t="s">
        <v>5507</v>
      </c>
      <c r="J2294" s="118" t="s">
        <v>3557</v>
      </c>
      <c r="K2294" s="141"/>
      <c r="L2294" s="135" t="str">
        <f t="shared" si="130"/>
        <v>Niviventer niviventer</v>
      </c>
      <c r="M2294" s="133">
        <f t="shared" si="132"/>
        <v>2</v>
      </c>
      <c r="N2294" s="133">
        <v>100</v>
      </c>
      <c r="O2294" s="179" t="s">
        <v>3356</v>
      </c>
      <c r="P2294" s="108">
        <v>119</v>
      </c>
      <c r="Q2294" s="80"/>
      <c r="AD2294" s="16"/>
      <c r="AE2294" s="16"/>
      <c r="AF2294" s="18"/>
    </row>
    <row r="2295" spans="1:32">
      <c r="A2295" s="213" t="s">
        <v>2592</v>
      </c>
      <c r="B2295" s="141" t="s">
        <v>1988</v>
      </c>
      <c r="C2295" s="118" t="s">
        <v>3817</v>
      </c>
      <c r="D2295" s="141"/>
      <c r="E2295" s="118"/>
      <c r="F2295" s="118"/>
      <c r="G2295" s="118" t="s">
        <v>3618</v>
      </c>
      <c r="H2295" s="118" t="s">
        <v>3638</v>
      </c>
      <c r="I2295" s="118" t="s">
        <v>5507</v>
      </c>
      <c r="J2295" s="118" t="s">
        <v>4286</v>
      </c>
      <c r="K2295" s="141"/>
      <c r="L2295" s="135" t="str">
        <f t="shared" si="130"/>
        <v>Niviventer excelsior</v>
      </c>
      <c r="M2295" s="133">
        <f t="shared" si="132"/>
        <v>2.0086001717619175</v>
      </c>
      <c r="N2295" s="133">
        <f>1000*0.102</f>
        <v>102</v>
      </c>
      <c r="O2295" s="179" t="s">
        <v>3356</v>
      </c>
      <c r="P2295" s="108">
        <v>60</v>
      </c>
      <c r="Q2295" s="80"/>
      <c r="AD2295" s="16"/>
      <c r="AE2295" s="16"/>
      <c r="AF2295" s="18"/>
    </row>
    <row r="2296" spans="1:32">
      <c r="A2296" s="213" t="s">
        <v>2592</v>
      </c>
      <c r="B2296" s="141" t="s">
        <v>7307</v>
      </c>
      <c r="C2296" s="118" t="s">
        <v>3817</v>
      </c>
      <c r="D2296" s="141"/>
      <c r="E2296" s="118"/>
      <c r="F2296" s="118"/>
      <c r="G2296" s="118" t="s">
        <v>3618</v>
      </c>
      <c r="H2296" s="118" t="s">
        <v>3638</v>
      </c>
      <c r="I2296" s="118" t="s">
        <v>5507</v>
      </c>
      <c r="J2296" s="118" t="s">
        <v>6047</v>
      </c>
      <c r="K2296" s="141"/>
      <c r="L2296" s="135" t="str">
        <f t="shared" si="130"/>
        <v>Niviventer tenaster</v>
      </c>
      <c r="M2296" s="133">
        <f t="shared" si="132"/>
        <v>2.012837224705172</v>
      </c>
      <c r="N2296" s="133">
        <v>103</v>
      </c>
      <c r="O2296" s="179" t="s">
        <v>3356</v>
      </c>
      <c r="P2296" s="108">
        <v>60</v>
      </c>
      <c r="Q2296" s="80"/>
      <c r="AD2296" s="16"/>
      <c r="AE2296" s="16"/>
      <c r="AF2296" s="18"/>
    </row>
    <row r="2297" spans="1:32">
      <c r="A2297" s="213" t="s">
        <v>2592</v>
      </c>
      <c r="B2297" s="141" t="s">
        <v>7121</v>
      </c>
      <c r="C2297" s="118" t="s">
        <v>3817</v>
      </c>
      <c r="D2297" s="141"/>
      <c r="E2297" s="118"/>
      <c r="F2297" s="118"/>
      <c r="G2297" s="118" t="s">
        <v>3618</v>
      </c>
      <c r="H2297" s="118" t="s">
        <v>3638</v>
      </c>
      <c r="I2297" s="118" t="s">
        <v>5507</v>
      </c>
      <c r="J2297" s="118" t="s">
        <v>4402</v>
      </c>
      <c r="K2297" s="141"/>
      <c r="L2297" s="135" t="str">
        <f t="shared" si="130"/>
        <v>Niviventer andersoni</v>
      </c>
      <c r="M2297" s="133">
        <f t="shared" si="132"/>
        <v>2.167317334748176</v>
      </c>
      <c r="N2297" s="133">
        <v>147</v>
      </c>
      <c r="O2297" s="179" t="s">
        <v>3356</v>
      </c>
      <c r="P2297" s="108">
        <v>60</v>
      </c>
      <c r="Q2297" s="80"/>
      <c r="AD2297" s="16"/>
      <c r="AE2297" s="16"/>
      <c r="AF2297" s="18"/>
    </row>
    <row r="2298" spans="1:32">
      <c r="A2298" s="213" t="s">
        <v>2592</v>
      </c>
      <c r="B2298" s="130"/>
      <c r="C2298" s="118" t="s">
        <v>3817</v>
      </c>
      <c r="D2298" s="141"/>
      <c r="E2298" s="118"/>
      <c r="F2298" s="118"/>
      <c r="G2298" s="118" t="s">
        <v>3618</v>
      </c>
      <c r="H2298" s="118" t="s">
        <v>3638</v>
      </c>
      <c r="I2298" s="118" t="s">
        <v>3369</v>
      </c>
      <c r="J2298" s="118" t="s">
        <v>3370</v>
      </c>
      <c r="K2298" s="141"/>
      <c r="L2298" s="135" t="str">
        <f t="shared" si="130"/>
        <v>Ondatra zibethicus</v>
      </c>
      <c r="M2298" s="133">
        <f t="shared" si="132"/>
        <v>3.0606978403536118</v>
      </c>
      <c r="N2298" s="133">
        <f>AVERAGE(600, 1700)</f>
        <v>1150</v>
      </c>
      <c r="O2298" s="179" t="s">
        <v>3099</v>
      </c>
      <c r="P2298" s="108">
        <v>111</v>
      </c>
      <c r="Q2298" s="80"/>
      <c r="AD2298" s="16"/>
      <c r="AE2298" s="16"/>
      <c r="AF2298" s="18"/>
    </row>
    <row r="2299" spans="1:32" ht="25.5">
      <c r="A2299" s="213" t="s">
        <v>2592</v>
      </c>
      <c r="B2299" s="130" t="s">
        <v>7702</v>
      </c>
      <c r="C2299" s="118" t="s">
        <v>3817</v>
      </c>
      <c r="D2299" s="141"/>
      <c r="E2299" s="118"/>
      <c r="F2299" s="118"/>
      <c r="G2299" s="118" t="s">
        <v>3618</v>
      </c>
      <c r="H2299" s="121" t="s">
        <v>3638</v>
      </c>
      <c r="I2299" s="118" t="s">
        <v>5510</v>
      </c>
      <c r="J2299" s="118" t="s">
        <v>3444</v>
      </c>
      <c r="K2299" s="141"/>
      <c r="L2299" s="135" t="str">
        <f t="shared" si="130"/>
        <v>Phodopus roborovskii</v>
      </c>
      <c r="M2299" s="133">
        <f t="shared" si="132"/>
        <v>1.2730012720637376</v>
      </c>
      <c r="N2299" s="133">
        <v>18.75</v>
      </c>
      <c r="O2299" s="179" t="s">
        <v>7943</v>
      </c>
      <c r="P2299" s="108" t="s">
        <v>7951</v>
      </c>
      <c r="Q2299" s="80">
        <f>-6.8244+2.671*LOG(81)</f>
        <v>-1.726836514575127</v>
      </c>
      <c r="AD2299" s="16"/>
      <c r="AE2299" s="16"/>
      <c r="AF2299" s="18"/>
    </row>
    <row r="2300" spans="1:32">
      <c r="A2300" s="213" t="s">
        <v>2592</v>
      </c>
      <c r="B2300" s="130"/>
      <c r="C2300" s="118" t="s">
        <v>3817</v>
      </c>
      <c r="D2300" s="141"/>
      <c r="E2300" s="118"/>
      <c r="F2300" s="118"/>
      <c r="G2300" s="118" t="s">
        <v>3618</v>
      </c>
      <c r="H2300" s="118" t="s">
        <v>3638</v>
      </c>
      <c r="I2300" s="118" t="s">
        <v>5510</v>
      </c>
      <c r="J2300" s="118" t="s">
        <v>3364</v>
      </c>
      <c r="K2300" s="141"/>
      <c r="L2300" s="135" t="str">
        <f t="shared" si="130"/>
        <v>Phodopus campbelli</v>
      </c>
      <c r="M2300" s="133">
        <f t="shared" si="132"/>
        <v>1.3692158574101427</v>
      </c>
      <c r="N2300" s="133">
        <v>23.4</v>
      </c>
      <c r="O2300" s="179" t="s">
        <v>6736</v>
      </c>
      <c r="P2300" s="108">
        <v>68</v>
      </c>
      <c r="AD2300" s="16"/>
      <c r="AE2300" s="16"/>
      <c r="AF2300" s="18"/>
    </row>
    <row r="2301" spans="1:32">
      <c r="A2301" s="213" t="s">
        <v>2592</v>
      </c>
      <c r="B2301" s="130"/>
      <c r="C2301" s="118" t="s">
        <v>3817</v>
      </c>
      <c r="D2301" s="141"/>
      <c r="E2301" s="118"/>
      <c r="F2301" s="118"/>
      <c r="G2301" s="118" t="s">
        <v>3618</v>
      </c>
      <c r="H2301" s="118" t="s">
        <v>3638</v>
      </c>
      <c r="I2301" s="118" t="s">
        <v>5510</v>
      </c>
      <c r="J2301" s="118" t="s">
        <v>5511</v>
      </c>
      <c r="K2301" s="141"/>
      <c r="L2301" s="135" t="str">
        <f t="shared" si="130"/>
        <v>Phodopus sungorus</v>
      </c>
      <c r="M2301" s="133">
        <f t="shared" si="132"/>
        <v>1.5282737771670438</v>
      </c>
      <c r="N2301" s="133">
        <f>AVERAGE(35, 45, 25, 30 )</f>
        <v>33.75</v>
      </c>
      <c r="O2301" s="179"/>
      <c r="P2301" s="108">
        <v>175</v>
      </c>
      <c r="AD2301" s="16"/>
      <c r="AE2301" s="16"/>
      <c r="AF2301" s="18"/>
    </row>
    <row r="2302" spans="1:32" ht="15" customHeight="1">
      <c r="A2302" s="213" t="s">
        <v>2592</v>
      </c>
      <c r="B2302" s="130" t="s">
        <v>5023</v>
      </c>
      <c r="C2302" s="118" t="s">
        <v>3817</v>
      </c>
      <c r="D2302" s="141"/>
      <c r="E2302" s="118"/>
      <c r="F2302" s="118"/>
      <c r="G2302" s="118" t="s">
        <v>3618</v>
      </c>
      <c r="H2302" s="118" t="s">
        <v>3638</v>
      </c>
      <c r="I2302" s="118" t="s">
        <v>5826</v>
      </c>
      <c r="J2302" s="118" t="s">
        <v>7332</v>
      </c>
      <c r="K2302" s="141"/>
      <c r="L2302" s="135" t="str">
        <f t="shared" si="130"/>
        <v>Pithecheir parvus</v>
      </c>
      <c r="M2302" s="133">
        <f t="shared" si="132"/>
        <v>2.0253058652647704</v>
      </c>
      <c r="N2302" s="133">
        <f>1000*AVERAGE(0.102, 0.104, 0.112)</f>
        <v>106</v>
      </c>
      <c r="O2302" s="179" t="s">
        <v>3356</v>
      </c>
      <c r="P2302" s="108">
        <v>60</v>
      </c>
      <c r="Q2302" s="80"/>
      <c r="AD2302" s="16"/>
      <c r="AE2302" s="16"/>
      <c r="AF2302" s="18"/>
    </row>
    <row r="2303" spans="1:32" ht="12" customHeight="1">
      <c r="A2303" s="213" t="s">
        <v>2592</v>
      </c>
      <c r="B2303" s="141" t="s">
        <v>2527</v>
      </c>
      <c r="C2303" s="118" t="s">
        <v>3817</v>
      </c>
      <c r="D2303" s="141"/>
      <c r="E2303" s="118"/>
      <c r="F2303" s="118"/>
      <c r="G2303" s="118" t="s">
        <v>3618</v>
      </c>
      <c r="H2303" s="121" t="s">
        <v>3638</v>
      </c>
      <c r="I2303" s="118" t="s">
        <v>5332</v>
      </c>
      <c r="J2303" s="118" t="s">
        <v>4395</v>
      </c>
      <c r="K2303" s="141"/>
      <c r="L2303" s="135" t="str">
        <f t="shared" si="130"/>
        <v>Platacanthomys lasiurus</v>
      </c>
      <c r="M2303" s="133">
        <f t="shared" si="132"/>
        <v>1.8750612633917001</v>
      </c>
      <c r="N2303" s="133">
        <v>75</v>
      </c>
      <c r="O2303" s="179" t="s">
        <v>3356</v>
      </c>
      <c r="P2303" s="108" t="s">
        <v>6946</v>
      </c>
      <c r="Q2303" s="80"/>
      <c r="R2303" s="89"/>
      <c r="AD2303" s="16"/>
      <c r="AE2303" s="16"/>
      <c r="AF2303" s="18"/>
    </row>
    <row r="2304" spans="1:32">
      <c r="A2304" s="213" t="s">
        <v>2592</v>
      </c>
      <c r="B2304" s="141" t="s">
        <v>1988</v>
      </c>
      <c r="C2304" s="118" t="s">
        <v>3817</v>
      </c>
      <c r="D2304" s="141"/>
      <c r="E2304" s="118"/>
      <c r="F2304" s="118"/>
      <c r="G2304" s="118" t="s">
        <v>3618</v>
      </c>
      <c r="H2304" s="121" t="s">
        <v>3638</v>
      </c>
      <c r="I2304" s="118" t="s">
        <v>5690</v>
      </c>
      <c r="J2304" s="118" t="s">
        <v>5691</v>
      </c>
      <c r="K2304" s="141"/>
      <c r="L2304" s="135" t="str">
        <f t="shared" si="130"/>
        <v>Proedromys bedfordi</v>
      </c>
      <c r="M2304" s="133">
        <v>-999</v>
      </c>
      <c r="N2304" s="133">
        <v>-999</v>
      </c>
      <c r="O2304" s="179" t="s">
        <v>3356</v>
      </c>
      <c r="P2304" s="108">
        <v>-999</v>
      </c>
      <c r="Q2304" s="90" t="s">
        <v>6642</v>
      </c>
      <c r="AD2304" s="16"/>
      <c r="AE2304" s="16"/>
      <c r="AF2304" s="18"/>
    </row>
    <row r="2305" spans="1:32">
      <c r="A2305" s="213" t="s">
        <v>2592</v>
      </c>
      <c r="B2305" s="141" t="s">
        <v>7508</v>
      </c>
      <c r="C2305" s="118" t="s">
        <v>3817</v>
      </c>
      <c r="D2305" s="141"/>
      <c r="E2305" s="118"/>
      <c r="F2305" s="118"/>
      <c r="G2305" s="118" t="s">
        <v>3618</v>
      </c>
      <c r="H2305" s="118" t="s">
        <v>3638</v>
      </c>
      <c r="I2305" s="118" t="s">
        <v>5921</v>
      </c>
      <c r="J2305" s="118" t="s">
        <v>6700</v>
      </c>
      <c r="K2305" s="141"/>
      <c r="L2305" s="135" t="str">
        <f t="shared" si="130"/>
        <v>Prometheomys schaposchnikowi</v>
      </c>
      <c r="M2305" s="133">
        <f t="shared" ref="M2305:M2324" si="133">LOG(N2305)</f>
        <v>1.8750612633917001</v>
      </c>
      <c r="N2305" s="133">
        <f>AVERAGE(60, 90)</f>
        <v>75</v>
      </c>
      <c r="O2305" s="179" t="s">
        <v>3356</v>
      </c>
      <c r="P2305" s="108">
        <v>138</v>
      </c>
      <c r="Q2305" s="80"/>
      <c r="AD2305" s="16"/>
      <c r="AE2305" s="16"/>
      <c r="AF2305" s="18"/>
    </row>
    <row r="2306" spans="1:32">
      <c r="A2306" s="213" t="s">
        <v>2592</v>
      </c>
      <c r="B2306" s="130"/>
      <c r="C2306" s="118" t="s">
        <v>3817</v>
      </c>
      <c r="D2306" s="141"/>
      <c r="E2306" s="118"/>
      <c r="F2306" s="118"/>
      <c r="G2306" s="118" t="s">
        <v>3618</v>
      </c>
      <c r="H2306" s="118" t="s">
        <v>3638</v>
      </c>
      <c r="I2306" s="118" t="s">
        <v>6400</v>
      </c>
      <c r="J2306" s="118" t="s">
        <v>6401</v>
      </c>
      <c r="K2306" s="141"/>
      <c r="L2306" s="135" t="str">
        <f t="shared" si="130"/>
        <v>Psammomys obesus</v>
      </c>
      <c r="M2306" s="133">
        <f t="shared" si="133"/>
        <v>2.174859011514084</v>
      </c>
      <c r="N2306" s="133">
        <f>AVERAGE(212, 141.8, 130, 114.5)</f>
        <v>149.57499999999999</v>
      </c>
      <c r="O2306" s="179" t="s">
        <v>3356</v>
      </c>
      <c r="P2306" s="108" t="s">
        <v>7104</v>
      </c>
      <c r="AD2306" s="16"/>
      <c r="AE2306" s="16"/>
      <c r="AF2306" s="18"/>
    </row>
    <row r="2307" spans="1:32">
      <c r="A2307" s="213" t="s">
        <v>2592</v>
      </c>
      <c r="B2307" s="130"/>
      <c r="C2307" s="118" t="s">
        <v>3817</v>
      </c>
      <c r="D2307" s="141"/>
      <c r="E2307" s="118"/>
      <c r="F2307" s="118"/>
      <c r="G2307" s="118" t="s">
        <v>3618</v>
      </c>
      <c r="H2307" s="118" t="s">
        <v>3638</v>
      </c>
      <c r="I2307" s="118" t="s">
        <v>7644</v>
      </c>
      <c r="J2307" s="118" t="s">
        <v>7524</v>
      </c>
      <c r="K2307" s="141"/>
      <c r="L2307" s="135" t="str">
        <f t="shared" si="130"/>
        <v>Rattus exulans</v>
      </c>
      <c r="M2307" s="133">
        <f t="shared" si="133"/>
        <v>1.6020599913279623</v>
      </c>
      <c r="N2307" s="133">
        <v>40</v>
      </c>
      <c r="O2307" s="179" t="s">
        <v>3356</v>
      </c>
      <c r="P2307" s="108">
        <v>119</v>
      </c>
      <c r="Q2307" s="80"/>
      <c r="AD2307" s="16"/>
      <c r="AE2307" s="16"/>
      <c r="AF2307" s="18"/>
    </row>
    <row r="2308" spans="1:32" ht="38.25">
      <c r="A2308" s="213" t="s">
        <v>2592</v>
      </c>
      <c r="B2308" s="141" t="s">
        <v>4946</v>
      </c>
      <c r="C2308" s="118" t="s">
        <v>3817</v>
      </c>
      <c r="D2308" s="141"/>
      <c r="E2308" s="118"/>
      <c r="F2308" s="118"/>
      <c r="G2308" s="118" t="s">
        <v>3618</v>
      </c>
      <c r="H2308" s="118" t="s">
        <v>3638</v>
      </c>
      <c r="I2308" s="118" t="s">
        <v>7644</v>
      </c>
      <c r="J2308" s="118" t="s">
        <v>5241</v>
      </c>
      <c r="K2308" s="141"/>
      <c r="L2308" s="135" t="str">
        <f t="shared" si="130"/>
        <v>Rattus losea</v>
      </c>
      <c r="M2308" s="133">
        <f t="shared" si="133"/>
        <v>1.8864907251724818</v>
      </c>
      <c r="N2308" s="133">
        <f>1000*0.077</f>
        <v>77</v>
      </c>
      <c r="O2308" s="179" t="s">
        <v>3356</v>
      </c>
      <c r="P2308" s="108">
        <v>60</v>
      </c>
      <c r="Q2308" s="80"/>
      <c r="AD2308" s="16"/>
      <c r="AE2308" s="16"/>
      <c r="AF2308" s="18"/>
    </row>
    <row r="2309" spans="1:32">
      <c r="A2309" s="213" t="s">
        <v>2592</v>
      </c>
      <c r="B2309" s="141" t="s">
        <v>7145</v>
      </c>
      <c r="C2309" s="118" t="s">
        <v>3817</v>
      </c>
      <c r="D2309" s="141"/>
      <c r="E2309" s="118"/>
      <c r="F2309" s="118"/>
      <c r="G2309" s="118" t="s">
        <v>3618</v>
      </c>
      <c r="H2309" s="118" t="s">
        <v>3638</v>
      </c>
      <c r="I2309" s="118" t="s">
        <v>7644</v>
      </c>
      <c r="J2309" s="118" t="s">
        <v>5175</v>
      </c>
      <c r="K2309" s="141"/>
      <c r="L2309" s="135" t="str">
        <f t="shared" ref="L2309:L2372" si="134">I2309&amp;" "&amp;J2309</f>
        <v>Rattus tanezumi</v>
      </c>
      <c r="M2309" s="133">
        <f t="shared" si="133"/>
        <v>1.9395192526186185</v>
      </c>
      <c r="N2309" s="133">
        <f>AVERAGE(92, 82)</f>
        <v>87</v>
      </c>
      <c r="O2309" s="179" t="s">
        <v>3356</v>
      </c>
      <c r="P2309" s="108">
        <v>123</v>
      </c>
      <c r="Q2309" s="80"/>
      <c r="AD2309" s="16"/>
      <c r="AE2309" s="16"/>
      <c r="AF2309" s="18"/>
    </row>
    <row r="2310" spans="1:32" ht="12" customHeight="1">
      <c r="A2310" s="213" t="s">
        <v>2592</v>
      </c>
      <c r="B2310" s="141" t="s">
        <v>4956</v>
      </c>
      <c r="C2310" s="118" t="s">
        <v>3817</v>
      </c>
      <c r="D2310" s="141"/>
      <c r="E2310" s="118"/>
      <c r="F2310" s="118"/>
      <c r="G2310" s="118" t="s">
        <v>3618</v>
      </c>
      <c r="H2310" s="118" t="s">
        <v>3638</v>
      </c>
      <c r="I2310" s="118" t="s">
        <v>7644</v>
      </c>
      <c r="J2310" s="118" t="s">
        <v>4683</v>
      </c>
      <c r="K2310" s="141"/>
      <c r="L2310" s="135" t="str">
        <f t="shared" si="134"/>
        <v>Rattus osgoodi</v>
      </c>
      <c r="M2310" s="133">
        <f t="shared" si="133"/>
        <v>1.968482948553935</v>
      </c>
      <c r="N2310" s="133">
        <f>1000*0.093</f>
        <v>93</v>
      </c>
      <c r="O2310" s="179" t="s">
        <v>3356</v>
      </c>
      <c r="P2310" s="108">
        <v>60</v>
      </c>
      <c r="Q2310" s="80"/>
      <c r="R2310" s="89"/>
      <c r="AD2310" s="16"/>
      <c r="AE2310" s="16"/>
      <c r="AF2310" s="18"/>
    </row>
    <row r="2311" spans="1:32">
      <c r="A2311" s="213" t="s">
        <v>2592</v>
      </c>
      <c r="B2311" s="141" t="s">
        <v>2527</v>
      </c>
      <c r="C2311" s="118" t="s">
        <v>3817</v>
      </c>
      <c r="D2311" s="141"/>
      <c r="E2311" s="118"/>
      <c r="F2311" s="118"/>
      <c r="G2311" s="118" t="s">
        <v>3618</v>
      </c>
      <c r="H2311" s="118" t="s">
        <v>3638</v>
      </c>
      <c r="I2311" s="118" t="s">
        <v>7644</v>
      </c>
      <c r="J2311" s="118" t="s">
        <v>5185</v>
      </c>
      <c r="K2311" s="141"/>
      <c r="L2311" s="135" t="str">
        <f t="shared" si="134"/>
        <v>Rattus ranjiniae</v>
      </c>
      <c r="M2311" s="133">
        <f t="shared" si="133"/>
        <v>2.0791812460476247</v>
      </c>
      <c r="N2311" s="133">
        <f>1000*0.12</f>
        <v>120</v>
      </c>
      <c r="O2311" s="179" t="s">
        <v>6882</v>
      </c>
      <c r="P2311" s="115">
        <v>60</v>
      </c>
      <c r="Q2311" s="80" t="s">
        <v>6988</v>
      </c>
      <c r="AD2311" s="16"/>
      <c r="AE2311" s="16"/>
      <c r="AF2311" s="18"/>
    </row>
    <row r="2312" spans="1:32">
      <c r="A2312" s="213" t="s">
        <v>2592</v>
      </c>
      <c r="B2312" s="130"/>
      <c r="C2312" s="118" t="s">
        <v>3817</v>
      </c>
      <c r="D2312" s="141"/>
      <c r="E2312" s="118"/>
      <c r="F2312" s="118"/>
      <c r="G2312" s="118" t="s">
        <v>3618</v>
      </c>
      <c r="H2312" s="121" t="s">
        <v>3638</v>
      </c>
      <c r="I2312" s="118" t="s">
        <v>7644</v>
      </c>
      <c r="J2312" s="118" t="s">
        <v>5513</v>
      </c>
      <c r="K2312" s="141"/>
      <c r="L2312" s="135" t="str">
        <f t="shared" si="134"/>
        <v>Rattus tiomanicus</v>
      </c>
      <c r="M2312" s="133">
        <f t="shared" si="133"/>
        <v>2.1055101847699738</v>
      </c>
      <c r="N2312" s="133">
        <v>127.5</v>
      </c>
      <c r="O2312" s="179" t="s">
        <v>6736</v>
      </c>
      <c r="P2312" s="108">
        <v>68</v>
      </c>
      <c r="AD2312" s="16"/>
      <c r="AE2312" s="16"/>
      <c r="AF2312" s="18"/>
    </row>
    <row r="2313" spans="1:32" ht="38.25">
      <c r="A2313" s="213" t="s">
        <v>2592</v>
      </c>
      <c r="B2313" s="141" t="s">
        <v>5406</v>
      </c>
      <c r="C2313" s="121" t="s">
        <v>3817</v>
      </c>
      <c r="D2313" s="156"/>
      <c r="E2313" s="121"/>
      <c r="F2313" s="121"/>
      <c r="G2313" s="121" t="s">
        <v>3618</v>
      </c>
      <c r="H2313" s="118" t="s">
        <v>3638</v>
      </c>
      <c r="I2313" s="121" t="s">
        <v>7644</v>
      </c>
      <c r="J2313" s="121" t="s">
        <v>5187</v>
      </c>
      <c r="K2313" s="141"/>
      <c r="L2313" s="135" t="str">
        <f t="shared" si="134"/>
        <v>Rattus sikkimensis</v>
      </c>
      <c r="M2313" s="133">
        <f t="shared" si="133"/>
        <v>2.1105897102992488</v>
      </c>
      <c r="N2313" s="133">
        <v>129</v>
      </c>
      <c r="O2313" s="179" t="s">
        <v>3356</v>
      </c>
      <c r="P2313" s="108" t="s">
        <v>7970</v>
      </c>
      <c r="Q2313" s="80" t="s">
        <v>6988</v>
      </c>
      <c r="AD2313" s="16"/>
      <c r="AE2313" s="16"/>
      <c r="AF2313" s="18"/>
    </row>
    <row r="2314" spans="1:32" ht="25.5">
      <c r="A2314" s="213" t="s">
        <v>2592</v>
      </c>
      <c r="B2314" s="141" t="s">
        <v>7306</v>
      </c>
      <c r="C2314" s="118" t="s">
        <v>3817</v>
      </c>
      <c r="D2314" s="141"/>
      <c r="E2314" s="118"/>
      <c r="F2314" s="118"/>
      <c r="G2314" s="118" t="s">
        <v>3618</v>
      </c>
      <c r="H2314" s="118" t="s">
        <v>3638</v>
      </c>
      <c r="I2314" s="118" t="s">
        <v>7644</v>
      </c>
      <c r="J2314" s="118" t="s">
        <v>7725</v>
      </c>
      <c r="K2314" s="141"/>
      <c r="L2314" s="135" t="str">
        <f t="shared" si="134"/>
        <v>Rattus argentiventer</v>
      </c>
      <c r="M2314" s="133">
        <f t="shared" si="133"/>
        <v>2.1222158782728267</v>
      </c>
      <c r="N2314" s="133">
        <f>AVERAGE(85, 180)</f>
        <v>132.5</v>
      </c>
      <c r="O2314" s="179" t="s">
        <v>3356</v>
      </c>
      <c r="P2314" s="108">
        <v>118</v>
      </c>
      <c r="Q2314" s="80"/>
      <c r="AD2314" s="16"/>
      <c r="AE2314" s="16"/>
      <c r="AF2314" s="18"/>
    </row>
    <row r="2315" spans="1:32" ht="38.25">
      <c r="A2315" s="213" t="s">
        <v>2592</v>
      </c>
      <c r="B2315" s="141" t="s">
        <v>4948</v>
      </c>
      <c r="C2315" s="118" t="s">
        <v>3817</v>
      </c>
      <c r="D2315" s="141"/>
      <c r="E2315" s="118"/>
      <c r="F2315" s="118"/>
      <c r="G2315" s="118" t="s">
        <v>3618</v>
      </c>
      <c r="H2315" s="118" t="s">
        <v>3638</v>
      </c>
      <c r="I2315" s="118" t="s">
        <v>7644</v>
      </c>
      <c r="J2315" s="118" t="s">
        <v>4026</v>
      </c>
      <c r="K2315" s="141"/>
      <c r="L2315" s="135" t="str">
        <f t="shared" si="134"/>
        <v>Rattus nitidus</v>
      </c>
      <c r="M2315" s="133">
        <f t="shared" si="133"/>
        <v>2.1254812657005941</v>
      </c>
      <c r="N2315" s="133">
        <f>1000*AVERAGE(0.145, 0.122)</f>
        <v>133.5</v>
      </c>
      <c r="O2315" s="179" t="s">
        <v>3356</v>
      </c>
      <c r="P2315" s="108">
        <v>60</v>
      </c>
      <c r="Q2315" s="80"/>
      <c r="AD2315" s="16"/>
      <c r="AE2315" s="16"/>
      <c r="AF2315" s="18"/>
    </row>
    <row r="2316" spans="1:32" ht="38.25">
      <c r="A2316" s="213" t="s">
        <v>2592</v>
      </c>
      <c r="B2316" s="141" t="s">
        <v>7138</v>
      </c>
      <c r="C2316" s="118" t="s">
        <v>3817</v>
      </c>
      <c r="D2316" s="141"/>
      <c r="E2316" s="118"/>
      <c r="F2316" s="118"/>
      <c r="G2316" s="118" t="s">
        <v>3618</v>
      </c>
      <c r="H2316" s="118" t="s">
        <v>3638</v>
      </c>
      <c r="I2316" s="118" t="s">
        <v>7644</v>
      </c>
      <c r="J2316" s="118" t="s">
        <v>4717</v>
      </c>
      <c r="K2316" s="141"/>
      <c r="L2316" s="135" t="str">
        <f t="shared" si="134"/>
        <v>Rattus turkestanicus</v>
      </c>
      <c r="M2316" s="133">
        <f t="shared" si="133"/>
        <v>2.1335389083702174</v>
      </c>
      <c r="N2316" s="133">
        <f>1000*0.136</f>
        <v>136</v>
      </c>
      <c r="O2316" s="179" t="s">
        <v>3356</v>
      </c>
      <c r="P2316" s="108">
        <v>60</v>
      </c>
      <c r="Q2316" s="80"/>
      <c r="AD2316" s="16"/>
      <c r="AE2316" s="16"/>
      <c r="AF2316" s="18"/>
    </row>
    <row r="2317" spans="1:32">
      <c r="A2317" s="213" t="s">
        <v>2592</v>
      </c>
      <c r="B2317" s="130"/>
      <c r="C2317" s="118" t="s">
        <v>3817</v>
      </c>
      <c r="D2317" s="141"/>
      <c r="E2317" s="118"/>
      <c r="F2317" s="118"/>
      <c r="G2317" s="118" t="s">
        <v>3618</v>
      </c>
      <c r="H2317" s="118" t="s">
        <v>3638</v>
      </c>
      <c r="I2317" s="118" t="s">
        <v>7644</v>
      </c>
      <c r="J2317" s="118" t="s">
        <v>4023</v>
      </c>
      <c r="K2317" s="141"/>
      <c r="L2317" s="135" t="str">
        <f t="shared" si="134"/>
        <v>Rattus rattus</v>
      </c>
      <c r="M2317" s="133">
        <f t="shared" si="133"/>
        <v>2.2510295385239032</v>
      </c>
      <c r="N2317" s="133">
        <f>AVERAGE(145, 215, 130, 223)</f>
        <v>178.25</v>
      </c>
      <c r="O2317" s="179" t="s">
        <v>1589</v>
      </c>
      <c r="P2317" s="108" t="s">
        <v>5905</v>
      </c>
      <c r="Q2317" s="80"/>
      <c r="R2317" s="85" t="s">
        <v>7601</v>
      </c>
      <c r="AD2317" s="16"/>
      <c r="AE2317" s="16"/>
      <c r="AF2317" s="18"/>
    </row>
    <row r="2318" spans="1:32" ht="12" customHeight="1">
      <c r="A2318" s="213" t="s">
        <v>2592</v>
      </c>
      <c r="B2318" s="141" t="s">
        <v>7501</v>
      </c>
      <c r="C2318" s="118" t="s">
        <v>3817</v>
      </c>
      <c r="D2318" s="141"/>
      <c r="E2318" s="118"/>
      <c r="F2318" s="118"/>
      <c r="G2318" s="118" t="s">
        <v>3618</v>
      </c>
      <c r="H2318" s="118" t="s">
        <v>3638</v>
      </c>
      <c r="I2318" s="118" t="s">
        <v>7644</v>
      </c>
      <c r="J2318" s="118" t="s">
        <v>5157</v>
      </c>
      <c r="K2318" s="141"/>
      <c r="L2318" s="135" t="str">
        <f t="shared" si="134"/>
        <v>Rattus annandalei</v>
      </c>
      <c r="M2318" s="133">
        <f t="shared" si="133"/>
        <v>2.2955670999624789</v>
      </c>
      <c r="N2318" s="133">
        <f>AVERAGE(145, 250)</f>
        <v>197.5</v>
      </c>
      <c r="O2318" s="179" t="s">
        <v>3356</v>
      </c>
      <c r="P2318" s="108">
        <v>142</v>
      </c>
      <c r="Q2318" s="88"/>
      <c r="AD2318" s="16"/>
      <c r="AE2318" s="16"/>
      <c r="AF2318" s="18"/>
    </row>
    <row r="2319" spans="1:32">
      <c r="A2319" s="213" t="s">
        <v>2592</v>
      </c>
      <c r="B2319" s="130"/>
      <c r="C2319" s="118" t="s">
        <v>3817</v>
      </c>
      <c r="D2319" s="141"/>
      <c r="E2319" s="118"/>
      <c r="F2319" s="118"/>
      <c r="G2319" s="118" t="s">
        <v>3618</v>
      </c>
      <c r="H2319" s="118" t="s">
        <v>3638</v>
      </c>
      <c r="I2319" s="118" t="s">
        <v>7644</v>
      </c>
      <c r="J2319" s="118" t="s">
        <v>4015</v>
      </c>
      <c r="K2319" s="141"/>
      <c r="L2319" s="135" t="str">
        <f t="shared" si="134"/>
        <v>Rattus norvegicus</v>
      </c>
      <c r="M2319" s="133">
        <f t="shared" si="133"/>
        <v>2.5522422283567021</v>
      </c>
      <c r="N2319" s="133">
        <f>AVERAGE(275, 520, 176.6, 455)</f>
        <v>356.65</v>
      </c>
      <c r="O2319" s="179" t="s">
        <v>4418</v>
      </c>
      <c r="P2319" s="108" t="s">
        <v>5905</v>
      </c>
      <c r="Q2319" s="80"/>
      <c r="R2319" s="85" t="s">
        <v>7600</v>
      </c>
      <c r="AD2319" s="16"/>
      <c r="AE2319" s="16"/>
      <c r="AF2319" s="18"/>
    </row>
    <row r="2320" spans="1:32" ht="51">
      <c r="A2320" s="213" t="s">
        <v>2592</v>
      </c>
      <c r="B2320" s="141" t="s">
        <v>7760</v>
      </c>
      <c r="C2320" s="118" t="s">
        <v>3817</v>
      </c>
      <c r="D2320" s="141"/>
      <c r="E2320" s="118"/>
      <c r="F2320" s="118"/>
      <c r="G2320" s="118" t="s">
        <v>3618</v>
      </c>
      <c r="H2320" s="118" t="s">
        <v>3638</v>
      </c>
      <c r="I2320" s="118" t="s">
        <v>5223</v>
      </c>
      <c r="J2320" s="118" t="s">
        <v>6166</v>
      </c>
      <c r="K2320" s="141"/>
      <c r="L2320" s="135" t="str">
        <f t="shared" si="134"/>
        <v>Rhizomys sumatrensis</v>
      </c>
      <c r="M2320" s="133">
        <f t="shared" si="133"/>
        <v>2.3979400086720375</v>
      </c>
      <c r="N2320" s="133">
        <v>250</v>
      </c>
      <c r="O2320" s="179" t="s">
        <v>3356</v>
      </c>
      <c r="P2320" s="108">
        <v>119</v>
      </c>
      <c r="Q2320" s="80"/>
      <c r="AD2320" s="16"/>
      <c r="AE2320" s="16"/>
      <c r="AF2320" s="18"/>
    </row>
    <row r="2321" spans="1:32">
      <c r="A2321" s="213" t="s">
        <v>2592</v>
      </c>
      <c r="B2321" s="141" t="s">
        <v>7759</v>
      </c>
      <c r="C2321" s="118" t="s">
        <v>3817</v>
      </c>
      <c r="D2321" s="141"/>
      <c r="E2321" s="118"/>
      <c r="F2321" s="118"/>
      <c r="G2321" s="118" t="s">
        <v>3618</v>
      </c>
      <c r="H2321" s="118" t="s">
        <v>3638</v>
      </c>
      <c r="I2321" s="118" t="s">
        <v>5223</v>
      </c>
      <c r="J2321" s="118" t="s">
        <v>4967</v>
      </c>
      <c r="K2321" s="141"/>
      <c r="L2321" s="135" t="str">
        <f t="shared" si="134"/>
        <v>Rhizomys sinensis</v>
      </c>
      <c r="M2321" s="133">
        <f t="shared" si="133"/>
        <v>2.9370161074648142</v>
      </c>
      <c r="N2321" s="133">
        <f>1000*0.865</f>
        <v>865</v>
      </c>
      <c r="O2321" s="182" t="s">
        <v>3356</v>
      </c>
      <c r="P2321" s="115">
        <v>60</v>
      </c>
      <c r="Q2321" s="80"/>
      <c r="AD2321" s="16"/>
      <c r="AE2321" s="16"/>
      <c r="AF2321" s="18"/>
    </row>
    <row r="2322" spans="1:32" ht="12" customHeight="1">
      <c r="A2322" s="213" t="s">
        <v>2592</v>
      </c>
      <c r="B2322" s="141" t="s">
        <v>7667</v>
      </c>
      <c r="C2322" s="118" t="s">
        <v>3817</v>
      </c>
      <c r="D2322" s="141"/>
      <c r="E2322" s="118"/>
      <c r="F2322" s="118"/>
      <c r="G2322" s="118" t="s">
        <v>3618</v>
      </c>
      <c r="H2322" s="118" t="s">
        <v>3638</v>
      </c>
      <c r="I2322" s="118" t="s">
        <v>5223</v>
      </c>
      <c r="J2322" s="118" t="s">
        <v>5224</v>
      </c>
      <c r="K2322" s="141"/>
      <c r="L2322" s="135" t="str">
        <f t="shared" si="134"/>
        <v>Rhizomys pruinosus</v>
      </c>
      <c r="M2322" s="133">
        <f t="shared" si="133"/>
        <v>3.3891660843645326</v>
      </c>
      <c r="N2322" s="133">
        <f>AVERAGE(2150, 2750)</f>
        <v>2450</v>
      </c>
      <c r="O2322" s="179" t="s">
        <v>3356</v>
      </c>
      <c r="P2322" s="108">
        <v>120</v>
      </c>
      <c r="Q2322" s="80"/>
      <c r="R2322" s="89"/>
      <c r="AD2322" s="16"/>
      <c r="AE2322" s="16"/>
      <c r="AF2322" s="18"/>
    </row>
    <row r="2323" spans="1:32" ht="38.25">
      <c r="A2323" s="213" t="s">
        <v>2592</v>
      </c>
      <c r="B2323" s="141" t="s">
        <v>5219</v>
      </c>
      <c r="C2323" s="118" t="s">
        <v>3817</v>
      </c>
      <c r="D2323" s="141"/>
      <c r="E2323" s="118"/>
      <c r="F2323" s="118"/>
      <c r="G2323" s="118" t="s">
        <v>3618</v>
      </c>
      <c r="H2323" s="118" t="s">
        <v>3638</v>
      </c>
      <c r="I2323" s="118" t="s">
        <v>3668</v>
      </c>
      <c r="J2323" s="118" t="s">
        <v>4381</v>
      </c>
      <c r="K2323" s="141"/>
      <c r="L2323" s="135" t="str">
        <f t="shared" si="134"/>
        <v>Rhombomys opimus</v>
      </c>
      <c r="M2323" s="133">
        <f t="shared" si="133"/>
        <v>2.1583624920952498</v>
      </c>
      <c r="N2323" s="133">
        <f>1000*AVERAGE(0.143, 0.145)</f>
        <v>144</v>
      </c>
      <c r="O2323" s="179">
        <f>AVERAGE(0.11, 0.18)</f>
        <v>0.14499999999999999</v>
      </c>
      <c r="P2323" s="108">
        <v>60</v>
      </c>
      <c r="Q2323" s="80"/>
      <c r="AD2323" s="16"/>
      <c r="AE2323" s="16"/>
      <c r="AF2323" s="18"/>
    </row>
    <row r="2324" spans="1:32">
      <c r="A2324" s="213" t="s">
        <v>2592</v>
      </c>
      <c r="B2324" s="130"/>
      <c r="C2324" s="118" t="s">
        <v>3817</v>
      </c>
      <c r="D2324" s="141"/>
      <c r="E2324" s="118"/>
      <c r="F2324" s="118"/>
      <c r="G2324" s="118" t="s">
        <v>3618</v>
      </c>
      <c r="H2324" s="118" t="s">
        <v>3638</v>
      </c>
      <c r="I2324" s="118" t="s">
        <v>3311</v>
      </c>
      <c r="J2324" s="118" t="s">
        <v>3312</v>
      </c>
      <c r="K2324" s="141"/>
      <c r="L2324" s="135" t="str">
        <f t="shared" si="134"/>
        <v>Sekeetamys calurus</v>
      </c>
      <c r="M2324" s="133">
        <f t="shared" si="133"/>
        <v>1.7423300000000002</v>
      </c>
      <c r="N2324" s="133">
        <v>55.249709644247517</v>
      </c>
      <c r="O2324" s="179" t="s">
        <v>3356</v>
      </c>
      <c r="P2324" s="108">
        <v>64</v>
      </c>
      <c r="R2324" s="85" t="s">
        <v>7622</v>
      </c>
      <c r="AD2324" s="16"/>
      <c r="AE2324" s="16"/>
      <c r="AF2324" s="18"/>
    </row>
    <row r="2325" spans="1:32">
      <c r="A2325" s="213" t="s">
        <v>2592</v>
      </c>
      <c r="B2325" s="130" t="s">
        <v>2283</v>
      </c>
      <c r="C2325" s="118" t="s">
        <v>3817</v>
      </c>
      <c r="D2325" s="141"/>
      <c r="E2325" s="118"/>
      <c r="F2325" s="118"/>
      <c r="G2325" s="118" t="s">
        <v>3618</v>
      </c>
      <c r="H2325" s="118" t="s">
        <v>3638</v>
      </c>
      <c r="I2325" s="118" t="s">
        <v>7209</v>
      </c>
      <c r="J2325" s="118" t="s">
        <v>4255</v>
      </c>
      <c r="K2325" s="141"/>
      <c r="L2325" s="135" t="str">
        <f t="shared" si="134"/>
        <v>Spalax giganteus</v>
      </c>
      <c r="M2325" s="133">
        <v>-999</v>
      </c>
      <c r="N2325" s="133">
        <v>-999</v>
      </c>
      <c r="O2325" s="179" t="s">
        <v>3356</v>
      </c>
      <c r="P2325" s="108">
        <v>-999</v>
      </c>
      <c r="Q2325" s="80" t="s">
        <v>6988</v>
      </c>
      <c r="AD2325" s="16"/>
      <c r="AE2325" s="16"/>
      <c r="AF2325" s="18"/>
    </row>
    <row r="2326" spans="1:32">
      <c r="A2326" s="213" t="s">
        <v>2592</v>
      </c>
      <c r="B2326" s="130" t="s">
        <v>7311</v>
      </c>
      <c r="C2326" s="118" t="s">
        <v>3817</v>
      </c>
      <c r="D2326" s="141"/>
      <c r="E2326" s="118"/>
      <c r="F2326" s="118"/>
      <c r="G2326" s="118" t="s">
        <v>3618</v>
      </c>
      <c r="H2326" s="118" t="s">
        <v>3638</v>
      </c>
      <c r="I2326" s="118" t="s">
        <v>7209</v>
      </c>
      <c r="J2326" s="118" t="s">
        <v>6431</v>
      </c>
      <c r="K2326" s="141"/>
      <c r="L2326" s="135" t="str">
        <f t="shared" si="134"/>
        <v>Spalax graecus</v>
      </c>
      <c r="M2326" s="133">
        <v>-999</v>
      </c>
      <c r="N2326" s="133">
        <v>-999</v>
      </c>
      <c r="O2326" s="179" t="s">
        <v>3356</v>
      </c>
      <c r="P2326" s="108">
        <v>-999</v>
      </c>
      <c r="Q2326" s="80" t="s">
        <v>6988</v>
      </c>
      <c r="AD2326" s="16"/>
      <c r="AE2326" s="16"/>
      <c r="AF2326" s="18"/>
    </row>
    <row r="2327" spans="1:32" ht="38.25">
      <c r="A2327" s="213" t="s">
        <v>2592</v>
      </c>
      <c r="B2327" s="141" t="s">
        <v>7515</v>
      </c>
      <c r="C2327" s="118" t="s">
        <v>3817</v>
      </c>
      <c r="D2327" s="141"/>
      <c r="E2327" s="118"/>
      <c r="F2327" s="118"/>
      <c r="G2327" s="118" t="s">
        <v>3618</v>
      </c>
      <c r="H2327" s="118" t="s">
        <v>3638</v>
      </c>
      <c r="I2327" s="118" t="s">
        <v>7209</v>
      </c>
      <c r="J2327" s="118" t="s">
        <v>6434</v>
      </c>
      <c r="K2327" s="141"/>
      <c r="L2327" s="135" t="str">
        <f t="shared" si="134"/>
        <v>Spalax zemni</v>
      </c>
      <c r="M2327" s="133">
        <v>-999</v>
      </c>
      <c r="N2327" s="133">
        <v>-999</v>
      </c>
      <c r="O2327" s="179" t="s">
        <v>3356</v>
      </c>
      <c r="P2327" s="108">
        <v>-999</v>
      </c>
      <c r="Q2327" s="80"/>
      <c r="AD2327" s="16"/>
      <c r="AE2327" s="16"/>
      <c r="AF2327" s="18"/>
    </row>
    <row r="2328" spans="1:32">
      <c r="A2328" s="213" t="s">
        <v>2592</v>
      </c>
      <c r="B2328" s="141" t="s">
        <v>7516</v>
      </c>
      <c r="C2328" s="118" t="s">
        <v>3817</v>
      </c>
      <c r="D2328" s="141"/>
      <c r="E2328" s="118"/>
      <c r="F2328" s="118"/>
      <c r="G2328" s="118" t="s">
        <v>3618</v>
      </c>
      <c r="H2328" s="118" t="s">
        <v>3638</v>
      </c>
      <c r="I2328" s="118" t="s">
        <v>7209</v>
      </c>
      <c r="J2328" s="118" t="s">
        <v>6433</v>
      </c>
      <c r="K2328" s="141"/>
      <c r="L2328" s="135" t="str">
        <f t="shared" si="134"/>
        <v>Spalax microphthalmus</v>
      </c>
      <c r="M2328" s="133">
        <f>LOG(N2328)</f>
        <v>2.6720978579357175</v>
      </c>
      <c r="N2328" s="133">
        <f>AVERAGE(370, 570)</f>
        <v>470</v>
      </c>
      <c r="O2328" s="179" t="s">
        <v>1195</v>
      </c>
      <c r="P2328" s="108" t="s">
        <v>6862</v>
      </c>
      <c r="Q2328" s="80" t="s">
        <v>6988</v>
      </c>
      <c r="AD2328" s="16"/>
      <c r="AE2328" s="16"/>
      <c r="AF2328" s="18"/>
    </row>
    <row r="2329" spans="1:32" ht="15" customHeight="1">
      <c r="A2329" s="213" t="s">
        <v>2592</v>
      </c>
      <c r="B2329" s="130" t="s">
        <v>7310</v>
      </c>
      <c r="C2329" s="118" t="s">
        <v>3817</v>
      </c>
      <c r="D2329" s="141"/>
      <c r="E2329" s="118"/>
      <c r="F2329" s="118"/>
      <c r="G2329" s="118" t="s">
        <v>3618</v>
      </c>
      <c r="H2329" s="118" t="s">
        <v>3638</v>
      </c>
      <c r="I2329" s="118" t="s">
        <v>7209</v>
      </c>
      <c r="J2329" s="118" t="s">
        <v>5526</v>
      </c>
      <c r="K2329" s="141"/>
      <c r="L2329" s="135" t="str">
        <f t="shared" si="134"/>
        <v>Spalax arenarius</v>
      </c>
      <c r="M2329" s="133">
        <f>LOG(N2329)</f>
        <v>2.716003343634799</v>
      </c>
      <c r="N2329" s="133">
        <f>1000*AVERAGE(0.38, 0.66)</f>
        <v>520</v>
      </c>
      <c r="O2329" s="179" t="s">
        <v>3356</v>
      </c>
      <c r="P2329" s="108">
        <v>60</v>
      </c>
      <c r="Q2329" s="80" t="s">
        <v>6988</v>
      </c>
      <c r="AD2329" s="16"/>
      <c r="AE2329" s="16"/>
      <c r="AF2329" s="18"/>
    </row>
    <row r="2330" spans="1:32">
      <c r="A2330" s="213" t="s">
        <v>2592</v>
      </c>
      <c r="B2330" s="130"/>
      <c r="C2330" s="118" t="s">
        <v>3817</v>
      </c>
      <c r="D2330" s="141"/>
      <c r="E2330" s="118"/>
      <c r="F2330" s="118"/>
      <c r="G2330" s="118" t="s">
        <v>3618</v>
      </c>
      <c r="H2330" s="118" t="s">
        <v>3638</v>
      </c>
      <c r="I2330" s="118" t="s">
        <v>5887</v>
      </c>
      <c r="J2330" s="118" t="s">
        <v>5586</v>
      </c>
      <c r="K2330" s="141"/>
      <c r="L2330" s="135" t="str">
        <f t="shared" si="134"/>
        <v>Sundamys muelleri</v>
      </c>
      <c r="M2330" s="133">
        <f>LOG(N2330)</f>
        <v>2.5237464668115646</v>
      </c>
      <c r="N2330" s="133">
        <v>334</v>
      </c>
      <c r="O2330" s="179" t="s">
        <v>6736</v>
      </c>
      <c r="P2330" s="108">
        <v>68</v>
      </c>
      <c r="AD2330" s="16"/>
      <c r="AE2330" s="16"/>
      <c r="AF2330" s="18"/>
    </row>
    <row r="2331" spans="1:32">
      <c r="A2331" s="213" t="s">
        <v>2592</v>
      </c>
      <c r="B2331" s="130"/>
      <c r="C2331" s="118" t="s">
        <v>3817</v>
      </c>
      <c r="D2331" s="141"/>
      <c r="E2331" s="118"/>
      <c r="F2331" s="118"/>
      <c r="G2331" s="118" t="s">
        <v>3618</v>
      </c>
      <c r="H2331" s="118" t="s">
        <v>3638</v>
      </c>
      <c r="I2331" s="118" t="s">
        <v>3489</v>
      </c>
      <c r="J2331" s="118" t="s">
        <v>4108</v>
      </c>
      <c r="K2331" s="141"/>
      <c r="L2331" s="135" t="str">
        <f t="shared" si="134"/>
        <v>Tatera indica</v>
      </c>
      <c r="M2331" s="133">
        <f>LOG(N2331)</f>
        <v>2.2174839442139063</v>
      </c>
      <c r="N2331" s="133">
        <v>165</v>
      </c>
      <c r="O2331" s="179" t="s">
        <v>6736</v>
      </c>
      <c r="P2331" s="108">
        <v>68</v>
      </c>
      <c r="R2331" s="85" t="s">
        <v>7615</v>
      </c>
      <c r="AD2331" s="16"/>
      <c r="AE2331" s="16"/>
      <c r="AF2331" s="18"/>
    </row>
    <row r="2332" spans="1:32" ht="12" customHeight="1">
      <c r="A2332" s="213" t="s">
        <v>2592</v>
      </c>
      <c r="B2332" s="141" t="s">
        <v>7313</v>
      </c>
      <c r="C2332" s="118" t="s">
        <v>3817</v>
      </c>
      <c r="D2332" s="141"/>
      <c r="E2332" s="118"/>
      <c r="F2332" s="118"/>
      <c r="G2332" s="118" t="s">
        <v>3618</v>
      </c>
      <c r="H2332" s="118" t="s">
        <v>3638</v>
      </c>
      <c r="I2332" s="118" t="s">
        <v>3448</v>
      </c>
      <c r="J2332" s="118" t="s">
        <v>4316</v>
      </c>
      <c r="K2332" s="141"/>
      <c r="L2332" s="135" t="str">
        <f t="shared" si="134"/>
        <v>Tscherskia triton</v>
      </c>
      <c r="M2332" s="133">
        <f>LOG(N2332)</f>
        <v>2.5800006895890402</v>
      </c>
      <c r="N2332" s="133">
        <v>380.19</v>
      </c>
      <c r="O2332" s="179" t="s">
        <v>276</v>
      </c>
      <c r="P2332" s="108">
        <v>60</v>
      </c>
      <c r="Q2332" s="88"/>
      <c r="R2332" s="85" t="s">
        <v>279</v>
      </c>
      <c r="AD2332" s="16"/>
      <c r="AE2332" s="16"/>
      <c r="AF2332" s="18"/>
    </row>
    <row r="2333" spans="1:32">
      <c r="A2333" s="213" t="s">
        <v>2592</v>
      </c>
      <c r="B2333" s="141" t="s">
        <v>4956</v>
      </c>
      <c r="C2333" s="118" t="s">
        <v>3817</v>
      </c>
      <c r="D2333" s="141"/>
      <c r="E2333" s="118"/>
      <c r="F2333" s="118"/>
      <c r="G2333" s="118" t="s">
        <v>3618</v>
      </c>
      <c r="H2333" s="118" t="s">
        <v>3638</v>
      </c>
      <c r="I2333" s="118" t="s">
        <v>8074</v>
      </c>
      <c r="J2333" s="118" t="s">
        <v>8075</v>
      </c>
      <c r="K2333" s="141"/>
      <c r="L2333" s="135" t="str">
        <f t="shared" si="134"/>
        <v>Typhlomys chapensis</v>
      </c>
      <c r="M2333" s="133">
        <v>-999</v>
      </c>
      <c r="N2333" s="133">
        <v>-999</v>
      </c>
      <c r="O2333" s="179" t="s">
        <v>3356</v>
      </c>
      <c r="P2333" s="108">
        <v>-999</v>
      </c>
      <c r="Q2333" s="80" t="s">
        <v>7071</v>
      </c>
      <c r="AD2333" s="16"/>
      <c r="AE2333" s="16"/>
      <c r="AF2333" s="18"/>
    </row>
    <row r="2334" spans="1:32">
      <c r="A2334" s="213" t="s">
        <v>2592</v>
      </c>
      <c r="B2334" s="141" t="s">
        <v>1988</v>
      </c>
      <c r="C2334" s="118" t="s">
        <v>3817</v>
      </c>
      <c r="D2334" s="141"/>
      <c r="E2334" s="118"/>
      <c r="F2334" s="118"/>
      <c r="G2334" s="118" t="s">
        <v>3618</v>
      </c>
      <c r="H2334" s="118" t="s">
        <v>3638</v>
      </c>
      <c r="I2334" s="118" t="s">
        <v>8074</v>
      </c>
      <c r="J2334" s="118" t="s">
        <v>4485</v>
      </c>
      <c r="K2334" s="141"/>
      <c r="L2334" s="135" t="str">
        <f t="shared" si="134"/>
        <v>Typhlomys cinereus</v>
      </c>
      <c r="M2334" s="133">
        <f>LOG(N2334)</f>
        <v>1.4941545940184429</v>
      </c>
      <c r="N2334" s="133">
        <v>31.2</v>
      </c>
      <c r="O2334" s="179" t="s">
        <v>8148</v>
      </c>
      <c r="P2334" s="108" t="s">
        <v>6946</v>
      </c>
      <c r="Q2334" s="80">
        <f>-6.8244 + 2.671*LOG(98)</f>
        <v>-1.5058351518253463</v>
      </c>
      <c r="AD2334" s="16"/>
      <c r="AE2334" s="16"/>
      <c r="AF2334" s="18"/>
    </row>
    <row r="2335" spans="1:32" ht="25.5">
      <c r="A2335" s="213" t="s">
        <v>2592</v>
      </c>
      <c r="B2335" s="141" t="s">
        <v>7022</v>
      </c>
      <c r="C2335" s="118" t="s">
        <v>3817</v>
      </c>
      <c r="D2335" s="141"/>
      <c r="E2335" s="118"/>
      <c r="F2335" s="118"/>
      <c r="G2335" s="118" t="s">
        <v>3618</v>
      </c>
      <c r="H2335" s="118" t="s">
        <v>3638</v>
      </c>
      <c r="I2335" s="118" t="s">
        <v>5231</v>
      </c>
      <c r="J2335" s="118" t="s">
        <v>5309</v>
      </c>
      <c r="K2335" s="141"/>
      <c r="L2335" s="135" t="str">
        <f t="shared" si="134"/>
        <v>Vandeleuria oleracea</v>
      </c>
      <c r="M2335" s="133">
        <f>LOG(N2335)</f>
        <v>1</v>
      </c>
      <c r="N2335" s="133">
        <f>1000*0.01</f>
        <v>10</v>
      </c>
      <c r="O2335" s="179" t="s">
        <v>3356</v>
      </c>
      <c r="P2335" s="108">
        <v>60</v>
      </c>
      <c r="Q2335" s="80"/>
      <c r="AD2335" s="16"/>
      <c r="AE2335" s="16"/>
      <c r="AF2335" s="18"/>
    </row>
    <row r="2336" spans="1:32" ht="12" customHeight="1">
      <c r="A2336" s="213" t="s">
        <v>2592</v>
      </c>
      <c r="B2336" s="141" t="s">
        <v>7744</v>
      </c>
      <c r="C2336" s="118" t="s">
        <v>3817</v>
      </c>
      <c r="D2336" s="141"/>
      <c r="E2336" s="118"/>
      <c r="F2336" s="118"/>
      <c r="G2336" s="118" t="s">
        <v>3618</v>
      </c>
      <c r="H2336" s="118" t="s">
        <v>3638</v>
      </c>
      <c r="I2336" s="118" t="s">
        <v>5310</v>
      </c>
      <c r="J2336" s="118" t="s">
        <v>5521</v>
      </c>
      <c r="K2336" s="141"/>
      <c r="L2336" s="135" t="str">
        <f t="shared" si="134"/>
        <v>Vernaya fulva</v>
      </c>
      <c r="M2336" s="133">
        <f>LOG(N2336)</f>
        <v>1.3953263930693509</v>
      </c>
      <c r="N2336" s="133">
        <v>24.85</v>
      </c>
      <c r="O2336" s="179" t="s">
        <v>213</v>
      </c>
      <c r="P2336" s="108" t="s">
        <v>6946</v>
      </c>
      <c r="Q2336" s="88" t="s">
        <v>6988</v>
      </c>
      <c r="R2336" s="85">
        <f>-6.8244+2.671*LOG(90)</f>
        <v>-1.6046182572875631</v>
      </c>
      <c r="AD2336" s="16"/>
      <c r="AE2336" s="16"/>
      <c r="AF2336" s="18"/>
    </row>
    <row r="2337" spans="1:32">
      <c r="A2337" s="213" t="s">
        <v>2592</v>
      </c>
      <c r="B2337" s="141" t="s">
        <v>7744</v>
      </c>
      <c r="C2337" s="118" t="s">
        <v>3817</v>
      </c>
      <c r="D2337" s="141"/>
      <c r="E2337" s="118"/>
      <c r="F2337" s="118"/>
      <c r="G2337" s="118" t="s">
        <v>3618</v>
      </c>
      <c r="H2337" s="118" t="s">
        <v>3638</v>
      </c>
      <c r="I2337" s="118" t="s">
        <v>6701</v>
      </c>
      <c r="J2337" s="118" t="s">
        <v>4043</v>
      </c>
      <c r="K2337" s="141"/>
      <c r="L2337" s="135" t="str">
        <f t="shared" si="134"/>
        <v>Volemys clarkei</v>
      </c>
      <c r="M2337" s="133">
        <v>-999</v>
      </c>
      <c r="N2337" s="133">
        <v>-999</v>
      </c>
      <c r="O2337" s="179" t="s">
        <v>3356</v>
      </c>
      <c r="P2337" s="108">
        <v>-999</v>
      </c>
      <c r="Q2337" s="80" t="s">
        <v>6642</v>
      </c>
      <c r="AD2337" s="16"/>
      <c r="AE2337" s="16"/>
      <c r="AF2337" s="18"/>
    </row>
    <row r="2338" spans="1:32">
      <c r="A2338" s="213" t="s">
        <v>2592</v>
      </c>
      <c r="B2338" s="141" t="s">
        <v>2246</v>
      </c>
      <c r="C2338" s="118" t="s">
        <v>3817</v>
      </c>
      <c r="D2338" s="141"/>
      <c r="E2338" s="118"/>
      <c r="F2338" s="118"/>
      <c r="G2338" s="118" t="s">
        <v>3618</v>
      </c>
      <c r="H2338" s="118" t="s">
        <v>3638</v>
      </c>
      <c r="I2338" s="118" t="s">
        <v>6701</v>
      </c>
      <c r="J2338" s="118" t="s">
        <v>6696</v>
      </c>
      <c r="K2338" s="141"/>
      <c r="L2338" s="135" t="str">
        <f t="shared" si="134"/>
        <v>Volemys millicens</v>
      </c>
      <c r="M2338" s="133">
        <v>-999</v>
      </c>
      <c r="N2338" s="133">
        <v>-999</v>
      </c>
      <c r="O2338" s="179" t="s">
        <v>3356</v>
      </c>
      <c r="P2338" s="108">
        <v>-999</v>
      </c>
      <c r="Q2338" s="80"/>
      <c r="AD2338" s="16"/>
      <c r="AE2338" s="16"/>
      <c r="AF2338" s="18"/>
    </row>
    <row r="2339" spans="1:32">
      <c r="A2339" s="213" t="s">
        <v>2592</v>
      </c>
      <c r="B2339" s="141" t="s">
        <v>1988</v>
      </c>
      <c r="C2339" s="118" t="s">
        <v>3817</v>
      </c>
      <c r="D2339" s="141"/>
      <c r="E2339" s="118"/>
      <c r="F2339" s="118"/>
      <c r="G2339" s="118" t="s">
        <v>3618</v>
      </c>
      <c r="H2339" s="118" t="s">
        <v>3638</v>
      </c>
      <c r="I2339" s="118" t="s">
        <v>6701</v>
      </c>
      <c r="J2339" s="118" t="s">
        <v>6697</v>
      </c>
      <c r="K2339" s="141"/>
      <c r="L2339" s="135" t="str">
        <f t="shared" si="134"/>
        <v>Volemys musseri</v>
      </c>
      <c r="M2339" s="133">
        <f t="shared" ref="M2339:M2345" si="135">LOG(N2339)</f>
        <v>1.6283889300503116</v>
      </c>
      <c r="N2339" s="133">
        <f>1000*0.0425</f>
        <v>42.5</v>
      </c>
      <c r="O2339" s="179" t="s">
        <v>3356</v>
      </c>
      <c r="P2339" s="108">
        <v>60</v>
      </c>
      <c r="Q2339" s="80"/>
      <c r="AD2339" s="16"/>
      <c r="AE2339" s="16"/>
      <c r="AF2339" s="18"/>
    </row>
    <row r="2340" spans="1:32">
      <c r="A2340" s="213" t="s">
        <v>2592</v>
      </c>
      <c r="B2340" s="130" t="s">
        <v>5064</v>
      </c>
      <c r="C2340" s="118" t="s">
        <v>3817</v>
      </c>
      <c r="D2340" s="141"/>
      <c r="E2340" s="118"/>
      <c r="F2340" s="118"/>
      <c r="G2340" s="118" t="s">
        <v>3618</v>
      </c>
      <c r="H2340" s="121" t="s">
        <v>8036</v>
      </c>
      <c r="I2340" s="118" t="s">
        <v>5284</v>
      </c>
      <c r="J2340" s="118" t="s">
        <v>7488</v>
      </c>
      <c r="K2340" s="141"/>
      <c r="L2340" s="135" t="str">
        <f t="shared" si="134"/>
        <v>Dryomys laniger</v>
      </c>
      <c r="M2340" s="133">
        <f t="shared" si="135"/>
        <v>1.3010299956639813</v>
      </c>
      <c r="N2340" s="133">
        <v>20</v>
      </c>
      <c r="O2340" s="179" t="s">
        <v>3356</v>
      </c>
      <c r="P2340" s="108">
        <v>191</v>
      </c>
      <c r="Q2340" s="80" t="s">
        <v>6642</v>
      </c>
      <c r="AD2340" s="16"/>
      <c r="AE2340" s="16"/>
      <c r="AF2340" s="18"/>
    </row>
    <row r="2341" spans="1:32" ht="12" customHeight="1">
      <c r="A2341" s="213" t="s">
        <v>2592</v>
      </c>
      <c r="B2341" s="130" t="s">
        <v>1988</v>
      </c>
      <c r="C2341" s="118" t="s">
        <v>3817</v>
      </c>
      <c r="D2341" s="141"/>
      <c r="E2341" s="118"/>
      <c r="F2341" s="118"/>
      <c r="G2341" s="118" t="s">
        <v>3618</v>
      </c>
      <c r="H2341" s="118" t="s">
        <v>8036</v>
      </c>
      <c r="I2341" s="118" t="s">
        <v>5284</v>
      </c>
      <c r="J2341" s="118" t="s">
        <v>5317</v>
      </c>
      <c r="K2341" s="141"/>
      <c r="L2341" s="135" t="str">
        <f t="shared" si="134"/>
        <v>Dryomys sichuanensis</v>
      </c>
      <c r="M2341" s="133">
        <f t="shared" si="135"/>
        <v>1.4807253789884878</v>
      </c>
      <c r="N2341" s="133">
        <f>AVERAGE(24.5, 36)</f>
        <v>30.25</v>
      </c>
      <c r="O2341" s="179" t="s">
        <v>1828</v>
      </c>
      <c r="P2341" s="108" t="s">
        <v>1276</v>
      </c>
      <c r="Q2341" s="80" t="s">
        <v>6640</v>
      </c>
      <c r="R2341" s="89"/>
      <c r="AD2341" s="16"/>
      <c r="AE2341" s="16"/>
      <c r="AF2341" s="18"/>
    </row>
    <row r="2342" spans="1:32" ht="25.5">
      <c r="A2342" s="213" t="s">
        <v>2592</v>
      </c>
      <c r="B2342" s="130" t="s">
        <v>2289</v>
      </c>
      <c r="C2342" s="118" t="s">
        <v>3817</v>
      </c>
      <c r="D2342" s="141"/>
      <c r="E2342" s="118"/>
      <c r="F2342" s="118"/>
      <c r="G2342" s="118" t="s">
        <v>3618</v>
      </c>
      <c r="H2342" s="118" t="s">
        <v>8036</v>
      </c>
      <c r="I2342" s="118" t="s">
        <v>5284</v>
      </c>
      <c r="J2342" s="118" t="s">
        <v>5316</v>
      </c>
      <c r="K2342" s="141"/>
      <c r="L2342" s="135" t="str">
        <f t="shared" si="134"/>
        <v>Dryomys nitedula</v>
      </c>
      <c r="M2342" s="133">
        <f t="shared" si="135"/>
        <v>1.5263392773898441</v>
      </c>
      <c r="N2342" s="133">
        <f>AVERAGE(21.5, 30.5, 33, 38, 45)</f>
        <v>33.6</v>
      </c>
      <c r="O2342" s="182" t="s">
        <v>6782</v>
      </c>
      <c r="P2342" s="108" t="s">
        <v>6861</v>
      </c>
      <c r="Q2342" s="90" t="s">
        <v>6642</v>
      </c>
      <c r="AD2342" s="16"/>
      <c r="AE2342" s="16"/>
      <c r="AF2342" s="18"/>
    </row>
    <row r="2343" spans="1:32">
      <c r="A2343" s="213" t="s">
        <v>2592</v>
      </c>
      <c r="B2343" s="141" t="s">
        <v>2375</v>
      </c>
      <c r="C2343" s="118" t="s">
        <v>3817</v>
      </c>
      <c r="D2343" s="141"/>
      <c r="E2343" s="118"/>
      <c r="F2343" s="118"/>
      <c r="G2343" s="118" t="s">
        <v>3618</v>
      </c>
      <c r="H2343" s="118" t="s">
        <v>8036</v>
      </c>
      <c r="I2343" s="118" t="s">
        <v>5888</v>
      </c>
      <c r="J2343" s="118" t="s">
        <v>3607</v>
      </c>
      <c r="K2343" s="141"/>
      <c r="L2343" s="135" t="str">
        <f t="shared" si="134"/>
        <v>Eliomys melanurus</v>
      </c>
      <c r="M2343" s="133">
        <f t="shared" si="135"/>
        <v>1.8744818176994664</v>
      </c>
      <c r="N2343" s="133">
        <f>1000*0.0749</f>
        <v>74.899999999999991</v>
      </c>
      <c r="O2343" s="179" t="s">
        <v>3356</v>
      </c>
      <c r="P2343" s="118">
        <v>60</v>
      </c>
      <c r="Q2343" s="80" t="s">
        <v>6642</v>
      </c>
      <c r="S2343" s="80"/>
      <c r="AD2343" s="16"/>
      <c r="AE2343" s="16"/>
      <c r="AF2343" s="18"/>
    </row>
    <row r="2344" spans="1:32">
      <c r="A2344" s="213" t="s">
        <v>2592</v>
      </c>
      <c r="B2344" s="130"/>
      <c r="C2344" s="118" t="s">
        <v>3817</v>
      </c>
      <c r="D2344" s="141"/>
      <c r="E2344" s="118"/>
      <c r="F2344" s="118"/>
      <c r="G2344" s="118" t="s">
        <v>3618</v>
      </c>
      <c r="H2344" s="118" t="s">
        <v>8036</v>
      </c>
      <c r="I2344" s="118" t="s">
        <v>5888</v>
      </c>
      <c r="J2344" s="118" t="s">
        <v>5885</v>
      </c>
      <c r="K2344" s="141"/>
      <c r="L2344" s="135" t="str">
        <f t="shared" si="134"/>
        <v>Eliomys quercinus</v>
      </c>
      <c r="M2344" s="133">
        <f t="shared" si="135"/>
        <v>2.0606978403536118</v>
      </c>
      <c r="N2344" s="133">
        <v>115</v>
      </c>
      <c r="O2344" s="179" t="s">
        <v>6736</v>
      </c>
      <c r="P2344" s="108">
        <v>68</v>
      </c>
      <c r="Q2344" s="80" t="s">
        <v>6988</v>
      </c>
      <c r="AD2344" s="16"/>
      <c r="AE2344" s="16"/>
      <c r="AF2344" s="18"/>
    </row>
    <row r="2345" spans="1:32">
      <c r="A2345" s="213" t="s">
        <v>2592</v>
      </c>
      <c r="B2345" s="130"/>
      <c r="C2345" s="118" t="s">
        <v>3817</v>
      </c>
      <c r="D2345" s="141"/>
      <c r="E2345" s="118"/>
      <c r="F2345" s="118"/>
      <c r="G2345" s="118" t="s">
        <v>3618</v>
      </c>
      <c r="H2345" s="118" t="s">
        <v>8036</v>
      </c>
      <c r="I2345" s="118" t="s">
        <v>6704</v>
      </c>
      <c r="J2345" s="118" t="s">
        <v>5937</v>
      </c>
      <c r="K2345" s="141"/>
      <c r="L2345" s="135" t="str">
        <f t="shared" si="134"/>
        <v>Muscardinus avellanarius</v>
      </c>
      <c r="M2345" s="133">
        <f t="shared" si="135"/>
        <v>1.4393326938302626</v>
      </c>
      <c r="N2345" s="133">
        <v>27.5</v>
      </c>
      <c r="O2345" s="179" t="s">
        <v>6736</v>
      </c>
      <c r="P2345" s="108" t="s">
        <v>7777</v>
      </c>
      <c r="Q2345" s="90" t="s">
        <v>6642</v>
      </c>
      <c r="AD2345" s="16"/>
      <c r="AE2345" s="16"/>
      <c r="AF2345" s="18"/>
    </row>
    <row r="2346" spans="1:32" ht="12" customHeight="1">
      <c r="A2346" s="213" t="s">
        <v>2592</v>
      </c>
      <c r="B2346" s="141" t="s">
        <v>2274</v>
      </c>
      <c r="C2346" s="118" t="s">
        <v>3817</v>
      </c>
      <c r="D2346" s="141"/>
      <c r="E2346" s="118"/>
      <c r="F2346" s="118"/>
      <c r="G2346" s="118" t="s">
        <v>3618</v>
      </c>
      <c r="H2346" s="118" t="s">
        <v>8036</v>
      </c>
      <c r="I2346" s="118" t="s">
        <v>5318</v>
      </c>
      <c r="J2346" s="118" t="s">
        <v>3251</v>
      </c>
      <c r="K2346" s="141"/>
      <c r="L2346" s="135" t="str">
        <f t="shared" si="134"/>
        <v>Myomimus personatus</v>
      </c>
      <c r="M2346" s="133">
        <v>-999</v>
      </c>
      <c r="N2346" s="133">
        <v>-999</v>
      </c>
      <c r="O2346" s="179" t="s">
        <v>3356</v>
      </c>
      <c r="P2346" s="108">
        <v>-999</v>
      </c>
      <c r="Q2346" s="88" t="s">
        <v>6988</v>
      </c>
      <c r="AD2346" s="16"/>
      <c r="AE2346" s="16"/>
      <c r="AF2346" s="18"/>
    </row>
    <row r="2347" spans="1:32">
      <c r="A2347" s="213" t="s">
        <v>2592</v>
      </c>
      <c r="B2347" s="141" t="s">
        <v>2717</v>
      </c>
      <c r="C2347" s="118" t="s">
        <v>3817</v>
      </c>
      <c r="D2347" s="141"/>
      <c r="E2347" s="118"/>
      <c r="F2347" s="118"/>
      <c r="G2347" s="118" t="s">
        <v>3618</v>
      </c>
      <c r="H2347" s="118" t="s">
        <v>8036</v>
      </c>
      <c r="I2347" s="118" t="s">
        <v>5318</v>
      </c>
      <c r="J2347" s="118" t="s">
        <v>5319</v>
      </c>
      <c r="K2347" s="141"/>
      <c r="L2347" s="135" t="str">
        <f t="shared" si="134"/>
        <v>Myomimus roachi</v>
      </c>
      <c r="M2347" s="133">
        <v>-999</v>
      </c>
      <c r="N2347" s="133">
        <v>-999</v>
      </c>
      <c r="O2347" s="179" t="s">
        <v>3356</v>
      </c>
      <c r="P2347" s="108">
        <v>-999</v>
      </c>
      <c r="Q2347" s="80" t="s">
        <v>6988</v>
      </c>
      <c r="AD2347" s="16"/>
      <c r="AE2347" s="16"/>
      <c r="AF2347" s="18"/>
    </row>
    <row r="2348" spans="1:32" ht="12" customHeight="1">
      <c r="A2348" s="213" t="s">
        <v>2592</v>
      </c>
      <c r="B2348" s="141" t="s">
        <v>2667</v>
      </c>
      <c r="C2348" s="118" t="s">
        <v>3817</v>
      </c>
      <c r="D2348" s="141"/>
      <c r="E2348" s="118"/>
      <c r="F2348" s="118"/>
      <c r="G2348" s="118" t="s">
        <v>3618</v>
      </c>
      <c r="H2348" s="118" t="s">
        <v>8036</v>
      </c>
      <c r="I2348" s="118" t="s">
        <v>5318</v>
      </c>
      <c r="J2348" s="118" t="s">
        <v>3414</v>
      </c>
      <c r="K2348" s="141"/>
      <c r="L2348" s="135" t="str">
        <f t="shared" si="134"/>
        <v>Myomimus setzeri</v>
      </c>
      <c r="M2348" s="133">
        <v>-999</v>
      </c>
      <c r="N2348" s="133">
        <v>-999</v>
      </c>
      <c r="O2348" s="179" t="s">
        <v>3356</v>
      </c>
      <c r="P2348" s="108">
        <v>-999</v>
      </c>
      <c r="Q2348" s="88" t="s">
        <v>6640</v>
      </c>
      <c r="AD2348" s="16"/>
      <c r="AE2348" s="16"/>
      <c r="AF2348" s="18"/>
    </row>
    <row r="2349" spans="1:32">
      <c r="A2349" s="213" t="s">
        <v>2592</v>
      </c>
      <c r="B2349" s="130"/>
      <c r="C2349" s="118" t="s">
        <v>3817</v>
      </c>
      <c r="D2349" s="141"/>
      <c r="E2349" s="118"/>
      <c r="F2349" s="118"/>
      <c r="G2349" s="118" t="s">
        <v>3618</v>
      </c>
      <c r="H2349" s="118" t="s">
        <v>8036</v>
      </c>
      <c r="I2349" s="118" t="s">
        <v>8054</v>
      </c>
      <c r="J2349" s="118" t="s">
        <v>8055</v>
      </c>
      <c r="K2349" s="141"/>
      <c r="L2349" s="135" t="str">
        <f t="shared" si="134"/>
        <v>Myoxus glis</v>
      </c>
      <c r="M2349" s="133">
        <f>LOG(N2349)</f>
        <v>2.0969100130080562</v>
      </c>
      <c r="N2349" s="133">
        <v>125</v>
      </c>
      <c r="O2349" s="179" t="s">
        <v>6736</v>
      </c>
      <c r="P2349" s="108" t="s">
        <v>7777</v>
      </c>
      <c r="Q2349" s="90" t="s">
        <v>6642</v>
      </c>
      <c r="AD2349" s="16"/>
      <c r="AE2349" s="16"/>
      <c r="AF2349" s="18"/>
    </row>
    <row r="2350" spans="1:32">
      <c r="A2350" s="213" t="s">
        <v>2592</v>
      </c>
      <c r="B2350" s="141" t="s">
        <v>7118</v>
      </c>
      <c r="C2350" s="118" t="s">
        <v>3817</v>
      </c>
      <c r="D2350" s="141"/>
      <c r="E2350" s="118"/>
      <c r="F2350" s="118"/>
      <c r="G2350" s="118" t="s">
        <v>3618</v>
      </c>
      <c r="H2350" s="118" t="s">
        <v>8036</v>
      </c>
      <c r="I2350" s="118" t="s">
        <v>5154</v>
      </c>
      <c r="J2350" s="118" t="s">
        <v>7633</v>
      </c>
      <c r="K2350" s="141"/>
      <c r="L2350" s="135" t="str">
        <f t="shared" si="134"/>
        <v>Selevinia betpakdalaensis</v>
      </c>
      <c r="M2350" s="133">
        <f>LOG(N2350)</f>
        <v>1.4471580313422192</v>
      </c>
      <c r="N2350" s="133">
        <v>28</v>
      </c>
      <c r="O2350" s="179" t="s">
        <v>3356</v>
      </c>
      <c r="P2350" s="108">
        <v>192</v>
      </c>
      <c r="Q2350" s="90" t="s">
        <v>6640</v>
      </c>
      <c r="AD2350" s="16"/>
      <c r="AE2350" s="16"/>
      <c r="AF2350" s="18"/>
    </row>
    <row r="2351" spans="1:32">
      <c r="A2351" s="213" t="s">
        <v>2592</v>
      </c>
      <c r="B2351" s="130"/>
      <c r="C2351" s="118" t="s">
        <v>3817</v>
      </c>
      <c r="D2351" s="141"/>
      <c r="E2351" s="118"/>
      <c r="F2351" s="118"/>
      <c r="G2351" s="118" t="s">
        <v>3618</v>
      </c>
      <c r="H2351" s="118" t="s">
        <v>3438</v>
      </c>
      <c r="I2351" s="118" t="s">
        <v>5554</v>
      </c>
      <c r="J2351" s="118" t="s">
        <v>7999</v>
      </c>
      <c r="K2351" s="141"/>
      <c r="L2351" s="135" t="str">
        <f t="shared" si="134"/>
        <v>Aeretes melanopterus</v>
      </c>
      <c r="M2351" s="133">
        <v>-999</v>
      </c>
      <c r="N2351" s="133">
        <v>-999</v>
      </c>
      <c r="O2351" s="179" t="s">
        <v>6882</v>
      </c>
      <c r="P2351" s="108">
        <v>-999</v>
      </c>
      <c r="Q2351" s="80" t="s">
        <v>6642</v>
      </c>
      <c r="AD2351" s="16"/>
      <c r="AE2351" s="16"/>
      <c r="AF2351" s="18"/>
    </row>
    <row r="2352" spans="1:32">
      <c r="A2352" s="213" t="s">
        <v>2592</v>
      </c>
      <c r="B2352" s="130"/>
      <c r="C2352" s="118" t="s">
        <v>3817</v>
      </c>
      <c r="D2352" s="141"/>
      <c r="E2352" s="118"/>
      <c r="F2352" s="118"/>
      <c r="G2352" s="118" t="s">
        <v>3618</v>
      </c>
      <c r="H2352" s="118" t="s">
        <v>3438</v>
      </c>
      <c r="I2352" s="118" t="s">
        <v>8000</v>
      </c>
      <c r="J2352" s="118" t="s">
        <v>8001</v>
      </c>
      <c r="K2352" s="141"/>
      <c r="L2352" s="135" t="str">
        <f t="shared" si="134"/>
        <v>Aeromys tephromelas</v>
      </c>
      <c r="M2352" s="133">
        <f>LOG(N2352)</f>
        <v>3.0969100130080562</v>
      </c>
      <c r="N2352" s="133">
        <f>AVERAGE(1000, 1500)</f>
        <v>1250</v>
      </c>
      <c r="O2352" s="179" t="s">
        <v>3356</v>
      </c>
      <c r="P2352" s="108">
        <v>119</v>
      </c>
      <c r="Q2352" s="80"/>
      <c r="AD2352" s="16"/>
      <c r="AE2352" s="16"/>
      <c r="AF2352" s="18"/>
    </row>
    <row r="2353" spans="1:32" ht="15" customHeight="1">
      <c r="A2353" s="213" t="s">
        <v>2592</v>
      </c>
      <c r="B2353" s="130"/>
      <c r="C2353" s="118" t="s">
        <v>3817</v>
      </c>
      <c r="D2353" s="141"/>
      <c r="E2353" s="118"/>
      <c r="F2353" s="118"/>
      <c r="G2353" s="118" t="s">
        <v>3618</v>
      </c>
      <c r="H2353" s="118" t="s">
        <v>3438</v>
      </c>
      <c r="I2353" s="118" t="s">
        <v>8002</v>
      </c>
      <c r="J2353" s="118" t="s">
        <v>8003</v>
      </c>
      <c r="K2353" s="141"/>
      <c r="L2353" s="135" t="str">
        <f t="shared" si="134"/>
        <v>Belomys pearsonii</v>
      </c>
      <c r="M2353" s="133">
        <f>LOG(N2353)</f>
        <v>2.3364597338485296</v>
      </c>
      <c r="N2353" s="133">
        <v>217</v>
      </c>
      <c r="O2353" s="179" t="s">
        <v>6641</v>
      </c>
      <c r="P2353" s="108">
        <v>60</v>
      </c>
      <c r="Q2353" s="80" t="s">
        <v>6642</v>
      </c>
      <c r="AD2353" s="16"/>
      <c r="AE2353" s="16"/>
      <c r="AF2353" s="18"/>
    </row>
    <row r="2354" spans="1:32" ht="25.5">
      <c r="A2354" s="213" t="s">
        <v>2592</v>
      </c>
      <c r="B2354" s="130" t="s">
        <v>2527</v>
      </c>
      <c r="C2354" s="118" t="s">
        <v>3817</v>
      </c>
      <c r="D2354" s="141"/>
      <c r="E2354" s="118"/>
      <c r="F2354" s="118"/>
      <c r="G2354" s="118" t="s">
        <v>3618</v>
      </c>
      <c r="H2354" s="118" t="s">
        <v>3438</v>
      </c>
      <c r="I2354" s="118" t="s">
        <v>8104</v>
      </c>
      <c r="J2354" s="118" t="s">
        <v>5567</v>
      </c>
      <c r="K2354" s="141"/>
      <c r="L2354" s="135" t="str">
        <f t="shared" si="134"/>
        <v>Biswamoyopterus biswasi</v>
      </c>
      <c r="M2354" s="133">
        <f>LOG(N2354)</f>
        <v>3.207714938259973</v>
      </c>
      <c r="N2354" s="133">
        <v>1613.2992735951107</v>
      </c>
      <c r="O2354" s="179" t="s">
        <v>1238</v>
      </c>
      <c r="P2354" s="108" t="s">
        <v>281</v>
      </c>
      <c r="Q2354" s="80" t="s">
        <v>7071</v>
      </c>
      <c r="R2354" s="85" t="s">
        <v>7836</v>
      </c>
      <c r="S2354" s="85">
        <f>-6.8976+2.725*LOG(405)</f>
        <v>0.207714938259973</v>
      </c>
      <c r="T2354" s="85">
        <f>10^S2354*1000</f>
        <v>1613.2992735951107</v>
      </c>
      <c r="AD2354" s="16"/>
      <c r="AE2354" s="16"/>
      <c r="AF2354" s="18"/>
    </row>
    <row r="2355" spans="1:32">
      <c r="A2355" s="213" t="s">
        <v>2592</v>
      </c>
      <c r="B2355" s="130"/>
      <c r="C2355" s="118" t="s">
        <v>3817</v>
      </c>
      <c r="D2355" s="141"/>
      <c r="E2355" s="118"/>
      <c r="F2355" s="118"/>
      <c r="G2355" s="118" t="s">
        <v>3618</v>
      </c>
      <c r="H2355" s="118" t="s">
        <v>3438</v>
      </c>
      <c r="I2355" s="118" t="s">
        <v>5936</v>
      </c>
      <c r="J2355" s="118" t="s">
        <v>5782</v>
      </c>
      <c r="K2355" s="141"/>
      <c r="L2355" s="135" t="str">
        <f t="shared" si="134"/>
        <v>Callosciurus quinquestriatus</v>
      </c>
      <c r="M2355" s="133">
        <v>-999</v>
      </c>
      <c r="N2355" s="133">
        <v>-999</v>
      </c>
      <c r="O2355" s="179" t="s">
        <v>7081</v>
      </c>
      <c r="P2355" s="108">
        <v>-999</v>
      </c>
      <c r="Q2355" s="80" t="s">
        <v>6988</v>
      </c>
      <c r="AD2355" s="16"/>
      <c r="AE2355" s="16"/>
      <c r="AF2355" s="18"/>
    </row>
    <row r="2356" spans="1:32">
      <c r="A2356" s="213" t="s">
        <v>2592</v>
      </c>
      <c r="B2356" s="130"/>
      <c r="C2356" s="118" t="s">
        <v>3817</v>
      </c>
      <c r="D2356" s="141"/>
      <c r="E2356" s="118"/>
      <c r="F2356" s="118"/>
      <c r="G2356" s="118" t="s">
        <v>3618</v>
      </c>
      <c r="H2356" s="118" t="s">
        <v>3438</v>
      </c>
      <c r="I2356" s="118" t="s">
        <v>5936</v>
      </c>
      <c r="J2356" s="118" t="s">
        <v>8034</v>
      </c>
      <c r="K2356" s="141"/>
      <c r="L2356" s="135" t="str">
        <f t="shared" si="134"/>
        <v>Callosciurus notatus</v>
      </c>
      <c r="M2356" s="133">
        <f t="shared" ref="M2356:M2364" si="136">LOG(N2356)</f>
        <v>2.2787536009528289</v>
      </c>
      <c r="N2356" s="133">
        <v>190</v>
      </c>
      <c r="O2356" s="179" t="s">
        <v>6736</v>
      </c>
      <c r="P2356" s="108">
        <v>68</v>
      </c>
      <c r="AD2356" s="16"/>
      <c r="AE2356" s="16"/>
      <c r="AF2356" s="18"/>
    </row>
    <row r="2357" spans="1:32">
      <c r="A2357" s="213" t="s">
        <v>2592</v>
      </c>
      <c r="B2357" s="130"/>
      <c r="C2357" s="118" t="s">
        <v>3817</v>
      </c>
      <c r="D2357" s="141"/>
      <c r="E2357" s="118"/>
      <c r="F2357" s="118"/>
      <c r="G2357" s="118" t="s">
        <v>3618</v>
      </c>
      <c r="H2357" s="118" t="s">
        <v>3438</v>
      </c>
      <c r="I2357" s="118" t="s">
        <v>5936</v>
      </c>
      <c r="J2357" s="118" t="s">
        <v>8254</v>
      </c>
      <c r="K2357" s="141"/>
      <c r="L2357" s="135" t="str">
        <f t="shared" si="134"/>
        <v>Callosciurus nigrovittatus</v>
      </c>
      <c r="M2357" s="133">
        <f t="shared" si="136"/>
        <v>2.3053513694466239</v>
      </c>
      <c r="N2357" s="133">
        <v>202</v>
      </c>
      <c r="O2357" s="179" t="s">
        <v>6736</v>
      </c>
      <c r="P2357" s="108">
        <v>68</v>
      </c>
      <c r="AD2357" s="16"/>
      <c r="AE2357" s="16"/>
      <c r="AF2357" s="18"/>
    </row>
    <row r="2358" spans="1:32" ht="15" customHeight="1">
      <c r="A2358" s="213" t="s">
        <v>2592</v>
      </c>
      <c r="B2358" s="130"/>
      <c r="C2358" s="118" t="s">
        <v>3817</v>
      </c>
      <c r="D2358" s="141"/>
      <c r="E2358" s="118"/>
      <c r="F2358" s="118"/>
      <c r="G2358" s="118" t="s">
        <v>3618</v>
      </c>
      <c r="H2358" s="118" t="s">
        <v>3438</v>
      </c>
      <c r="I2358" s="118" t="s">
        <v>5936</v>
      </c>
      <c r="J2358" s="118" t="s">
        <v>5781</v>
      </c>
      <c r="K2358" s="141"/>
      <c r="L2358" s="135" t="str">
        <f t="shared" si="134"/>
        <v>Callosciurus pygerythrus</v>
      </c>
      <c r="M2358" s="133">
        <f t="shared" si="136"/>
        <v>2.4014005407815442</v>
      </c>
      <c r="N2358" s="133">
        <v>252</v>
      </c>
      <c r="O2358" s="179" t="s">
        <v>7081</v>
      </c>
      <c r="P2358" s="108">
        <v>60</v>
      </c>
      <c r="Q2358" s="80" t="s">
        <v>6988</v>
      </c>
      <c r="AD2358" s="16"/>
      <c r="AE2358" s="16"/>
      <c r="AF2358" s="18"/>
    </row>
    <row r="2359" spans="1:32">
      <c r="A2359" s="213" t="s">
        <v>2592</v>
      </c>
      <c r="B2359" s="130"/>
      <c r="C2359" s="118" t="s">
        <v>3817</v>
      </c>
      <c r="D2359" s="141"/>
      <c r="E2359" s="118"/>
      <c r="F2359" s="118"/>
      <c r="G2359" s="118" t="s">
        <v>3618</v>
      </c>
      <c r="H2359" s="118" t="s">
        <v>3438</v>
      </c>
      <c r="I2359" s="118" t="s">
        <v>5936</v>
      </c>
      <c r="J2359" s="118" t="s">
        <v>3526</v>
      </c>
      <c r="K2359" s="141"/>
      <c r="L2359" s="135" t="str">
        <f t="shared" si="134"/>
        <v>Callosciurus caniceps</v>
      </c>
      <c r="M2359" s="133">
        <f t="shared" si="136"/>
        <v>2.4099331233312946</v>
      </c>
      <c r="N2359" s="133">
        <v>257</v>
      </c>
      <c r="O2359" s="179" t="s">
        <v>6736</v>
      </c>
      <c r="P2359" s="108">
        <v>-999</v>
      </c>
      <c r="AD2359" s="16"/>
      <c r="AE2359" s="16"/>
      <c r="AF2359" s="18"/>
    </row>
    <row r="2360" spans="1:32">
      <c r="A2360" s="213" t="s">
        <v>2592</v>
      </c>
      <c r="B2360" s="130" t="s">
        <v>2661</v>
      </c>
      <c r="C2360" s="118" t="s">
        <v>3817</v>
      </c>
      <c r="D2360" s="141"/>
      <c r="E2360" s="118"/>
      <c r="F2360" s="118"/>
      <c r="G2360" s="118" t="s">
        <v>3618</v>
      </c>
      <c r="H2360" s="118" t="s">
        <v>3438</v>
      </c>
      <c r="I2360" s="118" t="s">
        <v>5936</v>
      </c>
      <c r="J2360" s="118" t="s">
        <v>6795</v>
      </c>
      <c r="K2360" s="141"/>
      <c r="L2360" s="135" t="str">
        <f t="shared" si="134"/>
        <v>Callosciurus phayrei</v>
      </c>
      <c r="M2360" s="133">
        <f t="shared" si="136"/>
        <v>2.4297522800024081</v>
      </c>
      <c r="N2360" s="133">
        <v>269</v>
      </c>
      <c r="O2360" s="179" t="s">
        <v>3356</v>
      </c>
      <c r="P2360" s="108">
        <v>60</v>
      </c>
      <c r="Q2360" s="80"/>
      <c r="AD2360" s="16"/>
      <c r="AE2360" s="16"/>
      <c r="AF2360" s="18"/>
    </row>
    <row r="2361" spans="1:32" ht="24" customHeight="1">
      <c r="A2361" s="213" t="s">
        <v>2592</v>
      </c>
      <c r="B2361" s="130"/>
      <c r="C2361" s="118" t="s">
        <v>3817</v>
      </c>
      <c r="D2361" s="141"/>
      <c r="E2361" s="118"/>
      <c r="F2361" s="118"/>
      <c r="G2361" s="118" t="s">
        <v>3618</v>
      </c>
      <c r="H2361" s="118" t="s">
        <v>3438</v>
      </c>
      <c r="I2361" s="118" t="s">
        <v>5936</v>
      </c>
      <c r="J2361" s="118" t="s">
        <v>6799</v>
      </c>
      <c r="K2361" s="141"/>
      <c r="L2361" s="135" t="str">
        <f t="shared" si="134"/>
        <v>Callosciurus finlaysonii</v>
      </c>
      <c r="M2361" s="133">
        <f t="shared" si="136"/>
        <v>2.4440447959180762</v>
      </c>
      <c r="N2361" s="133">
        <f>1000*AVERAGE(0.287, 0.269)</f>
        <v>278</v>
      </c>
      <c r="O2361" s="179" t="s">
        <v>3356</v>
      </c>
      <c r="P2361" s="108">
        <v>60</v>
      </c>
      <c r="Q2361" s="80"/>
      <c r="AD2361" s="16"/>
      <c r="AE2361" s="16"/>
      <c r="AF2361" s="18"/>
    </row>
    <row r="2362" spans="1:32">
      <c r="A2362" s="213" t="s">
        <v>2592</v>
      </c>
      <c r="B2362" s="130"/>
      <c r="C2362" s="118" t="s">
        <v>3817</v>
      </c>
      <c r="D2362" s="141"/>
      <c r="E2362" s="118"/>
      <c r="F2362" s="118"/>
      <c r="G2362" s="118" t="s">
        <v>3618</v>
      </c>
      <c r="H2362" s="118" t="s">
        <v>3438</v>
      </c>
      <c r="I2362" s="118" t="s">
        <v>5936</v>
      </c>
      <c r="J2362" s="118" t="s">
        <v>6798</v>
      </c>
      <c r="K2362" s="141"/>
      <c r="L2362" s="135" t="str">
        <f t="shared" si="134"/>
        <v>Callosciurus erythraeus</v>
      </c>
      <c r="M2362" s="133">
        <f t="shared" si="136"/>
        <v>2.4471580313422194</v>
      </c>
      <c r="N2362" s="133">
        <v>280</v>
      </c>
      <c r="O2362" s="179" t="s">
        <v>3356</v>
      </c>
      <c r="P2362" s="108">
        <v>119</v>
      </c>
      <c r="Q2362" s="80"/>
      <c r="AD2362" s="16"/>
      <c r="AE2362" s="16"/>
      <c r="AF2362" s="18"/>
    </row>
    <row r="2363" spans="1:32">
      <c r="A2363" s="213" t="s">
        <v>2592</v>
      </c>
      <c r="B2363" s="130"/>
      <c r="C2363" s="118" t="s">
        <v>3817</v>
      </c>
      <c r="D2363" s="141"/>
      <c r="E2363" s="118"/>
      <c r="F2363" s="118"/>
      <c r="G2363" s="118" t="s">
        <v>3618</v>
      </c>
      <c r="H2363" s="118" t="s">
        <v>3438</v>
      </c>
      <c r="I2363" s="118" t="s">
        <v>5936</v>
      </c>
      <c r="J2363" s="118" t="s">
        <v>5411</v>
      </c>
      <c r="K2363" s="141"/>
      <c r="L2363" s="135" t="str">
        <f t="shared" si="134"/>
        <v>Callosciurus inornatus</v>
      </c>
      <c r="M2363" s="133">
        <f t="shared" si="136"/>
        <v>2.5118833609788744</v>
      </c>
      <c r="N2363" s="133">
        <v>325</v>
      </c>
      <c r="O2363" s="179" t="s">
        <v>3356</v>
      </c>
      <c r="P2363" s="108">
        <v>60</v>
      </c>
      <c r="Q2363" s="80"/>
      <c r="AD2363" s="16"/>
      <c r="AE2363" s="16"/>
      <c r="AF2363" s="18"/>
    </row>
    <row r="2364" spans="1:32">
      <c r="A2364" s="213" t="s">
        <v>2592</v>
      </c>
      <c r="B2364" s="141" t="s">
        <v>5960</v>
      </c>
      <c r="C2364" s="118" t="s">
        <v>3817</v>
      </c>
      <c r="D2364" s="141"/>
      <c r="E2364" s="118"/>
      <c r="F2364" s="118"/>
      <c r="G2364" s="118" t="s">
        <v>3618</v>
      </c>
      <c r="H2364" s="118" t="s">
        <v>3438</v>
      </c>
      <c r="I2364" s="118" t="s">
        <v>5936</v>
      </c>
      <c r="J2364" s="118" t="s">
        <v>5780</v>
      </c>
      <c r="K2364" s="141"/>
      <c r="L2364" s="135" t="str">
        <f t="shared" si="134"/>
        <v>Callosciurus prevostii</v>
      </c>
      <c r="M2364" s="133">
        <f t="shared" si="136"/>
        <v>2.6020599913279625</v>
      </c>
      <c r="N2364" s="133">
        <v>400</v>
      </c>
      <c r="O2364" s="179" t="s">
        <v>3356</v>
      </c>
      <c r="P2364" s="108">
        <v>119</v>
      </c>
      <c r="Q2364" s="80"/>
      <c r="AD2364" s="16"/>
      <c r="AE2364" s="16"/>
      <c r="AF2364" s="18"/>
    </row>
    <row r="2365" spans="1:32">
      <c r="A2365" s="213" t="s">
        <v>2592</v>
      </c>
      <c r="B2365" s="130"/>
      <c r="C2365" s="118" t="s">
        <v>3817</v>
      </c>
      <c r="D2365" s="141"/>
      <c r="E2365" s="118"/>
      <c r="F2365" s="118"/>
      <c r="G2365" s="118" t="s">
        <v>3618</v>
      </c>
      <c r="H2365" s="118" t="s">
        <v>3438</v>
      </c>
      <c r="I2365" s="118" t="s">
        <v>5783</v>
      </c>
      <c r="J2365" s="118" t="s">
        <v>5549</v>
      </c>
      <c r="K2365" s="141"/>
      <c r="L2365" s="135" t="str">
        <f t="shared" si="134"/>
        <v>Dremomys pyrrhomerus</v>
      </c>
      <c r="M2365" s="133">
        <v>-999</v>
      </c>
      <c r="N2365" s="133">
        <v>-999</v>
      </c>
      <c r="O2365" s="179" t="s">
        <v>3356</v>
      </c>
      <c r="P2365" s="108">
        <v>-999</v>
      </c>
      <c r="Q2365" s="80"/>
      <c r="AD2365" s="16"/>
      <c r="AE2365" s="16"/>
      <c r="AF2365" s="18"/>
    </row>
    <row r="2366" spans="1:32" ht="15" customHeight="1">
      <c r="A2366" s="213" t="s">
        <v>2592</v>
      </c>
      <c r="B2366" s="130"/>
      <c r="C2366" s="118" t="s">
        <v>3817</v>
      </c>
      <c r="D2366" s="141"/>
      <c r="E2366" s="118"/>
      <c r="F2366" s="118"/>
      <c r="G2366" s="118" t="s">
        <v>3618</v>
      </c>
      <c r="H2366" s="118" t="s">
        <v>3438</v>
      </c>
      <c r="I2366" s="118" t="s">
        <v>5783</v>
      </c>
      <c r="J2366" s="118" t="s">
        <v>5363</v>
      </c>
      <c r="K2366" s="141"/>
      <c r="L2366" s="135" t="str">
        <f t="shared" si="134"/>
        <v>Dremomys pernyi</v>
      </c>
      <c r="M2366" s="133">
        <f>LOG(N2366)</f>
        <v>2.2980339102154361</v>
      </c>
      <c r="N2366" s="133">
        <f>(7/16)*454</f>
        <v>198.625</v>
      </c>
      <c r="O2366" s="179" t="s">
        <v>3356</v>
      </c>
      <c r="P2366" s="108">
        <v>133</v>
      </c>
      <c r="Q2366" s="80"/>
      <c r="AD2366" s="16"/>
      <c r="AE2366" s="16"/>
      <c r="AF2366" s="18"/>
    </row>
    <row r="2367" spans="1:32">
      <c r="A2367" s="213" t="s">
        <v>2592</v>
      </c>
      <c r="B2367" s="130"/>
      <c r="C2367" s="118" t="s">
        <v>3817</v>
      </c>
      <c r="D2367" s="141"/>
      <c r="E2367" s="118"/>
      <c r="F2367" s="118"/>
      <c r="G2367" s="118" t="s">
        <v>3618</v>
      </c>
      <c r="H2367" s="118" t="s">
        <v>3438</v>
      </c>
      <c r="I2367" s="118" t="s">
        <v>5783</v>
      </c>
      <c r="J2367" s="118" t="s">
        <v>5550</v>
      </c>
      <c r="K2367" s="141"/>
      <c r="L2367" s="135" t="str">
        <f t="shared" si="134"/>
        <v>Dremomys rufigenis</v>
      </c>
      <c r="M2367" s="133">
        <f>LOG(N2367)</f>
        <v>2.3010299956639813</v>
      </c>
      <c r="N2367" s="133">
        <v>200</v>
      </c>
      <c r="O2367" s="179" t="s">
        <v>3356</v>
      </c>
      <c r="P2367" s="108">
        <v>119</v>
      </c>
      <c r="Q2367" s="80"/>
      <c r="AD2367" s="16"/>
      <c r="AE2367" s="16"/>
      <c r="AF2367" s="18"/>
    </row>
    <row r="2368" spans="1:32" ht="25.5">
      <c r="A2368" s="213" t="s">
        <v>2592</v>
      </c>
      <c r="B2368" s="141" t="s">
        <v>2727</v>
      </c>
      <c r="C2368" s="118" t="s">
        <v>3817</v>
      </c>
      <c r="D2368" s="141"/>
      <c r="E2368" s="118"/>
      <c r="F2368" s="118"/>
      <c r="G2368" s="118" t="s">
        <v>3618</v>
      </c>
      <c r="H2368" s="118" t="s">
        <v>3438</v>
      </c>
      <c r="I2368" s="118" t="s">
        <v>5783</v>
      </c>
      <c r="J2368" s="118" t="s">
        <v>5362</v>
      </c>
      <c r="K2368" s="141"/>
      <c r="L2368" s="135" t="str">
        <f t="shared" si="134"/>
        <v>Dremomys lokriah</v>
      </c>
      <c r="M2368" s="133">
        <f>LOG(N2368)</f>
        <v>2.3560258571931225</v>
      </c>
      <c r="N2368" s="133">
        <f>0.5*454</f>
        <v>227</v>
      </c>
      <c r="O2368" s="179" t="s">
        <v>3356</v>
      </c>
      <c r="P2368" s="108">
        <v>133</v>
      </c>
      <c r="Q2368" s="80"/>
      <c r="AD2368" s="16"/>
      <c r="AE2368" s="16"/>
      <c r="AF2368" s="18"/>
    </row>
    <row r="2369" spans="1:32" ht="15" customHeight="1">
      <c r="A2369" s="213" t="s">
        <v>2592</v>
      </c>
      <c r="B2369" s="130"/>
      <c r="C2369" s="118" t="s">
        <v>3817</v>
      </c>
      <c r="D2369" s="141"/>
      <c r="E2369" s="118"/>
      <c r="F2369" s="118"/>
      <c r="G2369" s="118" t="s">
        <v>3618</v>
      </c>
      <c r="H2369" s="118" t="s">
        <v>3438</v>
      </c>
      <c r="I2369" s="118" t="s">
        <v>5568</v>
      </c>
      <c r="J2369" s="118" t="s">
        <v>4485</v>
      </c>
      <c r="K2369" s="141"/>
      <c r="L2369" s="135" t="str">
        <f t="shared" si="134"/>
        <v>Eupetaurus cinereus</v>
      </c>
      <c r="M2369" s="133">
        <f>LOG(N2369)</f>
        <v>3.3979400086720375</v>
      </c>
      <c r="N2369" s="133">
        <v>2500</v>
      </c>
      <c r="O2369" s="179" t="s">
        <v>6641</v>
      </c>
      <c r="P2369" s="108">
        <v>193</v>
      </c>
      <c r="Q2369" s="80" t="s">
        <v>6640</v>
      </c>
      <c r="AD2369" s="16"/>
      <c r="AE2369" s="16"/>
      <c r="AF2369" s="18"/>
    </row>
    <row r="2370" spans="1:32">
      <c r="A2370" s="213" t="s">
        <v>2592</v>
      </c>
      <c r="B2370" s="141" t="s">
        <v>2527</v>
      </c>
      <c r="C2370" s="118" t="s">
        <v>3817</v>
      </c>
      <c r="D2370" s="141"/>
      <c r="E2370" s="118"/>
      <c r="F2370" s="118"/>
      <c r="G2370" s="118" t="s">
        <v>3618</v>
      </c>
      <c r="H2370" s="118" t="s">
        <v>3438</v>
      </c>
      <c r="I2370" s="118" t="s">
        <v>6105</v>
      </c>
      <c r="J2370" s="118" t="s">
        <v>8272</v>
      </c>
      <c r="K2370" s="141"/>
      <c r="L2370" s="135" t="str">
        <f t="shared" si="134"/>
        <v>Funambulus layardi</v>
      </c>
      <c r="M2370" s="133">
        <v>-999</v>
      </c>
      <c r="N2370" s="133">
        <v>-999</v>
      </c>
      <c r="O2370" s="179" t="s">
        <v>3356</v>
      </c>
      <c r="P2370" s="108">
        <v>-999</v>
      </c>
      <c r="Q2370" s="80"/>
      <c r="AD2370" s="16"/>
      <c r="AE2370" s="16"/>
      <c r="AF2370" s="18"/>
    </row>
    <row r="2371" spans="1:32" ht="12" customHeight="1">
      <c r="A2371" s="213" t="s">
        <v>2592</v>
      </c>
      <c r="B2371" s="141" t="s">
        <v>2527</v>
      </c>
      <c r="C2371" s="118" t="s">
        <v>3817</v>
      </c>
      <c r="D2371" s="141"/>
      <c r="E2371" s="118"/>
      <c r="F2371" s="118"/>
      <c r="G2371" s="118" t="s">
        <v>3618</v>
      </c>
      <c r="H2371" s="118" t="s">
        <v>3438</v>
      </c>
      <c r="I2371" s="118" t="s">
        <v>6105</v>
      </c>
      <c r="J2371" s="118" t="s">
        <v>8273</v>
      </c>
      <c r="K2371" s="141"/>
      <c r="L2371" s="135" t="str">
        <f t="shared" si="134"/>
        <v>Funambulus palmarum</v>
      </c>
      <c r="M2371" s="133">
        <v>-999</v>
      </c>
      <c r="N2371" s="133">
        <v>-999</v>
      </c>
      <c r="O2371" s="179" t="s">
        <v>3356</v>
      </c>
      <c r="P2371" s="108">
        <v>-999</v>
      </c>
      <c r="Q2371" s="88"/>
      <c r="AD2371" s="16"/>
      <c r="AE2371" s="16"/>
      <c r="AF2371" s="18"/>
    </row>
    <row r="2372" spans="1:32">
      <c r="A2372" s="213" t="s">
        <v>2592</v>
      </c>
      <c r="B2372" s="141" t="s">
        <v>2527</v>
      </c>
      <c r="C2372" s="118" t="s">
        <v>3817</v>
      </c>
      <c r="D2372" s="141"/>
      <c r="E2372" s="118"/>
      <c r="F2372" s="118"/>
      <c r="G2372" s="118" t="s">
        <v>3618</v>
      </c>
      <c r="H2372" s="118" t="s">
        <v>3438</v>
      </c>
      <c r="I2372" s="118" t="s">
        <v>6105</v>
      </c>
      <c r="J2372" s="118" t="s">
        <v>3706</v>
      </c>
      <c r="K2372" s="141"/>
      <c r="L2372" s="135" t="str">
        <f t="shared" si="134"/>
        <v>Funambulus sublineatus</v>
      </c>
      <c r="M2372" s="133">
        <f t="shared" ref="M2372:M2392" si="137">LOG(N2372)</f>
        <v>1.8508758788732167</v>
      </c>
      <c r="N2372" s="133">
        <f>454*0.15625</f>
        <v>70.9375</v>
      </c>
      <c r="O2372" s="179"/>
      <c r="P2372" s="108">
        <v>132</v>
      </c>
      <c r="Q2372" s="80"/>
      <c r="AD2372" s="16"/>
      <c r="AE2372" s="16"/>
      <c r="AF2372" s="18"/>
    </row>
    <row r="2373" spans="1:32" ht="12" customHeight="1">
      <c r="A2373" s="213" t="s">
        <v>2592</v>
      </c>
      <c r="B2373" s="141" t="s">
        <v>2527</v>
      </c>
      <c r="C2373" s="118" t="s">
        <v>3817</v>
      </c>
      <c r="D2373" s="141"/>
      <c r="E2373" s="118"/>
      <c r="F2373" s="118"/>
      <c r="G2373" s="118" t="s">
        <v>3618</v>
      </c>
      <c r="H2373" s="118" t="s">
        <v>3438</v>
      </c>
      <c r="I2373" s="118" t="s">
        <v>6105</v>
      </c>
      <c r="J2373" s="118" t="s">
        <v>8275</v>
      </c>
      <c r="K2373" s="141"/>
      <c r="L2373" s="135" t="str">
        <f t="shared" ref="L2373:L2436" si="138">I2373&amp;" "&amp;J2373</f>
        <v>Funambulus tristriatus</v>
      </c>
      <c r="M2373" s="133">
        <f t="shared" si="137"/>
        <v>2.143014800254095</v>
      </c>
      <c r="N2373" s="133">
        <v>139</v>
      </c>
      <c r="O2373" s="179" t="s">
        <v>7081</v>
      </c>
      <c r="P2373" s="108">
        <v>60</v>
      </c>
      <c r="Q2373" s="88" t="s">
        <v>6642</v>
      </c>
      <c r="AD2373" s="16"/>
      <c r="AE2373" s="16"/>
      <c r="AF2373" s="18"/>
    </row>
    <row r="2374" spans="1:32">
      <c r="A2374" s="213" t="s">
        <v>2592</v>
      </c>
      <c r="B2374" s="130"/>
      <c r="C2374" s="118" t="s">
        <v>3817</v>
      </c>
      <c r="D2374" s="141"/>
      <c r="E2374" s="118"/>
      <c r="F2374" s="118"/>
      <c r="G2374" s="118" t="s">
        <v>3618</v>
      </c>
      <c r="H2374" s="118" t="s">
        <v>3438</v>
      </c>
      <c r="I2374" s="118" t="s">
        <v>6105</v>
      </c>
      <c r="J2374" s="118" t="s">
        <v>8274</v>
      </c>
      <c r="K2374" s="141"/>
      <c r="L2374" s="135" t="str">
        <f t="shared" si="138"/>
        <v>Funambulus pennantii</v>
      </c>
      <c r="M2374" s="133">
        <f t="shared" si="137"/>
        <v>2.3010299956639813</v>
      </c>
      <c r="N2374" s="133">
        <v>200</v>
      </c>
      <c r="O2374" s="179" t="s">
        <v>3356</v>
      </c>
      <c r="P2374" s="108">
        <v>75</v>
      </c>
      <c r="AD2374" s="16"/>
      <c r="AE2374" s="16"/>
      <c r="AF2374" s="18"/>
    </row>
    <row r="2375" spans="1:32">
      <c r="A2375" s="213" t="s">
        <v>2592</v>
      </c>
      <c r="B2375" s="130"/>
      <c r="C2375" s="118" t="s">
        <v>3817</v>
      </c>
      <c r="D2375" s="141"/>
      <c r="E2375" s="118"/>
      <c r="F2375" s="118"/>
      <c r="G2375" s="118" t="s">
        <v>3618</v>
      </c>
      <c r="H2375" s="118" t="s">
        <v>3438</v>
      </c>
      <c r="I2375" s="118" t="s">
        <v>5569</v>
      </c>
      <c r="J2375" s="118" t="s">
        <v>2175</v>
      </c>
      <c r="K2375" s="141"/>
      <c r="L2375" s="135" t="str">
        <f t="shared" si="138"/>
        <v>Hylopetes lepidus</v>
      </c>
      <c r="M2375" s="133">
        <f t="shared" si="137"/>
        <v>1.6989700043360187</v>
      </c>
      <c r="N2375" s="133">
        <v>50</v>
      </c>
      <c r="O2375" s="179" t="s">
        <v>3356</v>
      </c>
      <c r="P2375" s="108">
        <v>119</v>
      </c>
      <c r="Q2375" s="80"/>
      <c r="AD2375" s="16"/>
      <c r="AE2375" s="16"/>
      <c r="AF2375" s="18"/>
    </row>
    <row r="2376" spans="1:32" ht="12" customHeight="1">
      <c r="A2376" s="213" t="s">
        <v>2592</v>
      </c>
      <c r="B2376" s="141" t="s">
        <v>2834</v>
      </c>
      <c r="C2376" s="118" t="s">
        <v>3817</v>
      </c>
      <c r="D2376" s="141"/>
      <c r="E2376" s="118"/>
      <c r="F2376" s="118"/>
      <c r="G2376" s="118" t="s">
        <v>3618</v>
      </c>
      <c r="H2376" s="118" t="s">
        <v>3438</v>
      </c>
      <c r="I2376" s="118" t="s">
        <v>5569</v>
      </c>
      <c r="J2376" s="118" t="s">
        <v>6466</v>
      </c>
      <c r="K2376" s="141"/>
      <c r="L2376" s="135" t="str">
        <f t="shared" si="138"/>
        <v>Hylopetes spadiceus</v>
      </c>
      <c r="M2376" s="133">
        <f t="shared" si="137"/>
        <v>1.6989700043360187</v>
      </c>
      <c r="N2376" s="133">
        <v>50</v>
      </c>
      <c r="O2376" s="179" t="s">
        <v>3356</v>
      </c>
      <c r="P2376" s="108">
        <v>119</v>
      </c>
      <c r="Q2376" s="88"/>
      <c r="AD2376" s="16"/>
      <c r="AE2376" s="16"/>
      <c r="AF2376" s="18"/>
    </row>
    <row r="2377" spans="1:32" ht="25.5">
      <c r="A2377" s="213" t="s">
        <v>2592</v>
      </c>
      <c r="B2377" s="141" t="s">
        <v>2297</v>
      </c>
      <c r="C2377" s="118" t="s">
        <v>3817</v>
      </c>
      <c r="D2377" s="141"/>
      <c r="E2377" s="118"/>
      <c r="F2377" s="118"/>
      <c r="G2377" s="118" t="s">
        <v>3618</v>
      </c>
      <c r="H2377" s="118" t="s">
        <v>3438</v>
      </c>
      <c r="I2377" s="118" t="s">
        <v>5569</v>
      </c>
      <c r="J2377" s="118" t="s">
        <v>6795</v>
      </c>
      <c r="K2377" s="141"/>
      <c r="L2377" s="135" t="str">
        <f t="shared" si="138"/>
        <v>Hylopetes phayrei</v>
      </c>
      <c r="M2377" s="133">
        <f t="shared" si="137"/>
        <v>2.3560258571931225</v>
      </c>
      <c r="N2377" s="133">
        <f>(8/16)*454</f>
        <v>227</v>
      </c>
      <c r="O2377" s="179" t="s">
        <v>3356</v>
      </c>
      <c r="P2377" s="108">
        <v>133</v>
      </c>
      <c r="Q2377" s="80"/>
      <c r="AD2377" s="16"/>
      <c r="AE2377" s="16"/>
      <c r="AF2377" s="18"/>
    </row>
    <row r="2378" spans="1:32">
      <c r="A2378" s="213" t="s">
        <v>2592</v>
      </c>
      <c r="B2378" s="130"/>
      <c r="C2378" s="118" t="s">
        <v>3817</v>
      </c>
      <c r="D2378" s="141"/>
      <c r="E2378" s="118"/>
      <c r="F2378" s="118"/>
      <c r="G2378" s="118" t="s">
        <v>3618</v>
      </c>
      <c r="H2378" s="118" t="s">
        <v>3438</v>
      </c>
      <c r="I2378" s="118" t="s">
        <v>5569</v>
      </c>
      <c r="J2378" s="118" t="s">
        <v>5570</v>
      </c>
      <c r="K2378" s="141"/>
      <c r="L2378" s="135" t="str">
        <f t="shared" si="138"/>
        <v>Hylopetes alboniger</v>
      </c>
      <c r="M2378" s="133">
        <f t="shared" si="137"/>
        <v>2.407178379640504</v>
      </c>
      <c r="N2378" s="133">
        <f>(9/16)*454</f>
        <v>255.375</v>
      </c>
      <c r="O2378" s="179" t="s">
        <v>6641</v>
      </c>
      <c r="P2378" s="108">
        <v>133</v>
      </c>
      <c r="Q2378" s="90" t="s">
        <v>6640</v>
      </c>
      <c r="AD2378" s="16"/>
      <c r="AE2378" s="16"/>
      <c r="AF2378" s="18"/>
    </row>
    <row r="2379" spans="1:32">
      <c r="A2379" s="213" t="s">
        <v>2592</v>
      </c>
      <c r="B2379" s="130"/>
      <c r="C2379" s="118" t="s">
        <v>3817</v>
      </c>
      <c r="D2379" s="141"/>
      <c r="E2379" s="118"/>
      <c r="F2379" s="118"/>
      <c r="G2379" s="118" t="s">
        <v>3618</v>
      </c>
      <c r="H2379" s="118" t="s">
        <v>3438</v>
      </c>
      <c r="I2379" s="118" t="s">
        <v>5569</v>
      </c>
      <c r="J2379" s="118" t="s">
        <v>6430</v>
      </c>
      <c r="K2379" s="141"/>
      <c r="L2379" s="135" t="str">
        <f t="shared" si="138"/>
        <v>Hylopetes fimbriatus</v>
      </c>
      <c r="M2379" s="133">
        <f t="shared" si="137"/>
        <v>2.7075701760979363</v>
      </c>
      <c r="N2379" s="133">
        <v>510</v>
      </c>
      <c r="O2379" s="179" t="s">
        <v>6641</v>
      </c>
      <c r="P2379" s="108">
        <v>117</v>
      </c>
      <c r="Q2379" s="80" t="s">
        <v>6642</v>
      </c>
      <c r="AD2379" s="16"/>
      <c r="AE2379" s="16"/>
      <c r="AF2379" s="18"/>
    </row>
    <row r="2380" spans="1:32">
      <c r="A2380" s="213" t="s">
        <v>2592</v>
      </c>
      <c r="B2380" s="130"/>
      <c r="C2380" s="118" t="s">
        <v>3817</v>
      </c>
      <c r="D2380" s="141"/>
      <c r="E2380" s="118"/>
      <c r="F2380" s="118"/>
      <c r="G2380" s="118" t="s">
        <v>3618</v>
      </c>
      <c r="H2380" s="118" t="s">
        <v>3438</v>
      </c>
      <c r="I2380" s="118" t="s">
        <v>5569</v>
      </c>
      <c r="J2380" s="118" t="s">
        <v>5571</v>
      </c>
      <c r="K2380" s="141"/>
      <c r="L2380" s="135" t="str">
        <f t="shared" si="138"/>
        <v>Hylopetes baberi</v>
      </c>
      <c r="M2380" s="133">
        <f t="shared" si="137"/>
        <v>2.8524799936368566</v>
      </c>
      <c r="N2380" s="133">
        <v>712</v>
      </c>
      <c r="O2380" s="179" t="s">
        <v>6882</v>
      </c>
      <c r="P2380" s="108">
        <v>60</v>
      </c>
      <c r="Q2380" s="90" t="s">
        <v>6642</v>
      </c>
      <c r="AD2380" s="16"/>
      <c r="AE2380" s="16"/>
      <c r="AF2380" s="18"/>
    </row>
    <row r="2381" spans="1:32" ht="15" customHeight="1">
      <c r="A2381" s="217" t="s">
        <v>2592</v>
      </c>
      <c r="B2381" s="141" t="s">
        <v>2718</v>
      </c>
      <c r="C2381" s="118" t="s">
        <v>3817</v>
      </c>
      <c r="D2381" s="141"/>
      <c r="E2381" s="118"/>
      <c r="F2381" s="118"/>
      <c r="G2381" s="118" t="s">
        <v>3618</v>
      </c>
      <c r="H2381" s="118" t="s">
        <v>3438</v>
      </c>
      <c r="I2381" s="118" t="s">
        <v>6440</v>
      </c>
      <c r="J2381" s="118" t="s">
        <v>6441</v>
      </c>
      <c r="K2381" s="141"/>
      <c r="L2381" s="135" t="str">
        <f t="shared" si="138"/>
        <v>Iomys horsfieldi</v>
      </c>
      <c r="M2381" s="133">
        <f t="shared" si="137"/>
        <v>2.0791812460476247</v>
      </c>
      <c r="N2381" s="133">
        <v>120</v>
      </c>
      <c r="O2381" s="179" t="s">
        <v>3356</v>
      </c>
      <c r="P2381" s="108">
        <v>119</v>
      </c>
      <c r="Q2381" s="80"/>
      <c r="S2381" s="80" t="s">
        <v>7972</v>
      </c>
      <c r="AD2381" s="16"/>
      <c r="AE2381" s="16"/>
      <c r="AF2381" s="18"/>
    </row>
    <row r="2382" spans="1:32" ht="25.5">
      <c r="A2382" s="213" t="s">
        <v>2592</v>
      </c>
      <c r="B2382" s="141" t="s">
        <v>2706</v>
      </c>
      <c r="C2382" s="118" t="s">
        <v>3817</v>
      </c>
      <c r="D2382" s="141"/>
      <c r="E2382" s="118"/>
      <c r="F2382" s="118"/>
      <c r="G2382" s="118" t="s">
        <v>3618</v>
      </c>
      <c r="H2382" s="118" t="s">
        <v>3438</v>
      </c>
      <c r="I2382" s="118" t="s">
        <v>6538</v>
      </c>
      <c r="J2382" s="118" t="s">
        <v>6460</v>
      </c>
      <c r="K2382" s="141"/>
      <c r="L2382" s="135" t="str">
        <f t="shared" si="138"/>
        <v>Lariscus insignis</v>
      </c>
      <c r="M2382" s="133">
        <f t="shared" si="137"/>
        <v>2.3010299956639813</v>
      </c>
      <c r="N2382" s="133">
        <v>200</v>
      </c>
      <c r="O2382" s="179" t="s">
        <v>3356</v>
      </c>
      <c r="P2382" s="108">
        <v>119</v>
      </c>
      <c r="Q2382" s="80"/>
      <c r="AD2382" s="16"/>
      <c r="AE2382" s="16"/>
      <c r="AF2382" s="18"/>
    </row>
    <row r="2383" spans="1:32">
      <c r="A2383" s="213" t="s">
        <v>2592</v>
      </c>
      <c r="B2383" s="130"/>
      <c r="C2383" s="118" t="s">
        <v>3817</v>
      </c>
      <c r="D2383" s="141"/>
      <c r="E2383" s="118"/>
      <c r="F2383" s="118"/>
      <c r="G2383" s="118" t="s">
        <v>3618</v>
      </c>
      <c r="H2383" s="118" t="s">
        <v>3438</v>
      </c>
      <c r="I2383" s="118" t="s">
        <v>6825</v>
      </c>
      <c r="J2383" s="118" t="s">
        <v>8208</v>
      </c>
      <c r="K2383" s="141"/>
      <c r="L2383" s="135" t="str">
        <f t="shared" si="138"/>
        <v>Marmota marmota</v>
      </c>
      <c r="M2383" s="133">
        <f t="shared" si="137"/>
        <v>3.3031960574204891</v>
      </c>
      <c r="N2383" s="133">
        <v>2010</v>
      </c>
      <c r="O2383" s="179" t="s">
        <v>6736</v>
      </c>
      <c r="P2383" s="108">
        <v>68</v>
      </c>
      <c r="AD2383" s="16"/>
      <c r="AE2383" s="16"/>
      <c r="AF2383" s="18"/>
    </row>
    <row r="2384" spans="1:32" ht="15" customHeight="1">
      <c r="A2384" s="213" t="s">
        <v>2592</v>
      </c>
      <c r="B2384" s="141" t="s">
        <v>2707</v>
      </c>
      <c r="C2384" s="118" t="s">
        <v>3817</v>
      </c>
      <c r="D2384" s="141"/>
      <c r="E2384" s="118"/>
      <c r="F2384" s="118"/>
      <c r="G2384" s="118" t="s">
        <v>3618</v>
      </c>
      <c r="H2384" s="118" t="s">
        <v>3438</v>
      </c>
      <c r="I2384" s="118" t="s">
        <v>6825</v>
      </c>
      <c r="J2384" s="118" t="s">
        <v>6706</v>
      </c>
      <c r="K2384" s="141"/>
      <c r="L2384" s="135" t="str">
        <f t="shared" si="138"/>
        <v>Marmota menzbieri</v>
      </c>
      <c r="M2384" s="133">
        <f t="shared" si="137"/>
        <v>3.5118833609788744</v>
      </c>
      <c r="N2384" s="133">
        <f>AVERAGE(2500, 4000)</f>
        <v>3250</v>
      </c>
      <c r="O2384" s="179" t="s">
        <v>7081</v>
      </c>
      <c r="P2384" s="108" t="s">
        <v>6786</v>
      </c>
      <c r="Q2384" s="80" t="s">
        <v>6988</v>
      </c>
      <c r="AD2384" s="16"/>
      <c r="AE2384" s="16"/>
      <c r="AF2384" s="18"/>
    </row>
    <row r="2385" spans="1:32">
      <c r="A2385" s="213" t="s">
        <v>2592</v>
      </c>
      <c r="B2385" s="141" t="s">
        <v>3049</v>
      </c>
      <c r="C2385" s="118" t="s">
        <v>3817</v>
      </c>
      <c r="D2385" s="141"/>
      <c r="E2385" s="118"/>
      <c r="F2385" s="118"/>
      <c r="G2385" s="118" t="s">
        <v>3618</v>
      </c>
      <c r="H2385" s="118" t="s">
        <v>3438</v>
      </c>
      <c r="I2385" s="118" t="s">
        <v>6825</v>
      </c>
      <c r="J2385" s="118" t="s">
        <v>8215</v>
      </c>
      <c r="K2385" s="141"/>
      <c r="L2385" s="135" t="str">
        <f t="shared" si="138"/>
        <v>Marmota camtschatica</v>
      </c>
      <c r="M2385" s="133">
        <f t="shared" si="137"/>
        <v>3.5440680443502757</v>
      </c>
      <c r="N2385" s="133">
        <v>3500</v>
      </c>
      <c r="O2385" s="179" t="s">
        <v>3356</v>
      </c>
      <c r="P2385" s="108" t="s">
        <v>6786</v>
      </c>
      <c r="Q2385" s="80"/>
      <c r="AD2385" s="16"/>
      <c r="AE2385" s="16"/>
      <c r="AF2385" s="18"/>
    </row>
    <row r="2386" spans="1:32">
      <c r="A2386" s="213" t="s">
        <v>2592</v>
      </c>
      <c r="B2386" s="130"/>
      <c r="C2386" s="118" t="s">
        <v>3817</v>
      </c>
      <c r="D2386" s="141"/>
      <c r="E2386" s="118"/>
      <c r="F2386" s="118"/>
      <c r="G2386" s="118" t="s">
        <v>3618</v>
      </c>
      <c r="H2386" s="118" t="s">
        <v>3438</v>
      </c>
      <c r="I2386" s="118" t="s">
        <v>6825</v>
      </c>
      <c r="J2386" s="118" t="s">
        <v>8216</v>
      </c>
      <c r="K2386" s="141"/>
      <c r="L2386" s="135" t="str">
        <f t="shared" si="138"/>
        <v>Marmota caudata</v>
      </c>
      <c r="M2386" s="133">
        <f t="shared" si="137"/>
        <v>3.6384892569546374</v>
      </c>
      <c r="N2386" s="133">
        <f>AVERAGE(4600, 4100)</f>
        <v>4350</v>
      </c>
      <c r="O2386" s="179" t="s">
        <v>7081</v>
      </c>
      <c r="P2386" s="108">
        <v>117</v>
      </c>
      <c r="Q2386" s="80" t="s">
        <v>6642</v>
      </c>
      <c r="AD2386" s="16"/>
      <c r="AE2386" s="16"/>
      <c r="AF2386" s="18"/>
    </row>
    <row r="2387" spans="1:32">
      <c r="A2387" s="213" t="s">
        <v>2592</v>
      </c>
      <c r="B2387" s="141" t="s">
        <v>2238</v>
      </c>
      <c r="C2387" s="118" t="s">
        <v>3817</v>
      </c>
      <c r="D2387" s="141"/>
      <c r="E2387" s="118"/>
      <c r="F2387" s="118"/>
      <c r="G2387" s="118" t="s">
        <v>3618</v>
      </c>
      <c r="H2387" s="118" t="s">
        <v>3438</v>
      </c>
      <c r="I2387" s="118" t="s">
        <v>6825</v>
      </c>
      <c r="J2387" s="118" t="s">
        <v>6115</v>
      </c>
      <c r="K2387" s="141"/>
      <c r="L2387" s="135" t="str">
        <f t="shared" si="138"/>
        <v>Marmota himalayana</v>
      </c>
      <c r="M2387" s="133">
        <f t="shared" si="137"/>
        <v>3.6989700043360187</v>
      </c>
      <c r="N2387" s="133">
        <v>5000</v>
      </c>
      <c r="O2387" s="179" t="s">
        <v>3356</v>
      </c>
      <c r="P2387" s="108" t="s">
        <v>1809</v>
      </c>
      <c r="Q2387" s="80"/>
      <c r="AD2387" s="16"/>
      <c r="AE2387" s="16"/>
      <c r="AF2387" s="18"/>
    </row>
    <row r="2388" spans="1:32" ht="15" customHeight="1">
      <c r="A2388" s="213" t="s">
        <v>2592</v>
      </c>
      <c r="B2388" s="141" t="s">
        <v>6279</v>
      </c>
      <c r="C2388" s="118" t="s">
        <v>3817</v>
      </c>
      <c r="D2388" s="141"/>
      <c r="E2388" s="118"/>
      <c r="F2388" s="118"/>
      <c r="G2388" s="118" t="s">
        <v>3618</v>
      </c>
      <c r="H2388" s="118" t="s">
        <v>3438</v>
      </c>
      <c r="I2388" s="118" t="s">
        <v>6825</v>
      </c>
      <c r="J2388" s="118" t="s">
        <v>6121</v>
      </c>
      <c r="K2388" s="141"/>
      <c r="L2388" s="135" t="str">
        <f t="shared" si="138"/>
        <v>Marmota bobak</v>
      </c>
      <c r="M2388" s="133">
        <f t="shared" si="137"/>
        <v>3.7403626894942437</v>
      </c>
      <c r="N2388" s="133">
        <v>5500</v>
      </c>
      <c r="O2388" s="179" t="s">
        <v>7081</v>
      </c>
      <c r="P2388" s="108" t="s">
        <v>6785</v>
      </c>
      <c r="Q2388" s="80" t="s">
        <v>6642</v>
      </c>
      <c r="AD2388" s="16"/>
      <c r="AE2388" s="16"/>
      <c r="AF2388" s="18"/>
    </row>
    <row r="2389" spans="1:32" ht="15" customHeight="1">
      <c r="A2389" s="213" t="s">
        <v>2592</v>
      </c>
      <c r="B2389" s="130"/>
      <c r="C2389" s="118" t="s">
        <v>3817</v>
      </c>
      <c r="D2389" s="141"/>
      <c r="E2389" s="118"/>
      <c r="F2389" s="118"/>
      <c r="G2389" s="118" t="s">
        <v>3618</v>
      </c>
      <c r="H2389" s="118" t="s">
        <v>3438</v>
      </c>
      <c r="I2389" s="118" t="s">
        <v>6825</v>
      </c>
      <c r="J2389" s="118" t="s">
        <v>6563</v>
      </c>
      <c r="K2389" s="141"/>
      <c r="L2389" s="135" t="str">
        <f t="shared" si="138"/>
        <v>Marmota baibacina</v>
      </c>
      <c r="M2389" s="133">
        <f t="shared" si="137"/>
        <v>3.8750612633917001</v>
      </c>
      <c r="N2389" s="133">
        <f>AVERAGE(6000, 9000)</f>
        <v>7500</v>
      </c>
      <c r="O2389" s="179" t="s">
        <v>3356</v>
      </c>
      <c r="P2389" s="108" t="s">
        <v>8154</v>
      </c>
      <c r="Q2389" s="80"/>
      <c r="AD2389" s="16"/>
      <c r="AE2389" s="16"/>
      <c r="AF2389" s="18"/>
    </row>
    <row r="2390" spans="1:32">
      <c r="A2390" s="213" t="s">
        <v>2592</v>
      </c>
      <c r="B2390" s="141" t="s">
        <v>2310</v>
      </c>
      <c r="C2390" s="118" t="s">
        <v>3817</v>
      </c>
      <c r="D2390" s="141"/>
      <c r="E2390" s="118"/>
      <c r="F2390" s="118"/>
      <c r="G2390" s="118" t="s">
        <v>3618</v>
      </c>
      <c r="H2390" s="118" t="s">
        <v>3438</v>
      </c>
      <c r="I2390" s="118" t="s">
        <v>6825</v>
      </c>
      <c r="J2390" s="118" t="s">
        <v>8225</v>
      </c>
      <c r="K2390" s="141"/>
      <c r="L2390" s="135" t="str">
        <f t="shared" si="138"/>
        <v>Marmota sibirica</v>
      </c>
      <c r="M2390" s="133">
        <f t="shared" si="137"/>
        <v>3.9030899869919438</v>
      </c>
      <c r="N2390" s="133">
        <v>8000</v>
      </c>
      <c r="O2390" s="179" t="s">
        <v>3356</v>
      </c>
      <c r="P2390" s="108">
        <v>60</v>
      </c>
      <c r="Q2390" s="80"/>
      <c r="AD2390" s="16"/>
      <c r="AE2390" s="16"/>
      <c r="AF2390" s="18"/>
    </row>
    <row r="2391" spans="1:32" ht="38.25">
      <c r="A2391" s="213" t="s">
        <v>2592</v>
      </c>
      <c r="B2391" s="141" t="s">
        <v>2534</v>
      </c>
      <c r="C2391" s="118" t="s">
        <v>3817</v>
      </c>
      <c r="D2391" s="141"/>
      <c r="E2391" s="118"/>
      <c r="F2391" s="118"/>
      <c r="G2391" s="118" t="s">
        <v>3618</v>
      </c>
      <c r="H2391" s="118" t="s">
        <v>3438</v>
      </c>
      <c r="I2391" s="118" t="s">
        <v>2932</v>
      </c>
      <c r="J2391" s="118" t="s">
        <v>6547</v>
      </c>
      <c r="K2391" s="141"/>
      <c r="L2391" s="135" t="str">
        <f t="shared" si="138"/>
        <v>Menetes berdmorei</v>
      </c>
      <c r="M2391" s="133">
        <f t="shared" si="137"/>
        <v>2.2787536009528289</v>
      </c>
      <c r="N2391" s="133">
        <v>190</v>
      </c>
      <c r="O2391" s="179" t="s">
        <v>3356</v>
      </c>
      <c r="P2391" s="108">
        <v>60</v>
      </c>
      <c r="Q2391" s="80"/>
      <c r="AD2391" s="16"/>
      <c r="AE2391" s="16"/>
      <c r="AF2391" s="18"/>
    </row>
    <row r="2392" spans="1:32">
      <c r="A2392" s="213" t="s">
        <v>2592</v>
      </c>
      <c r="B2392" s="141" t="s">
        <v>5023</v>
      </c>
      <c r="C2392" s="121" t="s">
        <v>3817</v>
      </c>
      <c r="D2392" s="156"/>
      <c r="E2392" s="121"/>
      <c r="F2392" s="121"/>
      <c r="G2392" s="121" t="s">
        <v>3618</v>
      </c>
      <c r="H2392" s="118" t="s">
        <v>3438</v>
      </c>
      <c r="I2392" s="121" t="s">
        <v>6442</v>
      </c>
      <c r="J2392" s="121" t="s">
        <v>3332</v>
      </c>
      <c r="K2392" s="141"/>
      <c r="L2392" s="135" t="str">
        <f t="shared" si="138"/>
        <v>Petaurillus kinlochii</v>
      </c>
      <c r="M2392" s="133">
        <f t="shared" si="137"/>
        <v>1.6020599913279623</v>
      </c>
      <c r="N2392" s="143">
        <v>40</v>
      </c>
      <c r="O2392" s="179" t="s">
        <v>3356</v>
      </c>
      <c r="P2392" s="108">
        <v>119</v>
      </c>
      <c r="Q2392" s="80"/>
      <c r="AD2392" s="16"/>
      <c r="AE2392" s="16"/>
      <c r="AF2392" s="18"/>
    </row>
    <row r="2393" spans="1:32" ht="12" customHeight="1">
      <c r="A2393" s="213" t="s">
        <v>2592</v>
      </c>
      <c r="B2393" s="141" t="s">
        <v>1988</v>
      </c>
      <c r="C2393" s="118" t="s">
        <v>3817</v>
      </c>
      <c r="D2393" s="141"/>
      <c r="E2393" s="118"/>
      <c r="F2393" s="118"/>
      <c r="G2393" s="118" t="s">
        <v>3618</v>
      </c>
      <c r="H2393" s="118" t="s">
        <v>3438</v>
      </c>
      <c r="I2393" s="118" t="s">
        <v>8209</v>
      </c>
      <c r="J2393" s="118" t="s">
        <v>3616</v>
      </c>
      <c r="K2393" s="141"/>
      <c r="L2393" s="135" t="str">
        <f t="shared" si="138"/>
        <v>Petaurista leucogenys</v>
      </c>
      <c r="M2393" s="133">
        <v>-999</v>
      </c>
      <c r="N2393" s="133">
        <v>-999</v>
      </c>
      <c r="O2393" s="182" t="s">
        <v>3356</v>
      </c>
      <c r="P2393" s="108">
        <v>-999</v>
      </c>
      <c r="Q2393" s="80"/>
      <c r="R2393" s="89"/>
      <c r="AD2393" s="16"/>
      <c r="AE2393" s="16"/>
      <c r="AF2393" s="18"/>
    </row>
    <row r="2394" spans="1:32" ht="38.25">
      <c r="A2394" s="213" t="s">
        <v>2592</v>
      </c>
      <c r="B2394" s="141" t="s">
        <v>4879</v>
      </c>
      <c r="C2394" s="118" t="s">
        <v>3817</v>
      </c>
      <c r="D2394" s="141"/>
      <c r="E2394" s="118"/>
      <c r="F2394" s="118"/>
      <c r="G2394" s="118" t="s">
        <v>3618</v>
      </c>
      <c r="H2394" s="118" t="s">
        <v>3438</v>
      </c>
      <c r="I2394" s="118" t="s">
        <v>8209</v>
      </c>
      <c r="J2394" s="118" t="s">
        <v>2076</v>
      </c>
      <c r="K2394" s="141"/>
      <c r="L2394" s="135" t="str">
        <f t="shared" si="138"/>
        <v>Petaurista elegans</v>
      </c>
      <c r="M2394" s="133">
        <f t="shared" ref="M2394:M2416" si="139">LOG(N2394)</f>
        <v>2.9795483747040952</v>
      </c>
      <c r="N2394" s="133">
        <f>AVERAGE(1000, (454*2))</f>
        <v>954</v>
      </c>
      <c r="O2394" s="182" t="s">
        <v>3356</v>
      </c>
      <c r="P2394" s="108" t="s">
        <v>1474</v>
      </c>
      <c r="Q2394" s="80"/>
      <c r="AD2394" s="16"/>
      <c r="AE2394" s="16"/>
      <c r="AF2394" s="18"/>
    </row>
    <row r="2395" spans="1:32" ht="38.25">
      <c r="A2395" s="213" t="s">
        <v>2592</v>
      </c>
      <c r="B2395" s="141" t="s">
        <v>7632</v>
      </c>
      <c r="C2395" s="118" t="s">
        <v>3817</v>
      </c>
      <c r="D2395" s="141"/>
      <c r="E2395" s="118"/>
      <c r="F2395" s="118"/>
      <c r="G2395" s="118" t="s">
        <v>3618</v>
      </c>
      <c r="H2395" s="118" t="s">
        <v>3438</v>
      </c>
      <c r="I2395" s="118" t="s">
        <v>8209</v>
      </c>
      <c r="J2395" s="118" t="s">
        <v>6343</v>
      </c>
      <c r="K2395" s="141"/>
      <c r="L2395" s="135" t="str">
        <f t="shared" si="138"/>
        <v>Petaurista petaurista</v>
      </c>
      <c r="M2395" s="133">
        <f t="shared" si="139"/>
        <v>3.1255625866411747</v>
      </c>
      <c r="N2395" s="133">
        <f>AVERAGE(1704, 1137, 1000, 1500)</f>
        <v>1335.25</v>
      </c>
      <c r="O2395" s="179" t="s">
        <v>3356</v>
      </c>
      <c r="P2395" s="108" t="s">
        <v>1191</v>
      </c>
      <c r="Q2395" s="80"/>
      <c r="AD2395" s="16"/>
      <c r="AE2395" s="16"/>
      <c r="AF2395" s="18"/>
    </row>
    <row r="2396" spans="1:32">
      <c r="A2396" s="213" t="s">
        <v>2592</v>
      </c>
      <c r="B2396" s="141" t="s">
        <v>7505</v>
      </c>
      <c r="C2396" s="118" t="s">
        <v>3817</v>
      </c>
      <c r="D2396" s="141"/>
      <c r="E2396" s="118"/>
      <c r="F2396" s="118"/>
      <c r="G2396" s="118" t="s">
        <v>3618</v>
      </c>
      <c r="H2396" s="118" t="s">
        <v>3438</v>
      </c>
      <c r="I2396" s="118" t="s">
        <v>8209</v>
      </c>
      <c r="J2396" s="118" t="s">
        <v>3334</v>
      </c>
      <c r="K2396" s="141"/>
      <c r="L2396" s="135" t="str">
        <f t="shared" si="138"/>
        <v>Petaurista magnificus</v>
      </c>
      <c r="M2396" s="133">
        <f t="shared" si="139"/>
        <v>3.1689392138359782</v>
      </c>
      <c r="N2396" s="133">
        <f>454*3.25</f>
        <v>1475.5</v>
      </c>
      <c r="O2396" s="179" t="s">
        <v>7081</v>
      </c>
      <c r="P2396" s="108">
        <v>133</v>
      </c>
      <c r="Q2396" s="80" t="s">
        <v>6642</v>
      </c>
      <c r="AD2396" s="16"/>
      <c r="AE2396" s="16"/>
      <c r="AF2396" s="18"/>
    </row>
    <row r="2397" spans="1:32" ht="15" customHeight="1">
      <c r="A2397" s="213" t="s">
        <v>2592</v>
      </c>
      <c r="B2397" s="130"/>
      <c r="C2397" s="118" t="s">
        <v>3817</v>
      </c>
      <c r="D2397" s="141"/>
      <c r="E2397" s="118"/>
      <c r="F2397" s="118"/>
      <c r="G2397" s="118" t="s">
        <v>3618</v>
      </c>
      <c r="H2397" s="118" t="s">
        <v>3438</v>
      </c>
      <c r="I2397" s="118" t="s">
        <v>8209</v>
      </c>
      <c r="J2397" s="118" t="s">
        <v>5927</v>
      </c>
      <c r="K2397" s="141"/>
      <c r="L2397" s="135" t="str">
        <f t="shared" si="138"/>
        <v>Petaurista philippensis</v>
      </c>
      <c r="M2397" s="133">
        <f t="shared" si="139"/>
        <v>3.2304489213782741</v>
      </c>
      <c r="N2397" s="133">
        <v>1700</v>
      </c>
      <c r="O2397" s="179" t="s">
        <v>6736</v>
      </c>
      <c r="P2397" s="108">
        <v>-999</v>
      </c>
      <c r="AD2397" s="16"/>
      <c r="AE2397" s="16"/>
      <c r="AF2397" s="18"/>
    </row>
    <row r="2398" spans="1:32" ht="15" customHeight="1">
      <c r="A2398" s="213" t="s">
        <v>2592</v>
      </c>
      <c r="B2398" s="141" t="s">
        <v>1988</v>
      </c>
      <c r="C2398" s="118" t="s">
        <v>3817</v>
      </c>
      <c r="D2398" s="141"/>
      <c r="E2398" s="118"/>
      <c r="F2398" s="118"/>
      <c r="G2398" s="118" t="s">
        <v>3618</v>
      </c>
      <c r="H2398" s="118" t="s">
        <v>3438</v>
      </c>
      <c r="I2398" s="118" t="s">
        <v>8209</v>
      </c>
      <c r="J2398" s="118" t="s">
        <v>6610</v>
      </c>
      <c r="K2398" s="141"/>
      <c r="L2398" s="135" t="str">
        <f t="shared" si="138"/>
        <v>Petaurista xanthotis</v>
      </c>
      <c r="M2398" s="133">
        <f t="shared" si="139"/>
        <v>3.2787536009528289</v>
      </c>
      <c r="N2398" s="133">
        <v>1900</v>
      </c>
      <c r="O2398" s="179" t="s">
        <v>3356</v>
      </c>
      <c r="P2398" s="108">
        <v>60</v>
      </c>
      <c r="Q2398" s="80"/>
      <c r="AD2398" s="16"/>
      <c r="AE2398" s="16"/>
      <c r="AF2398" s="18"/>
    </row>
    <row r="2399" spans="1:32" ht="12" customHeight="1">
      <c r="A2399" s="213" t="s">
        <v>2592</v>
      </c>
      <c r="B2399" s="141" t="s">
        <v>7506</v>
      </c>
      <c r="C2399" s="118" t="s">
        <v>3817</v>
      </c>
      <c r="D2399" s="141"/>
      <c r="E2399" s="118"/>
      <c r="F2399" s="118"/>
      <c r="G2399" s="118" t="s">
        <v>3618</v>
      </c>
      <c r="H2399" s="118" t="s">
        <v>3438</v>
      </c>
      <c r="I2399" s="118" t="s">
        <v>8209</v>
      </c>
      <c r="J2399" s="118" t="s">
        <v>6607</v>
      </c>
      <c r="K2399" s="141"/>
      <c r="L2399" s="135" t="str">
        <f t="shared" si="138"/>
        <v>Petaurista nobilis</v>
      </c>
      <c r="M2399" s="133">
        <f t="shared" si="139"/>
        <v>3.4329692908744058</v>
      </c>
      <c r="N2399" s="133">
        <f>1000*2.71</f>
        <v>2710</v>
      </c>
      <c r="O2399" s="182" t="s">
        <v>7081</v>
      </c>
      <c r="P2399" s="108">
        <v>60</v>
      </c>
      <c r="Q2399" s="88" t="s">
        <v>6642</v>
      </c>
      <c r="AD2399" s="16"/>
      <c r="AE2399" s="16"/>
      <c r="AF2399" s="18"/>
    </row>
    <row r="2400" spans="1:32" ht="12" customHeight="1">
      <c r="A2400" s="213" t="s">
        <v>2592</v>
      </c>
      <c r="B2400" s="141" t="s">
        <v>7630</v>
      </c>
      <c r="C2400" s="118" t="s">
        <v>3817</v>
      </c>
      <c r="D2400" s="141"/>
      <c r="E2400" s="118"/>
      <c r="F2400" s="118"/>
      <c r="G2400" s="118" t="s">
        <v>3618</v>
      </c>
      <c r="H2400" s="118" t="s">
        <v>3438</v>
      </c>
      <c r="I2400" s="118" t="s">
        <v>8209</v>
      </c>
      <c r="J2400" s="118" t="s">
        <v>3333</v>
      </c>
      <c r="K2400" s="141"/>
      <c r="L2400" s="135" t="str">
        <f t="shared" si="138"/>
        <v>Petaurista alborufus</v>
      </c>
      <c r="M2400" s="133">
        <f t="shared" si="139"/>
        <v>3.6324572921847245</v>
      </c>
      <c r="N2400" s="133">
        <f>1000*AVERAGE(4.29, 4.29)</f>
        <v>4290</v>
      </c>
      <c r="O2400" s="179" t="s">
        <v>3356</v>
      </c>
      <c r="P2400" s="108">
        <v>60</v>
      </c>
      <c r="Q2400" s="88"/>
      <c r="AD2400" s="16"/>
      <c r="AE2400" s="16"/>
      <c r="AF2400" s="18"/>
    </row>
    <row r="2401" spans="1:32">
      <c r="A2401" s="213" t="s">
        <v>2592</v>
      </c>
      <c r="B2401" s="141" t="s">
        <v>7727</v>
      </c>
      <c r="C2401" s="118" t="s">
        <v>3817</v>
      </c>
      <c r="D2401" s="141"/>
      <c r="E2401" s="118"/>
      <c r="F2401" s="118"/>
      <c r="G2401" s="118" t="s">
        <v>3618</v>
      </c>
      <c r="H2401" s="118" t="s">
        <v>3438</v>
      </c>
      <c r="I2401" s="118" t="s">
        <v>5928</v>
      </c>
      <c r="J2401" s="118" t="s">
        <v>4813</v>
      </c>
      <c r="K2401" s="141"/>
      <c r="L2401" s="135" t="str">
        <f t="shared" si="138"/>
        <v>Petinomys setosus</v>
      </c>
      <c r="M2401" s="133">
        <f t="shared" si="139"/>
        <v>1.5847551331194918</v>
      </c>
      <c r="N2401" s="133">
        <f>1000*AVERAGE(0.031, 0.058, 0.0265, 0.036, 0.033, 0.045, 0.033, 0.045)</f>
        <v>38.437499999999993</v>
      </c>
      <c r="O2401" s="179" t="s">
        <v>3356</v>
      </c>
      <c r="P2401" s="108">
        <v>60</v>
      </c>
      <c r="Q2401" s="80"/>
      <c r="AD2401" s="16"/>
      <c r="AE2401" s="16"/>
      <c r="AF2401" s="18"/>
    </row>
    <row r="2402" spans="1:32">
      <c r="A2402" s="213" t="s">
        <v>2592</v>
      </c>
      <c r="B2402" s="141" t="s">
        <v>5140</v>
      </c>
      <c r="C2402" s="118" t="s">
        <v>3817</v>
      </c>
      <c r="D2402" s="141"/>
      <c r="E2402" s="118"/>
      <c r="F2402" s="118"/>
      <c r="G2402" s="118" t="s">
        <v>3618</v>
      </c>
      <c r="H2402" s="118" t="s">
        <v>3438</v>
      </c>
      <c r="I2402" s="118" t="s">
        <v>5928</v>
      </c>
      <c r="J2402" s="118" t="s">
        <v>6613</v>
      </c>
      <c r="K2402" s="141"/>
      <c r="L2402" s="135" t="str">
        <f t="shared" si="138"/>
        <v>Petinomys vordermanni</v>
      </c>
      <c r="M2402" s="133">
        <f t="shared" si="139"/>
        <v>1.6020599913279623</v>
      </c>
      <c r="N2402" s="133">
        <f>1000*AVERAGE(0.04, 0.0225, 0.0515, 0.039, 0.044, 0.039, 0.044)</f>
        <v>40</v>
      </c>
      <c r="O2402" s="179" t="s">
        <v>3356</v>
      </c>
      <c r="P2402" s="108">
        <v>60</v>
      </c>
      <c r="Q2402" s="80"/>
      <c r="AD2402" s="16"/>
      <c r="AE2402" s="16"/>
      <c r="AF2402" s="18"/>
    </row>
    <row r="2403" spans="1:32">
      <c r="A2403" s="213" t="s">
        <v>2592</v>
      </c>
      <c r="B2403" s="130"/>
      <c r="C2403" s="118" t="s">
        <v>3817</v>
      </c>
      <c r="D2403" s="141"/>
      <c r="E2403" s="118"/>
      <c r="F2403" s="118"/>
      <c r="G2403" s="118" t="s">
        <v>3618</v>
      </c>
      <c r="H2403" s="118" t="s">
        <v>3438</v>
      </c>
      <c r="I2403" s="118" t="s">
        <v>5928</v>
      </c>
      <c r="J2403" s="118" t="s">
        <v>5929</v>
      </c>
      <c r="K2403" s="141"/>
      <c r="L2403" s="135" t="str">
        <f t="shared" si="138"/>
        <v>Petinomys genibarbis</v>
      </c>
      <c r="M2403" s="133">
        <f t="shared" si="139"/>
        <v>2.0413926851582249</v>
      </c>
      <c r="N2403" s="133">
        <v>110</v>
      </c>
      <c r="O2403" s="179" t="s">
        <v>6736</v>
      </c>
      <c r="P2403" s="108">
        <v>68</v>
      </c>
      <c r="AD2403" s="16"/>
      <c r="AE2403" s="16"/>
      <c r="AF2403" s="18"/>
    </row>
    <row r="2404" spans="1:32" ht="12" customHeight="1">
      <c r="A2404" s="213" t="s">
        <v>2592</v>
      </c>
      <c r="B2404" s="141" t="s">
        <v>2527</v>
      </c>
      <c r="C2404" s="118" t="s">
        <v>3817</v>
      </c>
      <c r="D2404" s="141"/>
      <c r="E2404" s="118"/>
      <c r="F2404" s="118"/>
      <c r="G2404" s="118" t="s">
        <v>3618</v>
      </c>
      <c r="H2404" s="118" t="s">
        <v>3438</v>
      </c>
      <c r="I2404" s="118" t="s">
        <v>5928</v>
      </c>
      <c r="J2404" s="118" t="s">
        <v>6611</v>
      </c>
      <c r="K2404" s="141"/>
      <c r="L2404" s="135" t="str">
        <f t="shared" si="138"/>
        <v>Petinomys fuscocapillus</v>
      </c>
      <c r="M2404" s="133">
        <f t="shared" si="139"/>
        <v>2.9000939015433982</v>
      </c>
      <c r="N2404" s="133">
        <f>454*1.75</f>
        <v>794.5</v>
      </c>
      <c r="O2404" s="179" t="s">
        <v>3356</v>
      </c>
      <c r="P2404" s="108">
        <v>132</v>
      </c>
      <c r="Q2404" s="88"/>
      <c r="AD2404" s="16"/>
      <c r="AE2404" s="16"/>
      <c r="AF2404" s="18"/>
    </row>
    <row r="2405" spans="1:32" ht="38.25">
      <c r="A2405" s="213" t="s">
        <v>2592</v>
      </c>
      <c r="B2405" s="130" t="s">
        <v>5488</v>
      </c>
      <c r="C2405" s="118" t="s">
        <v>3817</v>
      </c>
      <c r="D2405" s="141"/>
      <c r="E2405" s="118"/>
      <c r="F2405" s="118"/>
      <c r="G2405" s="118" t="s">
        <v>3618</v>
      </c>
      <c r="H2405" s="118" t="s">
        <v>3438</v>
      </c>
      <c r="I2405" s="118" t="s">
        <v>6614</v>
      </c>
      <c r="J2405" s="118" t="s">
        <v>4449</v>
      </c>
      <c r="K2405" s="141"/>
      <c r="L2405" s="135" t="str">
        <f t="shared" si="138"/>
        <v>Pteromys volans</v>
      </c>
      <c r="M2405" s="133">
        <f t="shared" si="139"/>
        <v>2.1972805581256192</v>
      </c>
      <c r="N2405" s="133">
        <f>AVERAGE(135, 200, 95, 200)</f>
        <v>157.5</v>
      </c>
      <c r="O2405" s="179" t="s">
        <v>6641</v>
      </c>
      <c r="P2405" s="108" t="s">
        <v>6862</v>
      </c>
      <c r="Q2405" s="80" t="s">
        <v>6642</v>
      </c>
      <c r="R2405" s="79" t="s">
        <v>1586</v>
      </c>
      <c r="AD2405" s="16"/>
      <c r="AE2405" s="16"/>
      <c r="AF2405" s="18"/>
    </row>
    <row r="2406" spans="1:32">
      <c r="A2406" s="213" t="s">
        <v>2592</v>
      </c>
      <c r="B2406" s="130" t="s">
        <v>5141</v>
      </c>
      <c r="C2406" s="118" t="s">
        <v>3817</v>
      </c>
      <c r="D2406" s="141"/>
      <c r="E2406" s="118"/>
      <c r="F2406" s="118"/>
      <c r="G2406" s="118" t="s">
        <v>3618</v>
      </c>
      <c r="H2406" s="118" t="s">
        <v>3438</v>
      </c>
      <c r="I2406" s="118" t="s">
        <v>3293</v>
      </c>
      <c r="J2406" s="118" t="s">
        <v>3294</v>
      </c>
      <c r="K2406" s="141"/>
      <c r="L2406" s="135" t="str">
        <f t="shared" si="138"/>
        <v>Pteromyscus pulverulentus</v>
      </c>
      <c r="M2406" s="133">
        <f t="shared" si="139"/>
        <v>2.6020599913279625</v>
      </c>
      <c r="N2406" s="133">
        <v>400</v>
      </c>
      <c r="O2406" s="179" t="s">
        <v>6641</v>
      </c>
      <c r="P2406" s="108">
        <v>119</v>
      </c>
      <c r="Q2406" s="80" t="s">
        <v>6642</v>
      </c>
      <c r="AD2406" s="16"/>
      <c r="AE2406" s="16"/>
      <c r="AF2406" s="18"/>
    </row>
    <row r="2407" spans="1:32">
      <c r="A2407" s="213" t="s">
        <v>2592</v>
      </c>
      <c r="B2407" s="130"/>
      <c r="C2407" s="121" t="s">
        <v>3817</v>
      </c>
      <c r="D2407" s="156"/>
      <c r="E2407" s="121"/>
      <c r="F2407" s="121"/>
      <c r="G2407" s="121" t="s">
        <v>3618</v>
      </c>
      <c r="H2407" s="118" t="s">
        <v>3438</v>
      </c>
      <c r="I2407" s="121" t="s">
        <v>5930</v>
      </c>
      <c r="J2407" s="121" t="s">
        <v>4108</v>
      </c>
      <c r="K2407" s="141"/>
      <c r="L2407" s="135" t="str">
        <f t="shared" si="138"/>
        <v>Ratufa indica</v>
      </c>
      <c r="M2407" s="133">
        <f t="shared" si="139"/>
        <v>3.0253058652647704</v>
      </c>
      <c r="N2407" s="143">
        <v>1060</v>
      </c>
      <c r="O2407" s="179" t="s">
        <v>7081</v>
      </c>
      <c r="P2407" s="108">
        <v>68</v>
      </c>
      <c r="Q2407" s="90" t="s">
        <v>6988</v>
      </c>
      <c r="AD2407" s="16"/>
      <c r="AE2407" s="16"/>
      <c r="AF2407" s="18"/>
    </row>
    <row r="2408" spans="1:32">
      <c r="A2408" s="213" t="s">
        <v>2592</v>
      </c>
      <c r="B2408" s="130"/>
      <c r="C2408" s="118" t="s">
        <v>3817</v>
      </c>
      <c r="D2408" s="141"/>
      <c r="E2408" s="118"/>
      <c r="F2408" s="118"/>
      <c r="G2408" s="118" t="s">
        <v>3618</v>
      </c>
      <c r="H2408" s="118" t="s">
        <v>3438</v>
      </c>
      <c r="I2408" s="118" t="s">
        <v>5930</v>
      </c>
      <c r="J2408" s="118" t="s">
        <v>7453</v>
      </c>
      <c r="K2408" s="141"/>
      <c r="L2408" s="135" t="str">
        <f t="shared" si="138"/>
        <v>Ratufa affinis</v>
      </c>
      <c r="M2408" s="133">
        <f t="shared" si="139"/>
        <v>3.0511525224473814</v>
      </c>
      <c r="N2408" s="133">
        <f>AVERAGE(875, 1500, 1000)</f>
        <v>1125</v>
      </c>
      <c r="O2408" s="179"/>
      <c r="P2408" s="108" t="s">
        <v>1529</v>
      </c>
      <c r="AD2408" s="16"/>
      <c r="AE2408" s="16"/>
      <c r="AF2408" s="18"/>
    </row>
    <row r="2409" spans="1:32">
      <c r="A2409" s="213" t="s">
        <v>2592</v>
      </c>
      <c r="B2409" s="130"/>
      <c r="C2409" s="118" t="s">
        <v>3817</v>
      </c>
      <c r="D2409" s="141"/>
      <c r="E2409" s="118"/>
      <c r="F2409" s="118"/>
      <c r="G2409" s="118" t="s">
        <v>3618</v>
      </c>
      <c r="H2409" s="118" t="s">
        <v>3438</v>
      </c>
      <c r="I2409" s="118" t="s">
        <v>5930</v>
      </c>
      <c r="J2409" s="118" t="s">
        <v>3833</v>
      </c>
      <c r="K2409" s="141"/>
      <c r="L2409" s="135" t="str">
        <f t="shared" si="138"/>
        <v>Ratufa macroura</v>
      </c>
      <c r="M2409" s="133">
        <f t="shared" si="139"/>
        <v>3.1072099696478683</v>
      </c>
      <c r="N2409" s="133">
        <v>1280</v>
      </c>
      <c r="O2409" s="179" t="s">
        <v>6641</v>
      </c>
      <c r="P2409" s="108">
        <v>68</v>
      </c>
      <c r="Q2409" s="90" t="s">
        <v>6988</v>
      </c>
      <c r="AD2409" s="16"/>
      <c r="AE2409" s="16"/>
      <c r="AF2409" s="18"/>
    </row>
    <row r="2410" spans="1:32">
      <c r="A2410" s="213" t="s">
        <v>2592</v>
      </c>
      <c r="B2410" s="130"/>
      <c r="C2410" s="118" t="s">
        <v>3817</v>
      </c>
      <c r="D2410" s="141"/>
      <c r="E2410" s="118"/>
      <c r="F2410" s="118"/>
      <c r="G2410" s="118" t="s">
        <v>3618</v>
      </c>
      <c r="H2410" s="118" t="s">
        <v>3438</v>
      </c>
      <c r="I2410" s="118" t="s">
        <v>5930</v>
      </c>
      <c r="J2410" s="118" t="s">
        <v>4010</v>
      </c>
      <c r="K2410" s="141"/>
      <c r="L2410" s="135" t="str">
        <f t="shared" si="138"/>
        <v>Ratufa bicolor</v>
      </c>
      <c r="M2410" s="133">
        <f t="shared" si="139"/>
        <v>3.3117538610557542</v>
      </c>
      <c r="N2410" s="133">
        <v>2050</v>
      </c>
      <c r="O2410" s="179" t="s">
        <v>6736</v>
      </c>
      <c r="P2410" s="108">
        <v>68</v>
      </c>
      <c r="AD2410" s="16"/>
      <c r="AE2410" s="16"/>
      <c r="AF2410" s="18"/>
    </row>
    <row r="2411" spans="1:32">
      <c r="A2411" s="213" t="s">
        <v>2592</v>
      </c>
      <c r="B2411" s="130"/>
      <c r="C2411" s="118" t="s">
        <v>3817</v>
      </c>
      <c r="D2411" s="141"/>
      <c r="E2411" s="118"/>
      <c r="F2411" s="118"/>
      <c r="G2411" s="118" t="s">
        <v>3618</v>
      </c>
      <c r="H2411" s="118" t="s">
        <v>3438</v>
      </c>
      <c r="I2411" s="118" t="s">
        <v>5931</v>
      </c>
      <c r="J2411" s="118" t="s">
        <v>5515</v>
      </c>
      <c r="K2411" s="141"/>
      <c r="L2411" s="135" t="str">
        <f t="shared" si="138"/>
        <v>Rhinosciurus laticaudatus</v>
      </c>
      <c r="M2411" s="133">
        <f t="shared" si="139"/>
        <v>2.3443922736851106</v>
      </c>
      <c r="N2411" s="133">
        <v>221</v>
      </c>
      <c r="O2411" s="179" t="s">
        <v>6736</v>
      </c>
      <c r="P2411" s="108">
        <v>68</v>
      </c>
      <c r="AD2411" s="16"/>
      <c r="AE2411" s="16"/>
      <c r="AF2411" s="18"/>
    </row>
    <row r="2412" spans="1:32" ht="15">
      <c r="A2412" s="213" t="s">
        <v>2592</v>
      </c>
      <c r="B2412" s="141" t="s">
        <v>1988</v>
      </c>
      <c r="C2412" s="118" t="s">
        <v>3817</v>
      </c>
      <c r="D2412" s="141"/>
      <c r="E2412" s="118"/>
      <c r="F2412" s="118"/>
      <c r="G2412" s="118" t="s">
        <v>3618</v>
      </c>
      <c r="H2412" s="118" t="s">
        <v>3438</v>
      </c>
      <c r="I2412" s="118" t="s">
        <v>3669</v>
      </c>
      <c r="J2412" s="118" t="s">
        <v>5097</v>
      </c>
      <c r="K2412" s="141"/>
      <c r="L2412" s="135" t="str">
        <f t="shared" si="138"/>
        <v>Sciurotamias davidianus</v>
      </c>
      <c r="M2412" s="133">
        <f t="shared" si="139"/>
        <v>2.6369991200238281</v>
      </c>
      <c r="N2412" s="133">
        <v>433.51</v>
      </c>
      <c r="O2412" s="179" t="s">
        <v>280</v>
      </c>
      <c r="P2412" s="108" t="s">
        <v>281</v>
      </c>
      <c r="Q2412" s="88">
        <f>-6.8976+2.725*LOG(250)</f>
        <v>-0.36321347636869739</v>
      </c>
      <c r="R2412" s="85" t="s">
        <v>279</v>
      </c>
      <c r="AD2412" s="16"/>
      <c r="AE2412" s="16"/>
      <c r="AF2412" s="18"/>
    </row>
    <row r="2413" spans="1:32">
      <c r="A2413" s="213" t="s">
        <v>2592</v>
      </c>
      <c r="B2413" s="141" t="s">
        <v>1988</v>
      </c>
      <c r="C2413" s="118" t="s">
        <v>3817</v>
      </c>
      <c r="D2413" s="141"/>
      <c r="E2413" s="118"/>
      <c r="F2413" s="118"/>
      <c r="G2413" s="118" t="s">
        <v>3618</v>
      </c>
      <c r="H2413" s="118" t="s">
        <v>3438</v>
      </c>
      <c r="I2413" s="118" t="s">
        <v>3669</v>
      </c>
      <c r="J2413" s="118" t="s">
        <v>7360</v>
      </c>
      <c r="K2413" s="141"/>
      <c r="L2413" s="135" t="str">
        <f t="shared" si="138"/>
        <v>Sciurotamias forresti</v>
      </c>
      <c r="M2413" s="133">
        <f t="shared" si="139"/>
        <v>2.6369991200238281</v>
      </c>
      <c r="N2413" s="133">
        <v>433.51</v>
      </c>
      <c r="O2413" s="179" t="s">
        <v>6641</v>
      </c>
      <c r="P2413" s="108" t="s">
        <v>281</v>
      </c>
      <c r="Q2413" s="80" t="s">
        <v>6988</v>
      </c>
      <c r="R2413" s="85" t="s">
        <v>279</v>
      </c>
      <c r="AD2413" s="16"/>
      <c r="AE2413" s="16"/>
      <c r="AF2413" s="18"/>
    </row>
    <row r="2414" spans="1:32" ht="51">
      <c r="A2414" s="213" t="s">
        <v>2592</v>
      </c>
      <c r="B2414" s="141" t="s">
        <v>7557</v>
      </c>
      <c r="C2414" s="118" t="s">
        <v>3817</v>
      </c>
      <c r="D2414" s="141"/>
      <c r="E2414" s="118"/>
      <c r="F2414" s="118"/>
      <c r="G2414" s="118" t="s">
        <v>3618</v>
      </c>
      <c r="H2414" s="118" t="s">
        <v>3438</v>
      </c>
      <c r="I2414" s="118" t="s">
        <v>3468</v>
      </c>
      <c r="J2414" s="118" t="s">
        <v>3175</v>
      </c>
      <c r="K2414" s="141"/>
      <c r="L2414" s="135" t="str">
        <f t="shared" si="138"/>
        <v>Sciurus anomalus</v>
      </c>
      <c r="M2414" s="133">
        <f t="shared" si="139"/>
        <v>2.4082399653118496</v>
      </c>
      <c r="N2414" s="133">
        <v>256</v>
      </c>
      <c r="O2414" s="179" t="s">
        <v>6882</v>
      </c>
      <c r="P2414" s="108">
        <v>60</v>
      </c>
      <c r="Q2414" s="80" t="s">
        <v>6642</v>
      </c>
      <c r="R2414" s="85" t="s">
        <v>7594</v>
      </c>
      <c r="AD2414" s="16"/>
      <c r="AE2414" s="16"/>
      <c r="AF2414" s="18"/>
    </row>
    <row r="2415" spans="1:32" ht="25.5">
      <c r="A2415" s="213" t="s">
        <v>2592</v>
      </c>
      <c r="B2415" s="130"/>
      <c r="C2415" s="118" t="s">
        <v>3817</v>
      </c>
      <c r="D2415" s="141"/>
      <c r="E2415" s="118"/>
      <c r="F2415" s="118"/>
      <c r="G2415" s="118" t="s">
        <v>3618</v>
      </c>
      <c r="H2415" s="118" t="s">
        <v>3438</v>
      </c>
      <c r="I2415" s="118" t="s">
        <v>3468</v>
      </c>
      <c r="J2415" s="118" t="s">
        <v>5516</v>
      </c>
      <c r="K2415" s="141"/>
      <c r="L2415" s="135" t="str">
        <f t="shared" si="138"/>
        <v>Sciurus vulgaris</v>
      </c>
      <c r="M2415" s="133">
        <f t="shared" si="139"/>
        <v>2.5224442335063197</v>
      </c>
      <c r="N2415" s="133">
        <v>333</v>
      </c>
      <c r="O2415" s="179" t="s">
        <v>7019</v>
      </c>
      <c r="P2415" s="108">
        <v>68</v>
      </c>
      <c r="Q2415" s="90" t="s">
        <v>6985</v>
      </c>
      <c r="AD2415" s="16"/>
      <c r="AE2415" s="16"/>
      <c r="AF2415" s="18"/>
    </row>
    <row r="2416" spans="1:32" ht="51">
      <c r="A2416" s="213" t="s">
        <v>2592</v>
      </c>
      <c r="B2416" s="141" t="s">
        <v>7521</v>
      </c>
      <c r="C2416" s="118" t="s">
        <v>3817</v>
      </c>
      <c r="D2416" s="141"/>
      <c r="E2416" s="118"/>
      <c r="F2416" s="118"/>
      <c r="G2416" s="118" t="s">
        <v>3618</v>
      </c>
      <c r="H2416" s="118" t="s">
        <v>3438</v>
      </c>
      <c r="I2416" s="118" t="s">
        <v>6244</v>
      </c>
      <c r="J2416" s="118" t="s">
        <v>6245</v>
      </c>
      <c r="K2416" s="141"/>
      <c r="L2416" s="135" t="str">
        <f t="shared" si="138"/>
        <v>Spermophilopsis leptodactylus</v>
      </c>
      <c r="M2416" s="133">
        <f t="shared" si="139"/>
        <v>2.7781512503836434</v>
      </c>
      <c r="N2416" s="133">
        <v>600</v>
      </c>
      <c r="O2416" s="179" t="s">
        <v>3356</v>
      </c>
      <c r="P2416" s="108">
        <v>194</v>
      </c>
      <c r="Q2416" s="80"/>
      <c r="AD2416" s="16"/>
      <c r="AE2416" s="16"/>
      <c r="AF2416" s="18"/>
    </row>
    <row r="2417" spans="1:32">
      <c r="A2417" s="213" t="s">
        <v>2592</v>
      </c>
      <c r="B2417" s="141" t="s">
        <v>8090</v>
      </c>
      <c r="C2417" s="118" t="s">
        <v>3817</v>
      </c>
      <c r="D2417" s="141"/>
      <c r="E2417" s="118"/>
      <c r="F2417" s="118"/>
      <c r="G2417" s="118" t="s">
        <v>3618</v>
      </c>
      <c r="H2417" s="118" t="s">
        <v>3438</v>
      </c>
      <c r="I2417" s="118" t="s">
        <v>2933</v>
      </c>
      <c r="J2417" s="118" t="s">
        <v>6246</v>
      </c>
      <c r="K2417" s="141"/>
      <c r="L2417" s="135" t="str">
        <f t="shared" si="138"/>
        <v>Spermophilus alashanicus</v>
      </c>
      <c r="M2417" s="133">
        <v>-999</v>
      </c>
      <c r="N2417" s="133">
        <v>-999</v>
      </c>
      <c r="O2417" s="179" t="s">
        <v>3356</v>
      </c>
      <c r="P2417" s="108">
        <v>-999</v>
      </c>
      <c r="Q2417" s="80"/>
      <c r="AD2417" s="16"/>
      <c r="AE2417" s="16"/>
      <c r="AF2417" s="18"/>
    </row>
    <row r="2418" spans="1:32" ht="12" customHeight="1">
      <c r="A2418" s="213" t="s">
        <v>2592</v>
      </c>
      <c r="B2418" s="141" t="s">
        <v>5483</v>
      </c>
      <c r="C2418" s="121" t="s">
        <v>3817</v>
      </c>
      <c r="D2418" s="156"/>
      <c r="E2418" s="121"/>
      <c r="F2418" s="121"/>
      <c r="G2418" s="121" t="s">
        <v>3618</v>
      </c>
      <c r="H2418" s="118" t="s">
        <v>3438</v>
      </c>
      <c r="I2418" s="121" t="s">
        <v>2933</v>
      </c>
      <c r="J2418" s="121" t="s">
        <v>7924</v>
      </c>
      <c r="K2418" s="141"/>
      <c r="L2418" s="135" t="str">
        <f t="shared" si="138"/>
        <v>Spermophilus erythrogenys</v>
      </c>
      <c r="M2418" s="133">
        <v>-999</v>
      </c>
      <c r="N2418" s="143">
        <v>-999</v>
      </c>
      <c r="O2418" s="179" t="s">
        <v>3356</v>
      </c>
      <c r="P2418" s="108">
        <v>-999</v>
      </c>
      <c r="Q2418" s="88"/>
      <c r="AD2418" s="16"/>
      <c r="AE2418" s="16"/>
      <c r="AF2418" s="18"/>
    </row>
    <row r="2419" spans="1:32">
      <c r="A2419" s="213" t="s">
        <v>2592</v>
      </c>
      <c r="B2419" s="141" t="s">
        <v>2283</v>
      </c>
      <c r="C2419" s="118" t="s">
        <v>3817</v>
      </c>
      <c r="D2419" s="141"/>
      <c r="E2419" s="118"/>
      <c r="F2419" s="118"/>
      <c r="G2419" s="118" t="s">
        <v>3618</v>
      </c>
      <c r="H2419" s="118" t="s">
        <v>3438</v>
      </c>
      <c r="I2419" s="118" t="s">
        <v>2933</v>
      </c>
      <c r="J2419" s="118" t="s">
        <v>5838</v>
      </c>
      <c r="K2419" s="141"/>
      <c r="L2419" s="135" t="str">
        <f t="shared" si="138"/>
        <v>Spermophilus major</v>
      </c>
      <c r="M2419" s="133">
        <v>-999</v>
      </c>
      <c r="N2419" s="133">
        <v>-999</v>
      </c>
      <c r="O2419" s="179" t="s">
        <v>6641</v>
      </c>
      <c r="P2419" s="108">
        <v>-999</v>
      </c>
      <c r="Q2419" s="80" t="s">
        <v>6642</v>
      </c>
      <c r="AD2419" s="16"/>
      <c r="AE2419" s="16"/>
      <c r="AF2419" s="18"/>
    </row>
    <row r="2420" spans="1:32">
      <c r="A2420" s="213" t="s">
        <v>2592</v>
      </c>
      <c r="B2420" s="141" t="s">
        <v>8099</v>
      </c>
      <c r="C2420" s="118" t="s">
        <v>3817</v>
      </c>
      <c r="D2420" s="141"/>
      <c r="E2420" s="118"/>
      <c r="F2420" s="118"/>
      <c r="G2420" s="118" t="s">
        <v>3618</v>
      </c>
      <c r="H2420" s="118" t="s">
        <v>3438</v>
      </c>
      <c r="I2420" s="118" t="s">
        <v>2933</v>
      </c>
      <c r="J2420" s="118" t="s">
        <v>7925</v>
      </c>
      <c r="K2420" s="141"/>
      <c r="L2420" s="135" t="str">
        <f t="shared" si="138"/>
        <v>Spermophilus musicus</v>
      </c>
      <c r="M2420" s="133">
        <v>-999</v>
      </c>
      <c r="N2420" s="133">
        <v>-999</v>
      </c>
      <c r="O2420" s="179" t="s">
        <v>3356</v>
      </c>
      <c r="P2420" s="108">
        <v>-999</v>
      </c>
      <c r="Q2420" s="80"/>
      <c r="AD2420" s="16"/>
      <c r="AE2420" s="16"/>
      <c r="AF2420" s="18"/>
    </row>
    <row r="2421" spans="1:32">
      <c r="A2421" s="213" t="s">
        <v>2592</v>
      </c>
      <c r="B2421" s="130"/>
      <c r="C2421" s="118" t="s">
        <v>3817</v>
      </c>
      <c r="D2421" s="141"/>
      <c r="E2421" s="118"/>
      <c r="F2421" s="118"/>
      <c r="G2421" s="118" t="s">
        <v>3618</v>
      </c>
      <c r="H2421" s="118" t="s">
        <v>3438</v>
      </c>
      <c r="I2421" s="118" t="s">
        <v>2933</v>
      </c>
      <c r="J2421" s="118" t="s">
        <v>7234</v>
      </c>
      <c r="K2421" s="141"/>
      <c r="L2421" s="135" t="str">
        <f t="shared" si="138"/>
        <v>Spermophilus pygmaeus</v>
      </c>
      <c r="M2421" s="133">
        <f t="shared" ref="M2421:M2427" si="140">LOG(N2421)</f>
        <v>2.1335389083702174</v>
      </c>
      <c r="N2421" s="133">
        <v>136</v>
      </c>
      <c r="O2421" s="179" t="s">
        <v>6736</v>
      </c>
      <c r="P2421" s="108">
        <v>68</v>
      </c>
      <c r="AD2421" s="16"/>
      <c r="AE2421" s="16"/>
      <c r="AF2421" s="18"/>
    </row>
    <row r="2422" spans="1:32">
      <c r="A2422" s="213" t="s">
        <v>2592</v>
      </c>
      <c r="B2422" s="141" t="s">
        <v>2310</v>
      </c>
      <c r="C2422" s="118" t="s">
        <v>3817</v>
      </c>
      <c r="D2422" s="141"/>
      <c r="E2422" s="118"/>
      <c r="F2422" s="118"/>
      <c r="G2422" s="118" t="s">
        <v>3618</v>
      </c>
      <c r="H2422" s="118" t="s">
        <v>3438</v>
      </c>
      <c r="I2422" s="118" t="s">
        <v>2933</v>
      </c>
      <c r="J2422" s="118" t="s">
        <v>7923</v>
      </c>
      <c r="K2422" s="141"/>
      <c r="L2422" s="135" t="str">
        <f t="shared" si="138"/>
        <v>Spermophilus dauricus</v>
      </c>
      <c r="M2422" s="133">
        <f t="shared" si="140"/>
        <v>2.2076343673889616</v>
      </c>
      <c r="N2422" s="133">
        <v>161.30000000000001</v>
      </c>
      <c r="O2422" s="179" t="s">
        <v>3356</v>
      </c>
      <c r="P2422" s="108">
        <v>173</v>
      </c>
      <c r="Q2422" s="80"/>
      <c r="AD2422" s="16"/>
      <c r="AE2422" s="16"/>
      <c r="AF2422" s="18"/>
    </row>
    <row r="2423" spans="1:32">
      <c r="A2423" s="213" t="s">
        <v>2592</v>
      </c>
      <c r="B2423" s="130"/>
      <c r="C2423" s="118" t="s">
        <v>3817</v>
      </c>
      <c r="D2423" s="141"/>
      <c r="E2423" s="118"/>
      <c r="F2423" s="118"/>
      <c r="G2423" s="118" t="s">
        <v>3618</v>
      </c>
      <c r="H2423" s="118" t="s">
        <v>3438</v>
      </c>
      <c r="I2423" s="118" t="s">
        <v>2933</v>
      </c>
      <c r="J2423" s="118" t="s">
        <v>7927</v>
      </c>
      <c r="K2423" s="141"/>
      <c r="L2423" s="135" t="str">
        <f t="shared" si="138"/>
        <v>Spermophilus suslicus</v>
      </c>
      <c r="M2423" s="133">
        <f t="shared" si="140"/>
        <v>2.4014005407815442</v>
      </c>
      <c r="N2423" s="133">
        <f>(280+224)/2</f>
        <v>252</v>
      </c>
      <c r="O2423" s="179" t="s">
        <v>6641</v>
      </c>
      <c r="P2423" s="108">
        <v>134</v>
      </c>
      <c r="Q2423" s="90" t="s">
        <v>6988</v>
      </c>
      <c r="R2423" s="80" t="s">
        <v>7883</v>
      </c>
      <c r="AD2423" s="16"/>
      <c r="AE2423" s="16"/>
      <c r="AF2423" s="18"/>
    </row>
    <row r="2424" spans="1:32" ht="36" customHeight="1">
      <c r="A2424" s="213" t="s">
        <v>2592</v>
      </c>
      <c r="B2424" s="141" t="s">
        <v>7647</v>
      </c>
      <c r="C2424" s="118" t="s">
        <v>3817</v>
      </c>
      <c r="D2424" s="141"/>
      <c r="E2424" s="118"/>
      <c r="F2424" s="118"/>
      <c r="G2424" s="118" t="s">
        <v>3618</v>
      </c>
      <c r="H2424" s="118" t="s">
        <v>3438</v>
      </c>
      <c r="I2424" s="118" t="s">
        <v>2933</v>
      </c>
      <c r="J2424" s="118" t="s">
        <v>6081</v>
      </c>
      <c r="K2424" s="141"/>
      <c r="L2424" s="135" t="str">
        <f t="shared" si="138"/>
        <v>Spermophilus xanthoprymnus</v>
      </c>
      <c r="M2424" s="133">
        <f t="shared" si="140"/>
        <v>2.4618985217290041</v>
      </c>
      <c r="N2424" s="133">
        <f>AVERAGE(277, 200, 285, 224, 423, 309, 495, 308, 295, 255, 453, 300, 391, 267, 315, 220, 306, 207, 283, 222, 263, 197, 381, 227, 321, 209, 297, 217, 306, 237)</f>
        <v>289.66666666666669</v>
      </c>
      <c r="O2424" s="179" t="s">
        <v>3356</v>
      </c>
      <c r="P2424" s="108">
        <v>195</v>
      </c>
      <c r="Q2424" s="80"/>
      <c r="AD2424" s="16"/>
      <c r="AE2424" s="16"/>
      <c r="AF2424" s="18"/>
    </row>
    <row r="2425" spans="1:32" ht="51">
      <c r="A2425" s="213" t="s">
        <v>2592</v>
      </c>
      <c r="B2425" s="141" t="s">
        <v>4886</v>
      </c>
      <c r="C2425" s="118" t="s">
        <v>3817</v>
      </c>
      <c r="D2425" s="141"/>
      <c r="E2425" s="118"/>
      <c r="F2425" s="118"/>
      <c r="G2425" s="118" t="s">
        <v>3618</v>
      </c>
      <c r="H2425" s="118" t="s">
        <v>3438</v>
      </c>
      <c r="I2425" s="118" t="s">
        <v>2933</v>
      </c>
      <c r="J2425" s="118" t="s">
        <v>6402</v>
      </c>
      <c r="K2425" s="141"/>
      <c r="L2425" s="135" t="str">
        <f t="shared" si="138"/>
        <v>Spermophilus citellus</v>
      </c>
      <c r="M2425" s="133">
        <f t="shared" si="140"/>
        <v>2.4623979978989561</v>
      </c>
      <c r="N2425" s="133">
        <f>AVERAGE(240, 340)</f>
        <v>290</v>
      </c>
      <c r="O2425" s="179" t="s">
        <v>6641</v>
      </c>
      <c r="P2425" s="108" t="s">
        <v>6862</v>
      </c>
      <c r="Q2425" s="80" t="s">
        <v>6988</v>
      </c>
      <c r="R2425" s="79" t="s">
        <v>6864</v>
      </c>
      <c r="AD2425" s="16"/>
      <c r="AE2425" s="16"/>
      <c r="AF2425" s="18"/>
    </row>
    <row r="2426" spans="1:32" ht="15" customHeight="1">
      <c r="A2426" s="213" t="s">
        <v>2592</v>
      </c>
      <c r="B2426" s="130"/>
      <c r="C2426" s="118" t="s">
        <v>3817</v>
      </c>
      <c r="D2426" s="141"/>
      <c r="E2426" s="118"/>
      <c r="F2426" s="118"/>
      <c r="G2426" s="118" t="s">
        <v>3618</v>
      </c>
      <c r="H2426" s="118" t="s">
        <v>3438</v>
      </c>
      <c r="I2426" s="118" t="s">
        <v>2933</v>
      </c>
      <c r="J2426" s="118" t="s">
        <v>6528</v>
      </c>
      <c r="K2426" s="141"/>
      <c r="L2426" s="135" t="str">
        <f t="shared" si="138"/>
        <v>Spermophilus fulvus</v>
      </c>
      <c r="M2426" s="133">
        <f t="shared" si="140"/>
        <v>2.7752462597402365</v>
      </c>
      <c r="N2426" s="133">
        <v>596</v>
      </c>
      <c r="O2426" s="179" t="s">
        <v>6736</v>
      </c>
      <c r="P2426" s="108">
        <v>68</v>
      </c>
      <c r="AD2426" s="16"/>
      <c r="AE2426" s="16"/>
      <c r="AF2426" s="18"/>
    </row>
    <row r="2427" spans="1:32">
      <c r="A2427" s="213" t="s">
        <v>2592</v>
      </c>
      <c r="B2427" s="141" t="s">
        <v>5025</v>
      </c>
      <c r="C2427" s="118" t="s">
        <v>3817</v>
      </c>
      <c r="D2427" s="141"/>
      <c r="E2427" s="118"/>
      <c r="F2427" s="118"/>
      <c r="G2427" s="118" t="s">
        <v>3618</v>
      </c>
      <c r="H2427" s="118" t="s">
        <v>3438</v>
      </c>
      <c r="I2427" s="118" t="s">
        <v>2933</v>
      </c>
      <c r="J2427" s="118" t="s">
        <v>7926</v>
      </c>
      <c r="K2427" s="141"/>
      <c r="L2427" s="135" t="str">
        <f t="shared" si="138"/>
        <v>Spermophilus relictus</v>
      </c>
      <c r="M2427" s="133">
        <f t="shared" si="140"/>
        <v>2.7781512503836434</v>
      </c>
      <c r="N2427" s="133">
        <v>600</v>
      </c>
      <c r="O2427" s="179" t="s">
        <v>3356</v>
      </c>
      <c r="P2427" s="108">
        <v>75</v>
      </c>
      <c r="AD2427" s="16"/>
      <c r="AE2427" s="16"/>
      <c r="AF2427" s="18"/>
    </row>
    <row r="2428" spans="1:32">
      <c r="A2428" s="212" t="s">
        <v>2592</v>
      </c>
      <c r="B2428" s="145"/>
      <c r="C2428" s="110" t="s">
        <v>3817</v>
      </c>
      <c r="D2428" s="145"/>
      <c r="E2428" s="110"/>
      <c r="F2428" s="110"/>
      <c r="G2428" s="110" t="s">
        <v>3618</v>
      </c>
      <c r="H2428" s="110" t="s">
        <v>3438</v>
      </c>
      <c r="I2428" s="110" t="s">
        <v>2933</v>
      </c>
      <c r="J2428" s="110" t="s">
        <v>6220</v>
      </c>
      <c r="K2428" s="145"/>
      <c r="L2428" s="135" t="str">
        <f t="shared" si="138"/>
        <v>Spermophilus parryii</v>
      </c>
      <c r="M2428" s="151">
        <v>2.8808099999999999</v>
      </c>
      <c r="N2428" s="146">
        <v>759.99371366152741</v>
      </c>
      <c r="O2428" s="183"/>
      <c r="P2428" s="115">
        <v>60</v>
      </c>
      <c r="Q2428" s="82"/>
      <c r="R2428" s="82"/>
      <c r="S2428" s="82"/>
      <c r="T2428" s="82"/>
      <c r="AD2428" s="16"/>
      <c r="AE2428" s="16"/>
      <c r="AF2428" s="18"/>
    </row>
    <row r="2429" spans="1:32">
      <c r="A2429" s="213" t="s">
        <v>2592</v>
      </c>
      <c r="B2429" s="130"/>
      <c r="C2429" s="121" t="s">
        <v>3817</v>
      </c>
      <c r="D2429" s="156"/>
      <c r="E2429" s="121"/>
      <c r="F2429" s="121"/>
      <c r="G2429" s="121" t="s">
        <v>3618</v>
      </c>
      <c r="H2429" s="118" t="s">
        <v>3438</v>
      </c>
      <c r="I2429" s="121" t="s">
        <v>2933</v>
      </c>
      <c r="J2429" s="121" t="s">
        <v>5518</v>
      </c>
      <c r="K2429" s="141"/>
      <c r="L2429" s="135" t="str">
        <f t="shared" si="138"/>
        <v>Spermophilus undulatus</v>
      </c>
      <c r="M2429" s="133">
        <f t="shared" ref="M2429:M2468" si="141">LOG(N2429)</f>
        <v>2.9242792860618816</v>
      </c>
      <c r="N2429" s="143">
        <v>840</v>
      </c>
      <c r="O2429" s="179" t="s">
        <v>6736</v>
      </c>
      <c r="P2429" s="108">
        <v>68</v>
      </c>
      <c r="AD2429" s="16"/>
      <c r="AE2429" s="16"/>
      <c r="AF2429" s="18"/>
    </row>
    <row r="2430" spans="1:32">
      <c r="A2430" s="213" t="s">
        <v>2592</v>
      </c>
      <c r="B2430" s="130"/>
      <c r="C2430" s="118" t="s">
        <v>3817</v>
      </c>
      <c r="D2430" s="141"/>
      <c r="E2430" s="118"/>
      <c r="F2430" s="118"/>
      <c r="G2430" s="118" t="s">
        <v>3618</v>
      </c>
      <c r="H2430" s="118" t="s">
        <v>3438</v>
      </c>
      <c r="I2430" s="118" t="s">
        <v>5535</v>
      </c>
      <c r="J2430" s="118" t="s">
        <v>5266</v>
      </c>
      <c r="K2430" s="141"/>
      <c r="L2430" s="135" t="str">
        <f t="shared" si="138"/>
        <v>Sundasciurus tenuis</v>
      </c>
      <c r="M2430" s="133">
        <f t="shared" si="141"/>
        <v>1.8750612633917001</v>
      </c>
      <c r="N2430" s="133">
        <v>75</v>
      </c>
      <c r="O2430" s="179" t="s">
        <v>6736</v>
      </c>
      <c r="P2430" s="108">
        <v>68</v>
      </c>
      <c r="AD2430" s="16"/>
      <c r="AE2430" s="16"/>
      <c r="AF2430" s="18"/>
    </row>
    <row r="2431" spans="1:32" ht="15" customHeight="1">
      <c r="A2431" s="213" t="s">
        <v>2592</v>
      </c>
      <c r="B2431" s="141" t="s">
        <v>5045</v>
      </c>
      <c r="C2431" s="121" t="s">
        <v>3817</v>
      </c>
      <c r="D2431" s="156"/>
      <c r="E2431" s="121"/>
      <c r="F2431" s="121"/>
      <c r="G2431" s="121" t="s">
        <v>3618</v>
      </c>
      <c r="H2431" s="118" t="s">
        <v>3438</v>
      </c>
      <c r="I2431" s="121" t="s">
        <v>5535</v>
      </c>
      <c r="J2431" s="121" t="s">
        <v>5246</v>
      </c>
      <c r="K2431" s="141"/>
      <c r="L2431" s="135" t="str">
        <f t="shared" si="138"/>
        <v>Sundasciurus lowii</v>
      </c>
      <c r="M2431" s="133">
        <f t="shared" si="141"/>
        <v>1.954242509439325</v>
      </c>
      <c r="N2431" s="143">
        <f>AVERAGE(60, 120)</f>
        <v>90</v>
      </c>
      <c r="O2431" s="179" t="s">
        <v>3356</v>
      </c>
      <c r="P2431" s="108">
        <v>119</v>
      </c>
      <c r="Q2431" s="80"/>
      <c r="AD2431" s="16"/>
      <c r="AE2431" s="16"/>
      <c r="AF2431" s="18"/>
    </row>
    <row r="2432" spans="1:32">
      <c r="A2432" s="213" t="s">
        <v>2592</v>
      </c>
      <c r="B2432" s="130"/>
      <c r="C2432" s="118" t="s">
        <v>3817</v>
      </c>
      <c r="D2432" s="141"/>
      <c r="E2432" s="118"/>
      <c r="F2432" s="118"/>
      <c r="G2432" s="118" t="s">
        <v>3618</v>
      </c>
      <c r="H2432" s="118" t="s">
        <v>3438</v>
      </c>
      <c r="I2432" s="118" t="s">
        <v>5535</v>
      </c>
      <c r="J2432" s="118" t="s">
        <v>5536</v>
      </c>
      <c r="K2432" s="141"/>
      <c r="L2432" s="135" t="str">
        <f t="shared" si="138"/>
        <v>Sundasciurus hippurus</v>
      </c>
      <c r="M2432" s="133">
        <f t="shared" si="141"/>
        <v>2.6989700043360187</v>
      </c>
      <c r="N2432" s="133">
        <v>500</v>
      </c>
      <c r="O2432" s="179"/>
      <c r="P2432" s="108">
        <v>119</v>
      </c>
      <c r="AD2432" s="16"/>
      <c r="AE2432" s="16"/>
      <c r="AF2432" s="18"/>
    </row>
    <row r="2433" spans="1:32" ht="15" customHeight="1">
      <c r="A2433" s="213" t="s">
        <v>2592</v>
      </c>
      <c r="B2433" s="130"/>
      <c r="C2433" s="118" t="s">
        <v>3817</v>
      </c>
      <c r="D2433" s="141"/>
      <c r="E2433" s="118"/>
      <c r="F2433" s="118"/>
      <c r="G2433" s="118" t="s">
        <v>3618</v>
      </c>
      <c r="H2433" s="118" t="s">
        <v>3438</v>
      </c>
      <c r="I2433" s="118" t="s">
        <v>3091</v>
      </c>
      <c r="J2433" s="118" t="s">
        <v>7094</v>
      </c>
      <c r="K2433" s="141"/>
      <c r="L2433" s="135" t="str">
        <f t="shared" si="138"/>
        <v>Tamias sibiricus</v>
      </c>
      <c r="M2433" s="133">
        <f t="shared" si="141"/>
        <v>1.9294189257142926</v>
      </c>
      <c r="N2433" s="133">
        <v>85</v>
      </c>
      <c r="O2433" s="179" t="s">
        <v>6736</v>
      </c>
      <c r="P2433" s="108">
        <v>68</v>
      </c>
      <c r="AD2433" s="16"/>
      <c r="AE2433" s="16"/>
      <c r="AF2433" s="18"/>
    </row>
    <row r="2434" spans="1:32" ht="51">
      <c r="A2434" s="213" t="s">
        <v>2592</v>
      </c>
      <c r="B2434" s="141" t="s">
        <v>7528</v>
      </c>
      <c r="C2434" s="118" t="s">
        <v>3817</v>
      </c>
      <c r="D2434" s="141"/>
      <c r="E2434" s="118"/>
      <c r="F2434" s="118"/>
      <c r="G2434" s="118" t="s">
        <v>3618</v>
      </c>
      <c r="H2434" s="118" t="s">
        <v>3438</v>
      </c>
      <c r="I2434" s="118" t="s">
        <v>5591</v>
      </c>
      <c r="J2434" s="118" t="s">
        <v>5592</v>
      </c>
      <c r="K2434" s="141"/>
      <c r="L2434" s="135" t="str">
        <f t="shared" si="138"/>
        <v>Tamiops macclellandi</v>
      </c>
      <c r="M2434" s="133">
        <f t="shared" si="141"/>
        <v>1.7440483790712069</v>
      </c>
      <c r="N2434" s="133">
        <f>AVERAGE(40, ((2.5/16)*454))</f>
        <v>55.46875</v>
      </c>
      <c r="O2434" s="179"/>
      <c r="P2434" s="108" t="s">
        <v>1474</v>
      </c>
      <c r="Q2434" s="80"/>
      <c r="AD2434" s="16"/>
      <c r="AE2434" s="16"/>
      <c r="AF2434" s="18"/>
    </row>
    <row r="2435" spans="1:32" ht="25.5">
      <c r="A2435" s="213" t="s">
        <v>2592</v>
      </c>
      <c r="B2435" s="141" t="s">
        <v>7662</v>
      </c>
      <c r="C2435" s="118" t="s">
        <v>3817</v>
      </c>
      <c r="D2435" s="141"/>
      <c r="E2435" s="118"/>
      <c r="F2435" s="118"/>
      <c r="G2435" s="118" t="s">
        <v>3618</v>
      </c>
      <c r="H2435" s="121" t="s">
        <v>3438</v>
      </c>
      <c r="I2435" s="118" t="s">
        <v>5591</v>
      </c>
      <c r="J2435" s="118" t="s">
        <v>5593</v>
      </c>
      <c r="K2435" s="141"/>
      <c r="L2435" s="135" t="str">
        <f t="shared" si="138"/>
        <v>Tamiops rodolphei</v>
      </c>
      <c r="M2435" s="133">
        <f t="shared" si="141"/>
        <v>1.7478000908643689</v>
      </c>
      <c r="N2435" s="133">
        <f>1000*AVERAGE(0.0627, 0.0492)</f>
        <v>55.95</v>
      </c>
      <c r="O2435" s="179" t="s">
        <v>3356</v>
      </c>
      <c r="P2435" s="108">
        <v>60</v>
      </c>
      <c r="Q2435" s="80"/>
      <c r="AD2435" s="16"/>
      <c r="AE2435" s="16"/>
      <c r="AF2435" s="18"/>
    </row>
    <row r="2436" spans="1:32">
      <c r="A2436" s="213" t="s">
        <v>2592</v>
      </c>
      <c r="B2436" s="141" t="s">
        <v>7532</v>
      </c>
      <c r="C2436" s="118" t="s">
        <v>3817</v>
      </c>
      <c r="D2436" s="141"/>
      <c r="E2436" s="118"/>
      <c r="F2436" s="118"/>
      <c r="G2436" s="118" t="s">
        <v>3618</v>
      </c>
      <c r="H2436" s="118" t="s">
        <v>3438</v>
      </c>
      <c r="I2436" s="118" t="s">
        <v>5591</v>
      </c>
      <c r="J2436" s="118" t="s">
        <v>7437</v>
      </c>
      <c r="K2436" s="141"/>
      <c r="L2436" s="135" t="str">
        <f t="shared" si="138"/>
        <v>Tamiops maritimus</v>
      </c>
      <c r="M2436" s="133">
        <f t="shared" si="141"/>
        <v>1.8460276753643787</v>
      </c>
      <c r="N2436" s="133">
        <f>1000*AVERAGE(0.067, 0.0733)</f>
        <v>70.150000000000006</v>
      </c>
      <c r="O2436" s="179" t="s">
        <v>3356</v>
      </c>
      <c r="P2436" s="108">
        <v>60</v>
      </c>
      <c r="Q2436" s="80"/>
      <c r="AD2436" s="16"/>
      <c r="AE2436" s="16"/>
      <c r="AF2436" s="18"/>
    </row>
    <row r="2437" spans="1:32" ht="24" customHeight="1">
      <c r="A2437" s="213" t="s">
        <v>2592</v>
      </c>
      <c r="B2437" s="141" t="s">
        <v>7549</v>
      </c>
      <c r="C2437" s="118" t="s">
        <v>3817</v>
      </c>
      <c r="D2437" s="141"/>
      <c r="E2437" s="118"/>
      <c r="F2437" s="118"/>
      <c r="G2437" s="118" t="s">
        <v>3618</v>
      </c>
      <c r="H2437" s="118" t="s">
        <v>3438</v>
      </c>
      <c r="I2437" s="118" t="s">
        <v>5591</v>
      </c>
      <c r="J2437" s="118" t="s">
        <v>5772</v>
      </c>
      <c r="K2437" s="141"/>
      <c r="L2437" s="135" t="str">
        <f t="shared" ref="L2437:L2500" si="142">I2437&amp;" "&amp;J2437</f>
        <v>Tamiops swinhoei</v>
      </c>
      <c r="M2437" s="133">
        <f t="shared" si="141"/>
        <v>1.9294189257142926</v>
      </c>
      <c r="N2437" s="133">
        <f>1000*0.085</f>
        <v>85</v>
      </c>
      <c r="O2437" s="179" t="s">
        <v>3356</v>
      </c>
      <c r="P2437" s="108">
        <v>60</v>
      </c>
      <c r="Q2437" s="88"/>
      <c r="S2437" s="80"/>
      <c r="AD2437" s="16"/>
      <c r="AE2437" s="16"/>
      <c r="AF2437" s="18"/>
    </row>
    <row r="2438" spans="1:32" ht="25.5">
      <c r="A2438" s="213" t="s">
        <v>2592</v>
      </c>
      <c r="B2438" s="141" t="s">
        <v>1988</v>
      </c>
      <c r="C2438" s="118" t="s">
        <v>3817</v>
      </c>
      <c r="D2438" s="141"/>
      <c r="E2438" s="118"/>
      <c r="F2438" s="118"/>
      <c r="G2438" s="118" t="s">
        <v>3618</v>
      </c>
      <c r="H2438" s="118" t="s">
        <v>3438</v>
      </c>
      <c r="I2438" s="118" t="s">
        <v>3296</v>
      </c>
      <c r="J2438" s="118" t="s">
        <v>3297</v>
      </c>
      <c r="K2438" s="141"/>
      <c r="L2438" s="135" t="str">
        <f t="shared" si="142"/>
        <v>Trogopterus xanthipes</v>
      </c>
      <c r="M2438" s="133">
        <f t="shared" si="141"/>
        <v>2.8721195456217417</v>
      </c>
      <c r="N2438" s="133">
        <v>744.93700000000001</v>
      </c>
      <c r="O2438" s="179" t="s">
        <v>6641</v>
      </c>
      <c r="P2438" s="108" t="s">
        <v>6946</v>
      </c>
      <c r="Q2438" s="80" t="s">
        <v>6640</v>
      </c>
      <c r="R2438" s="82" t="s">
        <v>7893</v>
      </c>
      <c r="AD2438" s="16"/>
      <c r="AE2438" s="16"/>
      <c r="AF2438" s="18"/>
    </row>
    <row r="2439" spans="1:32">
      <c r="A2439" s="213" t="s">
        <v>2592</v>
      </c>
      <c r="B2439" s="141" t="s">
        <v>2527</v>
      </c>
      <c r="C2439" s="118" t="s">
        <v>3817</v>
      </c>
      <c r="D2439" s="141"/>
      <c r="E2439" s="118"/>
      <c r="F2439" s="118"/>
      <c r="G2439" s="118" t="s">
        <v>4192</v>
      </c>
      <c r="H2439" s="118" t="s">
        <v>3998</v>
      </c>
      <c r="I2439" s="118" t="s">
        <v>5737</v>
      </c>
      <c r="J2439" s="118" t="s">
        <v>6011</v>
      </c>
      <c r="K2439" s="141"/>
      <c r="L2439" s="135" t="str">
        <f t="shared" si="142"/>
        <v>Anathana ellioti</v>
      </c>
      <c r="M2439" s="133">
        <f t="shared" si="141"/>
        <v>2.2041199826559246</v>
      </c>
      <c r="N2439" s="146">
        <v>160</v>
      </c>
      <c r="O2439" s="179" t="s">
        <v>6641</v>
      </c>
      <c r="P2439" s="114">
        <v>141</v>
      </c>
      <c r="Q2439" s="80" t="s">
        <v>6642</v>
      </c>
      <c r="AD2439" s="16"/>
      <c r="AE2439" s="16"/>
      <c r="AF2439" s="18"/>
    </row>
    <row r="2440" spans="1:32">
      <c r="A2440" s="213" t="s">
        <v>2592</v>
      </c>
      <c r="B2440" s="130"/>
      <c r="C2440" s="118" t="s">
        <v>3817</v>
      </c>
      <c r="D2440" s="141"/>
      <c r="E2440" s="118"/>
      <c r="F2440" s="118"/>
      <c r="G2440" s="118" t="s">
        <v>4192</v>
      </c>
      <c r="H2440" s="118" t="s">
        <v>3998</v>
      </c>
      <c r="I2440" s="118" t="s">
        <v>5731</v>
      </c>
      <c r="J2440" s="118" t="s">
        <v>4306</v>
      </c>
      <c r="K2440" s="141"/>
      <c r="L2440" s="135" t="str">
        <f t="shared" si="142"/>
        <v>Dendrogale murina</v>
      </c>
      <c r="M2440" s="133">
        <f t="shared" si="141"/>
        <v>1.6989700043360187</v>
      </c>
      <c r="N2440" s="133">
        <v>50</v>
      </c>
      <c r="O2440" s="179" t="s">
        <v>3356</v>
      </c>
      <c r="P2440" s="108">
        <v>141</v>
      </c>
      <c r="Q2440" s="80"/>
      <c r="AD2440" s="16"/>
      <c r="AE2440" s="16"/>
      <c r="AF2440" s="18"/>
    </row>
    <row r="2441" spans="1:32">
      <c r="A2441" s="213" t="s">
        <v>2592</v>
      </c>
      <c r="B2441" s="130"/>
      <c r="C2441" s="118" t="s">
        <v>3817</v>
      </c>
      <c r="D2441" s="141"/>
      <c r="E2441" s="118"/>
      <c r="F2441" s="118"/>
      <c r="G2441" s="118" t="s">
        <v>4192</v>
      </c>
      <c r="H2441" s="118" t="s">
        <v>3998</v>
      </c>
      <c r="I2441" s="118" t="s">
        <v>5852</v>
      </c>
      <c r="J2441" s="118" t="s">
        <v>5246</v>
      </c>
      <c r="K2441" s="141"/>
      <c r="L2441" s="135" t="str">
        <f t="shared" si="142"/>
        <v>Ptilocercus lowii</v>
      </c>
      <c r="M2441" s="133">
        <f t="shared" si="141"/>
        <v>1.6283889300503116</v>
      </c>
      <c r="N2441" s="133">
        <v>42.5</v>
      </c>
      <c r="O2441" s="179" t="s">
        <v>6736</v>
      </c>
      <c r="P2441" s="108">
        <v>68</v>
      </c>
      <c r="AD2441" s="16"/>
      <c r="AE2441" s="16"/>
      <c r="AF2441" s="18"/>
    </row>
    <row r="2442" spans="1:32" ht="25.5">
      <c r="A2442" s="213" t="s">
        <v>2592</v>
      </c>
      <c r="B2442" s="141" t="s">
        <v>7125</v>
      </c>
      <c r="C2442" s="118" t="s">
        <v>3817</v>
      </c>
      <c r="D2442" s="141"/>
      <c r="E2442" s="118"/>
      <c r="F2442" s="118"/>
      <c r="G2442" s="118" t="s">
        <v>4192</v>
      </c>
      <c r="H2442" s="118" t="s">
        <v>3998</v>
      </c>
      <c r="I2442" s="118" t="s">
        <v>5247</v>
      </c>
      <c r="J2442" s="118" t="s">
        <v>3078</v>
      </c>
      <c r="K2442" s="141"/>
      <c r="L2442" s="135" t="str">
        <f t="shared" si="142"/>
        <v>Tupaia minor</v>
      </c>
      <c r="M2442" s="133">
        <f t="shared" si="141"/>
        <v>1.8450980400142569</v>
      </c>
      <c r="N2442" s="133">
        <v>70</v>
      </c>
      <c r="O2442" s="179" t="s">
        <v>3356</v>
      </c>
      <c r="P2442" s="108">
        <v>119</v>
      </c>
      <c r="Q2442" s="80"/>
      <c r="AD2442" s="16"/>
      <c r="AE2442" s="16"/>
      <c r="AF2442" s="18"/>
    </row>
    <row r="2443" spans="1:32">
      <c r="A2443" s="213" t="s">
        <v>2592</v>
      </c>
      <c r="B2443" s="130"/>
      <c r="C2443" s="118" t="s">
        <v>3817</v>
      </c>
      <c r="D2443" s="141"/>
      <c r="E2443" s="118"/>
      <c r="F2443" s="118"/>
      <c r="G2443" s="118" t="s">
        <v>4192</v>
      </c>
      <c r="H2443" s="118" t="s">
        <v>3998</v>
      </c>
      <c r="I2443" s="118" t="s">
        <v>5247</v>
      </c>
      <c r="J2443" s="118" t="s">
        <v>8055</v>
      </c>
      <c r="K2443" s="141"/>
      <c r="L2443" s="135" t="str">
        <f t="shared" si="142"/>
        <v>Tupaia glis</v>
      </c>
      <c r="M2443" s="133">
        <f t="shared" si="141"/>
        <v>2.2013971243204513</v>
      </c>
      <c r="N2443" s="133">
        <v>159</v>
      </c>
      <c r="O2443" s="179" t="s">
        <v>6736</v>
      </c>
      <c r="P2443" s="108">
        <v>75</v>
      </c>
      <c r="S2443" s="82"/>
      <c r="AD2443" s="16"/>
      <c r="AE2443" s="16"/>
      <c r="AF2443" s="18"/>
    </row>
    <row r="2444" spans="1:32" ht="38.25">
      <c r="A2444" s="213" t="s">
        <v>2592</v>
      </c>
      <c r="B2444" s="141" t="s">
        <v>7123</v>
      </c>
      <c r="C2444" s="118" t="s">
        <v>3817</v>
      </c>
      <c r="D2444" s="141"/>
      <c r="E2444" s="118"/>
      <c r="F2444" s="118"/>
      <c r="G2444" s="118" t="s">
        <v>4192</v>
      </c>
      <c r="H2444" s="118" t="s">
        <v>3998</v>
      </c>
      <c r="I2444" s="118" t="s">
        <v>5247</v>
      </c>
      <c r="J2444" s="118" t="s">
        <v>5450</v>
      </c>
      <c r="K2444" s="141"/>
      <c r="L2444" s="135" t="str">
        <f t="shared" si="142"/>
        <v>Tupaia belangeri</v>
      </c>
      <c r="M2444" s="133">
        <f t="shared" si="141"/>
        <v>2.3010299956639813</v>
      </c>
      <c r="N2444" s="133">
        <v>200</v>
      </c>
      <c r="O2444" s="179" t="s">
        <v>3356</v>
      </c>
      <c r="P2444" s="108">
        <v>75</v>
      </c>
      <c r="AD2444" s="16"/>
      <c r="AE2444" s="16"/>
      <c r="AF2444" s="18"/>
    </row>
    <row r="2445" spans="1:32" ht="25.5">
      <c r="A2445" s="213" t="s">
        <v>2594</v>
      </c>
      <c r="B2445" s="141" t="s">
        <v>2593</v>
      </c>
      <c r="C2445" s="118" t="s">
        <v>3931</v>
      </c>
      <c r="D2445" s="141">
        <v>1000</v>
      </c>
      <c r="E2445" s="118"/>
      <c r="F2445" s="118"/>
      <c r="G2445" s="118" t="s">
        <v>3001</v>
      </c>
      <c r="H2445" s="118" t="s">
        <v>3719</v>
      </c>
      <c r="I2445" s="118" t="s">
        <v>3720</v>
      </c>
      <c r="J2445" s="118" t="s">
        <v>8119</v>
      </c>
      <c r="K2445" s="141" t="s">
        <v>92</v>
      </c>
      <c r="L2445" s="135" t="str">
        <f t="shared" si="142"/>
        <v>Hexaprotodon madagascariensis</v>
      </c>
      <c r="M2445" s="133">
        <f t="shared" si="141"/>
        <v>5.6989999999999998</v>
      </c>
      <c r="N2445" s="133">
        <v>500034.53497697797</v>
      </c>
      <c r="O2445" s="179" t="s">
        <v>6187</v>
      </c>
      <c r="P2445" s="108">
        <v>165</v>
      </c>
      <c r="Q2445" s="85" t="s">
        <v>6907</v>
      </c>
      <c r="AD2445" s="16"/>
      <c r="AE2445" s="16"/>
      <c r="AF2445" s="18"/>
    </row>
    <row r="2446" spans="1:32" ht="25.5">
      <c r="A2446" s="213" t="s">
        <v>2594</v>
      </c>
      <c r="B2446" s="141" t="s">
        <v>2593</v>
      </c>
      <c r="C2446" s="136" t="s">
        <v>5092</v>
      </c>
      <c r="D2446" s="220"/>
      <c r="E2446" s="136"/>
      <c r="F2446" s="136"/>
      <c r="G2446" s="118" t="s">
        <v>3001</v>
      </c>
      <c r="H2446" s="118" t="s">
        <v>3719</v>
      </c>
      <c r="I2446" s="118" t="s">
        <v>3722</v>
      </c>
      <c r="J2446" s="118" t="s">
        <v>8170</v>
      </c>
      <c r="K2446" s="141"/>
      <c r="L2446" s="135" t="str">
        <f t="shared" si="142"/>
        <v>Hippopotamus lemerlei</v>
      </c>
      <c r="M2446" s="133">
        <f t="shared" si="141"/>
        <v>5.6989999999999998</v>
      </c>
      <c r="N2446" s="133">
        <v>500034.53497697797</v>
      </c>
      <c r="O2446" s="179" t="s">
        <v>1435</v>
      </c>
      <c r="P2446" s="110" t="s">
        <v>8153</v>
      </c>
      <c r="Q2446" s="85" t="s">
        <v>6907</v>
      </c>
      <c r="AD2446" s="16"/>
      <c r="AE2446" s="16"/>
      <c r="AF2446" s="18"/>
    </row>
    <row r="2447" spans="1:32" ht="51">
      <c r="A2447" s="213" t="s">
        <v>2594</v>
      </c>
      <c r="B2447" s="141" t="s">
        <v>2593</v>
      </c>
      <c r="C2447" s="136" t="s">
        <v>5092</v>
      </c>
      <c r="D2447" s="220"/>
      <c r="E2447" s="136"/>
      <c r="F2447" s="136"/>
      <c r="G2447" s="118" t="s">
        <v>3001</v>
      </c>
      <c r="H2447" s="118" t="s">
        <v>3719</v>
      </c>
      <c r="I2447" s="118" t="s">
        <v>3722</v>
      </c>
      <c r="J2447" s="118" t="s">
        <v>6186</v>
      </c>
      <c r="K2447" s="141"/>
      <c r="L2447" s="135" t="str">
        <f t="shared" si="142"/>
        <v>Hippopotamus laloumena</v>
      </c>
      <c r="M2447" s="133">
        <f t="shared" si="141"/>
        <v>5.9754287416287593</v>
      </c>
      <c r="N2447" s="146">
        <f>(2/3)*(1417489.99)</f>
        <v>944993.32666666666</v>
      </c>
      <c r="O2447" s="179" t="s">
        <v>1451</v>
      </c>
      <c r="P2447" s="110">
        <v>150</v>
      </c>
      <c r="Q2447" s="82"/>
      <c r="AD2447" s="16"/>
      <c r="AE2447" s="16"/>
      <c r="AF2447" s="18"/>
    </row>
    <row r="2448" spans="1:32" ht="12" customHeight="1">
      <c r="A2448" s="213" t="s">
        <v>2594</v>
      </c>
      <c r="B2448" s="130" t="s">
        <v>2109</v>
      </c>
      <c r="C2448" s="118" t="s">
        <v>3817</v>
      </c>
      <c r="D2448" s="141"/>
      <c r="E2448" s="118"/>
      <c r="F2448" s="118"/>
      <c r="G2448" s="118" t="s">
        <v>3001</v>
      </c>
      <c r="H2448" s="118" t="s">
        <v>3358</v>
      </c>
      <c r="I2448" s="118" t="s">
        <v>4067</v>
      </c>
      <c r="J2448" s="118" t="s">
        <v>7469</v>
      </c>
      <c r="K2448" s="141"/>
      <c r="L2448" s="135" t="str">
        <f t="shared" si="142"/>
        <v>Bos javanicus</v>
      </c>
      <c r="M2448" s="133">
        <f t="shared" si="141"/>
        <v>5.8450980400142569</v>
      </c>
      <c r="N2448" s="133">
        <v>700000</v>
      </c>
      <c r="O2448" s="179"/>
      <c r="P2448" s="111" t="s">
        <v>1383</v>
      </c>
      <c r="Q2448" s="80"/>
      <c r="R2448" s="89"/>
      <c r="AD2448" s="16"/>
      <c r="AE2448" s="16"/>
      <c r="AF2448" s="18"/>
    </row>
    <row r="2449" spans="1:32" ht="15" customHeight="1">
      <c r="A2449" s="213" t="s">
        <v>2594</v>
      </c>
      <c r="B2449" s="141" t="s">
        <v>2540</v>
      </c>
      <c r="C2449" s="118" t="s">
        <v>3817</v>
      </c>
      <c r="D2449" s="141"/>
      <c r="E2449" s="118"/>
      <c r="F2449" s="118"/>
      <c r="G2449" s="118" t="s">
        <v>3001</v>
      </c>
      <c r="H2449" s="118" t="s">
        <v>3358</v>
      </c>
      <c r="I2449" s="118" t="s">
        <v>7456</v>
      </c>
      <c r="J2449" s="118" t="s">
        <v>5923</v>
      </c>
      <c r="K2449" s="141"/>
      <c r="L2449" s="135" t="str">
        <f t="shared" si="142"/>
        <v>Bubalus quarlesi</v>
      </c>
      <c r="M2449" s="133">
        <f t="shared" si="141"/>
        <v>5.1760912590556813</v>
      </c>
      <c r="N2449" s="133">
        <v>150000</v>
      </c>
      <c r="O2449" s="179" t="s">
        <v>6881</v>
      </c>
      <c r="P2449" s="108">
        <v>136</v>
      </c>
      <c r="Q2449" s="80" t="s">
        <v>6640</v>
      </c>
      <c r="AD2449" s="16"/>
      <c r="AE2449" s="16"/>
      <c r="AF2449" s="18"/>
    </row>
    <row r="2450" spans="1:32" ht="63.75">
      <c r="A2450" s="213" t="s">
        <v>2594</v>
      </c>
      <c r="B2450" s="141" t="s">
        <v>6062</v>
      </c>
      <c r="C2450" s="118" t="s">
        <v>3817</v>
      </c>
      <c r="D2450" s="141"/>
      <c r="E2450" s="118"/>
      <c r="F2450" s="118"/>
      <c r="G2450" s="118" t="s">
        <v>3001</v>
      </c>
      <c r="H2450" s="118" t="s">
        <v>3358</v>
      </c>
      <c r="I2450" s="118" t="s">
        <v>7456</v>
      </c>
      <c r="J2450" s="118" t="s">
        <v>5877</v>
      </c>
      <c r="K2450" s="141"/>
      <c r="L2450" s="135" t="str">
        <f t="shared" si="142"/>
        <v>Bubalus mindorensis</v>
      </c>
      <c r="M2450" s="133">
        <f t="shared" si="141"/>
        <v>5.3679767852945943</v>
      </c>
      <c r="N2450" s="133">
        <f>AVERAGE(180000, 220000, 300000)</f>
        <v>233333.33333333334</v>
      </c>
      <c r="O2450" s="179" t="s">
        <v>6881</v>
      </c>
      <c r="P2450" s="108">
        <v>92</v>
      </c>
      <c r="Q2450" s="80" t="s">
        <v>7071</v>
      </c>
      <c r="R2450" s="79" t="s">
        <v>6965</v>
      </c>
      <c r="U2450" s="59"/>
      <c r="V2450" s="59"/>
      <c r="AD2450" s="16"/>
      <c r="AE2450" s="16"/>
      <c r="AF2450" s="18"/>
    </row>
    <row r="2451" spans="1:32" ht="25.5">
      <c r="A2451" s="213" t="s">
        <v>2594</v>
      </c>
      <c r="B2451" s="141" t="s">
        <v>2540</v>
      </c>
      <c r="C2451" s="118" t="s">
        <v>3817</v>
      </c>
      <c r="D2451" s="141"/>
      <c r="E2451" s="118"/>
      <c r="F2451" s="118"/>
      <c r="G2451" s="118" t="s">
        <v>3001</v>
      </c>
      <c r="H2451" s="118" t="s">
        <v>3358</v>
      </c>
      <c r="I2451" s="118" t="s">
        <v>7456</v>
      </c>
      <c r="J2451" s="118" t="s">
        <v>6060</v>
      </c>
      <c r="K2451" s="141"/>
      <c r="L2451" s="135" t="str">
        <f t="shared" si="142"/>
        <v>Bubalus depressicornis</v>
      </c>
      <c r="M2451" s="133">
        <f t="shared" si="141"/>
        <v>5.4771212547196626</v>
      </c>
      <c r="N2451" s="133">
        <v>300000</v>
      </c>
      <c r="O2451" s="179" t="s">
        <v>6881</v>
      </c>
      <c r="P2451" s="111">
        <v>136</v>
      </c>
      <c r="Q2451" s="80" t="s">
        <v>6640</v>
      </c>
      <c r="U2451" s="59"/>
      <c r="V2451" s="59"/>
      <c r="AD2451" s="16"/>
      <c r="AE2451" s="16"/>
      <c r="AF2451" s="18"/>
    </row>
    <row r="2452" spans="1:32" ht="24" customHeight="1">
      <c r="A2452" s="213" t="s">
        <v>2594</v>
      </c>
      <c r="B2452" s="141" t="s">
        <v>2112</v>
      </c>
      <c r="C2452" s="118" t="s">
        <v>3817</v>
      </c>
      <c r="D2452" s="141"/>
      <c r="E2452" s="118"/>
      <c r="F2452" s="118"/>
      <c r="G2452" s="118" t="s">
        <v>3001</v>
      </c>
      <c r="H2452" s="118" t="s">
        <v>3358</v>
      </c>
      <c r="I2452" s="118" t="s">
        <v>6339</v>
      </c>
      <c r="J2452" s="118" t="s">
        <v>5772</v>
      </c>
      <c r="K2452" s="141"/>
      <c r="L2452" s="135" t="str">
        <f t="shared" si="142"/>
        <v>Naemorhedus swinhoei</v>
      </c>
      <c r="M2452" s="133">
        <f t="shared" si="141"/>
        <v>4.3222192947339195</v>
      </c>
      <c r="N2452" s="133">
        <f>AVERAGE(25000, 18000, 20000)</f>
        <v>21000</v>
      </c>
      <c r="O2452" s="179" t="s">
        <v>1133</v>
      </c>
      <c r="P2452" s="108" t="s">
        <v>1876</v>
      </c>
      <c r="Q2452" s="80" t="s">
        <v>6988</v>
      </c>
      <c r="AD2452" s="16"/>
      <c r="AE2452" s="16"/>
      <c r="AF2452" s="18"/>
    </row>
    <row r="2453" spans="1:32">
      <c r="A2453" s="213" t="s">
        <v>2594</v>
      </c>
      <c r="B2453" s="130" t="s">
        <v>6002</v>
      </c>
      <c r="C2453" s="118" t="s">
        <v>3817</v>
      </c>
      <c r="D2453" s="141"/>
      <c r="E2453" s="118"/>
      <c r="F2453" s="118"/>
      <c r="G2453" s="118" t="s">
        <v>3001</v>
      </c>
      <c r="H2453" s="118" t="s">
        <v>3358</v>
      </c>
      <c r="I2453" s="118" t="s">
        <v>6339</v>
      </c>
      <c r="J2453" s="118" t="s">
        <v>5771</v>
      </c>
      <c r="K2453" s="141"/>
      <c r="L2453" s="135" t="str">
        <f t="shared" si="142"/>
        <v>Naemorhedus crispus</v>
      </c>
      <c r="M2453" s="133">
        <f t="shared" si="141"/>
        <v>4.5700757053216039</v>
      </c>
      <c r="N2453" s="133">
        <f>AVERAGE(35890, 38430)</f>
        <v>37160</v>
      </c>
      <c r="O2453" s="179" t="s">
        <v>6882</v>
      </c>
      <c r="P2453" s="108">
        <v>233</v>
      </c>
      <c r="Q2453" s="80" t="s">
        <v>6642</v>
      </c>
      <c r="AD2453" s="16"/>
      <c r="AE2453" s="16"/>
      <c r="AF2453" s="18"/>
    </row>
    <row r="2454" spans="1:32" ht="12" customHeight="1">
      <c r="A2454" s="213" t="s">
        <v>2594</v>
      </c>
      <c r="B2454" s="130" t="s">
        <v>2435</v>
      </c>
      <c r="C2454" s="118" t="s">
        <v>3817</v>
      </c>
      <c r="D2454" s="141"/>
      <c r="E2454" s="118"/>
      <c r="F2454" s="118"/>
      <c r="G2454" s="118" t="s">
        <v>3001</v>
      </c>
      <c r="H2454" s="118" t="s">
        <v>3905</v>
      </c>
      <c r="I2454" s="118" t="s">
        <v>3864</v>
      </c>
      <c r="J2454" s="118" t="s">
        <v>3865</v>
      </c>
      <c r="K2454" s="141"/>
      <c r="L2454" s="135" t="str">
        <f t="shared" si="142"/>
        <v>Axis porcinus</v>
      </c>
      <c r="M2454" s="133">
        <f t="shared" si="141"/>
        <v>4.5218634818832513</v>
      </c>
      <c r="N2454" s="133">
        <f>AVERAGE((454*88), (454*98), (454*48), (454*59))</f>
        <v>33255.5</v>
      </c>
      <c r="O2454" s="179"/>
      <c r="P2454" s="111">
        <v>132</v>
      </c>
      <c r="Q2454" s="88"/>
      <c r="AD2454" s="16"/>
      <c r="AE2454" s="16"/>
      <c r="AF2454" s="18"/>
    </row>
    <row r="2455" spans="1:32" ht="25.5">
      <c r="A2455" s="212" t="s">
        <v>2594</v>
      </c>
      <c r="B2455" s="145" t="s">
        <v>6062</v>
      </c>
      <c r="C2455" s="118" t="s">
        <v>3817</v>
      </c>
      <c r="D2455" s="141"/>
      <c r="E2455" s="118"/>
      <c r="F2455" s="118"/>
      <c r="G2455" s="118" t="s">
        <v>3001</v>
      </c>
      <c r="H2455" s="118" t="s">
        <v>3905</v>
      </c>
      <c r="I2455" s="118" t="s">
        <v>3864</v>
      </c>
      <c r="J2455" s="118" t="s">
        <v>5438</v>
      </c>
      <c r="K2455" s="141"/>
      <c r="L2455" s="135" t="str">
        <f t="shared" si="142"/>
        <v>Axis calamianensis</v>
      </c>
      <c r="M2455" s="133">
        <f t="shared" si="141"/>
        <v>4.6074550232146683</v>
      </c>
      <c r="N2455" s="133">
        <f>AVERAGE(36000, 45000)</f>
        <v>40500</v>
      </c>
      <c r="O2455" s="179" t="s">
        <v>6919</v>
      </c>
      <c r="P2455" s="108">
        <v>141</v>
      </c>
      <c r="Q2455" s="80" t="s">
        <v>6642</v>
      </c>
      <c r="AD2455" s="16"/>
      <c r="AE2455" s="16"/>
      <c r="AF2455" s="18"/>
    </row>
    <row r="2456" spans="1:32" ht="25.5">
      <c r="A2456" s="213" t="s">
        <v>2594</v>
      </c>
      <c r="B2456" s="130" t="s">
        <v>2600</v>
      </c>
      <c r="C2456" s="118" t="s">
        <v>3817</v>
      </c>
      <c r="D2456" s="141"/>
      <c r="E2456" s="118"/>
      <c r="F2456" s="118"/>
      <c r="G2456" s="118" t="s">
        <v>3001</v>
      </c>
      <c r="H2456" s="118" t="s">
        <v>3905</v>
      </c>
      <c r="I2456" s="118" t="s">
        <v>3864</v>
      </c>
      <c r="J2456" s="118" t="s">
        <v>4646</v>
      </c>
      <c r="K2456" s="141"/>
      <c r="L2456" s="135" t="str">
        <f t="shared" si="142"/>
        <v>Axis kuhlii</v>
      </c>
      <c r="M2456" s="133">
        <f t="shared" si="141"/>
        <v>4.7403626894942441</v>
      </c>
      <c r="N2456" s="133">
        <v>55000</v>
      </c>
      <c r="O2456" s="179" t="s">
        <v>6919</v>
      </c>
      <c r="P2456" s="108">
        <v>147</v>
      </c>
      <c r="Q2456" s="80" t="s">
        <v>6640</v>
      </c>
      <c r="AD2456" s="16"/>
      <c r="AE2456" s="16"/>
      <c r="AF2456" s="18"/>
    </row>
    <row r="2457" spans="1:32">
      <c r="A2457" s="213" t="s">
        <v>2594</v>
      </c>
      <c r="B2457" s="130" t="s">
        <v>2435</v>
      </c>
      <c r="C2457" s="118" t="s">
        <v>3817</v>
      </c>
      <c r="D2457" s="141"/>
      <c r="E2457" s="118"/>
      <c r="F2457" s="118"/>
      <c r="G2457" s="118" t="s">
        <v>3001</v>
      </c>
      <c r="H2457" s="118" t="s">
        <v>3905</v>
      </c>
      <c r="I2457" s="118" t="s">
        <v>3864</v>
      </c>
      <c r="J2457" s="118" t="s">
        <v>3908</v>
      </c>
      <c r="K2457" s="141"/>
      <c r="L2457" s="135" t="str">
        <f t="shared" si="142"/>
        <v>Axis axis</v>
      </c>
      <c r="M2457" s="133">
        <f t="shared" si="141"/>
        <v>4.7948054605505002</v>
      </c>
      <c r="N2457" s="133">
        <f>AVERAGE((454*162), (454*166), (454*112), (454*109.3))</f>
        <v>62345.55</v>
      </c>
      <c r="O2457" s="179"/>
      <c r="P2457" s="111">
        <v>132</v>
      </c>
      <c r="Q2457" s="80"/>
      <c r="AD2457" s="16"/>
      <c r="AE2457" s="16"/>
      <c r="AF2457" s="18"/>
    </row>
    <row r="2458" spans="1:32">
      <c r="A2458" s="212" t="s">
        <v>2594</v>
      </c>
      <c r="B2458" s="145" t="s">
        <v>6062</v>
      </c>
      <c r="C2458" s="118" t="s">
        <v>3817</v>
      </c>
      <c r="D2458" s="141"/>
      <c r="E2458" s="118"/>
      <c r="F2458" s="118"/>
      <c r="G2458" s="118" t="s">
        <v>3001</v>
      </c>
      <c r="H2458" s="118" t="s">
        <v>3905</v>
      </c>
      <c r="I2458" s="118" t="s">
        <v>3906</v>
      </c>
      <c r="J2458" s="118" t="s">
        <v>5439</v>
      </c>
      <c r="K2458" s="141"/>
      <c r="L2458" s="135" t="str">
        <f t="shared" si="142"/>
        <v>Cervus alfredi</v>
      </c>
      <c r="M2458" s="133">
        <f t="shared" si="141"/>
        <v>4.6766936096248664</v>
      </c>
      <c r="N2458" s="133">
        <f>AVERAGE(36000, 59000)</f>
        <v>47500</v>
      </c>
      <c r="O2458" s="179" t="s">
        <v>3356</v>
      </c>
      <c r="P2458" s="108">
        <v>202</v>
      </c>
      <c r="Q2458" s="80" t="s">
        <v>6640</v>
      </c>
      <c r="AD2458" s="16"/>
      <c r="AE2458" s="16"/>
      <c r="AF2458" s="18"/>
    </row>
    <row r="2459" spans="1:32" ht="15" customHeight="1">
      <c r="A2459" s="212" t="s">
        <v>2594</v>
      </c>
      <c r="B2459" s="145" t="s">
        <v>6062</v>
      </c>
      <c r="C2459" s="118" t="s">
        <v>3817</v>
      </c>
      <c r="D2459" s="141"/>
      <c r="E2459" s="118"/>
      <c r="F2459" s="118"/>
      <c r="G2459" s="118" t="s">
        <v>3001</v>
      </c>
      <c r="H2459" s="118" t="s">
        <v>3905</v>
      </c>
      <c r="I2459" s="118" t="s">
        <v>3906</v>
      </c>
      <c r="J2459" s="118" t="s">
        <v>5440</v>
      </c>
      <c r="K2459" s="141"/>
      <c r="L2459" s="135" t="str">
        <f t="shared" si="142"/>
        <v>Cervus mariannus</v>
      </c>
      <c r="M2459" s="133">
        <f t="shared" si="141"/>
        <v>4.6989700043360187</v>
      </c>
      <c r="N2459" s="133">
        <v>50000</v>
      </c>
      <c r="O2459" s="179" t="s">
        <v>6773</v>
      </c>
      <c r="P2459" s="108">
        <v>136</v>
      </c>
      <c r="Q2459" s="80" t="s">
        <v>6987</v>
      </c>
      <c r="AD2459" s="16"/>
      <c r="AE2459" s="16"/>
      <c r="AF2459" s="18"/>
    </row>
    <row r="2460" spans="1:32" ht="15" customHeight="1">
      <c r="A2460" s="213" t="s">
        <v>2594</v>
      </c>
      <c r="B2460" s="130" t="s">
        <v>2109</v>
      </c>
      <c r="C2460" s="118" t="s">
        <v>3817</v>
      </c>
      <c r="D2460" s="141"/>
      <c r="E2460" s="118"/>
      <c r="F2460" s="118"/>
      <c r="G2460" s="118" t="s">
        <v>3001</v>
      </c>
      <c r="H2460" s="118" t="s">
        <v>3905</v>
      </c>
      <c r="I2460" s="118" t="s">
        <v>3906</v>
      </c>
      <c r="J2460" s="118" t="s">
        <v>3909</v>
      </c>
      <c r="K2460" s="141"/>
      <c r="L2460" s="135" t="str">
        <f t="shared" si="142"/>
        <v>Cervus timorensis</v>
      </c>
      <c r="M2460" s="133">
        <f t="shared" si="141"/>
        <v>4.7993405494535821</v>
      </c>
      <c r="N2460" s="133">
        <v>63000</v>
      </c>
      <c r="O2460" s="179"/>
      <c r="P2460" s="108" t="s">
        <v>1690</v>
      </c>
      <c r="Q2460" s="80"/>
      <c r="AD2460" s="16"/>
      <c r="AE2460" s="16"/>
      <c r="AF2460" s="18"/>
    </row>
    <row r="2461" spans="1:32">
      <c r="A2461" s="213" t="s">
        <v>2594</v>
      </c>
      <c r="B2461" s="130" t="s">
        <v>2435</v>
      </c>
      <c r="C2461" s="118" t="s">
        <v>3817</v>
      </c>
      <c r="D2461" s="141"/>
      <c r="E2461" s="118"/>
      <c r="F2461" s="118"/>
      <c r="G2461" s="118" t="s">
        <v>3001</v>
      </c>
      <c r="H2461" s="118" t="s">
        <v>3905</v>
      </c>
      <c r="I2461" s="118" t="s">
        <v>3906</v>
      </c>
      <c r="J2461" s="118" t="s">
        <v>3652</v>
      </c>
      <c r="K2461" s="141"/>
      <c r="L2461" s="135" t="str">
        <f t="shared" si="142"/>
        <v>Cervus unicolor</v>
      </c>
      <c r="M2461" s="133">
        <f t="shared" si="141"/>
        <v>5.2052404634022116</v>
      </c>
      <c r="N2461" s="133">
        <f>AVERAGE((454*475), (454*300), (454*285))</f>
        <v>160413.33333333334</v>
      </c>
      <c r="O2461" s="179"/>
      <c r="P2461" s="108">
        <v>132</v>
      </c>
      <c r="Q2461" s="80"/>
      <c r="AD2461" s="16"/>
      <c r="AE2461" s="16"/>
      <c r="AF2461" s="18"/>
    </row>
    <row r="2462" spans="1:32">
      <c r="A2462" s="213" t="s">
        <v>2594</v>
      </c>
      <c r="B2462" s="130" t="s">
        <v>2109</v>
      </c>
      <c r="C2462" s="118" t="s">
        <v>3817</v>
      </c>
      <c r="D2462" s="141"/>
      <c r="E2462" s="118"/>
      <c r="F2462" s="118"/>
      <c r="G2462" s="118" t="s">
        <v>3001</v>
      </c>
      <c r="H2462" s="118" t="s">
        <v>3905</v>
      </c>
      <c r="I2462" s="118" t="s">
        <v>3906</v>
      </c>
      <c r="J2462" s="118" t="s">
        <v>3652</v>
      </c>
      <c r="K2462" s="141"/>
      <c r="L2462" s="135" t="str">
        <f t="shared" si="142"/>
        <v>Cervus unicolor</v>
      </c>
      <c r="M2462" s="133">
        <f t="shared" si="141"/>
        <v>5.2278867046136739</v>
      </c>
      <c r="N2462" s="133">
        <v>169000</v>
      </c>
      <c r="O2462" s="179"/>
      <c r="P2462" s="108" t="s">
        <v>1690</v>
      </c>
      <c r="Q2462" s="80"/>
      <c r="AD2462" s="16"/>
      <c r="AE2462" s="16"/>
      <c r="AF2462" s="18"/>
    </row>
    <row r="2463" spans="1:32">
      <c r="A2463" s="213" t="s">
        <v>2594</v>
      </c>
      <c r="B2463" s="141" t="s">
        <v>1942</v>
      </c>
      <c r="C2463" s="118" t="s">
        <v>3817</v>
      </c>
      <c r="D2463" s="141"/>
      <c r="E2463" s="118"/>
      <c r="F2463" s="118"/>
      <c r="G2463" s="118" t="s">
        <v>3001</v>
      </c>
      <c r="H2463" s="118" t="s">
        <v>3905</v>
      </c>
      <c r="I2463" s="118" t="s">
        <v>5910</v>
      </c>
      <c r="J2463" s="118" t="s">
        <v>5732</v>
      </c>
      <c r="K2463" s="141"/>
      <c r="L2463" s="135" t="str">
        <f t="shared" si="142"/>
        <v>Muntiacus reevesi</v>
      </c>
      <c r="M2463" s="133">
        <f t="shared" si="141"/>
        <v>4.1303337684950066</v>
      </c>
      <c r="N2463" s="133">
        <f>AVERAGE(11000, 16000)</f>
        <v>13500</v>
      </c>
      <c r="O2463" s="179" t="s">
        <v>3356</v>
      </c>
      <c r="P2463" s="108">
        <v>136</v>
      </c>
      <c r="Q2463" s="80"/>
      <c r="AD2463" s="16"/>
      <c r="AE2463" s="16"/>
      <c r="AF2463" s="18"/>
    </row>
    <row r="2464" spans="1:32">
      <c r="A2464" s="213" t="s">
        <v>2594</v>
      </c>
      <c r="B2464" s="130" t="s">
        <v>2109</v>
      </c>
      <c r="C2464" s="118" t="s">
        <v>3817</v>
      </c>
      <c r="D2464" s="141"/>
      <c r="E2464" s="118"/>
      <c r="F2464" s="118"/>
      <c r="G2464" s="118" t="s">
        <v>3001</v>
      </c>
      <c r="H2464" s="118" t="s">
        <v>3905</v>
      </c>
      <c r="I2464" s="118" t="s">
        <v>5910</v>
      </c>
      <c r="J2464" s="118" t="s">
        <v>6791</v>
      </c>
      <c r="K2464" s="141"/>
      <c r="L2464" s="135" t="str">
        <f t="shared" si="142"/>
        <v>Muntiacus muntjak</v>
      </c>
      <c r="M2464" s="133">
        <f t="shared" si="141"/>
        <v>4.1461280356782382</v>
      </c>
      <c r="N2464" s="133">
        <v>14000</v>
      </c>
      <c r="O2464" s="179" t="s">
        <v>6736</v>
      </c>
      <c r="P2464" s="108" t="s">
        <v>5900</v>
      </c>
      <c r="Q2464" s="80"/>
      <c r="AD2464" s="16"/>
      <c r="AE2464" s="16"/>
      <c r="AF2464" s="18"/>
    </row>
    <row r="2465" spans="1:32" ht="12" customHeight="1">
      <c r="A2465" s="213" t="s">
        <v>2594</v>
      </c>
      <c r="B2465" s="141" t="s">
        <v>2109</v>
      </c>
      <c r="C2465" s="118" t="s">
        <v>3817</v>
      </c>
      <c r="D2465" s="141"/>
      <c r="E2465" s="118"/>
      <c r="F2465" s="118"/>
      <c r="G2465" s="118" t="s">
        <v>3001</v>
      </c>
      <c r="H2465" s="118" t="s">
        <v>3905</v>
      </c>
      <c r="I2465" s="118" t="s">
        <v>5910</v>
      </c>
      <c r="J2465" s="118" t="s">
        <v>6059</v>
      </c>
      <c r="K2465" s="141"/>
      <c r="L2465" s="135" t="str">
        <f t="shared" si="142"/>
        <v>Muntiacus atherodes</v>
      </c>
      <c r="M2465" s="133">
        <f t="shared" si="141"/>
        <v>4.1931245983544612</v>
      </c>
      <c r="N2465" s="133">
        <f>AVERAGE(13500, 17700)</f>
        <v>15600</v>
      </c>
      <c r="O2465" s="179" t="s">
        <v>3356</v>
      </c>
      <c r="P2465" s="108">
        <v>118</v>
      </c>
      <c r="Q2465" s="80"/>
      <c r="R2465" s="89"/>
      <c r="AD2465" s="16"/>
      <c r="AE2465" s="16"/>
      <c r="AF2465" s="18"/>
    </row>
    <row r="2466" spans="1:32">
      <c r="A2466" s="213" t="s">
        <v>2594</v>
      </c>
      <c r="B2466" s="130" t="s">
        <v>2435</v>
      </c>
      <c r="C2466" s="118" t="s">
        <v>3817</v>
      </c>
      <c r="D2466" s="141"/>
      <c r="E2466" s="118"/>
      <c r="F2466" s="118"/>
      <c r="G2466" s="118" t="s">
        <v>3001</v>
      </c>
      <c r="H2466" s="118" t="s">
        <v>3905</v>
      </c>
      <c r="I2466" s="118" t="s">
        <v>5910</v>
      </c>
      <c r="J2466" s="118" t="s">
        <v>6791</v>
      </c>
      <c r="K2466" s="141"/>
      <c r="L2466" s="135" t="str">
        <f t="shared" si="142"/>
        <v>Muntiacus muntjak</v>
      </c>
      <c r="M2466" s="133">
        <f t="shared" si="141"/>
        <v>4.2961686482991883</v>
      </c>
      <c r="N2466" s="133">
        <f>AVERAGE((454*44), (454*56), (454*34.75), (454*39.5))</f>
        <v>19777.375</v>
      </c>
      <c r="O2466" s="179"/>
      <c r="P2466" s="111">
        <v>132</v>
      </c>
      <c r="Q2466" s="80"/>
      <c r="AD2466" s="16"/>
      <c r="AE2466" s="16"/>
      <c r="AF2466" s="18"/>
    </row>
    <row r="2467" spans="1:32" ht="25.5">
      <c r="A2467" s="213" t="s">
        <v>2594</v>
      </c>
      <c r="B2467" s="141" t="s">
        <v>2540</v>
      </c>
      <c r="C2467" s="118" t="s">
        <v>3817</v>
      </c>
      <c r="D2467" s="141"/>
      <c r="E2467" s="118"/>
      <c r="F2467" s="118"/>
      <c r="G2467" s="118" t="s">
        <v>3001</v>
      </c>
      <c r="H2467" s="118" t="s">
        <v>3267</v>
      </c>
      <c r="I2467" s="118" t="s">
        <v>6100</v>
      </c>
      <c r="J2467" s="118" t="s">
        <v>5765</v>
      </c>
      <c r="K2467" s="141"/>
      <c r="L2467" s="135" t="str">
        <f t="shared" si="142"/>
        <v>Babyrousa babyrussa</v>
      </c>
      <c r="M2467" s="133">
        <f t="shared" si="141"/>
        <v>5</v>
      </c>
      <c r="N2467" s="133">
        <v>100000</v>
      </c>
      <c r="O2467" s="179" t="s">
        <v>6881</v>
      </c>
      <c r="P2467" s="108">
        <v>68</v>
      </c>
      <c r="Q2467" s="90" t="s">
        <v>6988</v>
      </c>
      <c r="AD2467" s="16"/>
      <c r="AE2467" s="16"/>
      <c r="AF2467" s="18"/>
    </row>
    <row r="2468" spans="1:32" ht="89.25">
      <c r="A2468" s="213" t="s">
        <v>2594</v>
      </c>
      <c r="B2468" s="141" t="s">
        <v>2593</v>
      </c>
      <c r="C2468" s="118" t="s">
        <v>3817</v>
      </c>
      <c r="D2468" s="141"/>
      <c r="E2468" s="118"/>
      <c r="F2468" s="118"/>
      <c r="G2468" s="118" t="s">
        <v>3001</v>
      </c>
      <c r="H2468" s="118" t="s">
        <v>3267</v>
      </c>
      <c r="I2468" s="118" t="s">
        <v>3482</v>
      </c>
      <c r="J2468" s="118" t="s">
        <v>5823</v>
      </c>
      <c r="K2468" s="141"/>
      <c r="L2468" s="135" t="str">
        <f t="shared" si="142"/>
        <v>Potamochoerus larvatus</v>
      </c>
      <c r="M2468" s="133">
        <f t="shared" si="141"/>
        <v>1.7958800173440752</v>
      </c>
      <c r="N2468" s="133">
        <v>62.5</v>
      </c>
      <c r="P2468" s="108">
        <v>150</v>
      </c>
      <c r="Q2468" s="85"/>
      <c r="R2468" s="79" t="s">
        <v>7550</v>
      </c>
      <c r="AD2468" s="16"/>
      <c r="AE2468" s="16"/>
      <c r="AF2468" s="18"/>
    </row>
    <row r="2469" spans="1:32" ht="38.25">
      <c r="A2469" s="213" t="s">
        <v>2594</v>
      </c>
      <c r="B2469" s="141" t="s">
        <v>6062</v>
      </c>
      <c r="C2469" s="118" t="s">
        <v>3817</v>
      </c>
      <c r="D2469" s="141"/>
      <c r="E2469" s="118"/>
      <c r="F2469" s="118"/>
      <c r="G2469" s="118" t="s">
        <v>3001</v>
      </c>
      <c r="H2469" s="118" t="s">
        <v>3267</v>
      </c>
      <c r="I2469" s="118" t="s">
        <v>3484</v>
      </c>
      <c r="J2469" s="118" t="s">
        <v>6484</v>
      </c>
      <c r="K2469" s="141"/>
      <c r="L2469" s="135" t="str">
        <f t="shared" si="142"/>
        <v>Sus cebifrons</v>
      </c>
      <c r="M2469" s="133">
        <v>-999</v>
      </c>
      <c r="N2469" s="133">
        <v>-999</v>
      </c>
      <c r="O2469" s="179" t="s">
        <v>4541</v>
      </c>
      <c r="P2469" s="111">
        <v>-999</v>
      </c>
      <c r="Q2469" s="80" t="s">
        <v>7071</v>
      </c>
      <c r="AD2469" s="16"/>
      <c r="AE2469" s="16"/>
      <c r="AF2469" s="18"/>
    </row>
    <row r="2470" spans="1:32">
      <c r="A2470" s="213" t="s">
        <v>2594</v>
      </c>
      <c r="B2470" s="141" t="s">
        <v>5193</v>
      </c>
      <c r="C2470" s="118" t="s">
        <v>3817</v>
      </c>
      <c r="D2470" s="141"/>
      <c r="E2470" s="118"/>
      <c r="F2470" s="118"/>
      <c r="G2470" s="118" t="s">
        <v>3001</v>
      </c>
      <c r="H2470" s="118" t="s">
        <v>3267</v>
      </c>
      <c r="I2470" s="118" t="s">
        <v>3484</v>
      </c>
      <c r="J2470" s="118" t="s">
        <v>6486</v>
      </c>
      <c r="K2470" s="141"/>
      <c r="L2470" s="135" t="str">
        <f t="shared" si="142"/>
        <v>Sus heureni</v>
      </c>
      <c r="M2470" s="133">
        <v>-999</v>
      </c>
      <c r="N2470" s="133">
        <v>-999</v>
      </c>
      <c r="O2470" s="179" t="s">
        <v>3356</v>
      </c>
      <c r="P2470" s="111">
        <v>-999</v>
      </c>
      <c r="Q2470" s="80"/>
      <c r="AD2470" s="16"/>
      <c r="AE2470" s="16"/>
      <c r="AF2470" s="18"/>
    </row>
    <row r="2471" spans="1:32" ht="15" customHeight="1">
      <c r="A2471" s="213" t="s">
        <v>2594</v>
      </c>
      <c r="B2471" s="141" t="s">
        <v>6062</v>
      </c>
      <c r="C2471" s="118" t="s">
        <v>3817</v>
      </c>
      <c r="D2471" s="141"/>
      <c r="E2471" s="118"/>
      <c r="F2471" s="118"/>
      <c r="G2471" s="118" t="s">
        <v>3001</v>
      </c>
      <c r="H2471" s="118" t="s">
        <v>3267</v>
      </c>
      <c r="I2471" s="118" t="s">
        <v>3484</v>
      </c>
      <c r="J2471" s="118" t="s">
        <v>5927</v>
      </c>
      <c r="K2471" s="141"/>
      <c r="L2471" s="135" t="str">
        <f t="shared" si="142"/>
        <v>Sus philippensis</v>
      </c>
      <c r="M2471" s="133">
        <v>-999</v>
      </c>
      <c r="N2471" s="133">
        <v>-999</v>
      </c>
      <c r="O2471" s="179" t="s">
        <v>4696</v>
      </c>
      <c r="P2471" s="111">
        <v>-999</v>
      </c>
      <c r="Q2471" s="80" t="s">
        <v>6988</v>
      </c>
      <c r="AD2471" s="16"/>
      <c r="AE2471" s="16"/>
      <c r="AF2471" s="18"/>
    </row>
    <row r="2472" spans="1:32">
      <c r="A2472" s="213" t="s">
        <v>2594</v>
      </c>
      <c r="B2472" s="141" t="s">
        <v>2600</v>
      </c>
      <c r="C2472" s="118" t="s">
        <v>3817</v>
      </c>
      <c r="D2472" s="141"/>
      <c r="E2472" s="118"/>
      <c r="F2472" s="118"/>
      <c r="G2472" s="118" t="s">
        <v>3001</v>
      </c>
      <c r="H2472" s="118" t="s">
        <v>3267</v>
      </c>
      <c r="I2472" s="118" t="s">
        <v>3484</v>
      </c>
      <c r="J2472" s="118" t="s">
        <v>6297</v>
      </c>
      <c r="K2472" s="141"/>
      <c r="L2472" s="135" t="str">
        <f t="shared" si="142"/>
        <v>Sus timoriensis</v>
      </c>
      <c r="M2472" s="133">
        <v>-999</v>
      </c>
      <c r="N2472" s="133">
        <v>-999</v>
      </c>
      <c r="O2472" s="179" t="s">
        <v>3356</v>
      </c>
      <c r="P2472" s="111">
        <v>-999</v>
      </c>
      <c r="Q2472" s="80"/>
      <c r="AD2472" s="16"/>
      <c r="AE2472" s="16"/>
      <c r="AF2472" s="18"/>
    </row>
    <row r="2473" spans="1:32">
      <c r="A2473" s="213" t="s">
        <v>2594</v>
      </c>
      <c r="B2473" s="141" t="s">
        <v>2600</v>
      </c>
      <c r="C2473" s="118" t="s">
        <v>3817</v>
      </c>
      <c r="D2473" s="141"/>
      <c r="E2473" s="118"/>
      <c r="F2473" s="118"/>
      <c r="G2473" s="118" t="s">
        <v>3001</v>
      </c>
      <c r="H2473" s="118" t="s">
        <v>3267</v>
      </c>
      <c r="I2473" s="118" t="s">
        <v>3484</v>
      </c>
      <c r="J2473" s="118" t="s">
        <v>6485</v>
      </c>
      <c r="K2473" s="141"/>
      <c r="L2473" s="135" t="str">
        <f t="shared" si="142"/>
        <v>Sus celebensis</v>
      </c>
      <c r="M2473" s="133">
        <f t="shared" ref="M2473:M2483" si="143">LOG(N2473)</f>
        <v>4.7403626894942441</v>
      </c>
      <c r="N2473" s="133">
        <f>AVERAGE(40000, 70000)</f>
        <v>55000</v>
      </c>
      <c r="O2473" s="179" t="s">
        <v>3356</v>
      </c>
      <c r="P2473" s="108" t="s">
        <v>7937</v>
      </c>
      <c r="Q2473" s="80"/>
      <c r="AD2473" s="16"/>
      <c r="AE2473" s="16"/>
      <c r="AF2473" s="18"/>
    </row>
    <row r="2474" spans="1:32">
      <c r="A2474" s="213" t="s">
        <v>2594</v>
      </c>
      <c r="B2474" s="141" t="s">
        <v>2538</v>
      </c>
      <c r="C2474" s="118" t="s">
        <v>3817</v>
      </c>
      <c r="D2474" s="141"/>
      <c r="E2474" s="118"/>
      <c r="F2474" s="118"/>
      <c r="G2474" s="118" t="s">
        <v>3001</v>
      </c>
      <c r="H2474" s="118" t="s">
        <v>3267</v>
      </c>
      <c r="I2474" s="118" t="s">
        <v>3484</v>
      </c>
      <c r="J2474" s="118" t="s">
        <v>8169</v>
      </c>
      <c r="K2474" s="141"/>
      <c r="L2474" s="135" t="str">
        <f t="shared" si="142"/>
        <v>Sus verrucosus</v>
      </c>
      <c r="M2474" s="133">
        <f t="shared" si="143"/>
        <v>4.9098233696509119</v>
      </c>
      <c r="N2474" s="133">
        <f>AVERAGE(47500, 115000)</f>
        <v>81250</v>
      </c>
      <c r="O2474" s="179" t="s">
        <v>3356</v>
      </c>
      <c r="P2474" s="108">
        <v>136</v>
      </c>
      <c r="Q2474" s="80" t="s">
        <v>6640</v>
      </c>
      <c r="AD2474" s="16"/>
      <c r="AE2474" s="16"/>
      <c r="AF2474" s="18"/>
    </row>
    <row r="2475" spans="1:32">
      <c r="A2475" s="213" t="s">
        <v>2594</v>
      </c>
      <c r="B2475" s="130" t="s">
        <v>2435</v>
      </c>
      <c r="C2475" s="118" t="s">
        <v>3817</v>
      </c>
      <c r="D2475" s="141"/>
      <c r="E2475" s="118"/>
      <c r="F2475" s="118"/>
      <c r="G2475" s="118" t="s">
        <v>3001</v>
      </c>
      <c r="H2475" s="118" t="s">
        <v>3267</v>
      </c>
      <c r="I2475" s="118" t="s">
        <v>3484</v>
      </c>
      <c r="J2475" s="118" t="s">
        <v>3485</v>
      </c>
      <c r="K2475" s="141"/>
      <c r="L2475" s="135" t="str">
        <f t="shared" si="142"/>
        <v>Sus scrofa</v>
      </c>
      <c r="M2475" s="133">
        <f t="shared" si="143"/>
        <v>4.9284908437853101</v>
      </c>
      <c r="N2475" s="133">
        <f>AVERAGE((454*222.3), (454*280), (454*119), (454*126))</f>
        <v>84818.55</v>
      </c>
      <c r="O2475" s="179"/>
      <c r="P2475" s="111">
        <v>132</v>
      </c>
      <c r="Q2475" s="80"/>
      <c r="AD2475" s="16"/>
      <c r="AE2475" s="16"/>
      <c r="AF2475" s="18"/>
    </row>
    <row r="2476" spans="1:32">
      <c r="A2476" s="213" t="s">
        <v>2594</v>
      </c>
      <c r="B2476" s="141" t="s">
        <v>6062</v>
      </c>
      <c r="C2476" s="118" t="s">
        <v>3817</v>
      </c>
      <c r="D2476" s="141"/>
      <c r="E2476" s="118"/>
      <c r="F2476" s="118"/>
      <c r="G2476" s="118" t="s">
        <v>3001</v>
      </c>
      <c r="H2476" s="118" t="s">
        <v>3267</v>
      </c>
      <c r="I2476" s="118" t="s">
        <v>3484</v>
      </c>
      <c r="J2476" s="118" t="s">
        <v>6242</v>
      </c>
      <c r="K2476" s="141"/>
      <c r="L2476" s="135" t="str">
        <f t="shared" si="142"/>
        <v>Sus barbatus</v>
      </c>
      <c r="M2476" s="133">
        <f t="shared" si="143"/>
        <v>4.9852767431792939</v>
      </c>
      <c r="N2476" s="133">
        <f>AVERAGE(57000, 83000, 150000)</f>
        <v>96666.666666666672</v>
      </c>
      <c r="O2476" s="179" t="s">
        <v>3356</v>
      </c>
      <c r="P2476" s="108" t="s">
        <v>1529</v>
      </c>
      <c r="Q2476" s="80"/>
      <c r="AD2476" s="16"/>
      <c r="AE2476" s="16"/>
      <c r="AF2476" s="18"/>
    </row>
    <row r="2477" spans="1:32" ht="15" customHeight="1">
      <c r="A2477" s="213" t="s">
        <v>2594</v>
      </c>
      <c r="B2477" s="141" t="s">
        <v>7653</v>
      </c>
      <c r="C2477" s="118" t="s">
        <v>3817</v>
      </c>
      <c r="D2477" s="141"/>
      <c r="E2477" s="118"/>
      <c r="F2477" s="118"/>
      <c r="G2477" s="118" t="s">
        <v>3001</v>
      </c>
      <c r="H2477" s="118" t="s">
        <v>3267</v>
      </c>
      <c r="I2477" s="118" t="s">
        <v>3484</v>
      </c>
      <c r="J2477" s="118" t="s">
        <v>6242</v>
      </c>
      <c r="K2477" s="141"/>
      <c r="L2477" s="135" t="str">
        <f t="shared" si="142"/>
        <v>Sus barbatus</v>
      </c>
      <c r="M2477" s="133">
        <f t="shared" si="143"/>
        <v>4.9852767431792939</v>
      </c>
      <c r="N2477" s="133">
        <f>AVERAGE(57000, 83000, 150000)</f>
        <v>96666.666666666672</v>
      </c>
      <c r="O2477" s="179" t="s">
        <v>3356</v>
      </c>
      <c r="P2477" s="108" t="s">
        <v>1529</v>
      </c>
      <c r="Q2477" s="80"/>
      <c r="AD2477" s="16"/>
      <c r="AE2477" s="16"/>
      <c r="AF2477" s="18"/>
    </row>
    <row r="2478" spans="1:32" ht="12" customHeight="1">
      <c r="A2478" s="213" t="s">
        <v>2594</v>
      </c>
      <c r="B2478" s="130" t="s">
        <v>2435</v>
      </c>
      <c r="C2478" s="118" t="s">
        <v>3817</v>
      </c>
      <c r="D2478" s="141"/>
      <c r="E2478" s="118"/>
      <c r="F2478" s="118"/>
      <c r="G2478" s="118" t="s">
        <v>3001</v>
      </c>
      <c r="H2478" s="118" t="s">
        <v>3951</v>
      </c>
      <c r="I2478" s="118" t="s">
        <v>5766</v>
      </c>
      <c r="J2478" s="118" t="s">
        <v>8269</v>
      </c>
      <c r="K2478" s="141"/>
      <c r="L2478" s="135" t="str">
        <f t="shared" si="142"/>
        <v>Moschiola meminna</v>
      </c>
      <c r="M2478" s="133">
        <f t="shared" si="143"/>
        <v>3.5348230096247288</v>
      </c>
      <c r="N2478" s="133">
        <f>AVERAGE((454*6.375), (454*6.75), (454*8.4375), (454*8.625))</f>
        <v>3426.28125</v>
      </c>
      <c r="O2478" s="179"/>
      <c r="P2478" s="111">
        <v>132</v>
      </c>
      <c r="Q2478" s="88"/>
      <c r="AD2478" s="16"/>
      <c r="AE2478" s="16"/>
      <c r="AF2478" s="18"/>
    </row>
    <row r="2479" spans="1:32">
      <c r="A2479" s="213" t="s">
        <v>2594</v>
      </c>
      <c r="B2479" s="130" t="s">
        <v>2109</v>
      </c>
      <c r="C2479" s="118" t="s">
        <v>3817</v>
      </c>
      <c r="D2479" s="141"/>
      <c r="E2479" s="118"/>
      <c r="F2479" s="118"/>
      <c r="G2479" s="118" t="s">
        <v>3001</v>
      </c>
      <c r="H2479" s="118" t="s">
        <v>3951</v>
      </c>
      <c r="I2479" s="118" t="s">
        <v>8270</v>
      </c>
      <c r="J2479" s="118" t="s">
        <v>7469</v>
      </c>
      <c r="K2479" s="141"/>
      <c r="L2479" s="135" t="str">
        <f t="shared" si="142"/>
        <v>Tragulus javanicus</v>
      </c>
      <c r="M2479" s="133">
        <f t="shared" si="143"/>
        <v>3.3521825181113627</v>
      </c>
      <c r="N2479" s="133">
        <f>AVERAGE(2000, 2500)</f>
        <v>2250</v>
      </c>
      <c r="O2479" s="179"/>
      <c r="P2479" s="108">
        <v>118</v>
      </c>
      <c r="Q2479" s="80"/>
      <c r="AD2479" s="16"/>
      <c r="AE2479" s="16"/>
      <c r="AF2479" s="18"/>
    </row>
    <row r="2480" spans="1:32">
      <c r="A2480" s="213" t="s">
        <v>2594</v>
      </c>
      <c r="B2480" s="130" t="s">
        <v>2109</v>
      </c>
      <c r="C2480" s="118" t="s">
        <v>3817</v>
      </c>
      <c r="D2480" s="141"/>
      <c r="E2480" s="118"/>
      <c r="F2480" s="118"/>
      <c r="G2480" s="118" t="s">
        <v>3001</v>
      </c>
      <c r="H2480" s="118" t="s">
        <v>3951</v>
      </c>
      <c r="I2480" s="118" t="s">
        <v>8270</v>
      </c>
      <c r="J2480" s="118" t="s">
        <v>6099</v>
      </c>
      <c r="K2480" s="141"/>
      <c r="L2480" s="135" t="str">
        <f t="shared" si="142"/>
        <v>Tragulus napu</v>
      </c>
      <c r="M2480" s="133">
        <f t="shared" si="143"/>
        <v>3.6020599913279625</v>
      </c>
      <c r="N2480" s="133">
        <f>AVERAGE(3500, 4500)</f>
        <v>4000</v>
      </c>
      <c r="O2480" s="179"/>
      <c r="P2480" s="108">
        <v>118</v>
      </c>
      <c r="Q2480" s="80"/>
      <c r="AD2480" s="16"/>
      <c r="AE2480" s="16"/>
      <c r="AF2480" s="18"/>
    </row>
    <row r="2481" spans="1:32" ht="127.5">
      <c r="A2481" s="213" t="s">
        <v>2594</v>
      </c>
      <c r="B2481" s="141" t="s">
        <v>2593</v>
      </c>
      <c r="C2481" s="136" t="s">
        <v>5092</v>
      </c>
      <c r="D2481" s="220"/>
      <c r="E2481" s="136"/>
      <c r="F2481" s="136"/>
      <c r="G2481" s="118" t="s">
        <v>3237</v>
      </c>
      <c r="H2481" s="118"/>
      <c r="I2481" s="118" t="s">
        <v>6088</v>
      </c>
      <c r="J2481" s="118" t="s">
        <v>6089</v>
      </c>
      <c r="K2481" s="141"/>
      <c r="L2481" s="135" t="str">
        <f t="shared" si="142"/>
        <v>Plesiorycteropus germainepetterae</v>
      </c>
      <c r="M2481" s="133">
        <f t="shared" si="143"/>
        <v>3.8926510338773004</v>
      </c>
      <c r="N2481" s="146">
        <v>7810</v>
      </c>
      <c r="O2481" s="179" t="s">
        <v>7547</v>
      </c>
      <c r="P2481" s="110" t="s">
        <v>252</v>
      </c>
      <c r="Q2481" s="82"/>
      <c r="AD2481" s="16"/>
      <c r="AE2481" s="16"/>
      <c r="AF2481" s="18"/>
    </row>
    <row r="2482" spans="1:32" ht="24" customHeight="1">
      <c r="A2482" s="213" t="s">
        <v>2594</v>
      </c>
      <c r="B2482" s="141" t="s">
        <v>2593</v>
      </c>
      <c r="C2482" s="136" t="s">
        <v>5092</v>
      </c>
      <c r="D2482" s="220"/>
      <c r="E2482" s="136"/>
      <c r="F2482" s="136"/>
      <c r="G2482" s="118" t="s">
        <v>3237</v>
      </c>
      <c r="H2482" s="110"/>
      <c r="I2482" s="118" t="s">
        <v>6088</v>
      </c>
      <c r="J2482" s="118" t="s">
        <v>8119</v>
      </c>
      <c r="K2482" s="141"/>
      <c r="L2482" s="135" t="str">
        <f t="shared" si="142"/>
        <v>Plesiorycteropus madagascariensis</v>
      </c>
      <c r="M2482" s="133">
        <f t="shared" si="143"/>
        <v>4.1212314551496219</v>
      </c>
      <c r="N2482" s="146">
        <v>13220</v>
      </c>
      <c r="O2482" s="179" t="s">
        <v>6774</v>
      </c>
      <c r="P2482" s="110" t="s">
        <v>252</v>
      </c>
      <c r="Q2482" s="82"/>
      <c r="AD2482" s="16"/>
      <c r="AE2482" s="16"/>
      <c r="AF2482" s="18"/>
    </row>
    <row r="2483" spans="1:32" ht="12" customHeight="1">
      <c r="A2483" s="213" t="s">
        <v>2594</v>
      </c>
      <c r="B2483" s="141" t="s">
        <v>2203</v>
      </c>
      <c r="C2483" s="118" t="s">
        <v>3931</v>
      </c>
      <c r="D2483" s="141">
        <v>1876</v>
      </c>
      <c r="E2483" s="118"/>
      <c r="F2483" s="118"/>
      <c r="G2483" s="118" t="s">
        <v>3954</v>
      </c>
      <c r="H2483" s="118" t="s">
        <v>3955</v>
      </c>
      <c r="I2483" s="118" t="s">
        <v>3348</v>
      </c>
      <c r="J2483" s="118" t="s">
        <v>3789</v>
      </c>
      <c r="K2483" s="141" t="s">
        <v>93</v>
      </c>
      <c r="L2483" s="135" t="str">
        <f t="shared" si="142"/>
        <v>Dusicyon australis</v>
      </c>
      <c r="M2483" s="133">
        <f t="shared" si="143"/>
        <v>4.6989999999999998</v>
      </c>
      <c r="N2483" s="133">
        <v>50003.453497697803</v>
      </c>
      <c r="O2483" s="179" t="s">
        <v>6727</v>
      </c>
      <c r="P2483" s="108">
        <v>165</v>
      </c>
      <c r="Q2483" s="88" t="s">
        <v>6907</v>
      </c>
      <c r="AD2483" s="16"/>
      <c r="AE2483" s="16"/>
      <c r="AF2483" s="18"/>
    </row>
    <row r="2484" spans="1:32" ht="25.5">
      <c r="A2484" s="288" t="s">
        <v>2594</v>
      </c>
      <c r="B2484" s="228" t="s">
        <v>7771</v>
      </c>
      <c r="C2484" s="227" t="s">
        <v>3931</v>
      </c>
      <c r="D2484" s="229">
        <v>1964</v>
      </c>
      <c r="E2484" s="227"/>
      <c r="F2484" s="227"/>
      <c r="G2484" s="227" t="s">
        <v>3954</v>
      </c>
      <c r="H2484" s="227" t="s">
        <v>2127</v>
      </c>
      <c r="I2484" s="227" t="s">
        <v>7218</v>
      </c>
      <c r="J2484" s="227" t="s">
        <v>6114</v>
      </c>
      <c r="K2484" s="229" t="s">
        <v>96</v>
      </c>
      <c r="L2484" s="135" t="str">
        <f t="shared" si="142"/>
        <v>Procyon gloveralleni</v>
      </c>
      <c r="M2484" s="230">
        <v>-999</v>
      </c>
      <c r="N2484" s="230">
        <v>-999</v>
      </c>
      <c r="O2484" s="231" t="s">
        <v>55</v>
      </c>
      <c r="P2484" s="232">
        <v>-999</v>
      </c>
      <c r="Q2484" s="233"/>
      <c r="R2484" s="233"/>
      <c r="S2484" s="233"/>
      <c r="T2484" s="233"/>
      <c r="U2484" s="234"/>
      <c r="V2484" s="234"/>
      <c r="AD2484" s="16"/>
      <c r="AE2484" s="16"/>
      <c r="AF2484" s="18"/>
    </row>
    <row r="2485" spans="1:32">
      <c r="A2485" s="213" t="s">
        <v>2594</v>
      </c>
      <c r="B2485" s="130" t="s">
        <v>2435</v>
      </c>
      <c r="C2485" s="118" t="s">
        <v>3817</v>
      </c>
      <c r="D2485" s="141"/>
      <c r="E2485" s="118"/>
      <c r="F2485" s="118"/>
      <c r="G2485" s="118" t="s">
        <v>3954</v>
      </c>
      <c r="H2485" s="118" t="s">
        <v>3955</v>
      </c>
      <c r="I2485" s="118" t="s">
        <v>3956</v>
      </c>
      <c r="J2485" s="118" t="s">
        <v>7364</v>
      </c>
      <c r="K2485" s="141"/>
      <c r="L2485" s="135" t="str">
        <f t="shared" si="142"/>
        <v>Canis aureus</v>
      </c>
      <c r="M2485" s="133">
        <f t="shared" ref="M2485:M2501" si="144">LOG(N2485)</f>
        <v>3.9072724861705219</v>
      </c>
      <c r="N2485" s="133">
        <f>AVERAGE(9080, 8172, 7264, (454*20), (454*14.75), (454*18))</f>
        <v>8077.416666666667</v>
      </c>
      <c r="O2485" s="179"/>
      <c r="P2485" s="108" t="s">
        <v>2972</v>
      </c>
      <c r="Q2485" s="80"/>
      <c r="AD2485" s="16"/>
      <c r="AE2485" s="16"/>
      <c r="AF2485" s="18"/>
    </row>
    <row r="2486" spans="1:32" ht="25.5">
      <c r="A2486" s="213" t="s">
        <v>2594</v>
      </c>
      <c r="B2486" s="130" t="s">
        <v>1682</v>
      </c>
      <c r="C2486" s="118" t="s">
        <v>3817</v>
      </c>
      <c r="D2486" s="141"/>
      <c r="E2486" s="118"/>
      <c r="F2486" s="118"/>
      <c r="G2486" s="118" t="s">
        <v>3954</v>
      </c>
      <c r="H2486" s="118" t="s">
        <v>3955</v>
      </c>
      <c r="I2486" s="118" t="s">
        <v>5969</v>
      </c>
      <c r="J2486" s="118" t="s">
        <v>3092</v>
      </c>
      <c r="K2486" s="141"/>
      <c r="L2486" s="135" t="str">
        <f t="shared" si="142"/>
        <v>Cuon alpinus</v>
      </c>
      <c r="M2486" s="133">
        <f t="shared" si="144"/>
        <v>4.1058506743851435</v>
      </c>
      <c r="N2486" s="133">
        <v>12760</v>
      </c>
      <c r="O2486" s="179" t="s">
        <v>6969</v>
      </c>
      <c r="P2486" s="108">
        <v>68</v>
      </c>
      <c r="Q2486" s="80" t="s">
        <v>6988</v>
      </c>
      <c r="AD2486" s="16"/>
      <c r="AE2486" s="16"/>
      <c r="AF2486" s="18"/>
    </row>
    <row r="2487" spans="1:32">
      <c r="A2487" s="213" t="s">
        <v>2594</v>
      </c>
      <c r="B2487" s="141" t="s">
        <v>2109</v>
      </c>
      <c r="C2487" s="118" t="s">
        <v>3817</v>
      </c>
      <c r="D2487" s="141"/>
      <c r="E2487" s="118"/>
      <c r="F2487" s="118"/>
      <c r="G2487" s="118" t="s">
        <v>3954</v>
      </c>
      <c r="H2487" s="118" t="s">
        <v>7321</v>
      </c>
      <c r="I2487" s="118" t="s">
        <v>5971</v>
      </c>
      <c r="J2487" s="118" t="s">
        <v>6495</v>
      </c>
      <c r="K2487" s="141"/>
      <c r="L2487" s="135" t="str">
        <f t="shared" si="142"/>
        <v>Catopuma badia</v>
      </c>
      <c r="M2487" s="133">
        <f t="shared" si="144"/>
        <v>3.3979400086720375</v>
      </c>
      <c r="N2487" s="133">
        <v>2500</v>
      </c>
      <c r="O2487" s="179" t="s">
        <v>7081</v>
      </c>
      <c r="P2487" s="108">
        <v>141</v>
      </c>
      <c r="Q2487" s="80" t="s">
        <v>6640</v>
      </c>
      <c r="AD2487" s="16"/>
      <c r="AE2487" s="16"/>
      <c r="AF2487" s="18"/>
    </row>
    <row r="2488" spans="1:32" ht="12" customHeight="1">
      <c r="A2488" s="213" t="s">
        <v>2594</v>
      </c>
      <c r="B2488" s="130" t="s">
        <v>2600</v>
      </c>
      <c r="C2488" s="118" t="s">
        <v>3817</v>
      </c>
      <c r="D2488" s="141"/>
      <c r="E2488" s="118"/>
      <c r="F2488" s="118"/>
      <c r="G2488" s="118" t="s">
        <v>3954</v>
      </c>
      <c r="H2488" s="118" t="s">
        <v>7321</v>
      </c>
      <c r="I2488" s="118" t="s">
        <v>5971</v>
      </c>
      <c r="J2488" s="118" t="s">
        <v>2133</v>
      </c>
      <c r="K2488" s="141"/>
      <c r="L2488" s="135" t="str">
        <f t="shared" si="142"/>
        <v>Catopuma temminckii</v>
      </c>
      <c r="M2488" s="133">
        <f t="shared" si="144"/>
        <v>4.0606978403536118</v>
      </c>
      <c r="N2488" s="133">
        <v>11500</v>
      </c>
      <c r="O2488" s="179" t="s">
        <v>6736</v>
      </c>
      <c r="P2488" s="108">
        <v>68</v>
      </c>
      <c r="Q2488" s="88"/>
      <c r="AD2488" s="16"/>
      <c r="AE2488" s="16"/>
      <c r="AF2488" s="18"/>
    </row>
    <row r="2489" spans="1:32">
      <c r="A2489" s="213" t="s">
        <v>2594</v>
      </c>
      <c r="B2489" s="130" t="s">
        <v>2435</v>
      </c>
      <c r="C2489" s="118" t="s">
        <v>3817</v>
      </c>
      <c r="D2489" s="141"/>
      <c r="E2489" s="118"/>
      <c r="F2489" s="118"/>
      <c r="G2489" s="118" t="s">
        <v>3954</v>
      </c>
      <c r="H2489" s="118" t="s">
        <v>7321</v>
      </c>
      <c r="I2489" s="118" t="s">
        <v>4839</v>
      </c>
      <c r="J2489" s="118" t="s">
        <v>4840</v>
      </c>
      <c r="K2489" s="141"/>
      <c r="L2489" s="135" t="str">
        <f t="shared" si="142"/>
        <v>Felis chaus</v>
      </c>
      <c r="M2489" s="133">
        <f t="shared" si="144"/>
        <v>3.9123283579604098</v>
      </c>
      <c r="N2489" s="133">
        <f>18*454</f>
        <v>8172</v>
      </c>
      <c r="O2489" s="179" t="s">
        <v>3356</v>
      </c>
      <c r="P2489" s="108">
        <v>132</v>
      </c>
      <c r="Q2489" s="80"/>
      <c r="AD2489" s="16"/>
      <c r="AE2489" s="16"/>
      <c r="AF2489" s="18"/>
    </row>
    <row r="2490" spans="1:32" ht="15.75">
      <c r="A2490" s="213" t="s">
        <v>2594</v>
      </c>
      <c r="B2490" s="130" t="s">
        <v>2600</v>
      </c>
      <c r="C2490" s="118" t="s">
        <v>3817</v>
      </c>
      <c r="D2490" s="141"/>
      <c r="E2490" s="118"/>
      <c r="F2490" s="118"/>
      <c r="G2490" s="118" t="s">
        <v>3954</v>
      </c>
      <c r="H2490" s="118" t="s">
        <v>7321</v>
      </c>
      <c r="I2490" s="118" t="s">
        <v>5779</v>
      </c>
      <c r="J2490" s="118" t="s">
        <v>5328</v>
      </c>
      <c r="K2490" s="141"/>
      <c r="L2490" s="135" t="str">
        <f t="shared" si="142"/>
        <v>Neofelis nebulosa</v>
      </c>
      <c r="M2490" s="133">
        <f t="shared" si="144"/>
        <v>4.2977933280820269</v>
      </c>
      <c r="N2490" s="133">
        <f>AVERAGE(19500, (454*44.5))</f>
        <v>19851.5</v>
      </c>
      <c r="O2490" s="179" t="s">
        <v>7081</v>
      </c>
      <c r="P2490" s="108" t="s">
        <v>5900</v>
      </c>
      <c r="Q2490" s="80" t="s">
        <v>6988</v>
      </c>
      <c r="R2490" s="89"/>
      <c r="AD2490" s="16"/>
      <c r="AE2490" s="16"/>
      <c r="AF2490" s="18"/>
    </row>
    <row r="2491" spans="1:32">
      <c r="A2491" s="213" t="s">
        <v>2594</v>
      </c>
      <c r="B2491" s="130" t="s">
        <v>2435</v>
      </c>
      <c r="C2491" s="118" t="s">
        <v>3817</v>
      </c>
      <c r="D2491" s="141"/>
      <c r="E2491" s="118"/>
      <c r="F2491" s="118"/>
      <c r="G2491" s="118" t="s">
        <v>3954</v>
      </c>
      <c r="H2491" s="118" t="s">
        <v>7321</v>
      </c>
      <c r="I2491" s="118" t="s">
        <v>4860</v>
      </c>
      <c r="J2491" s="118" t="s">
        <v>2184</v>
      </c>
      <c r="K2491" s="141"/>
      <c r="L2491" s="135" t="str">
        <f t="shared" si="142"/>
        <v>Panthera pardus</v>
      </c>
      <c r="M2491" s="133">
        <f t="shared" si="144"/>
        <v>4.7451919415576551</v>
      </c>
      <c r="N2491" s="133">
        <f>AVERAGE((170*454), (75*454))</f>
        <v>55615</v>
      </c>
      <c r="O2491" s="179" t="s">
        <v>3356</v>
      </c>
      <c r="P2491" s="108">
        <v>132</v>
      </c>
      <c r="Q2491" s="80"/>
      <c r="AD2491" s="16"/>
      <c r="AE2491" s="16"/>
      <c r="AF2491" s="18"/>
    </row>
    <row r="2492" spans="1:32">
      <c r="A2492" s="213" t="s">
        <v>2594</v>
      </c>
      <c r="B2492" s="130" t="s">
        <v>2600</v>
      </c>
      <c r="C2492" s="118" t="s">
        <v>3817</v>
      </c>
      <c r="D2492" s="141"/>
      <c r="E2492" s="118"/>
      <c r="F2492" s="118"/>
      <c r="G2492" s="118" t="s">
        <v>3954</v>
      </c>
      <c r="H2492" s="118" t="s">
        <v>7321</v>
      </c>
      <c r="I2492" s="118" t="s">
        <v>3543</v>
      </c>
      <c r="J2492" s="118" t="s">
        <v>7941</v>
      </c>
      <c r="K2492" s="141"/>
      <c r="L2492" s="135" t="str">
        <f t="shared" si="142"/>
        <v>Pardofelis marmorata</v>
      </c>
      <c r="M2492" s="133">
        <f t="shared" si="144"/>
        <v>3.3906702126261803</v>
      </c>
      <c r="N2492" s="133">
        <f>AVERAGE(2425, 2492)</f>
        <v>2458.5</v>
      </c>
      <c r="O2492" s="179" t="s">
        <v>3356</v>
      </c>
      <c r="P2492" s="108">
        <v>118</v>
      </c>
      <c r="Q2492" s="80"/>
      <c r="AD2492" s="16"/>
      <c r="AE2492" s="16"/>
      <c r="AF2492" s="18"/>
    </row>
    <row r="2493" spans="1:32">
      <c r="A2493" s="213" t="s">
        <v>2594</v>
      </c>
      <c r="B2493" s="130" t="s">
        <v>2435</v>
      </c>
      <c r="C2493" s="118" t="s">
        <v>3817</v>
      </c>
      <c r="D2493" s="141"/>
      <c r="E2493" s="118"/>
      <c r="F2493" s="118"/>
      <c r="G2493" s="118" t="s">
        <v>3954</v>
      </c>
      <c r="H2493" s="118" t="s">
        <v>7321</v>
      </c>
      <c r="I2493" s="118" t="s">
        <v>6118</v>
      </c>
      <c r="J2493" s="118" t="s">
        <v>6119</v>
      </c>
      <c r="K2493" s="141"/>
      <c r="L2493" s="135" t="str">
        <f t="shared" si="142"/>
        <v>Prionailurus rubiginosus</v>
      </c>
      <c r="M2493" s="133">
        <f t="shared" si="144"/>
        <v>3.1519058745371979</v>
      </c>
      <c r="N2493" s="133">
        <f>AVERAGE(1589, 1248.5)</f>
        <v>1418.75</v>
      </c>
      <c r="O2493" s="179" t="s">
        <v>6920</v>
      </c>
      <c r="P2493" s="108">
        <v>132</v>
      </c>
      <c r="Q2493" s="80" t="s">
        <v>6988</v>
      </c>
      <c r="AD2493" s="16"/>
      <c r="AE2493" s="16"/>
      <c r="AF2493" s="18"/>
    </row>
    <row r="2494" spans="1:32" ht="15" customHeight="1">
      <c r="A2494" s="213" t="s">
        <v>2594</v>
      </c>
      <c r="B2494" s="130" t="s">
        <v>2600</v>
      </c>
      <c r="C2494" s="118" t="s">
        <v>3817</v>
      </c>
      <c r="D2494" s="141"/>
      <c r="E2494" s="118"/>
      <c r="F2494" s="118"/>
      <c r="G2494" s="118" t="s">
        <v>3954</v>
      </c>
      <c r="H2494" s="118" t="s">
        <v>7321</v>
      </c>
      <c r="I2494" s="118" t="s">
        <v>6118</v>
      </c>
      <c r="J2494" s="118" t="s">
        <v>6178</v>
      </c>
      <c r="K2494" s="141"/>
      <c r="L2494" s="135" t="str">
        <f t="shared" si="142"/>
        <v>Prionailurus bengalensis</v>
      </c>
      <c r="M2494" s="133">
        <f t="shared" si="144"/>
        <v>3.5185139398778875</v>
      </c>
      <c r="N2494" s="133">
        <v>3300</v>
      </c>
      <c r="O2494" s="179" t="s">
        <v>6736</v>
      </c>
      <c r="P2494" s="108" t="s">
        <v>5900</v>
      </c>
      <c r="Q2494" s="80"/>
      <c r="AD2494" s="16"/>
      <c r="AE2494" s="16"/>
      <c r="AF2494" s="18"/>
    </row>
    <row r="2495" spans="1:32" ht="38.25">
      <c r="A2495" s="213" t="s">
        <v>2594</v>
      </c>
      <c r="B2495" s="141" t="s">
        <v>2600</v>
      </c>
      <c r="C2495" s="118" t="s">
        <v>3817</v>
      </c>
      <c r="D2495" s="141"/>
      <c r="E2495" s="118"/>
      <c r="F2495" s="118"/>
      <c r="G2495" s="118" t="s">
        <v>3954</v>
      </c>
      <c r="H2495" s="118" t="s">
        <v>7321</v>
      </c>
      <c r="I2495" s="118" t="s">
        <v>6118</v>
      </c>
      <c r="J2495" s="118" t="s">
        <v>7296</v>
      </c>
      <c r="K2495" s="141"/>
      <c r="L2495" s="135" t="str">
        <f t="shared" si="142"/>
        <v>Prionailurus planiceps</v>
      </c>
      <c r="M2495" s="133">
        <f t="shared" si="144"/>
        <v>3.8293037728310249</v>
      </c>
      <c r="N2495" s="133">
        <f>AVERAGE(5500, 8000)</f>
        <v>6750</v>
      </c>
      <c r="O2495" s="179" t="s">
        <v>1564</v>
      </c>
      <c r="P2495" s="108">
        <v>141</v>
      </c>
      <c r="Q2495" s="80" t="s">
        <v>6988</v>
      </c>
      <c r="AD2495" s="16"/>
      <c r="AE2495" s="16"/>
      <c r="AF2495" s="18"/>
    </row>
    <row r="2496" spans="1:32" ht="12" customHeight="1">
      <c r="A2496" s="213" t="s">
        <v>2594</v>
      </c>
      <c r="B2496" s="130" t="s">
        <v>2600</v>
      </c>
      <c r="C2496" s="118" t="s">
        <v>3817</v>
      </c>
      <c r="D2496" s="141"/>
      <c r="E2496" s="118"/>
      <c r="F2496" s="118"/>
      <c r="G2496" s="118" t="s">
        <v>3954</v>
      </c>
      <c r="H2496" s="118" t="s">
        <v>7321</v>
      </c>
      <c r="I2496" s="118" t="s">
        <v>6118</v>
      </c>
      <c r="J2496" s="118" t="s">
        <v>3935</v>
      </c>
      <c r="K2496" s="141"/>
      <c r="L2496" s="135" t="str">
        <f t="shared" si="142"/>
        <v>Prionailurus viverrinus</v>
      </c>
      <c r="M2496" s="133">
        <f t="shared" si="144"/>
        <v>3.8875047742353779</v>
      </c>
      <c r="N2496" s="133">
        <f>AVERAGE((454*17))</f>
        <v>7718</v>
      </c>
      <c r="O2496" s="179" t="s">
        <v>6955</v>
      </c>
      <c r="P2496" s="108">
        <v>133</v>
      </c>
      <c r="Q2496" s="88" t="s">
        <v>6988</v>
      </c>
      <c r="AD2496" s="16"/>
      <c r="AE2496" s="16"/>
      <c r="AF2496" s="18"/>
    </row>
    <row r="2497" spans="1:32" ht="36" customHeight="1">
      <c r="A2497" s="213" t="s">
        <v>2594</v>
      </c>
      <c r="B2497" s="130" t="s">
        <v>2435</v>
      </c>
      <c r="C2497" s="118" t="s">
        <v>3817</v>
      </c>
      <c r="D2497" s="141"/>
      <c r="E2497" s="118"/>
      <c r="F2497" s="118"/>
      <c r="G2497" s="118" t="s">
        <v>3954</v>
      </c>
      <c r="H2497" s="118" t="s">
        <v>7321</v>
      </c>
      <c r="I2497" s="118" t="s">
        <v>6118</v>
      </c>
      <c r="J2497" s="118" t="s">
        <v>3935</v>
      </c>
      <c r="K2497" s="141"/>
      <c r="L2497" s="135" t="str">
        <f t="shared" si="142"/>
        <v>Prionailurus viverrinus</v>
      </c>
      <c r="M2497" s="133">
        <f t="shared" si="144"/>
        <v>3.9470904642196221</v>
      </c>
      <c r="N2497" s="133">
        <f>AVERAGE(11350, 6356)</f>
        <v>8853</v>
      </c>
      <c r="O2497" s="179" t="s">
        <v>6955</v>
      </c>
      <c r="P2497" s="108">
        <v>132</v>
      </c>
      <c r="Q2497" s="88" t="s">
        <v>6988</v>
      </c>
      <c r="AD2497" s="16"/>
      <c r="AE2497" s="16"/>
      <c r="AF2497" s="18"/>
    </row>
    <row r="2498" spans="1:32">
      <c r="A2498" s="213" t="s">
        <v>2594</v>
      </c>
      <c r="B2498" s="141" t="s">
        <v>2593</v>
      </c>
      <c r="C2498" s="118" t="s">
        <v>3817</v>
      </c>
      <c r="D2498" s="141"/>
      <c r="E2498" s="118"/>
      <c r="F2498" s="118"/>
      <c r="G2498" s="118" t="s">
        <v>3954</v>
      </c>
      <c r="H2498" s="118" t="s">
        <v>4180</v>
      </c>
      <c r="I2498" s="118" t="s">
        <v>5115</v>
      </c>
      <c r="J2498" s="118" t="s">
        <v>2076</v>
      </c>
      <c r="K2498" s="141"/>
      <c r="L2498" s="135" t="str">
        <f t="shared" si="142"/>
        <v>Galidia elegans</v>
      </c>
      <c r="M2498" s="133">
        <f t="shared" si="144"/>
        <v>2.9030899869919438</v>
      </c>
      <c r="N2498" s="133">
        <v>800</v>
      </c>
      <c r="O2498" s="179" t="s">
        <v>6736</v>
      </c>
      <c r="P2498" s="108">
        <v>68</v>
      </c>
      <c r="AD2498" s="16"/>
      <c r="AE2498" s="16"/>
      <c r="AF2498" s="18"/>
    </row>
    <row r="2499" spans="1:32" ht="38.25">
      <c r="A2499" s="213" t="s">
        <v>2594</v>
      </c>
      <c r="B2499" s="141" t="s">
        <v>2593</v>
      </c>
      <c r="C2499" s="118" t="s">
        <v>3817</v>
      </c>
      <c r="D2499" s="141"/>
      <c r="E2499" s="118"/>
      <c r="F2499" s="118"/>
      <c r="G2499" s="118" t="s">
        <v>3954</v>
      </c>
      <c r="H2499" s="118" t="s">
        <v>4180</v>
      </c>
      <c r="I2499" s="118" t="s">
        <v>5115</v>
      </c>
      <c r="J2499" s="118" t="s">
        <v>2076</v>
      </c>
      <c r="K2499" s="141"/>
      <c r="L2499" s="135" t="str">
        <f t="shared" si="142"/>
        <v>Galidia elegans</v>
      </c>
      <c r="M2499" s="133">
        <f t="shared" si="144"/>
        <v>2.9030899869919438</v>
      </c>
      <c r="N2499" s="133">
        <v>800</v>
      </c>
      <c r="O2499" s="189" t="s">
        <v>8064</v>
      </c>
      <c r="P2499" s="108">
        <v>68</v>
      </c>
      <c r="Q2499" s="85" t="s">
        <v>6988</v>
      </c>
      <c r="AD2499" s="16"/>
      <c r="AE2499" s="16"/>
      <c r="AF2499" s="18"/>
    </row>
    <row r="2500" spans="1:32" ht="38.25">
      <c r="A2500" s="213" t="s">
        <v>2594</v>
      </c>
      <c r="B2500" s="141" t="s">
        <v>2593</v>
      </c>
      <c r="C2500" s="118" t="s">
        <v>3817</v>
      </c>
      <c r="D2500" s="141"/>
      <c r="E2500" s="118"/>
      <c r="F2500" s="118"/>
      <c r="G2500" s="118" t="s">
        <v>3954</v>
      </c>
      <c r="H2500" s="118" t="s">
        <v>4180</v>
      </c>
      <c r="I2500" s="118" t="s">
        <v>8193</v>
      </c>
      <c r="J2500" s="118" t="s">
        <v>7921</v>
      </c>
      <c r="K2500" s="141"/>
      <c r="L2500" s="135" t="str">
        <f t="shared" si="142"/>
        <v>Galidictis fasciata</v>
      </c>
      <c r="M2500" s="133">
        <f t="shared" si="144"/>
        <v>2.7403626894942437</v>
      </c>
      <c r="N2500" s="133">
        <v>550</v>
      </c>
      <c r="O2500" s="189" t="s">
        <v>8064</v>
      </c>
      <c r="P2500" s="108">
        <v>150</v>
      </c>
      <c r="Q2500" s="85" t="s">
        <v>6988</v>
      </c>
      <c r="AD2500" s="16"/>
      <c r="AE2500" s="16"/>
      <c r="AF2500" s="18"/>
    </row>
    <row r="2501" spans="1:32">
      <c r="A2501" s="213" t="s">
        <v>2594</v>
      </c>
      <c r="B2501" s="141" t="s">
        <v>2593</v>
      </c>
      <c r="C2501" s="118" t="s">
        <v>3817</v>
      </c>
      <c r="D2501" s="141"/>
      <c r="E2501" s="118"/>
      <c r="F2501" s="118"/>
      <c r="G2501" s="118" t="s">
        <v>3954</v>
      </c>
      <c r="H2501" s="118" t="s">
        <v>4180</v>
      </c>
      <c r="I2501" s="118" t="s">
        <v>8193</v>
      </c>
      <c r="J2501" s="118" t="s">
        <v>3136</v>
      </c>
      <c r="K2501" s="141"/>
      <c r="L2501" s="135" t="str">
        <f t="shared" ref="L2501:L2564" si="145">I2501&amp;" "&amp;J2501</f>
        <v>Galidictis grandidieri</v>
      </c>
      <c r="M2501" s="133">
        <f t="shared" si="144"/>
        <v>3.1461280356782382</v>
      </c>
      <c r="N2501" s="133">
        <v>1400</v>
      </c>
      <c r="O2501" s="189" t="s">
        <v>6641</v>
      </c>
      <c r="P2501" s="108">
        <v>150</v>
      </c>
      <c r="Q2501" s="85" t="s">
        <v>6640</v>
      </c>
      <c r="AD2501" s="16"/>
      <c r="AE2501" s="16"/>
      <c r="AF2501" s="18"/>
    </row>
    <row r="2502" spans="1:32" ht="25.5">
      <c r="A2502" s="213" t="s">
        <v>2594</v>
      </c>
      <c r="B2502" s="141" t="s">
        <v>2168</v>
      </c>
      <c r="C2502" s="118" t="s">
        <v>3817</v>
      </c>
      <c r="D2502" s="141"/>
      <c r="E2502" s="118"/>
      <c r="F2502" s="118"/>
      <c r="G2502" s="118" t="s">
        <v>3954</v>
      </c>
      <c r="H2502" s="118" t="s">
        <v>4180</v>
      </c>
      <c r="I2502" s="118" t="s">
        <v>7086</v>
      </c>
      <c r="J2502" s="118" t="s">
        <v>2997</v>
      </c>
      <c r="K2502" s="141"/>
      <c r="L2502" s="135" t="str">
        <f t="shared" si="145"/>
        <v>Herpestes semitorquatus</v>
      </c>
      <c r="M2502" s="133">
        <v>-999</v>
      </c>
      <c r="N2502" s="133">
        <v>-999</v>
      </c>
      <c r="O2502" s="179" t="s">
        <v>3356</v>
      </c>
      <c r="P2502" s="108">
        <v>-999</v>
      </c>
      <c r="Q2502" s="80"/>
      <c r="AD2502" s="16"/>
      <c r="AE2502" s="16"/>
      <c r="AF2502" s="18"/>
    </row>
    <row r="2503" spans="1:32">
      <c r="A2503" s="213" t="s">
        <v>2594</v>
      </c>
      <c r="B2503" s="141" t="s">
        <v>2600</v>
      </c>
      <c r="C2503" s="118" t="s">
        <v>3817</v>
      </c>
      <c r="D2503" s="141"/>
      <c r="E2503" s="118"/>
      <c r="F2503" s="118"/>
      <c r="G2503" s="118" t="s">
        <v>3954</v>
      </c>
      <c r="H2503" s="118" t="s">
        <v>4180</v>
      </c>
      <c r="I2503" s="118" t="s">
        <v>7086</v>
      </c>
      <c r="J2503" s="118" t="s">
        <v>4656</v>
      </c>
      <c r="K2503" s="141"/>
      <c r="L2503" s="135" t="str">
        <f t="shared" si="145"/>
        <v>Herpestes edwardsii</v>
      </c>
      <c r="M2503" s="133">
        <f t="shared" ref="M2503:M2532" si="146">LOG(N2503)</f>
        <v>3.1219535835452987</v>
      </c>
      <c r="N2503" s="133">
        <f>AVERAGE(1400, 1816, 1248.5, 1248.5, 908)</f>
        <v>1324.2</v>
      </c>
      <c r="O2503" s="179"/>
      <c r="P2503" s="108" t="s">
        <v>3095</v>
      </c>
      <c r="Q2503" s="80"/>
      <c r="AD2503" s="16"/>
      <c r="AE2503" s="16"/>
      <c r="AF2503" s="18"/>
    </row>
    <row r="2504" spans="1:32" ht="15.75">
      <c r="A2504" s="213" t="s">
        <v>2594</v>
      </c>
      <c r="B2504" s="141" t="s">
        <v>6002</v>
      </c>
      <c r="C2504" s="118" t="s">
        <v>3817</v>
      </c>
      <c r="D2504" s="141"/>
      <c r="E2504" s="118"/>
      <c r="F2504" s="118"/>
      <c r="G2504" s="118" t="s">
        <v>3954</v>
      </c>
      <c r="H2504" s="118" t="s">
        <v>4180</v>
      </c>
      <c r="I2504" s="118" t="s">
        <v>7086</v>
      </c>
      <c r="J2504" s="118" t="s">
        <v>4656</v>
      </c>
      <c r="K2504" s="141"/>
      <c r="L2504" s="135" t="str">
        <f t="shared" si="145"/>
        <v>Herpestes edwardsii</v>
      </c>
      <c r="M2504" s="133">
        <f t="shared" si="146"/>
        <v>3.1219535835452987</v>
      </c>
      <c r="N2504" s="133">
        <f>AVERAGE(1400, 1816, 1248.5, 1248.5, 908)</f>
        <v>1324.2</v>
      </c>
      <c r="O2504" s="179"/>
      <c r="P2504" s="108" t="s">
        <v>3095</v>
      </c>
      <c r="Q2504" s="80"/>
      <c r="R2504" s="89"/>
      <c r="AD2504" s="16"/>
      <c r="AE2504" s="16"/>
      <c r="AF2504" s="18"/>
    </row>
    <row r="2505" spans="1:32">
      <c r="A2505" s="213" t="s">
        <v>2594</v>
      </c>
      <c r="B2505" s="141" t="s">
        <v>2435</v>
      </c>
      <c r="C2505" s="118" t="s">
        <v>3817</v>
      </c>
      <c r="D2505" s="141"/>
      <c r="E2505" s="118"/>
      <c r="F2505" s="118"/>
      <c r="G2505" s="118" t="s">
        <v>3954</v>
      </c>
      <c r="H2505" s="118" t="s">
        <v>4180</v>
      </c>
      <c r="I2505" s="118" t="s">
        <v>7086</v>
      </c>
      <c r="J2505" s="118" t="s">
        <v>4656</v>
      </c>
      <c r="K2505" s="141"/>
      <c r="L2505" s="135" t="str">
        <f t="shared" si="145"/>
        <v>Herpestes edwardsii</v>
      </c>
      <c r="M2505" s="133">
        <f t="shared" si="146"/>
        <v>3.1219535835452987</v>
      </c>
      <c r="N2505" s="133">
        <f>AVERAGE(1400, 1816, 1248.5, 1248.5, 908)</f>
        <v>1324.2</v>
      </c>
      <c r="O2505" s="179"/>
      <c r="P2505" s="108" t="s">
        <v>3095</v>
      </c>
      <c r="Q2505" s="80"/>
      <c r="AD2505" s="16"/>
      <c r="AE2505" s="16"/>
      <c r="AF2505" s="18"/>
    </row>
    <row r="2506" spans="1:32" ht="24" customHeight="1">
      <c r="A2506" s="213" t="s">
        <v>2594</v>
      </c>
      <c r="B2506" s="141" t="s">
        <v>2435</v>
      </c>
      <c r="C2506" s="118" t="s">
        <v>3817</v>
      </c>
      <c r="D2506" s="141"/>
      <c r="E2506" s="118"/>
      <c r="F2506" s="118"/>
      <c r="G2506" s="118" t="s">
        <v>3954</v>
      </c>
      <c r="H2506" s="118" t="s">
        <v>4180</v>
      </c>
      <c r="I2506" s="118" t="s">
        <v>7086</v>
      </c>
      <c r="J2506" s="118" t="s">
        <v>2207</v>
      </c>
      <c r="K2506" s="141"/>
      <c r="L2506" s="135" t="str">
        <f t="shared" si="145"/>
        <v>Herpestes brachyurus</v>
      </c>
      <c r="M2506" s="133">
        <f t="shared" si="146"/>
        <v>3.1504790473586821</v>
      </c>
      <c r="N2506" s="133">
        <f>AVERAGE((6.375*454), (2.626*454), (1.6875*454), (1.75*454), (4*454), (2.25*454))</f>
        <v>1414.0964999999999</v>
      </c>
      <c r="O2506" s="179"/>
      <c r="P2506" s="108">
        <v>132</v>
      </c>
      <c r="Q2506" s="88"/>
      <c r="AD2506" s="16"/>
      <c r="AE2506" s="16"/>
      <c r="AF2506" s="18"/>
    </row>
    <row r="2507" spans="1:32">
      <c r="A2507" s="213" t="s">
        <v>2594</v>
      </c>
      <c r="B2507" s="141" t="s">
        <v>2435</v>
      </c>
      <c r="C2507" s="118" t="s">
        <v>3817</v>
      </c>
      <c r="D2507" s="141"/>
      <c r="E2507" s="118"/>
      <c r="F2507" s="118"/>
      <c r="G2507" s="118" t="s">
        <v>3954</v>
      </c>
      <c r="H2507" s="118" t="s">
        <v>4180</v>
      </c>
      <c r="I2507" s="118" t="s">
        <v>7086</v>
      </c>
      <c r="J2507" s="118" t="s">
        <v>4168</v>
      </c>
      <c r="K2507" s="141"/>
      <c r="L2507" s="135" t="str">
        <f t="shared" si="145"/>
        <v>Herpestes smithii</v>
      </c>
      <c r="M2507" s="133">
        <f t="shared" si="146"/>
        <v>3.2310871205848226</v>
      </c>
      <c r="N2507" s="133">
        <f>AVERAGE((4.75*454), (2.75*454))</f>
        <v>1702.5</v>
      </c>
      <c r="O2507" s="179"/>
      <c r="P2507" s="108">
        <v>132</v>
      </c>
      <c r="Q2507" s="80"/>
      <c r="T2507" s="80"/>
      <c r="AD2507" s="16"/>
      <c r="AE2507" s="16"/>
      <c r="AF2507" s="18"/>
    </row>
    <row r="2508" spans="1:32" ht="15" customHeight="1">
      <c r="A2508" s="213" t="s">
        <v>2594</v>
      </c>
      <c r="B2508" s="141" t="s">
        <v>2168</v>
      </c>
      <c r="C2508" s="118" t="s">
        <v>3817</v>
      </c>
      <c r="D2508" s="141"/>
      <c r="E2508" s="118"/>
      <c r="F2508" s="118"/>
      <c r="G2508" s="118" t="s">
        <v>3954</v>
      </c>
      <c r="H2508" s="118" t="s">
        <v>4180</v>
      </c>
      <c r="I2508" s="118" t="s">
        <v>7086</v>
      </c>
      <c r="J2508" s="118" t="s">
        <v>2207</v>
      </c>
      <c r="K2508" s="141"/>
      <c r="L2508" s="135" t="str">
        <f t="shared" si="145"/>
        <v>Herpestes brachyurus</v>
      </c>
      <c r="M2508" s="133">
        <f t="shared" si="146"/>
        <v>3.3010299956639813</v>
      </c>
      <c r="N2508" s="133">
        <v>2000</v>
      </c>
      <c r="O2508" s="179" t="s">
        <v>3356</v>
      </c>
      <c r="P2508" s="108">
        <v>119</v>
      </c>
      <c r="Q2508" s="80"/>
      <c r="AD2508" s="16"/>
      <c r="AE2508" s="16"/>
      <c r="AF2508" s="18"/>
    </row>
    <row r="2509" spans="1:32">
      <c r="A2509" s="213" t="s">
        <v>2594</v>
      </c>
      <c r="B2509" s="141" t="s">
        <v>6062</v>
      </c>
      <c r="C2509" s="118" t="s">
        <v>3817</v>
      </c>
      <c r="D2509" s="141"/>
      <c r="E2509" s="118"/>
      <c r="F2509" s="118"/>
      <c r="G2509" s="118" t="s">
        <v>3954</v>
      </c>
      <c r="H2509" s="121" t="s">
        <v>4180</v>
      </c>
      <c r="I2509" s="118" t="s">
        <v>7086</v>
      </c>
      <c r="J2509" s="118" t="s">
        <v>2207</v>
      </c>
      <c r="K2509" s="141"/>
      <c r="L2509" s="135" t="str">
        <f t="shared" si="145"/>
        <v>Herpestes brachyurus</v>
      </c>
      <c r="M2509" s="133">
        <f t="shared" si="146"/>
        <v>3.3010299956639813</v>
      </c>
      <c r="N2509" s="133">
        <v>2000</v>
      </c>
      <c r="O2509" s="179" t="s">
        <v>3356</v>
      </c>
      <c r="P2509" s="108">
        <v>119</v>
      </c>
      <c r="Q2509" s="80"/>
      <c r="AD2509" s="16"/>
      <c r="AE2509" s="16"/>
      <c r="AF2509" s="18"/>
    </row>
    <row r="2510" spans="1:32" s="62" customFormat="1" ht="15" customHeight="1">
      <c r="A2510" s="213" t="s">
        <v>2594</v>
      </c>
      <c r="B2510" s="141" t="s">
        <v>2435</v>
      </c>
      <c r="C2510" s="118" t="s">
        <v>3817</v>
      </c>
      <c r="D2510" s="141"/>
      <c r="E2510" s="118"/>
      <c r="F2510" s="118"/>
      <c r="G2510" s="118" t="s">
        <v>3954</v>
      </c>
      <c r="H2510" s="118" t="s">
        <v>4180</v>
      </c>
      <c r="I2510" s="118" t="s">
        <v>7086</v>
      </c>
      <c r="J2510" s="118" t="s">
        <v>8161</v>
      </c>
      <c r="K2510" s="141"/>
      <c r="L2510" s="135" t="str">
        <f t="shared" si="145"/>
        <v>Herpestes vitticollis</v>
      </c>
      <c r="M2510" s="133">
        <f t="shared" si="146"/>
        <v>3.3337494624819706</v>
      </c>
      <c r="N2510" s="133">
        <f>AVERAGE((454*3.75), (454*3.75), (454*6.75))</f>
        <v>2156.5</v>
      </c>
      <c r="O2510" s="179" t="s">
        <v>3356</v>
      </c>
      <c r="P2510" s="108" t="s">
        <v>2972</v>
      </c>
      <c r="Q2510" s="80"/>
      <c r="R2510" s="85"/>
      <c r="S2510" s="85"/>
      <c r="T2510" s="85"/>
      <c r="U2510" s="16"/>
      <c r="V2510" s="16"/>
      <c r="W2510" s="61"/>
      <c r="X2510" s="61"/>
      <c r="Y2510" s="61"/>
      <c r="Z2510" s="61"/>
      <c r="AA2510" s="61"/>
      <c r="AB2510" s="61"/>
      <c r="AC2510" s="61"/>
      <c r="AD2510" s="61"/>
      <c r="AE2510" s="61"/>
      <c r="AF2510" s="64"/>
    </row>
    <row r="2511" spans="1:32">
      <c r="A2511" s="213" t="s">
        <v>2594</v>
      </c>
      <c r="B2511" s="141" t="s">
        <v>2593</v>
      </c>
      <c r="C2511" s="118" t="s">
        <v>3817</v>
      </c>
      <c r="D2511" s="141"/>
      <c r="E2511" s="118"/>
      <c r="F2511" s="118"/>
      <c r="G2511" s="118" t="s">
        <v>3954</v>
      </c>
      <c r="H2511" s="118" t="s">
        <v>4180</v>
      </c>
      <c r="I2511" s="118" t="s">
        <v>8282</v>
      </c>
      <c r="J2511" s="118" t="s">
        <v>5552</v>
      </c>
      <c r="K2511" s="141"/>
      <c r="L2511" s="135" t="str">
        <f t="shared" si="145"/>
        <v>Mungotictis decemlineata</v>
      </c>
      <c r="M2511" s="133">
        <f t="shared" si="146"/>
        <v>2.8129133566428557</v>
      </c>
      <c r="N2511" s="133">
        <v>650</v>
      </c>
      <c r="O2511" s="179" t="s">
        <v>6736</v>
      </c>
      <c r="P2511" s="108">
        <v>68</v>
      </c>
      <c r="AD2511" s="16"/>
      <c r="AE2511" s="16"/>
      <c r="AF2511" s="18"/>
    </row>
    <row r="2512" spans="1:32" ht="15" customHeight="1">
      <c r="A2512" s="213" t="s">
        <v>2594</v>
      </c>
      <c r="B2512" s="141" t="s">
        <v>2593</v>
      </c>
      <c r="C2512" s="118" t="s">
        <v>3817</v>
      </c>
      <c r="D2512" s="141"/>
      <c r="E2512" s="118"/>
      <c r="F2512" s="118"/>
      <c r="G2512" s="118" t="s">
        <v>3954</v>
      </c>
      <c r="H2512" s="118" t="s">
        <v>4180</v>
      </c>
      <c r="I2512" s="118" t="s">
        <v>8282</v>
      </c>
      <c r="J2512" s="118" t="s">
        <v>5552</v>
      </c>
      <c r="K2512" s="141"/>
      <c r="L2512" s="135" t="str">
        <f t="shared" si="145"/>
        <v>Mungotictis decemlineata</v>
      </c>
      <c r="M2512" s="133">
        <f t="shared" si="146"/>
        <v>2.8129133566428557</v>
      </c>
      <c r="N2512" s="133">
        <v>650</v>
      </c>
      <c r="O2512" s="189" t="s">
        <v>6641</v>
      </c>
      <c r="P2512" s="108">
        <v>68</v>
      </c>
      <c r="Q2512" s="82" t="s">
        <v>6640</v>
      </c>
      <c r="AD2512" s="16"/>
      <c r="AE2512" s="16"/>
      <c r="AF2512" s="18"/>
    </row>
    <row r="2513" spans="1:32" ht="36" customHeight="1">
      <c r="A2513" s="213" t="s">
        <v>2594</v>
      </c>
      <c r="B2513" s="130" t="s">
        <v>2593</v>
      </c>
      <c r="C2513" s="118" t="s">
        <v>3817</v>
      </c>
      <c r="D2513" s="141"/>
      <c r="E2513" s="118"/>
      <c r="F2513" s="118"/>
      <c r="G2513" s="118" t="s">
        <v>3954</v>
      </c>
      <c r="H2513" s="118" t="s">
        <v>4180</v>
      </c>
      <c r="I2513" s="118" t="s">
        <v>3546</v>
      </c>
      <c r="J2513" s="118" t="s">
        <v>3569</v>
      </c>
      <c r="K2513" s="141"/>
      <c r="L2513" s="135" t="str">
        <f t="shared" si="145"/>
        <v>Salanoia concolor</v>
      </c>
      <c r="M2513" s="133">
        <f t="shared" si="146"/>
        <v>2.8129133566428557</v>
      </c>
      <c r="N2513" s="133">
        <v>650</v>
      </c>
      <c r="O2513" s="190" t="s">
        <v>8150</v>
      </c>
      <c r="P2513" s="108">
        <v>150</v>
      </c>
      <c r="Q2513" s="85" t="s">
        <v>6988</v>
      </c>
      <c r="AD2513" s="16"/>
      <c r="AE2513" s="16"/>
      <c r="AF2513" s="18"/>
    </row>
    <row r="2514" spans="1:32" ht="12" customHeight="1">
      <c r="A2514" s="213" t="s">
        <v>2594</v>
      </c>
      <c r="B2514" s="141" t="s">
        <v>5945</v>
      </c>
      <c r="C2514" s="118" t="s">
        <v>3817</v>
      </c>
      <c r="D2514" s="141"/>
      <c r="E2514" s="118"/>
      <c r="F2514" s="118"/>
      <c r="G2514" s="118" t="s">
        <v>3954</v>
      </c>
      <c r="H2514" s="118" t="s">
        <v>4257</v>
      </c>
      <c r="I2514" s="118" t="s">
        <v>6668</v>
      </c>
      <c r="J2514" s="118" t="s">
        <v>4485</v>
      </c>
      <c r="K2514" s="141"/>
      <c r="L2514" s="135" t="str">
        <f t="shared" si="145"/>
        <v>Amblonyx cinereus</v>
      </c>
      <c r="M2514" s="133">
        <f t="shared" si="146"/>
        <v>3</v>
      </c>
      <c r="N2514" s="133">
        <v>1000</v>
      </c>
      <c r="O2514" s="179" t="s">
        <v>3356</v>
      </c>
      <c r="P2514" s="108">
        <v>119</v>
      </c>
      <c r="Q2514" s="88"/>
      <c r="AD2514" s="16"/>
      <c r="AE2514" s="16"/>
      <c r="AF2514" s="18"/>
    </row>
    <row r="2515" spans="1:32">
      <c r="A2515" s="213" t="s">
        <v>2594</v>
      </c>
      <c r="B2515" s="141" t="s">
        <v>6062</v>
      </c>
      <c r="C2515" s="118" t="s">
        <v>3817</v>
      </c>
      <c r="D2515" s="141"/>
      <c r="E2515" s="118"/>
      <c r="F2515" s="118"/>
      <c r="G2515" s="118" t="s">
        <v>3954</v>
      </c>
      <c r="H2515" s="118" t="s">
        <v>4257</v>
      </c>
      <c r="I2515" s="118" t="s">
        <v>6668</v>
      </c>
      <c r="J2515" s="118" t="s">
        <v>4485</v>
      </c>
      <c r="K2515" s="141"/>
      <c r="L2515" s="135" t="str">
        <f t="shared" si="145"/>
        <v>Amblonyx cinereus</v>
      </c>
      <c r="M2515" s="133">
        <f t="shared" si="146"/>
        <v>3</v>
      </c>
      <c r="N2515" s="133">
        <v>1000</v>
      </c>
      <c r="O2515" s="179" t="s">
        <v>3356</v>
      </c>
      <c r="P2515" s="108">
        <v>119</v>
      </c>
      <c r="Q2515" s="80"/>
      <c r="AD2515" s="16"/>
      <c r="AE2515" s="16"/>
      <c r="AF2515" s="18"/>
    </row>
    <row r="2516" spans="1:32">
      <c r="A2516" s="213" t="s">
        <v>2594</v>
      </c>
      <c r="B2516" s="130" t="s">
        <v>4950</v>
      </c>
      <c r="C2516" s="118" t="s">
        <v>3817</v>
      </c>
      <c r="D2516" s="141"/>
      <c r="E2516" s="118"/>
      <c r="F2516" s="118"/>
      <c r="G2516" s="118" t="s">
        <v>3954</v>
      </c>
      <c r="H2516" s="118" t="s">
        <v>4257</v>
      </c>
      <c r="I2516" s="118" t="s">
        <v>6668</v>
      </c>
      <c r="J2516" s="118" t="s">
        <v>4485</v>
      </c>
      <c r="K2516" s="141"/>
      <c r="L2516" s="135" t="str">
        <f t="shared" si="145"/>
        <v>Amblonyx cinereus</v>
      </c>
      <c r="M2516" s="133">
        <f t="shared" si="146"/>
        <v>3</v>
      </c>
      <c r="N2516" s="133">
        <v>1000</v>
      </c>
      <c r="O2516" s="179" t="s">
        <v>3356</v>
      </c>
      <c r="P2516" s="108">
        <v>119</v>
      </c>
      <c r="Q2516" s="80"/>
    </row>
    <row r="2517" spans="1:32" ht="25.5">
      <c r="A2517" s="217" t="s">
        <v>2594</v>
      </c>
      <c r="B2517" s="130" t="s">
        <v>2435</v>
      </c>
      <c r="C2517" s="131" t="s">
        <v>3817</v>
      </c>
      <c r="D2517" s="130"/>
      <c r="E2517" s="131"/>
      <c r="F2517" s="131"/>
      <c r="G2517" s="131" t="s">
        <v>3954</v>
      </c>
      <c r="H2517" s="131" t="s">
        <v>4257</v>
      </c>
      <c r="I2517" s="131" t="s">
        <v>4480</v>
      </c>
      <c r="J2517" s="131" t="s">
        <v>3795</v>
      </c>
      <c r="K2517" s="130"/>
      <c r="L2517" s="135" t="str">
        <f t="shared" si="145"/>
        <v>Lutra lutra</v>
      </c>
      <c r="M2517" s="133">
        <f t="shared" si="146"/>
        <v>3.6390442500143845</v>
      </c>
      <c r="N2517" s="132">
        <f>AVERAGE((454*10.75), (454*11.75), (454*7.375), (454*8.5))</f>
        <v>4355.5625</v>
      </c>
      <c r="O2517" s="179" t="s">
        <v>6191</v>
      </c>
      <c r="P2517" s="117" t="s">
        <v>2972</v>
      </c>
      <c r="Q2517" s="78" t="s">
        <v>6640</v>
      </c>
    </row>
    <row r="2518" spans="1:32" ht="25.5">
      <c r="A2518" s="213" t="s">
        <v>2594</v>
      </c>
      <c r="B2518" s="141" t="s">
        <v>2168</v>
      </c>
      <c r="C2518" s="118" t="s">
        <v>3817</v>
      </c>
      <c r="D2518" s="141"/>
      <c r="E2518" s="118"/>
      <c r="F2518" s="118"/>
      <c r="G2518" s="118" t="s">
        <v>3954</v>
      </c>
      <c r="H2518" s="118" t="s">
        <v>4257</v>
      </c>
      <c r="I2518" s="118" t="s">
        <v>4480</v>
      </c>
      <c r="J2518" s="118" t="s">
        <v>6670</v>
      </c>
      <c r="K2518" s="141"/>
      <c r="L2518" s="135" t="str">
        <f t="shared" si="145"/>
        <v>Lutra sumatrana</v>
      </c>
      <c r="M2518" s="133">
        <f t="shared" si="146"/>
        <v>3.7403626894942437</v>
      </c>
      <c r="N2518" s="133">
        <v>5500</v>
      </c>
      <c r="O2518" s="179" t="s">
        <v>3356</v>
      </c>
      <c r="P2518" s="118">
        <v>119</v>
      </c>
      <c r="Q2518" s="80"/>
    </row>
    <row r="2519" spans="1:32" ht="15" customHeight="1">
      <c r="A2519" s="213" t="s">
        <v>2594</v>
      </c>
      <c r="B2519" s="130" t="s">
        <v>2600</v>
      </c>
      <c r="C2519" s="118" t="s">
        <v>3817</v>
      </c>
      <c r="D2519" s="141"/>
      <c r="E2519" s="118"/>
      <c r="F2519" s="118"/>
      <c r="G2519" s="118" t="s">
        <v>3954</v>
      </c>
      <c r="H2519" s="118" t="s">
        <v>4257</v>
      </c>
      <c r="I2519" s="118" t="s">
        <v>5331</v>
      </c>
      <c r="J2519" s="118" t="s">
        <v>5370</v>
      </c>
      <c r="K2519" s="141"/>
      <c r="L2519" s="135" t="str">
        <f t="shared" si="145"/>
        <v>Lutrogale perspicillata</v>
      </c>
      <c r="M2519" s="133">
        <f t="shared" si="146"/>
        <v>3.9542425094393248</v>
      </c>
      <c r="N2519" s="133">
        <v>9000</v>
      </c>
      <c r="O2519" s="179" t="s">
        <v>6736</v>
      </c>
      <c r="P2519" s="108" t="s">
        <v>5900</v>
      </c>
      <c r="Q2519" s="80"/>
    </row>
    <row r="2520" spans="1:32">
      <c r="A2520" s="213" t="s">
        <v>2594</v>
      </c>
      <c r="B2520" s="141" t="s">
        <v>6002</v>
      </c>
      <c r="C2520" s="118" t="s">
        <v>3817</v>
      </c>
      <c r="D2520" s="141"/>
      <c r="E2520" s="118"/>
      <c r="F2520" s="118"/>
      <c r="G2520" s="118" t="s">
        <v>3954</v>
      </c>
      <c r="H2520" s="118" t="s">
        <v>4257</v>
      </c>
      <c r="I2520" s="118" t="s">
        <v>3828</v>
      </c>
      <c r="J2520" s="118" t="s">
        <v>3362</v>
      </c>
      <c r="K2520" s="141"/>
      <c r="L2520" s="135" t="str">
        <f t="shared" si="145"/>
        <v>Martes melampus</v>
      </c>
      <c r="M2520" s="133">
        <f t="shared" si="146"/>
        <v>3</v>
      </c>
      <c r="N2520" s="133">
        <v>1000</v>
      </c>
      <c r="O2520" s="179" t="s">
        <v>3356</v>
      </c>
      <c r="P2520" s="108">
        <v>141</v>
      </c>
      <c r="Q2520" s="80"/>
    </row>
    <row r="2521" spans="1:32">
      <c r="A2521" s="213" t="s">
        <v>2594</v>
      </c>
      <c r="B2521" s="130" t="s">
        <v>2109</v>
      </c>
      <c r="C2521" s="118" t="s">
        <v>3817</v>
      </c>
      <c r="D2521" s="141"/>
      <c r="E2521" s="118"/>
      <c r="F2521" s="118"/>
      <c r="G2521" s="118" t="s">
        <v>3954</v>
      </c>
      <c r="H2521" s="118" t="s">
        <v>4257</v>
      </c>
      <c r="I2521" s="118" t="s">
        <v>3828</v>
      </c>
      <c r="J2521" s="118" t="s">
        <v>5371</v>
      </c>
      <c r="K2521" s="141"/>
      <c r="L2521" s="135" t="str">
        <f t="shared" si="145"/>
        <v>Martes flavigula</v>
      </c>
      <c r="M2521" s="133">
        <f t="shared" si="146"/>
        <v>3.0737183503461227</v>
      </c>
      <c r="N2521" s="133">
        <f>AVERAGE(1000, 1370)</f>
        <v>1185</v>
      </c>
      <c r="O2521" s="179"/>
      <c r="P2521" s="108">
        <v>118</v>
      </c>
      <c r="Q2521" s="80"/>
    </row>
    <row r="2522" spans="1:32">
      <c r="A2522" s="213" t="s">
        <v>2594</v>
      </c>
      <c r="B2522" s="141" t="s">
        <v>1426</v>
      </c>
      <c r="C2522" s="118" t="s">
        <v>3817</v>
      </c>
      <c r="D2522" s="141"/>
      <c r="E2522" s="118"/>
      <c r="F2522" s="118"/>
      <c r="G2522" s="118" t="s">
        <v>3954</v>
      </c>
      <c r="H2522" s="118" t="s">
        <v>4257</v>
      </c>
      <c r="I2522" s="118" t="s">
        <v>3828</v>
      </c>
      <c r="J2522" s="118" t="s">
        <v>6693</v>
      </c>
      <c r="K2522" s="141"/>
      <c r="L2522" s="135" t="str">
        <f t="shared" si="145"/>
        <v>Martes foina</v>
      </c>
      <c r="M2522" s="133">
        <f t="shared" si="146"/>
        <v>3.1877462697804595</v>
      </c>
      <c r="N2522" s="133">
        <f>AVERAGE(1300, 2300, 850, 1440, 1814)</f>
        <v>1540.8</v>
      </c>
      <c r="O2522" s="179"/>
      <c r="P2522" s="108" t="s">
        <v>1186</v>
      </c>
      <c r="Q2522" s="80"/>
    </row>
    <row r="2523" spans="1:32" ht="12" customHeight="1">
      <c r="A2523" s="213" t="s">
        <v>2594</v>
      </c>
      <c r="B2523" s="141" t="s">
        <v>2169</v>
      </c>
      <c r="C2523" s="121" t="s">
        <v>3817</v>
      </c>
      <c r="D2523" s="156"/>
      <c r="E2523" s="121"/>
      <c r="F2523" s="121"/>
      <c r="G2523" s="121" t="s">
        <v>3954</v>
      </c>
      <c r="H2523" s="118" t="s">
        <v>4257</v>
      </c>
      <c r="I2523" s="121" t="s">
        <v>3447</v>
      </c>
      <c r="J2523" s="121" t="s">
        <v>6754</v>
      </c>
      <c r="K2523" s="156"/>
      <c r="L2523" s="135" t="str">
        <f t="shared" si="145"/>
        <v>Melogale moschata</v>
      </c>
      <c r="M2523" s="133">
        <f t="shared" si="146"/>
        <v>2.8273692730538253</v>
      </c>
      <c r="N2523" s="133">
        <f>AVERAGE(563, 781)</f>
        <v>672</v>
      </c>
      <c r="O2523" s="179" t="s">
        <v>3356</v>
      </c>
      <c r="P2523" s="118">
        <v>120</v>
      </c>
      <c r="Q2523" s="88"/>
    </row>
    <row r="2524" spans="1:32">
      <c r="A2524" s="213" t="s">
        <v>2594</v>
      </c>
      <c r="B2524" s="130"/>
      <c r="C2524" s="118" t="s">
        <v>3817</v>
      </c>
      <c r="D2524" s="141"/>
      <c r="E2524" s="118"/>
      <c r="F2524" s="118"/>
      <c r="G2524" s="118" t="s">
        <v>3954</v>
      </c>
      <c r="H2524" s="118" t="s">
        <v>4257</v>
      </c>
      <c r="I2524" s="118" t="s">
        <v>3447</v>
      </c>
      <c r="J2524" s="118" t="s">
        <v>4289</v>
      </c>
      <c r="K2524" s="141"/>
      <c r="L2524" s="135" t="str">
        <f t="shared" si="145"/>
        <v>Melogale everetti</v>
      </c>
      <c r="M2524" s="133">
        <f t="shared" si="146"/>
        <v>3.1760912590556813</v>
      </c>
      <c r="N2524" s="133">
        <v>1500</v>
      </c>
      <c r="O2524" s="179" t="s">
        <v>6641</v>
      </c>
      <c r="P2524" s="108">
        <v>203</v>
      </c>
      <c r="Q2524" s="80" t="s">
        <v>6988</v>
      </c>
    </row>
    <row r="2525" spans="1:32">
      <c r="A2525" s="213" t="s">
        <v>2594</v>
      </c>
      <c r="B2525" s="130" t="s">
        <v>2109</v>
      </c>
      <c r="C2525" s="118" t="s">
        <v>3817</v>
      </c>
      <c r="D2525" s="141"/>
      <c r="E2525" s="118"/>
      <c r="F2525" s="118"/>
      <c r="G2525" s="118" t="s">
        <v>3954</v>
      </c>
      <c r="H2525" s="121" t="s">
        <v>4257</v>
      </c>
      <c r="I2525" s="118" t="s">
        <v>3447</v>
      </c>
      <c r="J2525" s="118" t="s">
        <v>3403</v>
      </c>
      <c r="K2525" s="141"/>
      <c r="L2525" s="135" t="str">
        <f t="shared" si="145"/>
        <v>Melogale personata</v>
      </c>
      <c r="M2525" s="133">
        <f t="shared" si="146"/>
        <v>3.2310871205848226</v>
      </c>
      <c r="N2525" s="133">
        <f>454*3.75</f>
        <v>1702.5</v>
      </c>
      <c r="O2525" s="179" t="s">
        <v>3356</v>
      </c>
      <c r="P2525" s="108">
        <v>131</v>
      </c>
      <c r="Q2525" s="80"/>
    </row>
    <row r="2526" spans="1:32">
      <c r="A2526" s="213" t="s">
        <v>2594</v>
      </c>
      <c r="B2526" s="130"/>
      <c r="C2526" s="118" t="s">
        <v>3817</v>
      </c>
      <c r="D2526" s="141"/>
      <c r="E2526" s="118"/>
      <c r="F2526" s="118"/>
      <c r="G2526" s="118" t="s">
        <v>3954</v>
      </c>
      <c r="H2526" s="118" t="s">
        <v>4257</v>
      </c>
      <c r="I2526" s="118" t="s">
        <v>3447</v>
      </c>
      <c r="J2526" s="118" t="s">
        <v>3805</v>
      </c>
      <c r="K2526" s="141"/>
      <c r="L2526" s="135" t="str">
        <f t="shared" si="145"/>
        <v>Melogale orientalis</v>
      </c>
      <c r="M2526" s="133">
        <f t="shared" si="146"/>
        <v>3.3010299956639813</v>
      </c>
      <c r="N2526" s="133">
        <v>2000</v>
      </c>
      <c r="O2526" s="179" t="s">
        <v>3356</v>
      </c>
      <c r="P2526" s="108">
        <v>141</v>
      </c>
      <c r="Q2526" s="80"/>
    </row>
    <row r="2527" spans="1:32" ht="15" customHeight="1">
      <c r="A2527" s="213" t="s">
        <v>2594</v>
      </c>
      <c r="B2527" s="141" t="s">
        <v>2600</v>
      </c>
      <c r="C2527" s="118" t="s">
        <v>3817</v>
      </c>
      <c r="D2527" s="141"/>
      <c r="E2527" s="118"/>
      <c r="F2527" s="118"/>
      <c r="G2527" s="118" t="s">
        <v>3954</v>
      </c>
      <c r="H2527" s="118" t="s">
        <v>4257</v>
      </c>
      <c r="I2527" s="118" t="s">
        <v>4479</v>
      </c>
      <c r="J2527" s="118" t="s">
        <v>6691</v>
      </c>
      <c r="K2527" s="141"/>
      <c r="L2527" s="135" t="str">
        <f t="shared" si="145"/>
        <v>Mustela nudipes</v>
      </c>
      <c r="M2527" s="133">
        <f t="shared" si="146"/>
        <v>2.6989700043360187</v>
      </c>
      <c r="N2527" s="133">
        <v>500</v>
      </c>
      <c r="O2527" s="179" t="s">
        <v>3356</v>
      </c>
      <c r="P2527" s="118">
        <v>119</v>
      </c>
      <c r="Q2527" s="80"/>
    </row>
    <row r="2528" spans="1:32" ht="63.75">
      <c r="A2528" s="213" t="s">
        <v>2594</v>
      </c>
      <c r="B2528" s="130" t="s">
        <v>7533</v>
      </c>
      <c r="C2528" s="118" t="s">
        <v>3817</v>
      </c>
      <c r="D2528" s="141"/>
      <c r="E2528" s="118"/>
      <c r="F2528" s="118"/>
      <c r="G2528" s="118" t="s">
        <v>3954</v>
      </c>
      <c r="H2528" s="118" t="s">
        <v>4257</v>
      </c>
      <c r="I2528" s="118" t="s">
        <v>4479</v>
      </c>
      <c r="J2528" s="118" t="s">
        <v>6690</v>
      </c>
      <c r="K2528" s="141"/>
      <c r="L2528" s="135" t="str">
        <f t="shared" si="145"/>
        <v>Mustela lutreolina</v>
      </c>
      <c r="M2528" s="133">
        <f t="shared" si="146"/>
        <v>2.8491736330988267</v>
      </c>
      <c r="N2528" s="133">
        <f>AVERAGE(542.5, 870.7)</f>
        <v>706.6</v>
      </c>
      <c r="O2528" s="179" t="s">
        <v>6641</v>
      </c>
      <c r="P2528" s="108">
        <v>82</v>
      </c>
      <c r="Q2528" s="79" t="s">
        <v>6640</v>
      </c>
      <c r="R2528" s="79" t="s">
        <v>6582</v>
      </c>
    </row>
    <row r="2529" spans="1:18">
      <c r="A2529" s="213" t="s">
        <v>2594</v>
      </c>
      <c r="B2529" s="141" t="s">
        <v>6062</v>
      </c>
      <c r="C2529" s="118" t="s">
        <v>3817</v>
      </c>
      <c r="D2529" s="141"/>
      <c r="E2529" s="118"/>
      <c r="F2529" s="118"/>
      <c r="G2529" s="118" t="s">
        <v>3954</v>
      </c>
      <c r="H2529" s="118" t="s">
        <v>4257</v>
      </c>
      <c r="I2529" s="118" t="s">
        <v>3404</v>
      </c>
      <c r="J2529" s="118" t="s">
        <v>6692</v>
      </c>
      <c r="K2529" s="141"/>
      <c r="L2529" s="135" t="str">
        <f t="shared" si="145"/>
        <v>Mydaus marchei</v>
      </c>
      <c r="M2529" s="133">
        <f t="shared" si="146"/>
        <v>3.1505108329079676</v>
      </c>
      <c r="N2529" s="133">
        <f>AVERAGE(843.5, 909.1, 2490)</f>
        <v>1414.2</v>
      </c>
      <c r="O2529" s="179" t="s">
        <v>6641</v>
      </c>
      <c r="P2529" s="108">
        <v>240</v>
      </c>
      <c r="Q2529" s="80" t="s">
        <v>6988</v>
      </c>
    </row>
    <row r="2530" spans="1:18">
      <c r="A2530" s="213" t="s">
        <v>2594</v>
      </c>
      <c r="B2530" s="141" t="s">
        <v>2600</v>
      </c>
      <c r="C2530" s="118" t="s">
        <v>3817</v>
      </c>
      <c r="D2530" s="141"/>
      <c r="E2530" s="118"/>
      <c r="F2530" s="118"/>
      <c r="G2530" s="118" t="s">
        <v>3954</v>
      </c>
      <c r="H2530" s="118" t="s">
        <v>4257</v>
      </c>
      <c r="I2530" s="118" t="s">
        <v>3404</v>
      </c>
      <c r="J2530" s="118" t="s">
        <v>3405</v>
      </c>
      <c r="K2530" s="141"/>
      <c r="L2530" s="135" t="str">
        <f t="shared" si="145"/>
        <v>Mydaus javanensis</v>
      </c>
      <c r="M2530" s="133">
        <f t="shared" si="146"/>
        <v>3.3979400086720375</v>
      </c>
      <c r="N2530" s="133">
        <f>AVERAGE(1400, 3600)</f>
        <v>2500</v>
      </c>
      <c r="O2530" s="179" t="s">
        <v>3356</v>
      </c>
      <c r="P2530" s="108">
        <v>138</v>
      </c>
      <c r="Q2530" s="80"/>
    </row>
    <row r="2531" spans="1:18" ht="25.5">
      <c r="A2531" s="213" t="s">
        <v>2594</v>
      </c>
      <c r="B2531" s="141" t="s">
        <v>7701</v>
      </c>
      <c r="C2531" s="118" t="s">
        <v>3817</v>
      </c>
      <c r="D2531" s="141"/>
      <c r="E2531" s="118"/>
      <c r="F2531" s="118"/>
      <c r="G2531" s="118" t="s">
        <v>3954</v>
      </c>
      <c r="H2531" s="118" t="s">
        <v>4468</v>
      </c>
      <c r="I2531" s="118" t="s">
        <v>5709</v>
      </c>
      <c r="J2531" s="118" t="s">
        <v>5710</v>
      </c>
      <c r="K2531" s="141"/>
      <c r="L2531" s="135" t="str">
        <f t="shared" si="145"/>
        <v>Phocarctos hookeri</v>
      </c>
      <c r="M2531" s="133">
        <f t="shared" si="146"/>
        <v>5.0503797562614574</v>
      </c>
      <c r="N2531" s="133">
        <v>112300</v>
      </c>
      <c r="O2531" s="179" t="s">
        <v>3356</v>
      </c>
      <c r="P2531" s="108">
        <v>204</v>
      </c>
      <c r="Q2531" s="80"/>
    </row>
    <row r="2532" spans="1:18" ht="25.5">
      <c r="A2532" s="213" t="s">
        <v>2594</v>
      </c>
      <c r="B2532" s="141" t="s">
        <v>2748</v>
      </c>
      <c r="C2532" s="118" t="s">
        <v>3817</v>
      </c>
      <c r="D2532" s="141"/>
      <c r="E2532" s="118"/>
      <c r="F2532" s="118"/>
      <c r="G2532" s="118" t="s">
        <v>3954</v>
      </c>
      <c r="H2532" s="118" t="s">
        <v>4613</v>
      </c>
      <c r="I2532" s="118" t="s">
        <v>7918</v>
      </c>
      <c r="J2532" s="118" t="s">
        <v>5163</v>
      </c>
      <c r="K2532" s="141"/>
      <c r="L2532" s="135" t="str">
        <f t="shared" si="145"/>
        <v>Monachus schauinslandi</v>
      </c>
      <c r="M2532" s="133">
        <f t="shared" si="146"/>
        <v>5.3483048630481607</v>
      </c>
      <c r="N2532" s="133">
        <f>AVERAGE(173000, 273000)</f>
        <v>223000</v>
      </c>
      <c r="O2532" s="179" t="s">
        <v>7007</v>
      </c>
      <c r="P2532" s="108">
        <v>137</v>
      </c>
      <c r="Q2532" s="80" t="s">
        <v>6640</v>
      </c>
    </row>
    <row r="2533" spans="1:18" ht="25.5">
      <c r="A2533" s="213" t="s">
        <v>2594</v>
      </c>
      <c r="B2533" s="144" t="s">
        <v>7823</v>
      </c>
      <c r="C2533" s="118" t="s">
        <v>3817</v>
      </c>
      <c r="D2533" s="141"/>
      <c r="E2533" s="118"/>
      <c r="F2533" s="118"/>
      <c r="G2533" s="118" t="s">
        <v>3954</v>
      </c>
      <c r="H2533" s="118" t="s">
        <v>2127</v>
      </c>
      <c r="I2533" s="118" t="s">
        <v>7218</v>
      </c>
      <c r="J2533" s="118" t="s">
        <v>8271</v>
      </c>
      <c r="K2533" s="141"/>
      <c r="L2533" s="135" t="str">
        <f t="shared" si="145"/>
        <v>Procyon insularis</v>
      </c>
      <c r="M2533" s="133">
        <v>-999</v>
      </c>
      <c r="N2533" s="133">
        <v>-999</v>
      </c>
      <c r="O2533" s="179" t="s">
        <v>7119</v>
      </c>
      <c r="P2533" s="108">
        <v>-999</v>
      </c>
      <c r="Q2533" s="80" t="s">
        <v>6640</v>
      </c>
    </row>
    <row r="2534" spans="1:18">
      <c r="A2534" s="213" t="s">
        <v>2594</v>
      </c>
      <c r="B2534" s="130" t="s">
        <v>1532</v>
      </c>
      <c r="C2534" s="118" t="s">
        <v>3817</v>
      </c>
      <c r="D2534" s="141"/>
      <c r="E2534" s="118"/>
      <c r="F2534" s="118"/>
      <c r="G2534" s="118" t="s">
        <v>3954</v>
      </c>
      <c r="H2534" s="118" t="s">
        <v>2127</v>
      </c>
      <c r="I2534" s="118" t="s">
        <v>7218</v>
      </c>
      <c r="J2534" s="118" t="s">
        <v>8266</v>
      </c>
      <c r="K2534" s="141"/>
      <c r="L2534" s="135" t="str">
        <f t="shared" si="145"/>
        <v>Procyon maynardi</v>
      </c>
      <c r="M2534" s="133">
        <v>-999</v>
      </c>
      <c r="N2534" s="133">
        <v>-999</v>
      </c>
      <c r="O2534" s="179" t="s">
        <v>3356</v>
      </c>
      <c r="P2534" s="108">
        <v>-999</v>
      </c>
      <c r="Q2534" s="80"/>
    </row>
    <row r="2535" spans="1:18" ht="25.5">
      <c r="A2535" s="213" t="s">
        <v>2594</v>
      </c>
      <c r="B2535" s="141" t="s">
        <v>7390</v>
      </c>
      <c r="C2535" s="118" t="s">
        <v>3817</v>
      </c>
      <c r="D2535" s="141"/>
      <c r="E2535" s="118"/>
      <c r="F2535" s="118"/>
      <c r="G2535" s="118" t="s">
        <v>3954</v>
      </c>
      <c r="H2535" s="118" t="s">
        <v>2127</v>
      </c>
      <c r="I2535" s="118" t="s">
        <v>7218</v>
      </c>
      <c r="J2535" s="118" t="s">
        <v>3078</v>
      </c>
      <c r="K2535" s="141"/>
      <c r="L2535" s="135" t="str">
        <f t="shared" si="145"/>
        <v>Procyon minor</v>
      </c>
      <c r="M2535" s="133">
        <v>-999</v>
      </c>
      <c r="N2535" s="133">
        <v>-999</v>
      </c>
      <c r="O2535" s="179" t="s">
        <v>3356</v>
      </c>
      <c r="P2535" s="108">
        <v>-999</v>
      </c>
      <c r="Q2535" s="80"/>
    </row>
    <row r="2536" spans="1:18">
      <c r="A2536" s="213" t="s">
        <v>2594</v>
      </c>
      <c r="B2536" s="130" t="s">
        <v>2109</v>
      </c>
      <c r="C2536" s="118" t="s">
        <v>3817</v>
      </c>
      <c r="D2536" s="141"/>
      <c r="E2536" s="118"/>
      <c r="F2536" s="118"/>
      <c r="G2536" s="118" t="s">
        <v>3954</v>
      </c>
      <c r="H2536" s="118" t="s">
        <v>7434</v>
      </c>
      <c r="I2536" s="118" t="s">
        <v>5346</v>
      </c>
      <c r="J2536" s="118" t="s">
        <v>5347</v>
      </c>
      <c r="K2536" s="141"/>
      <c r="L2536" s="135" t="str">
        <f t="shared" si="145"/>
        <v>Helarctos malayanus</v>
      </c>
      <c r="M2536" s="133">
        <f t="shared" ref="M2536:M2560" si="147">LOG(N2536)</f>
        <v>4.6720978579357171</v>
      </c>
      <c r="N2536" s="133">
        <f>AVERAGE(48000, 63000, 30000)</f>
        <v>47000</v>
      </c>
      <c r="O2536" s="182"/>
      <c r="P2536" s="111" t="s">
        <v>1529</v>
      </c>
      <c r="Q2536" s="80"/>
    </row>
    <row r="2537" spans="1:18" ht="15">
      <c r="A2537" s="213" t="s">
        <v>2594</v>
      </c>
      <c r="B2537" s="130" t="s">
        <v>2435</v>
      </c>
      <c r="C2537" s="118" t="s">
        <v>3817</v>
      </c>
      <c r="D2537" s="141"/>
      <c r="E2537" s="118"/>
      <c r="F2537" s="118"/>
      <c r="G2537" s="118" t="s">
        <v>3954</v>
      </c>
      <c r="H2537" s="118" t="s">
        <v>7434</v>
      </c>
      <c r="I2537" s="118" t="s">
        <v>5348</v>
      </c>
      <c r="J2537" s="118" t="s">
        <v>4470</v>
      </c>
      <c r="K2537" s="141"/>
      <c r="L2537" s="135" t="str">
        <f t="shared" si="145"/>
        <v>Melursus ursinus</v>
      </c>
      <c r="M2537" s="133">
        <f t="shared" si="147"/>
        <v>4.9358094538099326</v>
      </c>
      <c r="N2537" s="133">
        <f>AVERAGE((454*150), (454*230))</f>
        <v>86260</v>
      </c>
      <c r="O2537" s="179" t="s">
        <v>7081</v>
      </c>
      <c r="P2537" s="108">
        <v>132</v>
      </c>
      <c r="Q2537" s="88" t="s">
        <v>6988</v>
      </c>
    </row>
    <row r="2538" spans="1:18">
      <c r="A2538" s="213" t="s">
        <v>2594</v>
      </c>
      <c r="B2538" s="130" t="s">
        <v>2600</v>
      </c>
      <c r="C2538" s="118" t="s">
        <v>3817</v>
      </c>
      <c r="D2538" s="141"/>
      <c r="E2538" s="118"/>
      <c r="F2538" s="118"/>
      <c r="G2538" s="118" t="s">
        <v>3954</v>
      </c>
      <c r="H2538" s="118" t="s">
        <v>4908</v>
      </c>
      <c r="I2538" s="118" t="s">
        <v>7976</v>
      </c>
      <c r="J2538" s="118" t="s">
        <v>7977</v>
      </c>
      <c r="K2538" s="141"/>
      <c r="L2538" s="135" t="str">
        <f t="shared" si="145"/>
        <v>Arctictis binturong</v>
      </c>
      <c r="M2538" s="133">
        <f t="shared" si="147"/>
        <v>3.8293037728310249</v>
      </c>
      <c r="N2538" s="133">
        <f>AVERAGE(6000, 7500)</f>
        <v>6750</v>
      </c>
      <c r="O2538" s="179"/>
      <c r="P2538" s="108">
        <v>118</v>
      </c>
      <c r="Q2538" s="80"/>
    </row>
    <row r="2539" spans="1:18" ht="12" customHeight="1">
      <c r="A2539" s="213" t="s">
        <v>2594</v>
      </c>
      <c r="B2539" s="130" t="s">
        <v>2600</v>
      </c>
      <c r="C2539" s="121" t="s">
        <v>3817</v>
      </c>
      <c r="D2539" s="156"/>
      <c r="E2539" s="121"/>
      <c r="F2539" s="121"/>
      <c r="G2539" s="121" t="s">
        <v>3954</v>
      </c>
      <c r="H2539" s="121" t="s">
        <v>4908</v>
      </c>
      <c r="I2539" s="118" t="s">
        <v>5605</v>
      </c>
      <c r="J2539" s="118" t="s">
        <v>3788</v>
      </c>
      <c r="K2539" s="141"/>
      <c r="L2539" s="135" t="str">
        <f t="shared" si="145"/>
        <v>Arctogalidia trivirgata</v>
      </c>
      <c r="M2539" s="133">
        <f t="shared" si="147"/>
        <v>3.3521825181113627</v>
      </c>
      <c r="N2539" s="133">
        <v>2250</v>
      </c>
      <c r="O2539" s="179" t="s">
        <v>6736</v>
      </c>
      <c r="P2539" s="108" t="s">
        <v>5900</v>
      </c>
      <c r="Q2539" s="88"/>
      <c r="R2539" s="89"/>
    </row>
    <row r="2540" spans="1:18">
      <c r="A2540" s="213" t="s">
        <v>2594</v>
      </c>
      <c r="B2540" s="141" t="s">
        <v>2593</v>
      </c>
      <c r="C2540" s="118" t="s">
        <v>3817</v>
      </c>
      <c r="D2540" s="141"/>
      <c r="E2540" s="118"/>
      <c r="F2540" s="118"/>
      <c r="G2540" s="118" t="s">
        <v>3954</v>
      </c>
      <c r="H2540" s="118" t="s">
        <v>4908</v>
      </c>
      <c r="I2540" s="118" t="s">
        <v>5608</v>
      </c>
      <c r="J2540" s="118" t="s">
        <v>5609</v>
      </c>
      <c r="K2540" s="141"/>
      <c r="L2540" s="135" t="str">
        <f t="shared" si="145"/>
        <v>Cryptoprocta ferox</v>
      </c>
      <c r="M2540" s="133">
        <f t="shared" si="147"/>
        <v>3.9777236052888476</v>
      </c>
      <c r="N2540" s="133">
        <v>9500</v>
      </c>
      <c r="O2540" s="183" t="s">
        <v>6920</v>
      </c>
      <c r="P2540" s="108">
        <v>68</v>
      </c>
      <c r="Q2540" s="85" t="s">
        <v>6640</v>
      </c>
    </row>
    <row r="2541" spans="1:18" ht="12" customHeight="1">
      <c r="A2541" s="213" t="s">
        <v>2594</v>
      </c>
      <c r="B2541" s="141" t="s">
        <v>5996</v>
      </c>
      <c r="C2541" s="118" t="s">
        <v>3817</v>
      </c>
      <c r="D2541" s="141"/>
      <c r="E2541" s="118"/>
      <c r="F2541" s="118"/>
      <c r="G2541" s="118" t="s">
        <v>3954</v>
      </c>
      <c r="H2541" s="118" t="s">
        <v>4908</v>
      </c>
      <c r="I2541" s="118" t="s">
        <v>6678</v>
      </c>
      <c r="J2541" s="118" t="s">
        <v>5734</v>
      </c>
      <c r="K2541" s="141"/>
      <c r="L2541" s="135" t="str">
        <f t="shared" si="145"/>
        <v>Cynogale bennettii</v>
      </c>
      <c r="M2541" s="133">
        <f t="shared" si="147"/>
        <v>3.6532125137753435</v>
      </c>
      <c r="N2541" s="133">
        <f>AVERAGE(3500, 5500)</f>
        <v>4500</v>
      </c>
      <c r="O2541" s="179" t="s">
        <v>3356</v>
      </c>
      <c r="P2541" s="108">
        <v>119</v>
      </c>
      <c r="Q2541" s="88"/>
    </row>
    <row r="2542" spans="1:18" ht="38.25">
      <c r="A2542" s="213" t="s">
        <v>2594</v>
      </c>
      <c r="B2542" s="141" t="s">
        <v>2593</v>
      </c>
      <c r="C2542" s="118" t="s">
        <v>3817</v>
      </c>
      <c r="D2542" s="141"/>
      <c r="E2542" s="118"/>
      <c r="F2542" s="118"/>
      <c r="G2542" s="118" t="s">
        <v>3954</v>
      </c>
      <c r="H2542" s="118" t="s">
        <v>4908</v>
      </c>
      <c r="I2542" s="118" t="s">
        <v>5349</v>
      </c>
      <c r="J2542" s="118" t="s">
        <v>5798</v>
      </c>
      <c r="K2542" s="141"/>
      <c r="L2542" s="135" t="str">
        <f t="shared" si="145"/>
        <v>Eupleres goudotii</v>
      </c>
      <c r="M2542" s="133">
        <f t="shared" si="147"/>
        <v>3.4771212547196626</v>
      </c>
      <c r="N2542" s="133">
        <v>3000</v>
      </c>
      <c r="O2542" s="183" t="s">
        <v>8062</v>
      </c>
      <c r="P2542" s="108">
        <v>68</v>
      </c>
      <c r="Q2542" s="85" t="s">
        <v>6640</v>
      </c>
    </row>
    <row r="2543" spans="1:18" ht="25.5">
      <c r="A2543" s="213" t="s">
        <v>2594</v>
      </c>
      <c r="B2543" s="141" t="s">
        <v>2593</v>
      </c>
      <c r="C2543" s="118" t="s">
        <v>3817</v>
      </c>
      <c r="D2543" s="141"/>
      <c r="E2543" s="118"/>
      <c r="F2543" s="118"/>
      <c r="G2543" s="118" t="s">
        <v>3954</v>
      </c>
      <c r="H2543" s="118" t="s">
        <v>4908</v>
      </c>
      <c r="I2543" s="118" t="s">
        <v>5415</v>
      </c>
      <c r="J2543" s="118" t="s">
        <v>5555</v>
      </c>
      <c r="K2543" s="141"/>
      <c r="L2543" s="135" t="str">
        <f t="shared" si="145"/>
        <v>Fossa fossana</v>
      </c>
      <c r="M2543" s="133">
        <f t="shared" si="147"/>
        <v>3.1760912590556813</v>
      </c>
      <c r="N2543" s="133">
        <v>1500</v>
      </c>
      <c r="O2543" s="179" t="s">
        <v>6909</v>
      </c>
      <c r="P2543" s="108">
        <v>68</v>
      </c>
      <c r="Q2543" s="85" t="s">
        <v>6988</v>
      </c>
    </row>
    <row r="2544" spans="1:18" ht="15" customHeight="1">
      <c r="A2544" s="213" t="s">
        <v>2594</v>
      </c>
      <c r="B2544" s="141" t="s">
        <v>2593</v>
      </c>
      <c r="C2544" s="118" t="s">
        <v>3817</v>
      </c>
      <c r="D2544" s="141"/>
      <c r="E2544" s="118"/>
      <c r="F2544" s="118"/>
      <c r="G2544" s="118" t="s">
        <v>3954</v>
      </c>
      <c r="H2544" s="118" t="s">
        <v>4908</v>
      </c>
      <c r="I2544" s="118" t="s">
        <v>5415</v>
      </c>
      <c r="J2544" s="118" t="s">
        <v>5555</v>
      </c>
      <c r="K2544" s="141"/>
      <c r="L2544" s="135" t="str">
        <f t="shared" si="145"/>
        <v>Fossa fossana</v>
      </c>
      <c r="M2544" s="133">
        <f t="shared" si="147"/>
        <v>3.1760912590556813</v>
      </c>
      <c r="N2544" s="133">
        <v>1500</v>
      </c>
      <c r="O2544" s="179" t="s">
        <v>6909</v>
      </c>
      <c r="P2544" s="108">
        <v>68</v>
      </c>
      <c r="Q2544" s="90" t="s">
        <v>6988</v>
      </c>
    </row>
    <row r="2545" spans="1:19">
      <c r="A2545" s="213" t="s">
        <v>2594</v>
      </c>
      <c r="B2545" s="141" t="s">
        <v>1058</v>
      </c>
      <c r="C2545" s="118" t="s">
        <v>3817</v>
      </c>
      <c r="D2545" s="141"/>
      <c r="E2545" s="118"/>
      <c r="F2545" s="118"/>
      <c r="G2545" s="118" t="s">
        <v>3954</v>
      </c>
      <c r="H2545" s="118" t="s">
        <v>4908</v>
      </c>
      <c r="I2545" s="118" t="s">
        <v>5714</v>
      </c>
      <c r="J2545" s="118" t="s">
        <v>6698</v>
      </c>
      <c r="K2545" s="141"/>
      <c r="L2545" s="135" t="str">
        <f t="shared" si="145"/>
        <v>Hemigalus derbyanus</v>
      </c>
      <c r="M2545" s="133">
        <f t="shared" si="147"/>
        <v>3.2939147410311023</v>
      </c>
      <c r="N2545" s="133">
        <f>AVERAGE(2100, 1835)</f>
        <v>1967.5</v>
      </c>
      <c r="O2545" s="179" t="s">
        <v>3356</v>
      </c>
      <c r="P2545" s="118" t="s">
        <v>6911</v>
      </c>
      <c r="Q2545" s="80"/>
    </row>
    <row r="2546" spans="1:19">
      <c r="A2546" s="213" t="s">
        <v>2594</v>
      </c>
      <c r="B2546" s="141" t="s">
        <v>2600</v>
      </c>
      <c r="C2546" s="118" t="s">
        <v>3817</v>
      </c>
      <c r="D2546" s="141"/>
      <c r="E2546" s="118"/>
      <c r="F2546" s="118"/>
      <c r="G2546" s="118" t="s">
        <v>3954</v>
      </c>
      <c r="H2546" s="118" t="s">
        <v>4908</v>
      </c>
      <c r="I2546" s="118" t="s">
        <v>5714</v>
      </c>
      <c r="J2546" s="118" t="s">
        <v>6698</v>
      </c>
      <c r="K2546" s="141"/>
      <c r="L2546" s="135" t="str">
        <f t="shared" si="145"/>
        <v>Hemigalus derbyanus</v>
      </c>
      <c r="M2546" s="133">
        <f t="shared" si="147"/>
        <v>3.3979400086720375</v>
      </c>
      <c r="N2546" s="133">
        <v>2500</v>
      </c>
      <c r="O2546" s="179" t="s">
        <v>3356</v>
      </c>
      <c r="P2546" s="118">
        <v>119</v>
      </c>
    </row>
    <row r="2547" spans="1:19">
      <c r="A2547" s="213" t="s">
        <v>2594</v>
      </c>
      <c r="B2547" s="130" t="s">
        <v>5805</v>
      </c>
      <c r="C2547" s="118" t="s">
        <v>3817</v>
      </c>
      <c r="D2547" s="141"/>
      <c r="E2547" s="118"/>
      <c r="F2547" s="118"/>
      <c r="G2547" s="118" t="s">
        <v>3954</v>
      </c>
      <c r="H2547" s="118" t="s">
        <v>4908</v>
      </c>
      <c r="I2547" s="118" t="s">
        <v>8060</v>
      </c>
      <c r="J2547" s="118" t="s">
        <v>5703</v>
      </c>
      <c r="K2547" s="141"/>
      <c r="L2547" s="135" t="str">
        <f t="shared" si="145"/>
        <v>Macrogalidia musschenbroekii</v>
      </c>
      <c r="M2547" s="133">
        <f t="shared" si="147"/>
        <v>3.6020599913279625</v>
      </c>
      <c r="N2547" s="133">
        <v>4000</v>
      </c>
      <c r="O2547" s="179" t="s">
        <v>7081</v>
      </c>
      <c r="P2547" s="108">
        <v>138</v>
      </c>
      <c r="Q2547" s="80" t="s">
        <v>6988</v>
      </c>
    </row>
    <row r="2548" spans="1:19">
      <c r="A2548" s="213" t="s">
        <v>2594</v>
      </c>
      <c r="B2548" s="130" t="s">
        <v>2600</v>
      </c>
      <c r="C2548" s="118" t="s">
        <v>3817</v>
      </c>
      <c r="D2548" s="141"/>
      <c r="E2548" s="118"/>
      <c r="F2548" s="118"/>
      <c r="G2548" s="118" t="s">
        <v>3954</v>
      </c>
      <c r="H2548" s="118" t="s">
        <v>4908</v>
      </c>
      <c r="I2548" s="118" t="s">
        <v>5556</v>
      </c>
      <c r="J2548" s="118" t="s">
        <v>5557</v>
      </c>
      <c r="K2548" s="141"/>
      <c r="L2548" s="135" t="str">
        <f t="shared" si="145"/>
        <v>Paguma larvata</v>
      </c>
      <c r="M2548" s="133">
        <f t="shared" si="147"/>
        <v>3.6334684555795866</v>
      </c>
      <c r="N2548" s="133">
        <v>4300</v>
      </c>
      <c r="O2548" s="179" t="s">
        <v>6736</v>
      </c>
      <c r="P2548" s="108" t="s">
        <v>5900</v>
      </c>
      <c r="Q2548" s="80"/>
    </row>
    <row r="2549" spans="1:19">
      <c r="A2549" s="213" t="s">
        <v>2594</v>
      </c>
      <c r="B2549" s="141" t="s">
        <v>2435</v>
      </c>
      <c r="C2549" s="118" t="s">
        <v>3817</v>
      </c>
      <c r="D2549" s="141"/>
      <c r="E2549" s="118"/>
      <c r="F2549" s="118"/>
      <c r="G2549" s="118" t="s">
        <v>3954</v>
      </c>
      <c r="H2549" s="118" t="s">
        <v>4908</v>
      </c>
      <c r="I2549" s="118" t="s">
        <v>5558</v>
      </c>
      <c r="J2549" s="118" t="s">
        <v>5705</v>
      </c>
      <c r="K2549" s="141"/>
      <c r="L2549" s="135" t="str">
        <f t="shared" si="145"/>
        <v>Paradoxurus zeylonensis</v>
      </c>
      <c r="M2549" s="133">
        <f t="shared" si="147"/>
        <v>3.4441619458936739</v>
      </c>
      <c r="N2549" s="133">
        <f>AVERAGE((7.25*454), (5*454))</f>
        <v>2780.75</v>
      </c>
      <c r="O2549" s="179"/>
      <c r="P2549" s="108">
        <v>132</v>
      </c>
      <c r="Q2549" s="80"/>
    </row>
    <row r="2550" spans="1:19">
      <c r="A2550" s="213" t="s">
        <v>2594</v>
      </c>
      <c r="B2550" s="130" t="s">
        <v>2435</v>
      </c>
      <c r="C2550" s="118" t="s">
        <v>3817</v>
      </c>
      <c r="D2550" s="141"/>
      <c r="E2550" s="118"/>
      <c r="F2550" s="118"/>
      <c r="G2550" s="118" t="s">
        <v>3954</v>
      </c>
      <c r="H2550" s="118" t="s">
        <v>4908</v>
      </c>
      <c r="I2550" s="118" t="s">
        <v>5558</v>
      </c>
      <c r="J2550" s="118" t="s">
        <v>5559</v>
      </c>
      <c r="K2550" s="141"/>
      <c r="L2550" s="135" t="str">
        <f t="shared" si="145"/>
        <v>Paradoxurus hermaphroditus</v>
      </c>
      <c r="M2550" s="133">
        <f t="shared" si="147"/>
        <v>3.4809635080638608</v>
      </c>
      <c r="N2550" s="133">
        <f>AVERAGE((7.3333*454), (6*454))</f>
        <v>3026.6590999999999</v>
      </c>
      <c r="O2550" s="179"/>
      <c r="P2550" s="108">
        <v>132</v>
      </c>
      <c r="Q2550" s="80"/>
    </row>
    <row r="2551" spans="1:19">
      <c r="A2551" s="213" t="s">
        <v>2594</v>
      </c>
      <c r="B2551" s="130" t="s">
        <v>2600</v>
      </c>
      <c r="C2551" s="118" t="s">
        <v>3817</v>
      </c>
      <c r="D2551" s="141"/>
      <c r="E2551" s="118"/>
      <c r="F2551" s="118"/>
      <c r="G2551" s="118" t="s">
        <v>3954</v>
      </c>
      <c r="H2551" s="118" t="s">
        <v>4908</v>
      </c>
      <c r="I2551" s="118" t="s">
        <v>5558</v>
      </c>
      <c r="J2551" s="118" t="s">
        <v>5559</v>
      </c>
      <c r="K2551" s="141"/>
      <c r="L2551" s="135" t="str">
        <f t="shared" si="145"/>
        <v>Paradoxurus hermaphroditus</v>
      </c>
      <c r="M2551" s="133">
        <f t="shared" si="147"/>
        <v>3.5051499783199058</v>
      </c>
      <c r="N2551" s="133">
        <v>3200</v>
      </c>
      <c r="O2551" s="179" t="s">
        <v>6736</v>
      </c>
      <c r="P2551" s="108" t="s">
        <v>6846</v>
      </c>
      <c r="Q2551" s="80"/>
    </row>
    <row r="2552" spans="1:19" ht="15" customHeight="1">
      <c r="A2552" s="213" t="s">
        <v>2594</v>
      </c>
      <c r="B2552" s="130" t="s">
        <v>6062</v>
      </c>
      <c r="C2552" s="118" t="s">
        <v>3817</v>
      </c>
      <c r="D2552" s="141"/>
      <c r="E2552" s="118"/>
      <c r="F2552" s="118"/>
      <c r="G2552" s="118" t="s">
        <v>3954</v>
      </c>
      <c r="H2552" s="118" t="s">
        <v>4908</v>
      </c>
      <c r="I2552" s="118" t="s">
        <v>5558</v>
      </c>
      <c r="J2552" s="118" t="s">
        <v>5559</v>
      </c>
      <c r="K2552" s="141"/>
      <c r="L2552" s="135" t="str">
        <f t="shared" si="145"/>
        <v>Paradoxurus hermaphroditus</v>
      </c>
      <c r="M2552" s="133">
        <f t="shared" si="147"/>
        <v>3.5051499783199058</v>
      </c>
      <c r="N2552" s="133">
        <v>3200</v>
      </c>
      <c r="O2552" s="179" t="s">
        <v>6736</v>
      </c>
      <c r="P2552" s="108" t="s">
        <v>6581</v>
      </c>
      <c r="Q2552" s="80"/>
    </row>
    <row r="2553" spans="1:19">
      <c r="A2553" s="213" t="s">
        <v>2594</v>
      </c>
      <c r="B2553" s="141" t="s">
        <v>2600</v>
      </c>
      <c r="C2553" s="118" t="s">
        <v>3817</v>
      </c>
      <c r="D2553" s="141"/>
      <c r="E2553" s="118"/>
      <c r="F2553" s="118"/>
      <c r="G2553" s="118" t="s">
        <v>3954</v>
      </c>
      <c r="H2553" s="118" t="s">
        <v>4908</v>
      </c>
      <c r="I2553" s="118" t="s">
        <v>5706</v>
      </c>
      <c r="J2553" s="118" t="s">
        <v>5949</v>
      </c>
      <c r="K2553" s="141"/>
      <c r="L2553" s="135" t="str">
        <f t="shared" si="145"/>
        <v>Prionodon pardicolor</v>
      </c>
      <c r="M2553" s="133">
        <f t="shared" si="147"/>
        <v>2.7092699609758308</v>
      </c>
      <c r="N2553" s="133">
        <f>AVERAGE(570, (454*1))</f>
        <v>512</v>
      </c>
      <c r="O2553" s="179" t="s">
        <v>3356</v>
      </c>
      <c r="P2553" s="108" t="s">
        <v>1196</v>
      </c>
      <c r="Q2553" s="80"/>
    </row>
    <row r="2554" spans="1:19">
      <c r="A2554" s="213" t="s">
        <v>2594</v>
      </c>
      <c r="B2554" s="141" t="s">
        <v>2600</v>
      </c>
      <c r="C2554" s="118" t="s">
        <v>3817</v>
      </c>
      <c r="D2554" s="141"/>
      <c r="E2554" s="118"/>
      <c r="F2554" s="118"/>
      <c r="G2554" s="118" t="s">
        <v>3954</v>
      </c>
      <c r="H2554" s="118" t="s">
        <v>4908</v>
      </c>
      <c r="I2554" s="118" t="s">
        <v>5706</v>
      </c>
      <c r="J2554" s="118" t="s">
        <v>5707</v>
      </c>
      <c r="K2554" s="141"/>
      <c r="L2554" s="135" t="str">
        <f t="shared" si="145"/>
        <v>Prionodon linsang</v>
      </c>
      <c r="M2554" s="133">
        <f t="shared" si="147"/>
        <v>2.8450980400142569</v>
      </c>
      <c r="N2554" s="133">
        <v>700</v>
      </c>
      <c r="O2554" s="179" t="s">
        <v>3356</v>
      </c>
      <c r="P2554" s="108">
        <v>119</v>
      </c>
      <c r="Q2554" s="80"/>
    </row>
    <row r="2555" spans="1:19">
      <c r="A2555" s="213" t="s">
        <v>2594</v>
      </c>
      <c r="B2555" s="130" t="s">
        <v>2600</v>
      </c>
      <c r="C2555" s="118" t="s">
        <v>3817</v>
      </c>
      <c r="D2555" s="141"/>
      <c r="E2555" s="118"/>
      <c r="F2555" s="118"/>
      <c r="G2555" s="118" t="s">
        <v>3954</v>
      </c>
      <c r="H2555" s="118" t="s">
        <v>4908</v>
      </c>
      <c r="I2555" s="118" t="s">
        <v>5560</v>
      </c>
      <c r="J2555" s="118" t="s">
        <v>5565</v>
      </c>
      <c r="K2555" s="141"/>
      <c r="L2555" s="135" t="str">
        <f t="shared" si="145"/>
        <v>Viverra tangalunga</v>
      </c>
      <c r="M2555" s="133">
        <f t="shared" si="147"/>
        <v>3.576341350205793</v>
      </c>
      <c r="N2555" s="133">
        <f>AVERAGE(3200,4700, 3800, 3380)</f>
        <v>3770</v>
      </c>
      <c r="O2555" s="179"/>
      <c r="P2555" s="108" t="s">
        <v>1784</v>
      </c>
      <c r="Q2555" s="80"/>
    </row>
    <row r="2556" spans="1:19" ht="36" customHeight="1">
      <c r="A2556" s="213" t="s">
        <v>2594</v>
      </c>
      <c r="B2556" s="130" t="s">
        <v>2600</v>
      </c>
      <c r="C2556" s="118" t="s">
        <v>3817</v>
      </c>
      <c r="D2556" s="141"/>
      <c r="E2556" s="118"/>
      <c r="F2556" s="118"/>
      <c r="G2556" s="118" t="s">
        <v>3954</v>
      </c>
      <c r="H2556" s="118" t="s">
        <v>4908</v>
      </c>
      <c r="I2556" s="118" t="s">
        <v>5560</v>
      </c>
      <c r="J2556" s="118" t="s">
        <v>5566</v>
      </c>
      <c r="K2556" s="141"/>
      <c r="L2556" s="135" t="str">
        <f t="shared" si="145"/>
        <v>Viverra zibetha</v>
      </c>
      <c r="M2556" s="133">
        <f t="shared" si="147"/>
        <v>4</v>
      </c>
      <c r="N2556" s="133">
        <v>10000</v>
      </c>
      <c r="O2556" s="179" t="s">
        <v>6736</v>
      </c>
      <c r="P2556" s="108" t="s">
        <v>1324</v>
      </c>
      <c r="Q2556" s="80"/>
      <c r="S2556" s="82"/>
    </row>
    <row r="2557" spans="1:19">
      <c r="A2557" s="213" t="s">
        <v>2594</v>
      </c>
      <c r="B2557" s="141" t="s">
        <v>2435</v>
      </c>
      <c r="C2557" s="118" t="s">
        <v>3817</v>
      </c>
      <c r="D2557" s="141"/>
      <c r="E2557" s="118"/>
      <c r="F2557" s="118"/>
      <c r="G2557" s="118" t="s">
        <v>3954</v>
      </c>
      <c r="H2557" s="118" t="s">
        <v>4908</v>
      </c>
      <c r="I2557" s="118" t="s">
        <v>6095</v>
      </c>
      <c r="J2557" s="118" t="s">
        <v>4108</v>
      </c>
      <c r="K2557" s="141"/>
      <c r="L2557" s="135" t="str">
        <f t="shared" si="145"/>
        <v>Viverricula indica</v>
      </c>
      <c r="M2557" s="133">
        <f t="shared" si="147"/>
        <v>3.4291328331920634</v>
      </c>
      <c r="N2557" s="133">
        <f>AVERAGE((6.33333*454), (5.5*454))</f>
        <v>2686.1659099999997</v>
      </c>
      <c r="O2557" s="179"/>
      <c r="P2557" s="108">
        <v>132</v>
      </c>
      <c r="Q2557" s="80"/>
    </row>
    <row r="2558" spans="1:19">
      <c r="A2558" s="213" t="s">
        <v>2594</v>
      </c>
      <c r="B2558" s="141" t="s">
        <v>1942</v>
      </c>
      <c r="C2558" s="118" t="s">
        <v>3817</v>
      </c>
      <c r="D2558" s="141"/>
      <c r="E2558" s="118"/>
      <c r="F2558" s="118"/>
      <c r="G2558" s="118" t="s">
        <v>3954</v>
      </c>
      <c r="H2558" s="118" t="s">
        <v>4908</v>
      </c>
      <c r="I2558" s="118" t="s">
        <v>6095</v>
      </c>
      <c r="J2558" s="118" t="s">
        <v>4108</v>
      </c>
      <c r="K2558" s="141"/>
      <c r="L2558" s="135" t="str">
        <f t="shared" si="145"/>
        <v>Viverricula indica</v>
      </c>
      <c r="M2558" s="133">
        <f t="shared" si="147"/>
        <v>3.4617985575251091</v>
      </c>
      <c r="N2558" s="133">
        <f>AVERAGE(3500, 2200, 3000, 2150, 3630)</f>
        <v>2896</v>
      </c>
      <c r="O2558" s="179" t="s">
        <v>3356</v>
      </c>
      <c r="P2558" s="108" t="s">
        <v>2973</v>
      </c>
      <c r="Q2558" s="80"/>
    </row>
    <row r="2559" spans="1:19">
      <c r="A2559" s="213" t="s">
        <v>2594</v>
      </c>
      <c r="B2559" s="141" t="s">
        <v>2600</v>
      </c>
      <c r="C2559" s="118" t="s">
        <v>3817</v>
      </c>
      <c r="D2559" s="141"/>
      <c r="E2559" s="118"/>
      <c r="F2559" s="118"/>
      <c r="G2559" s="118" t="s">
        <v>3954</v>
      </c>
      <c r="H2559" s="118" t="s">
        <v>4908</v>
      </c>
      <c r="I2559" s="118" t="s">
        <v>6095</v>
      </c>
      <c r="J2559" s="118" t="s">
        <v>4108</v>
      </c>
      <c r="K2559" s="141"/>
      <c r="L2559" s="135" t="str">
        <f t="shared" si="145"/>
        <v>Viverricula indica</v>
      </c>
      <c r="M2559" s="133">
        <f t="shared" si="147"/>
        <v>3.4742162640762553</v>
      </c>
      <c r="N2559" s="133">
        <f>AVERAGE(3500, 2200, 3000, 2150, 3630, 3400)</f>
        <v>2980</v>
      </c>
      <c r="O2559" s="179" t="s">
        <v>3356</v>
      </c>
      <c r="P2559" s="108" t="s">
        <v>6845</v>
      </c>
      <c r="Q2559" s="80"/>
    </row>
    <row r="2560" spans="1:19">
      <c r="A2560" s="213" t="s">
        <v>2594</v>
      </c>
      <c r="B2560" s="141" t="s">
        <v>2593</v>
      </c>
      <c r="C2560" s="121" t="s">
        <v>3817</v>
      </c>
      <c r="D2560" s="156"/>
      <c r="E2560" s="121"/>
      <c r="F2560" s="121"/>
      <c r="G2560" s="121" t="s">
        <v>3954</v>
      </c>
      <c r="H2560" s="118" t="s">
        <v>4908</v>
      </c>
      <c r="I2560" s="121" t="s">
        <v>6095</v>
      </c>
      <c r="J2560" s="121" t="s">
        <v>4108</v>
      </c>
      <c r="K2560" s="156"/>
      <c r="L2560" s="135" t="str">
        <f t="shared" si="145"/>
        <v>Viverricula indica</v>
      </c>
      <c r="M2560" s="133">
        <f t="shared" si="147"/>
        <v>3.4771212547196626</v>
      </c>
      <c r="N2560" s="133">
        <v>3000</v>
      </c>
      <c r="O2560" s="179" t="s">
        <v>7015</v>
      </c>
      <c r="P2560" s="108">
        <v>150</v>
      </c>
      <c r="Q2560" s="80"/>
    </row>
    <row r="2561" spans="1:22" ht="25.5">
      <c r="A2561" s="212" t="s">
        <v>2594</v>
      </c>
      <c r="B2561" s="141" t="s">
        <v>1941</v>
      </c>
      <c r="C2561" s="150" t="s">
        <v>3931</v>
      </c>
      <c r="D2561" s="221">
        <v>1874</v>
      </c>
      <c r="E2561" s="150"/>
      <c r="F2561" s="150"/>
      <c r="G2561" s="110" t="s">
        <v>2663</v>
      </c>
      <c r="H2561" s="150" t="s">
        <v>6203</v>
      </c>
      <c r="I2561" s="150" t="s">
        <v>6204</v>
      </c>
      <c r="J2561" s="150" t="s">
        <v>6417</v>
      </c>
      <c r="K2561" s="221" t="s">
        <v>33</v>
      </c>
      <c r="L2561" s="135" t="str">
        <f t="shared" si="145"/>
        <v>Pteropus pilosus</v>
      </c>
      <c r="M2561" s="146">
        <v>-999</v>
      </c>
      <c r="N2561" s="146">
        <v>-999</v>
      </c>
      <c r="O2561" s="183" t="s">
        <v>34</v>
      </c>
      <c r="P2561" s="110">
        <v>-999</v>
      </c>
    </row>
    <row r="2562" spans="1:22" ht="25.5">
      <c r="A2562" s="212" t="s">
        <v>2594</v>
      </c>
      <c r="B2562" s="141" t="s">
        <v>4519</v>
      </c>
      <c r="C2562" s="150" t="s">
        <v>3931</v>
      </c>
      <c r="D2562" s="221">
        <v>1888</v>
      </c>
      <c r="E2562" s="150"/>
      <c r="F2562" s="150"/>
      <c r="G2562" s="110" t="s">
        <v>2663</v>
      </c>
      <c r="H2562" s="150" t="s">
        <v>6203</v>
      </c>
      <c r="I2562" s="150" t="s">
        <v>2152</v>
      </c>
      <c r="J2562" s="150" t="s">
        <v>6572</v>
      </c>
      <c r="K2562" s="221" t="s">
        <v>83</v>
      </c>
      <c r="L2562" s="135" t="str">
        <f t="shared" si="145"/>
        <v>Acerodon lucifer</v>
      </c>
      <c r="M2562" s="146">
        <v>-999</v>
      </c>
      <c r="N2562" s="146">
        <v>-999</v>
      </c>
      <c r="O2562" s="183"/>
      <c r="P2562" s="110">
        <v>-999</v>
      </c>
    </row>
    <row r="2563" spans="1:22" ht="38.25">
      <c r="A2563" s="212" t="s">
        <v>2594</v>
      </c>
      <c r="B2563" s="141" t="s">
        <v>493</v>
      </c>
      <c r="C2563" s="150" t="s">
        <v>3931</v>
      </c>
      <c r="D2563" s="221">
        <v>1900</v>
      </c>
      <c r="E2563" s="150"/>
      <c r="F2563" s="150"/>
      <c r="G2563" s="110" t="s">
        <v>2663</v>
      </c>
      <c r="H2563" s="150" t="s">
        <v>6203</v>
      </c>
      <c r="I2563" s="150" t="s">
        <v>6204</v>
      </c>
      <c r="J2563" s="150" t="s">
        <v>2016</v>
      </c>
      <c r="K2563" s="221" t="s">
        <v>35</v>
      </c>
      <c r="L2563" s="135" t="str">
        <f t="shared" si="145"/>
        <v>Pteropus subniger</v>
      </c>
      <c r="M2563" s="146">
        <v>-999</v>
      </c>
      <c r="N2563" s="146">
        <v>-999</v>
      </c>
      <c r="O2563" s="183" t="s">
        <v>36</v>
      </c>
      <c r="P2563" s="110">
        <v>-999</v>
      </c>
    </row>
    <row r="2564" spans="1:22" ht="38.25">
      <c r="A2564" s="287" t="s">
        <v>2594</v>
      </c>
      <c r="B2564" s="245" t="s">
        <v>1211</v>
      </c>
      <c r="C2564" s="246" t="s">
        <v>3931</v>
      </c>
      <c r="D2564" s="247">
        <v>1900</v>
      </c>
      <c r="E2564" s="246"/>
      <c r="F2564" s="246"/>
      <c r="G2564" s="219" t="s">
        <v>2663</v>
      </c>
      <c r="H2564" s="246" t="s">
        <v>6205</v>
      </c>
      <c r="I2564" s="246" t="s">
        <v>2710</v>
      </c>
      <c r="J2564" s="246" t="s">
        <v>1830</v>
      </c>
      <c r="K2564" s="247" t="s">
        <v>39</v>
      </c>
      <c r="L2564" s="135" t="str">
        <f t="shared" si="145"/>
        <v>Pipistrellus sturdeei</v>
      </c>
      <c r="M2564" s="248">
        <v>-999</v>
      </c>
      <c r="N2564" s="248">
        <v>-999</v>
      </c>
      <c r="O2564" s="249" t="s">
        <v>3</v>
      </c>
      <c r="P2564" s="219">
        <v>-999</v>
      </c>
      <c r="Q2564" s="250"/>
      <c r="R2564" s="250"/>
      <c r="S2564" s="250"/>
      <c r="T2564" s="250"/>
      <c r="U2564" s="251"/>
      <c r="V2564" s="251"/>
    </row>
    <row r="2565" spans="1:22" ht="38.25">
      <c r="A2565" s="212" t="s">
        <v>2594</v>
      </c>
      <c r="B2565" s="141" t="s">
        <v>2894</v>
      </c>
      <c r="C2565" s="150" t="s">
        <v>3931</v>
      </c>
      <c r="D2565" s="221">
        <v>1907</v>
      </c>
      <c r="E2565" s="150"/>
      <c r="F2565" s="150"/>
      <c r="G2565" s="110" t="s">
        <v>2663</v>
      </c>
      <c r="H2565" s="150" t="s">
        <v>6203</v>
      </c>
      <c r="I2565" s="150" t="s">
        <v>1629</v>
      </c>
      <c r="J2565" s="150" t="s">
        <v>2895</v>
      </c>
      <c r="K2565" s="221" t="s">
        <v>85</v>
      </c>
      <c r="L2565" s="135" t="str">
        <f t="shared" ref="L2565:L2628" si="148">I2565&amp;" "&amp;J2565</f>
        <v>Nyctimene sanctacrucis</v>
      </c>
      <c r="M2565" s="146">
        <v>-999</v>
      </c>
      <c r="N2565" s="146">
        <v>-999</v>
      </c>
      <c r="O2565" s="183" t="s">
        <v>86</v>
      </c>
      <c r="P2565" s="110">
        <v>-999</v>
      </c>
    </row>
    <row r="2566" spans="1:22" ht="36" customHeight="1">
      <c r="A2566" s="212" t="s">
        <v>2594</v>
      </c>
      <c r="B2566" s="141" t="s">
        <v>6062</v>
      </c>
      <c r="C2566" s="150" t="s">
        <v>3931</v>
      </c>
      <c r="D2566" s="221">
        <v>1960</v>
      </c>
      <c r="E2566" s="150"/>
      <c r="F2566" s="150"/>
      <c r="G2566" s="110" t="s">
        <v>2663</v>
      </c>
      <c r="H2566" s="150" t="s">
        <v>6203</v>
      </c>
      <c r="I2566" s="150" t="s">
        <v>1574</v>
      </c>
      <c r="J2566" s="150" t="s">
        <v>7637</v>
      </c>
      <c r="K2566" s="221" t="s">
        <v>84</v>
      </c>
      <c r="L2566" s="135" t="str">
        <f t="shared" si="148"/>
        <v>Dobsonia chapmani</v>
      </c>
      <c r="M2566" s="146">
        <v>-999</v>
      </c>
      <c r="N2566" s="146">
        <v>-999</v>
      </c>
      <c r="O2566" s="183"/>
      <c r="P2566" s="110">
        <v>-999</v>
      </c>
    </row>
    <row r="2567" spans="1:22" ht="38.25">
      <c r="A2567" s="212" t="s">
        <v>2594</v>
      </c>
      <c r="B2567" s="141" t="s">
        <v>422</v>
      </c>
      <c r="C2567" s="150" t="s">
        <v>3931</v>
      </c>
      <c r="D2567" s="221">
        <v>1965</v>
      </c>
      <c r="E2567" s="150"/>
      <c r="F2567" s="150"/>
      <c r="G2567" s="110" t="s">
        <v>2663</v>
      </c>
      <c r="H2567" s="150" t="s">
        <v>1740</v>
      </c>
      <c r="I2567" s="150" t="s">
        <v>1741</v>
      </c>
      <c r="J2567" s="150" t="s">
        <v>4701</v>
      </c>
      <c r="K2567" s="174" t="s">
        <v>97</v>
      </c>
      <c r="L2567" s="135" t="str">
        <f t="shared" si="148"/>
        <v>Mystacina robusta</v>
      </c>
      <c r="M2567" s="133">
        <f>LOG(N2567)</f>
        <v>1.4353665066126613</v>
      </c>
      <c r="N2567" s="152">
        <v>27.25</v>
      </c>
      <c r="O2567" s="192"/>
      <c r="P2567" s="110">
        <v>153</v>
      </c>
    </row>
    <row r="2568" spans="1:22">
      <c r="A2568" s="212" t="s">
        <v>2594</v>
      </c>
      <c r="B2568" s="141" t="s">
        <v>2813</v>
      </c>
      <c r="C2568" s="150" t="s">
        <v>3931</v>
      </c>
      <c r="D2568" s="221">
        <v>1967</v>
      </c>
      <c r="E2568" s="150"/>
      <c r="F2568" s="150"/>
      <c r="G2568" s="110" t="s">
        <v>2663</v>
      </c>
      <c r="H2568" s="150" t="s">
        <v>6203</v>
      </c>
      <c r="I2568" s="150" t="s">
        <v>6204</v>
      </c>
      <c r="J2568" s="150" t="s">
        <v>6365</v>
      </c>
      <c r="K2568" s="221" t="s">
        <v>37</v>
      </c>
      <c r="L2568" s="135" t="str">
        <f t="shared" si="148"/>
        <v>Pteropus tokudae</v>
      </c>
      <c r="M2568" s="133">
        <f>LOG(N2568)</f>
        <v>2.1818435879447726</v>
      </c>
      <c r="N2568" s="152">
        <v>152</v>
      </c>
      <c r="O2568" s="192"/>
      <c r="P2568" s="109">
        <v>153</v>
      </c>
    </row>
    <row r="2569" spans="1:22" ht="25.5">
      <c r="A2569" s="212" t="s">
        <v>2594</v>
      </c>
      <c r="B2569" s="141" t="s">
        <v>1733</v>
      </c>
      <c r="C2569" s="148" t="s">
        <v>3817</v>
      </c>
      <c r="D2569" s="223"/>
      <c r="E2569" s="148"/>
      <c r="F2569" s="148"/>
      <c r="G2569" s="109" t="s">
        <v>2663</v>
      </c>
      <c r="H2569" s="148" t="s">
        <v>2839</v>
      </c>
      <c r="I2569" s="148" t="s">
        <v>1734</v>
      </c>
      <c r="J2569" s="148" t="s">
        <v>1735</v>
      </c>
      <c r="K2569" s="223"/>
      <c r="L2569" s="135" t="str">
        <f t="shared" si="148"/>
        <v>Coleura seychellensis</v>
      </c>
      <c r="M2569" s="133">
        <f>LOG(N2569)</f>
        <v>1.0239380074981028</v>
      </c>
      <c r="N2569" s="149">
        <v>10.566666666667</v>
      </c>
      <c r="O2569" s="191"/>
      <c r="P2569" s="109">
        <v>153</v>
      </c>
      <c r="Q2569" s="91"/>
      <c r="R2569" s="82"/>
    </row>
    <row r="2570" spans="1:22" ht="15" customHeight="1">
      <c r="A2570" s="212" t="s">
        <v>2594</v>
      </c>
      <c r="B2570" s="141" t="s">
        <v>2593</v>
      </c>
      <c r="C2570" s="148" t="s">
        <v>3817</v>
      </c>
      <c r="D2570" s="223"/>
      <c r="E2570" s="148"/>
      <c r="F2570" s="148"/>
      <c r="G2570" s="109" t="s">
        <v>2663</v>
      </c>
      <c r="H2570" s="148" t="s">
        <v>2839</v>
      </c>
      <c r="I2570" s="148" t="s">
        <v>2840</v>
      </c>
      <c r="J2570" s="148" t="s">
        <v>5862</v>
      </c>
      <c r="K2570" s="223"/>
      <c r="L2570" s="135" t="str">
        <f t="shared" si="148"/>
        <v>Emballonura atrata</v>
      </c>
      <c r="M2570" s="151">
        <v>-999</v>
      </c>
      <c r="N2570" s="151">
        <v>-999</v>
      </c>
      <c r="O2570" s="189"/>
      <c r="P2570" s="109">
        <v>-999</v>
      </c>
      <c r="Q2570" s="91"/>
      <c r="R2570" s="82"/>
      <c r="S2570" s="82"/>
    </row>
    <row r="2571" spans="1:22" ht="25.5">
      <c r="A2571" s="212" t="s">
        <v>2594</v>
      </c>
      <c r="B2571" s="141" t="s">
        <v>1281</v>
      </c>
      <c r="C2571" s="148" t="s">
        <v>3817</v>
      </c>
      <c r="D2571" s="223"/>
      <c r="E2571" s="148"/>
      <c r="F2571" s="148"/>
      <c r="G2571" s="109" t="s">
        <v>2663</v>
      </c>
      <c r="H2571" s="148" t="s">
        <v>2839</v>
      </c>
      <c r="I2571" s="148" t="s">
        <v>2840</v>
      </c>
      <c r="J2571" s="148" t="s">
        <v>8172</v>
      </c>
      <c r="K2571" s="223"/>
      <c r="L2571" s="135" t="str">
        <f t="shared" si="148"/>
        <v>Emballonura beccarii</v>
      </c>
      <c r="M2571" s="133">
        <f t="shared" ref="M2571:M2580" si="149">LOG(N2571)</f>
        <v>0.62324929039790045</v>
      </c>
      <c r="N2571" s="149">
        <v>4.2</v>
      </c>
      <c r="O2571" s="191"/>
      <c r="P2571" s="109">
        <v>153</v>
      </c>
      <c r="Q2571" s="91"/>
      <c r="R2571" s="82"/>
    </row>
    <row r="2572" spans="1:22" ht="51">
      <c r="A2572" s="212" t="s">
        <v>2594</v>
      </c>
      <c r="B2572" s="141" t="s">
        <v>1416</v>
      </c>
      <c r="C2572" s="148" t="s">
        <v>3817</v>
      </c>
      <c r="D2572" s="223"/>
      <c r="E2572" s="148"/>
      <c r="F2572" s="148"/>
      <c r="G2572" s="109" t="s">
        <v>2663</v>
      </c>
      <c r="H2572" s="148" t="s">
        <v>2839</v>
      </c>
      <c r="I2572" s="148" t="s">
        <v>2840</v>
      </c>
      <c r="J2572" s="148" t="s">
        <v>6087</v>
      </c>
      <c r="K2572" s="223"/>
      <c r="L2572" s="135" t="str">
        <f t="shared" si="148"/>
        <v>Emballonura alecto</v>
      </c>
      <c r="M2572" s="133">
        <f t="shared" si="149"/>
        <v>0.72015930340595691</v>
      </c>
      <c r="N2572" s="149">
        <v>5.25</v>
      </c>
      <c r="O2572" s="191"/>
      <c r="P2572" s="109">
        <v>153</v>
      </c>
      <c r="Q2572" s="91"/>
      <c r="R2572" s="82"/>
      <c r="S2572" s="82"/>
    </row>
    <row r="2573" spans="1:22" ht="63.75">
      <c r="A2573" s="212" t="s">
        <v>2594</v>
      </c>
      <c r="B2573" s="141" t="s">
        <v>1194</v>
      </c>
      <c r="C2573" s="148" t="s">
        <v>3817</v>
      </c>
      <c r="D2573" s="223"/>
      <c r="E2573" s="148"/>
      <c r="F2573" s="148"/>
      <c r="G2573" s="109" t="s">
        <v>2663</v>
      </c>
      <c r="H2573" s="148" t="s">
        <v>2839</v>
      </c>
      <c r="I2573" s="148" t="s">
        <v>2840</v>
      </c>
      <c r="J2573" s="148" t="s">
        <v>5925</v>
      </c>
      <c r="K2573" s="223"/>
      <c r="L2573" s="135" t="str">
        <f t="shared" si="148"/>
        <v>Emballonura raffrayana</v>
      </c>
      <c r="M2573" s="133">
        <f t="shared" si="149"/>
        <v>0.74818802700620035</v>
      </c>
      <c r="N2573" s="149">
        <v>5.6</v>
      </c>
      <c r="O2573" s="191"/>
      <c r="P2573" s="109">
        <v>153</v>
      </c>
      <c r="Q2573" s="91"/>
      <c r="R2573" s="82"/>
      <c r="S2573" s="82"/>
    </row>
    <row r="2574" spans="1:22" ht="89.25">
      <c r="A2574" s="212" t="s">
        <v>2594</v>
      </c>
      <c r="B2574" s="141" t="s">
        <v>1507</v>
      </c>
      <c r="C2574" s="148" t="s">
        <v>3817</v>
      </c>
      <c r="D2574" s="223"/>
      <c r="E2574" s="148"/>
      <c r="F2574" s="148"/>
      <c r="G2574" s="109" t="s">
        <v>2663</v>
      </c>
      <c r="H2574" s="148" t="s">
        <v>2839</v>
      </c>
      <c r="I2574" s="148" t="s">
        <v>2840</v>
      </c>
      <c r="J2574" s="148" t="s">
        <v>4047</v>
      </c>
      <c r="K2574" s="223"/>
      <c r="L2574" s="135" t="str">
        <f t="shared" si="148"/>
        <v>Emballonura monticola</v>
      </c>
      <c r="M2574" s="133">
        <f t="shared" si="149"/>
        <v>0.77815125038364363</v>
      </c>
      <c r="N2574" s="149">
        <f>AVERAGE(4.5, 7.5)</f>
        <v>6</v>
      </c>
      <c r="O2574" s="191"/>
      <c r="P2574" s="109">
        <v>257</v>
      </c>
      <c r="Q2574" s="91"/>
      <c r="R2574" s="82"/>
    </row>
    <row r="2575" spans="1:22" ht="15" customHeight="1">
      <c r="A2575" s="212" t="s">
        <v>2594</v>
      </c>
      <c r="B2575" s="141" t="s">
        <v>2961</v>
      </c>
      <c r="C2575" s="148" t="s">
        <v>3817</v>
      </c>
      <c r="D2575" s="223"/>
      <c r="E2575" s="148"/>
      <c r="F2575" s="148"/>
      <c r="G2575" s="109" t="s">
        <v>2663</v>
      </c>
      <c r="H2575" s="148" t="s">
        <v>2839</v>
      </c>
      <c r="I2575" s="148" t="s">
        <v>2840</v>
      </c>
      <c r="J2575" s="148" t="s">
        <v>1185</v>
      </c>
      <c r="K2575" s="223"/>
      <c r="L2575" s="135" t="str">
        <f t="shared" si="148"/>
        <v>Emballonura semicaudata</v>
      </c>
      <c r="M2575" s="133">
        <f t="shared" si="149"/>
        <v>0.79934054945358168</v>
      </c>
      <c r="N2575" s="149">
        <v>6.3</v>
      </c>
      <c r="O2575" s="191"/>
      <c r="P2575" s="109">
        <v>153</v>
      </c>
      <c r="Q2575" s="91"/>
      <c r="R2575" s="82"/>
    </row>
    <row r="2576" spans="1:22" ht="51">
      <c r="A2576" s="212" t="s">
        <v>2594</v>
      </c>
      <c r="B2576" s="141" t="s">
        <v>1640</v>
      </c>
      <c r="C2576" s="148" t="s">
        <v>3817</v>
      </c>
      <c r="D2576" s="223"/>
      <c r="E2576" s="148"/>
      <c r="F2576" s="148"/>
      <c r="G2576" s="109" t="s">
        <v>2663</v>
      </c>
      <c r="H2576" s="148" t="s">
        <v>2839</v>
      </c>
      <c r="I2576" s="148" t="s">
        <v>2840</v>
      </c>
      <c r="J2576" s="148" t="s">
        <v>5934</v>
      </c>
      <c r="K2576" s="223"/>
      <c r="L2576" s="135" t="str">
        <f t="shared" si="148"/>
        <v>Emballonura dianae</v>
      </c>
      <c r="M2576" s="151">
        <f t="shared" si="149"/>
        <v>0.90127664622847525</v>
      </c>
      <c r="N2576" s="151">
        <f>AVERAGE(5, 13, 5, 8.7, 5.6, 10.5)</f>
        <v>7.9666666666666659</v>
      </c>
      <c r="O2576" s="189"/>
      <c r="P2576" s="109" t="s">
        <v>1850</v>
      </c>
      <c r="Q2576" s="91"/>
      <c r="R2576" s="82"/>
    </row>
    <row r="2577" spans="1:19" ht="25.5">
      <c r="A2577" s="212" t="s">
        <v>2594</v>
      </c>
      <c r="B2577" s="141" t="s">
        <v>4764</v>
      </c>
      <c r="C2577" s="148" t="s">
        <v>3817</v>
      </c>
      <c r="D2577" s="223"/>
      <c r="E2577" s="148"/>
      <c r="F2577" s="148"/>
      <c r="G2577" s="109" t="s">
        <v>2663</v>
      </c>
      <c r="H2577" s="148" t="s">
        <v>2839</v>
      </c>
      <c r="I2577" s="148" t="s">
        <v>2840</v>
      </c>
      <c r="J2577" s="148" t="s">
        <v>5956</v>
      </c>
      <c r="K2577" s="223"/>
      <c r="L2577" s="135" t="str">
        <f t="shared" si="148"/>
        <v>Emballonura furax</v>
      </c>
      <c r="M2577" s="151">
        <f t="shared" si="149"/>
        <v>1.0472748673841794</v>
      </c>
      <c r="N2577" s="151">
        <f>AVERAGE(10, 14, 9.6, 11)</f>
        <v>11.15</v>
      </c>
      <c r="O2577" s="189"/>
      <c r="P2577" s="109">
        <v>259</v>
      </c>
      <c r="Q2577" s="91"/>
    </row>
    <row r="2578" spans="1:19" ht="102">
      <c r="A2578" s="212" t="s">
        <v>2594</v>
      </c>
      <c r="B2578" s="141" t="s">
        <v>1439</v>
      </c>
      <c r="C2578" s="148" t="s">
        <v>3817</v>
      </c>
      <c r="D2578" s="223"/>
      <c r="E2578" s="148"/>
      <c r="F2578" s="148"/>
      <c r="G2578" s="109" t="s">
        <v>2663</v>
      </c>
      <c r="H2578" s="148" t="s">
        <v>2839</v>
      </c>
      <c r="I2578" s="148" t="s">
        <v>1440</v>
      </c>
      <c r="J2578" s="148" t="s">
        <v>7358</v>
      </c>
      <c r="K2578" s="223"/>
      <c r="L2578" s="135" t="str">
        <f t="shared" si="148"/>
        <v>Mosia nigrescens</v>
      </c>
      <c r="M2578" s="133">
        <f t="shared" si="149"/>
        <v>0.51188336097887432</v>
      </c>
      <c r="N2578" s="149">
        <v>3.25</v>
      </c>
      <c r="O2578" s="191"/>
      <c r="P2578" s="109">
        <v>153</v>
      </c>
      <c r="Q2578" s="91"/>
      <c r="S2578" s="82"/>
    </row>
    <row r="2579" spans="1:19" ht="102">
      <c r="A2579" s="212" t="s">
        <v>2594</v>
      </c>
      <c r="B2579" s="141" t="s">
        <v>4533</v>
      </c>
      <c r="C2579" s="148" t="s">
        <v>3817</v>
      </c>
      <c r="D2579" s="223"/>
      <c r="E2579" s="148"/>
      <c r="F2579" s="148"/>
      <c r="G2579" s="109" t="s">
        <v>2663</v>
      </c>
      <c r="H2579" s="148" t="s">
        <v>2839</v>
      </c>
      <c r="I2579" s="148" t="s">
        <v>1452</v>
      </c>
      <c r="J2579" s="148" t="s">
        <v>4141</v>
      </c>
      <c r="K2579" s="223"/>
      <c r="L2579" s="135" t="str">
        <f t="shared" si="148"/>
        <v>Peropteryx macrotis</v>
      </c>
      <c r="M2579" s="133">
        <f t="shared" si="149"/>
        <v>0.73417731256336793</v>
      </c>
      <c r="N2579" s="149">
        <v>5.4222222222219996</v>
      </c>
      <c r="O2579" s="191"/>
      <c r="P2579" s="109">
        <v>153</v>
      </c>
      <c r="Q2579" s="91"/>
      <c r="S2579" s="82"/>
    </row>
    <row r="2580" spans="1:19" ht="24" customHeight="1">
      <c r="A2580" s="212" t="s">
        <v>2594</v>
      </c>
      <c r="B2580" s="141" t="s">
        <v>4534</v>
      </c>
      <c r="C2580" s="148" t="s">
        <v>3817</v>
      </c>
      <c r="D2580" s="223"/>
      <c r="E2580" s="148"/>
      <c r="F2580" s="148"/>
      <c r="G2580" s="109" t="s">
        <v>2663</v>
      </c>
      <c r="H2580" s="148" t="s">
        <v>2839</v>
      </c>
      <c r="I2580" s="148" t="s">
        <v>4535</v>
      </c>
      <c r="J2580" s="148" t="s">
        <v>7088</v>
      </c>
      <c r="K2580" s="223"/>
      <c r="L2580" s="135" t="str">
        <f t="shared" si="148"/>
        <v>Rhynchonycteris naso</v>
      </c>
      <c r="M2580" s="133">
        <f t="shared" si="149"/>
        <v>0.48855071650044429</v>
      </c>
      <c r="N2580" s="149">
        <f>AVERAGE(3.2, 4.3, 2.1, 2.4, 3.4)</f>
        <v>3.08</v>
      </c>
      <c r="O2580" s="191"/>
      <c r="P2580" s="109">
        <v>261</v>
      </c>
      <c r="Q2580" s="91"/>
    </row>
    <row r="2581" spans="1:19">
      <c r="A2581" s="212" t="s">
        <v>2594</v>
      </c>
      <c r="B2581" s="141" t="s">
        <v>6062</v>
      </c>
      <c r="C2581" s="148" t="s">
        <v>3817</v>
      </c>
      <c r="D2581" s="223"/>
      <c r="E2581" s="148"/>
      <c r="F2581" s="148"/>
      <c r="G2581" s="109" t="s">
        <v>2663</v>
      </c>
      <c r="H2581" s="148" t="s">
        <v>2839</v>
      </c>
      <c r="I2581" s="148" t="s">
        <v>3133</v>
      </c>
      <c r="J2581" s="148" t="s">
        <v>522</v>
      </c>
      <c r="K2581" s="223"/>
      <c r="L2581" s="135" t="str">
        <f t="shared" si="148"/>
        <v>Saccolaimus pluto</v>
      </c>
      <c r="M2581" s="151">
        <v>-999</v>
      </c>
      <c r="N2581" s="151">
        <v>-999</v>
      </c>
      <c r="O2581" s="189"/>
      <c r="P2581" s="109">
        <v>-999</v>
      </c>
      <c r="Q2581" s="82"/>
    </row>
    <row r="2582" spans="1:19" ht="15" customHeight="1">
      <c r="A2582" s="212" t="s">
        <v>2594</v>
      </c>
      <c r="B2582" s="141" t="s">
        <v>521</v>
      </c>
      <c r="C2582" s="148" t="s">
        <v>3817</v>
      </c>
      <c r="D2582" s="223"/>
      <c r="E2582" s="148"/>
      <c r="F2582" s="148"/>
      <c r="G2582" s="109" t="s">
        <v>2663</v>
      </c>
      <c r="H2582" s="148" t="s">
        <v>2839</v>
      </c>
      <c r="I2582" s="148" t="s">
        <v>3133</v>
      </c>
      <c r="J2582" s="148" t="s">
        <v>3100</v>
      </c>
      <c r="K2582" s="223"/>
      <c r="L2582" s="135" t="str">
        <f t="shared" si="148"/>
        <v>Saccolaimus mixtus</v>
      </c>
      <c r="M2582" s="151">
        <f t="shared" ref="M2582:M2598" si="150">LOG(N2582)</f>
        <v>1.3623567926545359</v>
      </c>
      <c r="N2582" s="109">
        <f>AVERAGE(21.3, 26.5, 21.3)</f>
        <v>23.033333333333331</v>
      </c>
      <c r="O2582" s="193" t="s">
        <v>1780</v>
      </c>
      <c r="P2582" s="109">
        <v>259</v>
      </c>
      <c r="Q2582" s="82"/>
    </row>
    <row r="2583" spans="1:19" ht="89.25">
      <c r="A2583" s="212" t="s">
        <v>2594</v>
      </c>
      <c r="B2583" s="141" t="s">
        <v>4864</v>
      </c>
      <c r="C2583" s="150" t="s">
        <v>3817</v>
      </c>
      <c r="D2583" s="221"/>
      <c r="E2583" s="150"/>
      <c r="F2583" s="150"/>
      <c r="G2583" s="110" t="s">
        <v>2663</v>
      </c>
      <c r="H2583" s="150" t="s">
        <v>2839</v>
      </c>
      <c r="I2583" s="150" t="s">
        <v>3133</v>
      </c>
      <c r="J2583" s="150" t="s">
        <v>3102</v>
      </c>
      <c r="K2583" s="221"/>
      <c r="L2583" s="135" t="str">
        <f t="shared" si="148"/>
        <v>Saccolaimus saccolaimus</v>
      </c>
      <c r="M2583" s="133">
        <f t="shared" si="150"/>
        <v>1.5797835966168101</v>
      </c>
      <c r="N2583" s="109">
        <f>AVERAGE(40, 50, 24)</f>
        <v>38</v>
      </c>
      <c r="O2583" s="191"/>
      <c r="P2583" s="109">
        <v>259</v>
      </c>
      <c r="Q2583" s="91"/>
    </row>
    <row r="2584" spans="1:19" ht="38.25">
      <c r="A2584" s="212" t="s">
        <v>2594</v>
      </c>
      <c r="B2584" s="141" t="s">
        <v>4865</v>
      </c>
      <c r="C2584" s="150" t="s">
        <v>3817</v>
      </c>
      <c r="D2584" s="221"/>
      <c r="E2584" s="150"/>
      <c r="F2584" s="150"/>
      <c r="G2584" s="110" t="s">
        <v>2663</v>
      </c>
      <c r="H2584" s="150" t="s">
        <v>2839</v>
      </c>
      <c r="I2584" s="150" t="s">
        <v>3133</v>
      </c>
      <c r="J2584" s="150" t="s">
        <v>3693</v>
      </c>
      <c r="K2584" s="221"/>
      <c r="L2584" s="135" t="str">
        <f t="shared" si="148"/>
        <v>Saccolaimus flaviventris</v>
      </c>
      <c r="M2584" s="133">
        <f t="shared" si="150"/>
        <v>1.5938396610812713</v>
      </c>
      <c r="N2584" s="109">
        <f>AVERAGE(30, 42, 37, 48)</f>
        <v>39.25</v>
      </c>
      <c r="O2584" s="191"/>
      <c r="P2584" s="109">
        <v>259</v>
      </c>
      <c r="Q2584" s="91"/>
      <c r="S2584" s="92"/>
    </row>
    <row r="2585" spans="1:19" ht="63.75">
      <c r="A2585" s="212" t="s">
        <v>2594</v>
      </c>
      <c r="B2585" s="141" t="s">
        <v>1399</v>
      </c>
      <c r="C2585" s="150" t="s">
        <v>3817</v>
      </c>
      <c r="D2585" s="221"/>
      <c r="E2585" s="150"/>
      <c r="F2585" s="150"/>
      <c r="G2585" s="110" t="s">
        <v>2663</v>
      </c>
      <c r="H2585" s="150" t="s">
        <v>2839</v>
      </c>
      <c r="I2585" s="150" t="s">
        <v>1131</v>
      </c>
      <c r="J2585" s="150" t="s">
        <v>1400</v>
      </c>
      <c r="K2585" s="221"/>
      <c r="L2585" s="135" t="str">
        <f t="shared" si="148"/>
        <v>Saccopteryx leptura</v>
      </c>
      <c r="M2585" s="133">
        <f t="shared" si="150"/>
        <v>0.63848925695463732</v>
      </c>
      <c r="N2585" s="152">
        <f>AVERAGE(3.6, 4.9, 3.7, 5.2)</f>
        <v>4.3499999999999996</v>
      </c>
      <c r="O2585" s="192"/>
      <c r="P2585" s="109">
        <v>261</v>
      </c>
      <c r="Q2585" s="82"/>
      <c r="S2585" s="82"/>
    </row>
    <row r="2586" spans="1:19" ht="63.75">
      <c r="A2586" s="212" t="s">
        <v>2594</v>
      </c>
      <c r="B2586" s="141" t="s">
        <v>1293</v>
      </c>
      <c r="C2586" s="150" t="s">
        <v>3817</v>
      </c>
      <c r="D2586" s="221"/>
      <c r="E2586" s="150"/>
      <c r="F2586" s="150"/>
      <c r="G2586" s="110" t="s">
        <v>2663</v>
      </c>
      <c r="H2586" s="150" t="s">
        <v>2839</v>
      </c>
      <c r="I2586" s="150" t="s">
        <v>1131</v>
      </c>
      <c r="J2586" s="150" t="s">
        <v>1243</v>
      </c>
      <c r="K2586" s="221"/>
      <c r="L2586" s="135" t="str">
        <f t="shared" si="148"/>
        <v>Saccopteryx bilineata</v>
      </c>
      <c r="M2586" s="133">
        <f t="shared" si="150"/>
        <v>0.85582190540602998</v>
      </c>
      <c r="N2586" s="152">
        <f>AVERAGE(3, 9.6, 5.2, 10.9)</f>
        <v>7.1750000000000007</v>
      </c>
      <c r="O2586" s="191"/>
      <c r="P2586" s="109">
        <v>261</v>
      </c>
      <c r="Q2586" s="82"/>
      <c r="S2586" s="82"/>
    </row>
    <row r="2587" spans="1:19">
      <c r="A2587" s="212" t="s">
        <v>2594</v>
      </c>
      <c r="B2587" s="141" t="s">
        <v>6062</v>
      </c>
      <c r="C2587" s="150" t="s">
        <v>3817</v>
      </c>
      <c r="D2587" s="221"/>
      <c r="E2587" s="150"/>
      <c r="F2587" s="150"/>
      <c r="G2587" s="110" t="s">
        <v>2663</v>
      </c>
      <c r="H2587" s="150" t="s">
        <v>2839</v>
      </c>
      <c r="I2587" s="150" t="s">
        <v>6197</v>
      </c>
      <c r="J2587" s="150" t="s">
        <v>6253</v>
      </c>
      <c r="K2587" s="221"/>
      <c r="L2587" s="135" t="str">
        <f t="shared" si="148"/>
        <v>Taphozous philippinensis</v>
      </c>
      <c r="M2587" s="133">
        <f t="shared" si="150"/>
        <v>1.307496037913213</v>
      </c>
      <c r="N2587" s="152">
        <v>20.3</v>
      </c>
      <c r="O2587" s="191"/>
      <c r="P2587" s="109">
        <v>153</v>
      </c>
      <c r="Q2587" s="82"/>
    </row>
    <row r="2588" spans="1:19" ht="38.25">
      <c r="A2588" s="212" t="s">
        <v>2594</v>
      </c>
      <c r="B2588" s="141" t="s">
        <v>1135</v>
      </c>
      <c r="C2588" s="150" t="s">
        <v>3817</v>
      </c>
      <c r="D2588" s="221"/>
      <c r="E2588" s="150"/>
      <c r="F2588" s="150"/>
      <c r="G2588" s="110" t="s">
        <v>2663</v>
      </c>
      <c r="H2588" s="150" t="s">
        <v>2839</v>
      </c>
      <c r="I2588" s="150" t="s">
        <v>6197</v>
      </c>
      <c r="J2588" s="150" t="s">
        <v>3789</v>
      </c>
      <c r="K2588" s="221"/>
      <c r="L2588" s="135" t="str">
        <f t="shared" si="148"/>
        <v>Taphozous australis</v>
      </c>
      <c r="M2588" s="133">
        <f t="shared" si="150"/>
        <v>1.3598354823398879</v>
      </c>
      <c r="N2588" s="152">
        <v>22.9</v>
      </c>
      <c r="O2588" s="189"/>
      <c r="P2588" s="109" t="s">
        <v>1676</v>
      </c>
      <c r="Q2588" s="82"/>
    </row>
    <row r="2589" spans="1:19" ht="102">
      <c r="A2589" s="212" t="s">
        <v>2594</v>
      </c>
      <c r="B2589" s="141" t="s">
        <v>2135</v>
      </c>
      <c r="C2589" s="150" t="s">
        <v>3817</v>
      </c>
      <c r="D2589" s="221"/>
      <c r="E2589" s="150"/>
      <c r="F2589" s="150"/>
      <c r="G2589" s="110" t="s">
        <v>2663</v>
      </c>
      <c r="H2589" s="150" t="s">
        <v>2839</v>
      </c>
      <c r="I2589" s="150" t="s">
        <v>6197</v>
      </c>
      <c r="J2589" s="150" t="s">
        <v>2136</v>
      </c>
      <c r="K2589" s="221"/>
      <c r="L2589" s="135" t="str">
        <f t="shared" si="148"/>
        <v>Taphozous melanopogon</v>
      </c>
      <c r="M2589" s="133">
        <f t="shared" si="150"/>
        <v>1.3858615157343122</v>
      </c>
      <c r="N2589" s="152">
        <f>AVERAGE(21.7, 26, 23, 24, 26, 22.5, 27)</f>
        <v>24.314285714285713</v>
      </c>
      <c r="O2589" s="191"/>
      <c r="P2589" s="109" t="s">
        <v>1838</v>
      </c>
      <c r="S2589" s="92"/>
    </row>
    <row r="2590" spans="1:19" ht="63.75">
      <c r="A2590" s="212" t="s">
        <v>2594</v>
      </c>
      <c r="B2590" s="141" t="s">
        <v>1362</v>
      </c>
      <c r="C2590" s="150" t="s">
        <v>3817</v>
      </c>
      <c r="D2590" s="221"/>
      <c r="E2590" s="150"/>
      <c r="F2590" s="150"/>
      <c r="G2590" s="110" t="s">
        <v>2663</v>
      </c>
      <c r="H2590" s="150" t="s">
        <v>2839</v>
      </c>
      <c r="I2590" s="150" t="s">
        <v>6197</v>
      </c>
      <c r="J2590" s="150" t="s">
        <v>1341</v>
      </c>
      <c r="K2590" s="221"/>
      <c r="L2590" s="135" t="str">
        <f t="shared" si="148"/>
        <v>Taphozous longimanus</v>
      </c>
      <c r="M2590" s="133">
        <f t="shared" si="150"/>
        <v>1.4300750555519393</v>
      </c>
      <c r="N2590" s="152">
        <v>26.92</v>
      </c>
      <c r="O2590" s="191"/>
      <c r="P2590" s="109">
        <v>153</v>
      </c>
      <c r="Q2590" s="82"/>
    </row>
    <row r="2591" spans="1:19" ht="76.5">
      <c r="A2591" s="212" t="s">
        <v>2594</v>
      </c>
      <c r="B2591" s="141" t="s">
        <v>1236</v>
      </c>
      <c r="C2591" s="150" t="s">
        <v>3817</v>
      </c>
      <c r="D2591" s="221"/>
      <c r="E2591" s="150"/>
      <c r="F2591" s="150"/>
      <c r="G2591" s="110" t="s">
        <v>2663</v>
      </c>
      <c r="H2591" s="150" t="s">
        <v>2839</v>
      </c>
      <c r="I2591" s="150" t="s">
        <v>6197</v>
      </c>
      <c r="J2591" s="150" t="s">
        <v>6198</v>
      </c>
      <c r="K2591" s="221"/>
      <c r="L2591" s="135" t="str">
        <f t="shared" si="148"/>
        <v>Taphozous mauritianus</v>
      </c>
      <c r="M2591" s="133">
        <f t="shared" si="150"/>
        <v>1.4368911625453118</v>
      </c>
      <c r="N2591" s="152">
        <v>27.345833333333001</v>
      </c>
      <c r="O2591" s="191"/>
      <c r="P2591" s="109">
        <v>153</v>
      </c>
    </row>
    <row r="2592" spans="1:19" ht="25.5">
      <c r="A2592" s="212" t="s">
        <v>2594</v>
      </c>
      <c r="B2592" s="141" t="s">
        <v>699</v>
      </c>
      <c r="C2592" s="150" t="s">
        <v>3817</v>
      </c>
      <c r="D2592" s="221"/>
      <c r="E2592" s="150"/>
      <c r="F2592" s="150"/>
      <c r="G2592" s="110" t="s">
        <v>2663</v>
      </c>
      <c r="H2592" s="150" t="s">
        <v>2839</v>
      </c>
      <c r="I2592" s="150" t="s">
        <v>6197</v>
      </c>
      <c r="J2592" s="150" t="s">
        <v>6683</v>
      </c>
      <c r="K2592" s="221"/>
      <c r="L2592" s="135" t="str">
        <f t="shared" si="148"/>
        <v>Taphozous hildegardeae</v>
      </c>
      <c r="M2592" s="133">
        <f t="shared" si="150"/>
        <v>1.4712917110589385</v>
      </c>
      <c r="N2592" s="152">
        <v>29.6</v>
      </c>
      <c r="O2592" s="191"/>
      <c r="P2592" s="109">
        <v>153</v>
      </c>
      <c r="Q2592" s="91"/>
      <c r="R2592" s="92"/>
      <c r="S2592" s="92"/>
    </row>
    <row r="2593" spans="1:19" ht="25.5">
      <c r="A2593" s="212" t="s">
        <v>2594</v>
      </c>
      <c r="B2593" s="141" t="s">
        <v>1648</v>
      </c>
      <c r="C2593" s="150" t="s">
        <v>3817</v>
      </c>
      <c r="D2593" s="221"/>
      <c r="E2593" s="150"/>
      <c r="F2593" s="150"/>
      <c r="G2593" s="110" t="s">
        <v>2663</v>
      </c>
      <c r="H2593" s="150" t="s">
        <v>2839</v>
      </c>
      <c r="I2593" s="150" t="s">
        <v>6197</v>
      </c>
      <c r="J2593" s="150" t="s">
        <v>1611</v>
      </c>
      <c r="K2593" s="221"/>
      <c r="L2593" s="135" t="str">
        <f t="shared" si="148"/>
        <v>Taphozous theobaldi</v>
      </c>
      <c r="M2593" s="133">
        <f t="shared" si="150"/>
        <v>1.5998830720736879</v>
      </c>
      <c r="N2593" s="152">
        <v>39.799999999999997</v>
      </c>
      <c r="O2593" s="191"/>
      <c r="P2593" s="109">
        <v>153</v>
      </c>
      <c r="Q2593" s="91"/>
      <c r="R2593" s="92"/>
    </row>
    <row r="2594" spans="1:19" ht="25.5">
      <c r="A2594" s="212" t="s">
        <v>2594</v>
      </c>
      <c r="B2594" s="141" t="s">
        <v>4569</v>
      </c>
      <c r="C2594" s="148" t="s">
        <v>3817</v>
      </c>
      <c r="D2594" s="223"/>
      <c r="E2594" s="148"/>
      <c r="F2594" s="148"/>
      <c r="G2594" s="109" t="s">
        <v>2663</v>
      </c>
      <c r="H2594" s="148" t="s">
        <v>1398</v>
      </c>
      <c r="I2594" s="148" t="s">
        <v>4570</v>
      </c>
      <c r="J2594" s="148" t="s">
        <v>4413</v>
      </c>
      <c r="K2594" s="223"/>
      <c r="L2594" s="135" t="str">
        <f t="shared" si="148"/>
        <v>Furipterus horrens</v>
      </c>
      <c r="M2594" s="133">
        <f t="shared" si="150"/>
        <v>0.50197164591870946</v>
      </c>
      <c r="N2594" s="149">
        <v>3.1766666666669998</v>
      </c>
      <c r="O2594" s="191"/>
      <c r="P2594" s="109">
        <v>153</v>
      </c>
      <c r="Q2594" s="91"/>
      <c r="R2594" s="92"/>
      <c r="S2594" s="92"/>
    </row>
    <row r="2595" spans="1:19" ht="38.25">
      <c r="A2595" s="212" t="s">
        <v>2594</v>
      </c>
      <c r="B2595" s="141" t="s">
        <v>1391</v>
      </c>
      <c r="C2595" s="150" t="s">
        <v>3817</v>
      </c>
      <c r="D2595" s="221"/>
      <c r="E2595" s="150"/>
      <c r="F2595" s="150"/>
      <c r="G2595" s="110" t="s">
        <v>2663</v>
      </c>
      <c r="H2595" s="150" t="s">
        <v>1392</v>
      </c>
      <c r="I2595" s="150" t="s">
        <v>1393</v>
      </c>
      <c r="J2595" s="150" t="s">
        <v>1394</v>
      </c>
      <c r="K2595" s="221"/>
      <c r="L2595" s="135" t="str">
        <f t="shared" si="148"/>
        <v>Cardioderma cor</v>
      </c>
      <c r="M2595" s="133">
        <f t="shared" si="150"/>
        <v>1.4447137991033623</v>
      </c>
      <c r="N2595" s="152">
        <v>27.842857142857</v>
      </c>
      <c r="O2595" s="191"/>
      <c r="P2595" s="109">
        <v>153</v>
      </c>
      <c r="Q2595" s="91"/>
      <c r="R2595" s="92"/>
      <c r="S2595" s="92"/>
    </row>
    <row r="2596" spans="1:19" ht="38.25">
      <c r="A2596" s="212" t="s">
        <v>2594</v>
      </c>
      <c r="B2596" s="141" t="s">
        <v>4766</v>
      </c>
      <c r="C2596" s="150" t="s">
        <v>3817</v>
      </c>
      <c r="D2596" s="221"/>
      <c r="E2596" s="150"/>
      <c r="F2596" s="150"/>
      <c r="G2596" s="110" t="s">
        <v>2663</v>
      </c>
      <c r="H2596" s="150" t="s">
        <v>1392</v>
      </c>
      <c r="I2596" s="150" t="s">
        <v>4767</v>
      </c>
      <c r="J2596" s="150" t="s">
        <v>4768</v>
      </c>
      <c r="K2596" s="221"/>
      <c r="L2596" s="135" t="str">
        <f t="shared" si="148"/>
        <v>Lavia frons</v>
      </c>
      <c r="M2596" s="133">
        <f t="shared" si="150"/>
        <v>1.3790031895226318</v>
      </c>
      <c r="N2596" s="152">
        <v>23.933333333333</v>
      </c>
      <c r="O2596" s="191"/>
      <c r="P2596" s="109">
        <v>153</v>
      </c>
      <c r="Q2596" s="91"/>
      <c r="R2596" s="92"/>
      <c r="S2596" s="92"/>
    </row>
    <row r="2597" spans="1:19" ht="63.75">
      <c r="A2597" s="212" t="s">
        <v>2594</v>
      </c>
      <c r="B2597" s="141" t="s">
        <v>1445</v>
      </c>
      <c r="C2597" s="150" t="s">
        <v>3817</v>
      </c>
      <c r="D2597" s="221"/>
      <c r="E2597" s="150"/>
      <c r="F2597" s="150"/>
      <c r="G2597" s="110" t="s">
        <v>2663</v>
      </c>
      <c r="H2597" s="150" t="s">
        <v>1392</v>
      </c>
      <c r="I2597" s="150" t="s">
        <v>1446</v>
      </c>
      <c r="J2597" s="150" t="s">
        <v>1447</v>
      </c>
      <c r="K2597" s="221"/>
      <c r="L2597" s="135" t="str">
        <f t="shared" si="148"/>
        <v>Megaderma spasma</v>
      </c>
      <c r="M2597" s="133">
        <f t="shared" si="150"/>
        <v>1.414973347970818</v>
      </c>
      <c r="N2597" s="152">
        <f>AVERAGE(24, 28, 26)</f>
        <v>26</v>
      </c>
      <c r="O2597" s="191"/>
      <c r="P2597" s="109">
        <v>122</v>
      </c>
      <c r="Q2597" s="91"/>
      <c r="R2597" s="92"/>
      <c r="S2597" s="92"/>
    </row>
    <row r="2598" spans="1:19" ht="38.25">
      <c r="A2598" s="212" t="s">
        <v>2594</v>
      </c>
      <c r="B2598" s="141" t="s">
        <v>1623</v>
      </c>
      <c r="C2598" s="150" t="s">
        <v>3817</v>
      </c>
      <c r="D2598" s="221"/>
      <c r="E2598" s="150"/>
      <c r="F2598" s="150"/>
      <c r="G2598" s="110" t="s">
        <v>2663</v>
      </c>
      <c r="H2598" s="150" t="s">
        <v>1392</v>
      </c>
      <c r="I2598" s="150" t="s">
        <v>1446</v>
      </c>
      <c r="J2598" s="150" t="s">
        <v>1624</v>
      </c>
      <c r="K2598" s="221"/>
      <c r="L2598" s="135" t="str">
        <f t="shared" si="148"/>
        <v>Megaderma lyra</v>
      </c>
      <c r="M2598" s="133">
        <f t="shared" si="150"/>
        <v>1.658349676161617</v>
      </c>
      <c r="N2598" s="152">
        <v>45.535454545455003</v>
      </c>
      <c r="O2598" s="191"/>
      <c r="P2598" s="109">
        <v>153</v>
      </c>
      <c r="Q2598" s="91"/>
      <c r="R2598" s="92"/>
    </row>
    <row r="2599" spans="1:19">
      <c r="A2599" s="212" t="s">
        <v>2594</v>
      </c>
      <c r="B2599" s="141" t="s">
        <v>571</v>
      </c>
      <c r="C2599" s="148" t="s">
        <v>3817</v>
      </c>
      <c r="D2599" s="223"/>
      <c r="E2599" s="148"/>
      <c r="F2599" s="148"/>
      <c r="G2599" s="109" t="s">
        <v>2663</v>
      </c>
      <c r="H2599" s="148" t="s">
        <v>2533</v>
      </c>
      <c r="I2599" s="148" t="s">
        <v>6040</v>
      </c>
      <c r="J2599" s="148" t="s">
        <v>572</v>
      </c>
      <c r="K2599" s="223"/>
      <c r="L2599" s="135" t="str">
        <f t="shared" si="148"/>
        <v>Chaerephon johorensis</v>
      </c>
      <c r="M2599" s="151">
        <v>-999</v>
      </c>
      <c r="N2599" s="151">
        <v>-999</v>
      </c>
      <c r="O2599" s="189"/>
      <c r="P2599" s="109">
        <v>-999</v>
      </c>
    </row>
    <row r="2600" spans="1:19" ht="76.5">
      <c r="A2600" s="212" t="s">
        <v>2594</v>
      </c>
      <c r="B2600" s="141" t="s">
        <v>1976</v>
      </c>
      <c r="C2600" s="148" t="s">
        <v>3817</v>
      </c>
      <c r="D2600" s="223"/>
      <c r="E2600" s="148"/>
      <c r="F2600" s="148"/>
      <c r="G2600" s="109" t="s">
        <v>2663</v>
      </c>
      <c r="H2600" s="148" t="s">
        <v>2533</v>
      </c>
      <c r="I2600" s="148" t="s">
        <v>6040</v>
      </c>
      <c r="J2600" s="148" t="s">
        <v>5487</v>
      </c>
      <c r="K2600" s="223"/>
      <c r="L2600" s="135" t="str">
        <f t="shared" si="148"/>
        <v>Chaerephon pumila</v>
      </c>
      <c r="M2600" s="133">
        <f t="shared" ref="M2600:M2609" si="151">LOG(N2600)</f>
        <v>1.0529716716372919</v>
      </c>
      <c r="N2600" s="149">
        <v>11.297222222222</v>
      </c>
      <c r="O2600" s="191"/>
      <c r="P2600" s="109">
        <v>153</v>
      </c>
      <c r="Q2600" s="91"/>
      <c r="R2600" s="92"/>
    </row>
    <row r="2601" spans="1:19" ht="63.75">
      <c r="A2601" s="212" t="s">
        <v>2594</v>
      </c>
      <c r="B2601" s="141" t="s">
        <v>1542</v>
      </c>
      <c r="C2601" s="150" t="s">
        <v>3817</v>
      </c>
      <c r="D2601" s="221"/>
      <c r="E2601" s="150"/>
      <c r="F2601" s="150"/>
      <c r="G2601" s="110" t="s">
        <v>2663</v>
      </c>
      <c r="H2601" s="148" t="s">
        <v>2533</v>
      </c>
      <c r="I2601" s="150" t="s">
        <v>6040</v>
      </c>
      <c r="J2601" s="150" t="s">
        <v>6041</v>
      </c>
      <c r="K2601" s="221"/>
      <c r="L2601" s="135" t="str">
        <f t="shared" si="148"/>
        <v>Chaerephon jobensis</v>
      </c>
      <c r="M2601" s="133">
        <f t="shared" si="151"/>
        <v>1.0977777345392834</v>
      </c>
      <c r="N2601" s="109">
        <f>AVERAGE(13.1, 13.5, 10.5, 13)</f>
        <v>12.525</v>
      </c>
      <c r="O2601" s="191"/>
      <c r="P2601" s="109">
        <v>259</v>
      </c>
    </row>
    <row r="2602" spans="1:19" ht="89.25">
      <c r="A2602" s="212" t="s">
        <v>2594</v>
      </c>
      <c r="B2602" s="141" t="s">
        <v>1541</v>
      </c>
      <c r="C2602" s="150" t="s">
        <v>3817</v>
      </c>
      <c r="D2602" s="221"/>
      <c r="E2602" s="150"/>
      <c r="F2602" s="150"/>
      <c r="G2602" s="110" t="s">
        <v>2663</v>
      </c>
      <c r="H2602" s="148" t="s">
        <v>2533</v>
      </c>
      <c r="I2602" s="150" t="s">
        <v>6040</v>
      </c>
      <c r="J2602" s="150" t="s">
        <v>4935</v>
      </c>
      <c r="K2602" s="221"/>
      <c r="L2602" s="135" t="str">
        <f t="shared" si="148"/>
        <v>Chaerephon plicata</v>
      </c>
      <c r="M2602" s="133">
        <f t="shared" si="151"/>
        <v>1.153814864344529</v>
      </c>
      <c r="N2602" s="152">
        <f>AVERAGE(10.5, 18)</f>
        <v>14.25</v>
      </c>
      <c r="O2602" s="191"/>
      <c r="P2602" s="109">
        <v>257</v>
      </c>
    </row>
    <row r="2603" spans="1:19" ht="51">
      <c r="A2603" s="212" t="s">
        <v>2594</v>
      </c>
      <c r="B2603" s="141" t="s">
        <v>1786</v>
      </c>
      <c r="C2603" s="150" t="s">
        <v>3817</v>
      </c>
      <c r="D2603" s="221"/>
      <c r="E2603" s="150"/>
      <c r="F2603" s="150"/>
      <c r="G2603" s="110" t="s">
        <v>2663</v>
      </c>
      <c r="H2603" s="150" t="s">
        <v>2533</v>
      </c>
      <c r="I2603" s="150" t="s">
        <v>1787</v>
      </c>
      <c r="J2603" s="150" t="s">
        <v>3712</v>
      </c>
      <c r="K2603" s="221"/>
      <c r="L2603" s="135" t="str">
        <f t="shared" si="148"/>
        <v>Cheiromeles torquatus</v>
      </c>
      <c r="M2603" s="133">
        <f t="shared" si="151"/>
        <v>2.2135177569963047</v>
      </c>
      <c r="N2603" s="152">
        <v>163.5</v>
      </c>
      <c r="O2603" s="191"/>
      <c r="P2603" s="109">
        <v>153</v>
      </c>
    </row>
    <row r="2604" spans="1:19" ht="63.75">
      <c r="A2604" s="212" t="s">
        <v>2594</v>
      </c>
      <c r="B2604" s="141" t="s">
        <v>4873</v>
      </c>
      <c r="C2604" s="150" t="s">
        <v>3817</v>
      </c>
      <c r="D2604" s="221"/>
      <c r="E2604" s="150"/>
      <c r="F2604" s="150"/>
      <c r="G2604" s="110" t="s">
        <v>2663</v>
      </c>
      <c r="H2604" s="150" t="s">
        <v>2533</v>
      </c>
      <c r="I2604" s="150" t="s">
        <v>4536</v>
      </c>
      <c r="J2604" s="150" t="s">
        <v>1797</v>
      </c>
      <c r="K2604" s="221"/>
      <c r="L2604" s="135" t="str">
        <f t="shared" si="148"/>
        <v>Eumops perotis</v>
      </c>
      <c r="M2604" s="133">
        <f t="shared" si="151"/>
        <v>1.7086333210153981</v>
      </c>
      <c r="N2604" s="152">
        <v>51.125</v>
      </c>
      <c r="O2604" s="191"/>
      <c r="P2604" s="109">
        <v>153</v>
      </c>
    </row>
    <row r="2605" spans="1:19" ht="15" customHeight="1">
      <c r="A2605" s="212" t="s">
        <v>2594</v>
      </c>
      <c r="B2605" s="141" t="s">
        <v>1705</v>
      </c>
      <c r="C2605" s="150" t="s">
        <v>3817</v>
      </c>
      <c r="D2605" s="221"/>
      <c r="E2605" s="150"/>
      <c r="F2605" s="150"/>
      <c r="G2605" s="110" t="s">
        <v>2663</v>
      </c>
      <c r="H2605" s="148" t="s">
        <v>2533</v>
      </c>
      <c r="I2605" s="150" t="s">
        <v>1601</v>
      </c>
      <c r="J2605" s="150" t="s">
        <v>1599</v>
      </c>
      <c r="K2605" s="221"/>
      <c r="L2605" s="135" t="str">
        <f t="shared" si="148"/>
        <v>Molossops greenhalli</v>
      </c>
      <c r="M2605" s="133">
        <f t="shared" si="151"/>
        <v>1.1751250862836704</v>
      </c>
      <c r="N2605" s="152">
        <v>14.966666666667001</v>
      </c>
      <c r="O2605" s="191"/>
      <c r="P2605" s="109">
        <v>153</v>
      </c>
    </row>
    <row r="2606" spans="1:19" ht="114.75">
      <c r="A2606" s="212" t="s">
        <v>2594</v>
      </c>
      <c r="B2606" s="141" t="s">
        <v>1831</v>
      </c>
      <c r="C2606" s="148" t="s">
        <v>3817</v>
      </c>
      <c r="D2606" s="223"/>
      <c r="E2606" s="148"/>
      <c r="F2606" s="148"/>
      <c r="G2606" s="109" t="s">
        <v>2663</v>
      </c>
      <c r="H2606" s="148" t="s">
        <v>2533</v>
      </c>
      <c r="I2606" s="148" t="s">
        <v>1832</v>
      </c>
      <c r="J2606" s="148" t="s">
        <v>1833</v>
      </c>
      <c r="K2606" s="223"/>
      <c r="L2606" s="135" t="str">
        <f t="shared" si="148"/>
        <v>Molossus molossus</v>
      </c>
      <c r="M2606" s="133">
        <f t="shared" si="151"/>
        <v>1.1328606121183731</v>
      </c>
      <c r="N2606" s="149">
        <v>13.578775625</v>
      </c>
      <c r="O2606" s="191"/>
      <c r="P2606" s="109">
        <v>153</v>
      </c>
    </row>
    <row r="2607" spans="1:19" ht="15" customHeight="1">
      <c r="A2607" s="212" t="s">
        <v>2594</v>
      </c>
      <c r="B2607" s="141" t="s">
        <v>1494</v>
      </c>
      <c r="C2607" s="150" t="s">
        <v>3817</v>
      </c>
      <c r="D2607" s="221"/>
      <c r="E2607" s="150"/>
      <c r="F2607" s="150"/>
      <c r="G2607" s="110" t="s">
        <v>2663</v>
      </c>
      <c r="H2607" s="148" t="s">
        <v>2533</v>
      </c>
      <c r="I2607" s="150" t="s">
        <v>1832</v>
      </c>
      <c r="J2607" s="150" t="s">
        <v>1495</v>
      </c>
      <c r="K2607" s="221"/>
      <c r="L2607" s="135" t="str">
        <f t="shared" si="148"/>
        <v>Molossus bondae</v>
      </c>
      <c r="M2607" s="133">
        <f t="shared" si="151"/>
        <v>1.2504200023088941</v>
      </c>
      <c r="N2607" s="152">
        <v>17.8</v>
      </c>
      <c r="O2607" s="191"/>
      <c r="P2607" s="109">
        <v>153</v>
      </c>
    </row>
    <row r="2608" spans="1:19" ht="38.25">
      <c r="A2608" s="212" t="s">
        <v>2594</v>
      </c>
      <c r="B2608" s="141" t="s">
        <v>1641</v>
      </c>
      <c r="C2608" s="150" t="s">
        <v>3817</v>
      </c>
      <c r="D2608" s="221"/>
      <c r="E2608" s="150"/>
      <c r="F2608" s="150"/>
      <c r="G2608" s="110" t="s">
        <v>2663</v>
      </c>
      <c r="H2608" s="148" t="s">
        <v>2533</v>
      </c>
      <c r="I2608" s="150" t="s">
        <v>1832</v>
      </c>
      <c r="J2608" s="150" t="s">
        <v>1401</v>
      </c>
      <c r="K2608" s="221"/>
      <c r="L2608" s="135" t="str">
        <f t="shared" si="148"/>
        <v>Molossus sinaloae</v>
      </c>
      <c r="M2608" s="133">
        <f t="shared" si="151"/>
        <v>1.3536277589855434</v>
      </c>
      <c r="N2608" s="152">
        <v>22.574999999999999</v>
      </c>
      <c r="O2608" s="191"/>
      <c r="P2608" s="109">
        <v>153</v>
      </c>
    </row>
    <row r="2609" spans="1:19" ht="51">
      <c r="A2609" s="212" t="s">
        <v>2594</v>
      </c>
      <c r="B2609" s="141" t="s">
        <v>4422</v>
      </c>
      <c r="C2609" s="150" t="s">
        <v>3817</v>
      </c>
      <c r="D2609" s="221"/>
      <c r="E2609" s="150"/>
      <c r="F2609" s="150"/>
      <c r="G2609" s="110" t="s">
        <v>2663</v>
      </c>
      <c r="H2609" s="150" t="s">
        <v>2533</v>
      </c>
      <c r="I2609" s="150" t="s">
        <v>1832</v>
      </c>
      <c r="J2609" s="150" t="s">
        <v>5946</v>
      </c>
      <c r="K2609" s="221"/>
      <c r="L2609" s="135" t="str">
        <f t="shared" si="148"/>
        <v>Molossus ater</v>
      </c>
      <c r="M2609" s="133">
        <f t="shared" si="151"/>
        <v>1.5004717160421372</v>
      </c>
      <c r="N2609" s="152">
        <v>31.657142857143</v>
      </c>
      <c r="O2609" s="191"/>
      <c r="P2609" s="109">
        <v>153</v>
      </c>
    </row>
    <row r="2610" spans="1:19" ht="24" customHeight="1">
      <c r="A2610" s="212" t="s">
        <v>2594</v>
      </c>
      <c r="B2610" s="141" t="s">
        <v>4770</v>
      </c>
      <c r="C2610" s="148" t="s">
        <v>3817</v>
      </c>
      <c r="D2610" s="223"/>
      <c r="E2610" s="148"/>
      <c r="F2610" s="148"/>
      <c r="G2610" s="109" t="s">
        <v>2663</v>
      </c>
      <c r="H2610" s="148" t="s">
        <v>2533</v>
      </c>
      <c r="I2610" s="148" t="s">
        <v>4439</v>
      </c>
      <c r="J2610" s="148" t="s">
        <v>4771</v>
      </c>
      <c r="K2610" s="223"/>
      <c r="L2610" s="135" t="str">
        <f t="shared" si="148"/>
        <v>Mops sarasinorum</v>
      </c>
      <c r="M2610" s="151">
        <v>-999</v>
      </c>
      <c r="N2610" s="151">
        <v>-999</v>
      </c>
      <c r="O2610" s="189"/>
      <c r="P2610" s="109">
        <v>-999</v>
      </c>
    </row>
    <row r="2611" spans="1:19" ht="51">
      <c r="A2611" s="212" t="s">
        <v>2594</v>
      </c>
      <c r="B2611" s="141" t="s">
        <v>4772</v>
      </c>
      <c r="C2611" s="148" t="s">
        <v>3817</v>
      </c>
      <c r="D2611" s="223"/>
      <c r="E2611" s="148"/>
      <c r="F2611" s="148"/>
      <c r="G2611" s="109" t="s">
        <v>2663</v>
      </c>
      <c r="H2611" s="148" t="s">
        <v>2533</v>
      </c>
      <c r="I2611" s="148" t="s">
        <v>4439</v>
      </c>
      <c r="J2611" s="148" t="s">
        <v>4759</v>
      </c>
      <c r="K2611" s="223"/>
      <c r="L2611" s="135" t="str">
        <f t="shared" si="148"/>
        <v>Mops spurrelli</v>
      </c>
      <c r="M2611" s="151">
        <v>-999</v>
      </c>
      <c r="N2611" s="151">
        <v>-999</v>
      </c>
      <c r="O2611" s="189"/>
      <c r="P2611" s="109">
        <v>-999</v>
      </c>
    </row>
    <row r="2612" spans="1:19" ht="38.25">
      <c r="A2612" s="212" t="s">
        <v>2594</v>
      </c>
      <c r="B2612" s="141" t="s">
        <v>4438</v>
      </c>
      <c r="C2612" s="150" t="s">
        <v>3817</v>
      </c>
      <c r="D2612" s="221"/>
      <c r="E2612" s="150"/>
      <c r="F2612" s="150"/>
      <c r="G2612" s="110" t="s">
        <v>2663</v>
      </c>
      <c r="H2612" s="148" t="s">
        <v>2533</v>
      </c>
      <c r="I2612" s="150" t="s">
        <v>4439</v>
      </c>
      <c r="J2612" s="150" t="s">
        <v>2705</v>
      </c>
      <c r="K2612" s="221"/>
      <c r="L2612" s="135" t="str">
        <f t="shared" si="148"/>
        <v>Mops brachypterus</v>
      </c>
      <c r="M2612" s="133">
        <f>LOG(N2612)</f>
        <v>1.2041199826559248</v>
      </c>
      <c r="N2612" s="152">
        <v>16</v>
      </c>
      <c r="O2612" s="191"/>
      <c r="P2612" s="109">
        <v>153</v>
      </c>
    </row>
    <row r="2613" spans="1:19" ht="38.25">
      <c r="A2613" s="212" t="s">
        <v>2594</v>
      </c>
      <c r="B2613" s="141" t="s">
        <v>2139</v>
      </c>
      <c r="C2613" s="150" t="s">
        <v>3817</v>
      </c>
      <c r="D2613" s="221"/>
      <c r="E2613" s="150"/>
      <c r="F2613" s="150"/>
      <c r="G2613" s="110" t="s">
        <v>2663</v>
      </c>
      <c r="H2613" s="148" t="s">
        <v>2533</v>
      </c>
      <c r="I2613" s="150" t="s">
        <v>4439</v>
      </c>
      <c r="J2613" s="150" t="s">
        <v>2140</v>
      </c>
      <c r="K2613" s="221"/>
      <c r="L2613" s="135" t="str">
        <f t="shared" si="148"/>
        <v>Mops thersites</v>
      </c>
      <c r="M2613" s="133">
        <f>LOG(N2613)</f>
        <v>1.3424226808222062</v>
      </c>
      <c r="N2613" s="152">
        <v>22</v>
      </c>
      <c r="O2613" s="191"/>
      <c r="P2613" s="109">
        <v>153</v>
      </c>
    </row>
    <row r="2614" spans="1:19" ht="51">
      <c r="A2614" s="212" t="s">
        <v>2594</v>
      </c>
      <c r="B2614" s="141" t="s">
        <v>1616</v>
      </c>
      <c r="C2614" s="150" t="s">
        <v>3817</v>
      </c>
      <c r="D2614" s="221"/>
      <c r="E2614" s="150"/>
      <c r="F2614" s="150"/>
      <c r="G2614" s="110" t="s">
        <v>2663</v>
      </c>
      <c r="H2614" s="150" t="s">
        <v>2533</v>
      </c>
      <c r="I2614" s="150" t="s">
        <v>4439</v>
      </c>
      <c r="J2614" s="150" t="s">
        <v>1618</v>
      </c>
      <c r="K2614" s="221"/>
      <c r="L2614" s="135" t="str">
        <f t="shared" si="148"/>
        <v>Mops condylurus</v>
      </c>
      <c r="M2614" s="133">
        <f>LOG(N2614)</f>
        <v>1.4529103602313054</v>
      </c>
      <c r="N2614" s="152">
        <v>28.373333333333001</v>
      </c>
      <c r="O2614" s="191"/>
      <c r="P2614" s="109">
        <v>153</v>
      </c>
    </row>
    <row r="2615" spans="1:19" ht="25.5">
      <c r="A2615" s="212" t="s">
        <v>2594</v>
      </c>
      <c r="B2615" s="141" t="s">
        <v>4607</v>
      </c>
      <c r="C2615" s="150" t="s">
        <v>3817</v>
      </c>
      <c r="D2615" s="221"/>
      <c r="E2615" s="150"/>
      <c r="F2615" s="150"/>
      <c r="G2615" s="110" t="s">
        <v>2663</v>
      </c>
      <c r="H2615" s="150" t="s">
        <v>2533</v>
      </c>
      <c r="I2615" s="150" t="s">
        <v>4439</v>
      </c>
      <c r="J2615" s="150" t="s">
        <v>4608</v>
      </c>
      <c r="K2615" s="221"/>
      <c r="L2615" s="135" t="str">
        <f t="shared" si="148"/>
        <v>Mops mops</v>
      </c>
      <c r="M2615" s="133">
        <f>LOG(N2615)</f>
        <v>1.4906606533561368</v>
      </c>
      <c r="N2615" s="152">
        <v>30.95</v>
      </c>
      <c r="O2615" s="191"/>
      <c r="P2615" s="109">
        <v>153</v>
      </c>
    </row>
    <row r="2616" spans="1:19" ht="51">
      <c r="A2616" s="212" t="s">
        <v>2594</v>
      </c>
      <c r="B2616" s="141" t="s">
        <v>4765</v>
      </c>
      <c r="C2616" s="150" t="s">
        <v>3817</v>
      </c>
      <c r="D2616" s="221"/>
      <c r="E2616" s="150"/>
      <c r="F2616" s="150"/>
      <c r="G2616" s="110" t="s">
        <v>2663</v>
      </c>
      <c r="H2616" s="150" t="s">
        <v>2533</v>
      </c>
      <c r="I2616" s="150" t="s">
        <v>4439</v>
      </c>
      <c r="J2616" s="150" t="s">
        <v>7493</v>
      </c>
      <c r="K2616" s="221"/>
      <c r="L2616" s="135" t="str">
        <f t="shared" si="148"/>
        <v>Mops midas</v>
      </c>
      <c r="M2616" s="133">
        <f>LOG(N2616)</f>
        <v>1.6553305580093409</v>
      </c>
      <c r="N2616" s="152">
        <v>45.22</v>
      </c>
      <c r="O2616" s="191"/>
      <c r="P2616" s="109">
        <v>153</v>
      </c>
    </row>
    <row r="2617" spans="1:19" ht="51">
      <c r="A2617" s="212" t="s">
        <v>2594</v>
      </c>
      <c r="B2617" s="141" t="s">
        <v>1979</v>
      </c>
      <c r="C2617" s="148" t="s">
        <v>3817</v>
      </c>
      <c r="D2617" s="223"/>
      <c r="E2617" s="148"/>
      <c r="F2617" s="148"/>
      <c r="G2617" s="109" t="s">
        <v>2663</v>
      </c>
      <c r="H2617" s="148" t="s">
        <v>2533</v>
      </c>
      <c r="I2617" s="148" t="s">
        <v>2496</v>
      </c>
      <c r="J2617" s="148" t="s">
        <v>2499</v>
      </c>
      <c r="K2617" s="223"/>
      <c r="L2617" s="135" t="str">
        <f t="shared" si="148"/>
        <v>Mormopterus acetabulosus</v>
      </c>
      <c r="M2617" s="151">
        <v>-999</v>
      </c>
      <c r="N2617" s="151">
        <v>-999</v>
      </c>
      <c r="O2617" s="189"/>
      <c r="P2617" s="109">
        <v>-999</v>
      </c>
    </row>
    <row r="2618" spans="1:19">
      <c r="A2618" s="212" t="s">
        <v>2594</v>
      </c>
      <c r="B2618" s="141" t="s">
        <v>2539</v>
      </c>
      <c r="C2618" s="148" t="s">
        <v>3817</v>
      </c>
      <c r="D2618" s="223"/>
      <c r="E2618" s="148"/>
      <c r="F2618" s="148"/>
      <c r="G2618" s="109" t="s">
        <v>2663</v>
      </c>
      <c r="H2618" s="148" t="s">
        <v>2533</v>
      </c>
      <c r="I2618" s="148" t="s">
        <v>2496</v>
      </c>
      <c r="J2618" s="148" t="s">
        <v>5401</v>
      </c>
      <c r="K2618" s="223"/>
      <c r="L2618" s="135" t="str">
        <f t="shared" si="148"/>
        <v>Mormopterus doriae</v>
      </c>
      <c r="M2618" s="151">
        <v>-999</v>
      </c>
      <c r="N2618" s="151">
        <v>-999</v>
      </c>
      <c r="O2618" s="189"/>
      <c r="P2618" s="109">
        <v>-999</v>
      </c>
    </row>
    <row r="2619" spans="1:19">
      <c r="A2619" s="212" t="s">
        <v>2594</v>
      </c>
      <c r="B2619" s="141" t="s">
        <v>2537</v>
      </c>
      <c r="C2619" s="148" t="s">
        <v>3817</v>
      </c>
      <c r="D2619" s="223"/>
      <c r="E2619" s="148"/>
      <c r="F2619" s="148"/>
      <c r="G2619" s="109" t="s">
        <v>2663</v>
      </c>
      <c r="H2619" s="148" t="s">
        <v>2533</v>
      </c>
      <c r="I2619" s="148" t="s">
        <v>2496</v>
      </c>
      <c r="J2619" s="148" t="s">
        <v>3876</v>
      </c>
      <c r="K2619" s="223"/>
      <c r="L2619" s="135" t="str">
        <f t="shared" si="148"/>
        <v>Mormopterus minutus</v>
      </c>
      <c r="M2619" s="151">
        <v>-999</v>
      </c>
      <c r="N2619" s="151">
        <v>-999</v>
      </c>
      <c r="O2619" s="189"/>
      <c r="P2619" s="109">
        <v>-999</v>
      </c>
    </row>
    <row r="2620" spans="1:19" ht="38.25">
      <c r="A2620" s="212" t="s">
        <v>2594</v>
      </c>
      <c r="B2620" s="141" t="s">
        <v>660</v>
      </c>
      <c r="C2620" s="148" t="s">
        <v>3817</v>
      </c>
      <c r="D2620" s="223"/>
      <c r="E2620" s="148"/>
      <c r="F2620" s="148"/>
      <c r="G2620" s="109" t="s">
        <v>2663</v>
      </c>
      <c r="H2620" s="148" t="s">
        <v>2533</v>
      </c>
      <c r="I2620" s="148" t="s">
        <v>2496</v>
      </c>
      <c r="J2620" s="148" t="s">
        <v>661</v>
      </c>
      <c r="K2620" s="223"/>
      <c r="L2620" s="135" t="str">
        <f t="shared" si="148"/>
        <v>Mormopterus norfolkensis</v>
      </c>
      <c r="M2620" s="133">
        <f t="shared" ref="M2620:M2625" si="152">LOG(N2620)</f>
        <v>0.90308998699194354</v>
      </c>
      <c r="N2620" s="149">
        <v>8</v>
      </c>
      <c r="O2620" s="191"/>
      <c r="P2620" s="109">
        <v>153</v>
      </c>
    </row>
    <row r="2621" spans="1:19">
      <c r="A2621" s="212" t="s">
        <v>2594</v>
      </c>
      <c r="B2621" s="141" t="s">
        <v>580</v>
      </c>
      <c r="C2621" s="148" t="s">
        <v>3817</v>
      </c>
      <c r="D2621" s="223"/>
      <c r="E2621" s="148"/>
      <c r="F2621" s="148"/>
      <c r="G2621" s="109" t="s">
        <v>2663</v>
      </c>
      <c r="H2621" s="148" t="s">
        <v>2533</v>
      </c>
      <c r="I2621" s="148" t="s">
        <v>2496</v>
      </c>
      <c r="J2621" s="148" t="s">
        <v>7296</v>
      </c>
      <c r="K2621" s="223"/>
      <c r="L2621" s="135" t="str">
        <f t="shared" si="148"/>
        <v>Mormopterus planiceps</v>
      </c>
      <c r="M2621" s="133">
        <f t="shared" si="152"/>
        <v>0.94448267215016868</v>
      </c>
      <c r="N2621" s="149">
        <v>8.8000000000000007</v>
      </c>
      <c r="O2621" s="191"/>
      <c r="P2621" s="109">
        <v>153</v>
      </c>
      <c r="S2621" s="92"/>
    </row>
    <row r="2622" spans="1:19">
      <c r="A2622" s="212" t="s">
        <v>2594</v>
      </c>
      <c r="B2622" s="141" t="s">
        <v>608</v>
      </c>
      <c r="C2622" s="148" t="s">
        <v>3817</v>
      </c>
      <c r="D2622" s="223"/>
      <c r="E2622" s="148"/>
      <c r="F2622" s="148"/>
      <c r="G2622" s="109" t="s">
        <v>2663</v>
      </c>
      <c r="H2622" s="148" t="s">
        <v>2533</v>
      </c>
      <c r="I2622" s="148" t="s">
        <v>2496</v>
      </c>
      <c r="J2622" s="148" t="s">
        <v>2497</v>
      </c>
      <c r="K2622" s="223"/>
      <c r="L2622" s="135" t="str">
        <f t="shared" si="148"/>
        <v>Mormopterus jugularis</v>
      </c>
      <c r="M2622" s="133">
        <f t="shared" si="152"/>
        <v>1.0606978403536116</v>
      </c>
      <c r="N2622" s="149">
        <v>11.5</v>
      </c>
      <c r="O2622" s="191"/>
      <c r="P2622" s="109">
        <v>153</v>
      </c>
    </row>
    <row r="2623" spans="1:19" ht="38.25">
      <c r="A2623" s="212" t="s">
        <v>2594</v>
      </c>
      <c r="B2623" s="141" t="s">
        <v>4345</v>
      </c>
      <c r="C2623" s="148" t="s">
        <v>3817</v>
      </c>
      <c r="D2623" s="223"/>
      <c r="E2623" s="148"/>
      <c r="F2623" s="148"/>
      <c r="G2623" s="109" t="s">
        <v>2663</v>
      </c>
      <c r="H2623" s="148" t="s">
        <v>2533</v>
      </c>
      <c r="I2623" s="148" t="s">
        <v>2496</v>
      </c>
      <c r="J2623" s="148" t="s">
        <v>8172</v>
      </c>
      <c r="K2623" s="223"/>
      <c r="L2623" s="135" t="str">
        <f t="shared" si="148"/>
        <v>Mormopterus beccarii</v>
      </c>
      <c r="M2623" s="133">
        <f t="shared" si="152"/>
        <v>1.1717264536532312</v>
      </c>
      <c r="N2623" s="149">
        <v>14.85</v>
      </c>
      <c r="O2623" s="191"/>
      <c r="P2623" s="109">
        <v>153</v>
      </c>
    </row>
    <row r="2624" spans="1:19" ht="51">
      <c r="A2624" s="212" t="s">
        <v>2594</v>
      </c>
      <c r="B2624" s="141" t="s">
        <v>1785</v>
      </c>
      <c r="C2624" s="148" t="s">
        <v>3817</v>
      </c>
      <c r="D2624" s="223"/>
      <c r="E2624" s="148"/>
      <c r="F2624" s="148"/>
      <c r="G2624" s="109" t="s">
        <v>2663</v>
      </c>
      <c r="H2624" s="148" t="s">
        <v>2533</v>
      </c>
      <c r="I2624" s="148" t="s">
        <v>4349</v>
      </c>
      <c r="J2624" s="148" t="s">
        <v>5515</v>
      </c>
      <c r="K2624" s="223"/>
      <c r="L2624" s="135" t="str">
        <f t="shared" si="148"/>
        <v>Nyctinomops laticaudatus</v>
      </c>
      <c r="M2624" s="133">
        <f t="shared" si="152"/>
        <v>1.0869527242574961</v>
      </c>
      <c r="N2624" s="149">
        <v>12.216666666667001</v>
      </c>
      <c r="O2624" s="191"/>
      <c r="P2624" s="109">
        <v>153</v>
      </c>
    </row>
    <row r="2625" spans="1:16" ht="51">
      <c r="A2625" s="212" t="s">
        <v>2594</v>
      </c>
      <c r="B2625" s="141" t="s">
        <v>2013</v>
      </c>
      <c r="C2625" s="150" t="s">
        <v>3817</v>
      </c>
      <c r="D2625" s="221"/>
      <c r="E2625" s="150"/>
      <c r="F2625" s="150"/>
      <c r="G2625" s="110" t="s">
        <v>2663</v>
      </c>
      <c r="H2625" s="148" t="s">
        <v>2533</v>
      </c>
      <c r="I2625" s="150" t="s">
        <v>4349</v>
      </c>
      <c r="J2625" s="150" t="s">
        <v>4141</v>
      </c>
      <c r="K2625" s="221"/>
      <c r="L2625" s="135" t="str">
        <f t="shared" si="148"/>
        <v>Nyctinomops macrotis</v>
      </c>
      <c r="M2625" s="133">
        <f t="shared" si="152"/>
        <v>1.2648178230095364</v>
      </c>
      <c r="N2625" s="152">
        <v>18.399999999999999</v>
      </c>
      <c r="O2625" s="191"/>
      <c r="P2625" s="109">
        <v>153</v>
      </c>
    </row>
    <row r="2626" spans="1:16">
      <c r="A2626" s="212" t="s">
        <v>2594</v>
      </c>
      <c r="B2626" s="141" t="s">
        <v>2538</v>
      </c>
      <c r="C2626" s="148" t="s">
        <v>3817</v>
      </c>
      <c r="D2626" s="223"/>
      <c r="E2626" s="148"/>
      <c r="F2626" s="148"/>
      <c r="G2626" s="109" t="s">
        <v>2663</v>
      </c>
      <c r="H2626" s="148" t="s">
        <v>2533</v>
      </c>
      <c r="I2626" s="148" t="s">
        <v>1189</v>
      </c>
      <c r="J2626" s="148" t="s">
        <v>3585</v>
      </c>
      <c r="K2626" s="223"/>
      <c r="L2626" s="135" t="str">
        <f t="shared" si="148"/>
        <v>Otomops formosus</v>
      </c>
      <c r="M2626" s="151">
        <v>-999</v>
      </c>
      <c r="N2626" s="151">
        <v>-999</v>
      </c>
      <c r="O2626" s="189"/>
      <c r="P2626" s="109">
        <v>-999</v>
      </c>
    </row>
    <row r="2627" spans="1:16" ht="15" customHeight="1">
      <c r="A2627" s="212" t="s">
        <v>2594</v>
      </c>
      <c r="B2627" s="141" t="s">
        <v>595</v>
      </c>
      <c r="C2627" s="148" t="s">
        <v>3817</v>
      </c>
      <c r="D2627" s="223"/>
      <c r="E2627" s="148"/>
      <c r="F2627" s="148"/>
      <c r="G2627" s="109" t="s">
        <v>2663</v>
      </c>
      <c r="H2627" s="148" t="s">
        <v>2533</v>
      </c>
      <c r="I2627" s="148" t="s">
        <v>1189</v>
      </c>
      <c r="J2627" s="148" t="s">
        <v>1360</v>
      </c>
      <c r="K2627" s="223"/>
      <c r="L2627" s="135" t="str">
        <f t="shared" si="148"/>
        <v>Otomops secundus</v>
      </c>
      <c r="M2627" s="151">
        <v>-999</v>
      </c>
      <c r="N2627" s="151">
        <v>-999</v>
      </c>
      <c r="O2627" s="189"/>
      <c r="P2627" s="109">
        <v>-999</v>
      </c>
    </row>
    <row r="2628" spans="1:16">
      <c r="A2628" s="212" t="s">
        <v>2594</v>
      </c>
      <c r="B2628" s="141" t="s">
        <v>595</v>
      </c>
      <c r="C2628" s="148" t="s">
        <v>3817</v>
      </c>
      <c r="D2628" s="223"/>
      <c r="E2628" s="148"/>
      <c r="F2628" s="148"/>
      <c r="G2628" s="109" t="s">
        <v>2663</v>
      </c>
      <c r="H2628" s="148" t="s">
        <v>2533</v>
      </c>
      <c r="I2628" s="148" t="s">
        <v>1189</v>
      </c>
      <c r="J2628" s="148" t="s">
        <v>5532</v>
      </c>
      <c r="K2628" s="223"/>
      <c r="L2628" s="135" t="str">
        <f t="shared" si="148"/>
        <v>Otomops papuensis</v>
      </c>
      <c r="M2628" s="151">
        <f t="shared" ref="M2628:M2642" si="153">LOG(N2628)</f>
        <v>1.2174839442139063</v>
      </c>
      <c r="N2628" s="109">
        <f>AVERAGE(15.5, 17.5)</f>
        <v>16.5</v>
      </c>
      <c r="O2628" s="189"/>
      <c r="P2628" s="109">
        <v>259</v>
      </c>
    </row>
    <row r="2629" spans="1:16" ht="51">
      <c r="A2629" s="212" t="s">
        <v>2594</v>
      </c>
      <c r="B2629" s="141" t="s">
        <v>573</v>
      </c>
      <c r="C2629" s="150" t="s">
        <v>3817</v>
      </c>
      <c r="D2629" s="221"/>
      <c r="E2629" s="150"/>
      <c r="F2629" s="150"/>
      <c r="G2629" s="110" t="s">
        <v>2663</v>
      </c>
      <c r="H2629" s="150" t="s">
        <v>2533</v>
      </c>
      <c r="I2629" s="150" t="s">
        <v>1189</v>
      </c>
      <c r="J2629" s="150" t="s">
        <v>574</v>
      </c>
      <c r="K2629" s="221"/>
      <c r="L2629" s="135" t="str">
        <f t="shared" ref="L2629:L2692" si="154">I2629&amp;" "&amp;J2629</f>
        <v>Otomops martiensseni</v>
      </c>
      <c r="M2629" s="133">
        <f t="shared" si="153"/>
        <v>1.5352941200427705</v>
      </c>
      <c r="N2629" s="152">
        <v>34.299999999999997</v>
      </c>
      <c r="O2629" s="191"/>
      <c r="P2629" s="109">
        <v>153</v>
      </c>
    </row>
    <row r="2630" spans="1:16" ht="51">
      <c r="A2630" s="212" t="s">
        <v>2594</v>
      </c>
      <c r="B2630" s="141" t="s">
        <v>1627</v>
      </c>
      <c r="C2630" s="150" t="s">
        <v>3817</v>
      </c>
      <c r="D2630" s="221"/>
      <c r="E2630" s="150"/>
      <c r="F2630" s="150"/>
      <c r="G2630" s="110" t="s">
        <v>2663</v>
      </c>
      <c r="H2630" s="150" t="s">
        <v>2533</v>
      </c>
      <c r="I2630" s="150" t="s">
        <v>4532</v>
      </c>
      <c r="J2630" s="150" t="s">
        <v>3499</v>
      </c>
      <c r="K2630" s="221"/>
      <c r="L2630" s="135" t="str">
        <f t="shared" si="154"/>
        <v>Promops centralis</v>
      </c>
      <c r="M2630" s="133">
        <f t="shared" si="153"/>
        <v>1.4210552287780196</v>
      </c>
      <c r="N2630" s="152">
        <v>26.366666666667001</v>
      </c>
      <c r="O2630" s="191"/>
      <c r="P2630" s="109">
        <v>153</v>
      </c>
    </row>
    <row r="2631" spans="1:16" ht="63.75">
      <c r="A2631" s="212" t="s">
        <v>2594</v>
      </c>
      <c r="B2631" s="141" t="s">
        <v>1788</v>
      </c>
      <c r="C2631" s="150" t="s">
        <v>3817</v>
      </c>
      <c r="D2631" s="221"/>
      <c r="E2631" s="150"/>
      <c r="F2631" s="150"/>
      <c r="G2631" s="110" t="s">
        <v>2663</v>
      </c>
      <c r="H2631" s="150" t="s">
        <v>2533</v>
      </c>
      <c r="I2631" s="150" t="s">
        <v>2501</v>
      </c>
      <c r="J2631" s="150" t="s">
        <v>4467</v>
      </c>
      <c r="K2631" s="221"/>
      <c r="L2631" s="135" t="str">
        <f t="shared" si="154"/>
        <v>Tadarida brasiliensis</v>
      </c>
      <c r="M2631" s="133">
        <f t="shared" si="153"/>
        <v>1.0965308268821932</v>
      </c>
      <c r="N2631" s="152">
        <v>12.489090909091001</v>
      </c>
      <c r="O2631" s="191"/>
      <c r="P2631" s="109">
        <v>153</v>
      </c>
    </row>
    <row r="2632" spans="1:16" ht="51">
      <c r="A2632" s="212" t="s">
        <v>2594</v>
      </c>
      <c r="B2632" s="141" t="s">
        <v>4350</v>
      </c>
      <c r="C2632" s="150" t="s">
        <v>3817</v>
      </c>
      <c r="D2632" s="221"/>
      <c r="E2632" s="150"/>
      <c r="F2632" s="150"/>
      <c r="G2632" s="110" t="s">
        <v>2663</v>
      </c>
      <c r="H2632" s="150" t="s">
        <v>2533</v>
      </c>
      <c r="I2632" s="150" t="s">
        <v>2501</v>
      </c>
      <c r="J2632" s="150" t="s">
        <v>4351</v>
      </c>
      <c r="K2632" s="221"/>
      <c r="L2632" s="135" t="str">
        <f t="shared" si="154"/>
        <v>Tadarida aegyptiaca</v>
      </c>
      <c r="M2632" s="133">
        <f t="shared" si="153"/>
        <v>1.2248534211176516</v>
      </c>
      <c r="N2632" s="152">
        <v>16.782374999999998</v>
      </c>
      <c r="O2632" s="191"/>
      <c r="P2632" s="109">
        <v>153</v>
      </c>
    </row>
    <row r="2633" spans="1:16" ht="15" customHeight="1">
      <c r="A2633" s="212" t="s">
        <v>2594</v>
      </c>
      <c r="B2633" s="141" t="s">
        <v>4352</v>
      </c>
      <c r="C2633" s="150" t="s">
        <v>3817</v>
      </c>
      <c r="D2633" s="221"/>
      <c r="E2633" s="150"/>
      <c r="F2633" s="150"/>
      <c r="G2633" s="110" t="s">
        <v>2663</v>
      </c>
      <c r="H2633" s="150" t="s">
        <v>2533</v>
      </c>
      <c r="I2633" s="150" t="s">
        <v>2501</v>
      </c>
      <c r="J2633" s="150" t="s">
        <v>2065</v>
      </c>
      <c r="K2633" s="221"/>
      <c r="L2633" s="135" t="str">
        <f t="shared" si="154"/>
        <v>Tadarida teniotis</v>
      </c>
      <c r="M2633" s="133">
        <f t="shared" si="153"/>
        <v>1.4319938381303527</v>
      </c>
      <c r="N2633" s="152">
        <v>27.039200000000001</v>
      </c>
      <c r="O2633" s="191"/>
      <c r="P2633" s="109">
        <v>153</v>
      </c>
    </row>
    <row r="2634" spans="1:16" ht="15" customHeight="1">
      <c r="A2634" s="212" t="s">
        <v>2594</v>
      </c>
      <c r="B2634" s="141" t="s">
        <v>1970</v>
      </c>
      <c r="C2634" s="150" t="s">
        <v>3817</v>
      </c>
      <c r="D2634" s="221"/>
      <c r="E2634" s="150"/>
      <c r="F2634" s="150"/>
      <c r="G2634" s="110" t="s">
        <v>2663</v>
      </c>
      <c r="H2634" s="150" t="s">
        <v>2533</v>
      </c>
      <c r="I2634" s="150" t="s">
        <v>2501</v>
      </c>
      <c r="J2634" s="150" t="s">
        <v>3789</v>
      </c>
      <c r="K2634" s="221"/>
      <c r="L2634" s="135" t="str">
        <f t="shared" si="154"/>
        <v>Tadarida australis</v>
      </c>
      <c r="M2634" s="133">
        <f t="shared" si="153"/>
        <v>1.5024271199844328</v>
      </c>
      <c r="N2634" s="152">
        <v>31.8</v>
      </c>
      <c r="O2634" s="191"/>
      <c r="P2634" s="109">
        <v>153</v>
      </c>
    </row>
    <row r="2635" spans="1:16" ht="63.75">
      <c r="A2635" s="212" t="s">
        <v>2594</v>
      </c>
      <c r="B2635" s="141" t="s">
        <v>4690</v>
      </c>
      <c r="C2635" s="150" t="s">
        <v>3817</v>
      </c>
      <c r="D2635" s="221"/>
      <c r="E2635" s="150"/>
      <c r="F2635" s="150"/>
      <c r="G2635" s="110" t="s">
        <v>2663</v>
      </c>
      <c r="H2635" s="150" t="s">
        <v>2533</v>
      </c>
      <c r="I2635" s="150" t="s">
        <v>2501</v>
      </c>
      <c r="J2635" s="150" t="s">
        <v>2502</v>
      </c>
      <c r="K2635" s="221"/>
      <c r="L2635" s="135" t="str">
        <f t="shared" si="154"/>
        <v>Tadarida fulminans</v>
      </c>
      <c r="M2635" s="133">
        <f t="shared" si="153"/>
        <v>1.5475285764597821</v>
      </c>
      <c r="N2635" s="152">
        <v>35.28</v>
      </c>
      <c r="O2635" s="191"/>
      <c r="P2635" s="109">
        <v>153</v>
      </c>
    </row>
    <row r="2636" spans="1:16" ht="25.5">
      <c r="A2636" s="212" t="s">
        <v>2594</v>
      </c>
      <c r="B2636" s="141" t="s">
        <v>4685</v>
      </c>
      <c r="C2636" s="148" t="s">
        <v>3817</v>
      </c>
      <c r="D2636" s="223"/>
      <c r="E2636" s="148"/>
      <c r="F2636" s="148"/>
      <c r="G2636" s="109" t="s">
        <v>2663</v>
      </c>
      <c r="H2636" s="148" t="s">
        <v>4686</v>
      </c>
      <c r="I2636" s="148" t="s">
        <v>4687</v>
      </c>
      <c r="J2636" s="148" t="s">
        <v>4688</v>
      </c>
      <c r="K2636" s="223"/>
      <c r="L2636" s="135" t="str">
        <f t="shared" si="154"/>
        <v>Mormoops blainvillii</v>
      </c>
      <c r="M2636" s="133">
        <f t="shared" si="153"/>
        <v>0.93449845124356767</v>
      </c>
      <c r="N2636" s="149">
        <v>8.6</v>
      </c>
      <c r="O2636" s="191"/>
      <c r="P2636" s="109">
        <v>153</v>
      </c>
    </row>
    <row r="2637" spans="1:16" ht="102">
      <c r="A2637" s="212" t="s">
        <v>2594</v>
      </c>
      <c r="B2637" s="141" t="s">
        <v>731</v>
      </c>
      <c r="C2637" s="150" t="s">
        <v>3817</v>
      </c>
      <c r="D2637" s="221"/>
      <c r="E2637" s="150"/>
      <c r="F2637" s="150"/>
      <c r="G2637" s="110" t="s">
        <v>2663</v>
      </c>
      <c r="H2637" s="148" t="s">
        <v>4686</v>
      </c>
      <c r="I2637" s="150" t="s">
        <v>4687</v>
      </c>
      <c r="J2637" s="150" t="s">
        <v>653</v>
      </c>
      <c r="K2637" s="221"/>
      <c r="L2637" s="135" t="str">
        <f t="shared" si="154"/>
        <v>Mormoops megalophylla</v>
      </c>
      <c r="M2637" s="133">
        <f t="shared" si="153"/>
        <v>1.1912646619703378</v>
      </c>
      <c r="N2637" s="152">
        <f>AVERAGE(12.4, 19.9, 14.3)</f>
        <v>15.533333333333331</v>
      </c>
      <c r="O2637" s="191"/>
      <c r="P2637" s="109">
        <v>261</v>
      </c>
    </row>
    <row r="2638" spans="1:16" ht="15" customHeight="1">
      <c r="A2638" s="212" t="s">
        <v>2594</v>
      </c>
      <c r="B2638" s="156" t="s">
        <v>654</v>
      </c>
      <c r="C2638" s="148" t="s">
        <v>3817</v>
      </c>
      <c r="D2638" s="223"/>
      <c r="E2638" s="148"/>
      <c r="F2638" s="148"/>
      <c r="G2638" s="109" t="s">
        <v>2663</v>
      </c>
      <c r="H2638" s="148" t="s">
        <v>4686</v>
      </c>
      <c r="I2638" s="148" t="s">
        <v>869</v>
      </c>
      <c r="J2638" s="148" t="s">
        <v>870</v>
      </c>
      <c r="K2638" s="223"/>
      <c r="L2638" s="135" t="str">
        <f t="shared" si="154"/>
        <v>Pteronotus quadridens</v>
      </c>
      <c r="M2638" s="133">
        <f t="shared" si="153"/>
        <v>0.71222866961953535</v>
      </c>
      <c r="N2638" s="149">
        <v>5.1550000000000002</v>
      </c>
      <c r="O2638" s="191"/>
      <c r="P2638" s="109">
        <v>153</v>
      </c>
    </row>
    <row r="2639" spans="1:16">
      <c r="A2639" s="212" t="s">
        <v>2594</v>
      </c>
      <c r="B2639" s="141" t="s">
        <v>420</v>
      </c>
      <c r="C2639" s="148" t="s">
        <v>3817</v>
      </c>
      <c r="D2639" s="223"/>
      <c r="E2639" s="148"/>
      <c r="F2639" s="148"/>
      <c r="G2639" s="109" t="s">
        <v>2663</v>
      </c>
      <c r="H2639" s="148" t="s">
        <v>4686</v>
      </c>
      <c r="I2639" s="148" t="s">
        <v>869</v>
      </c>
      <c r="J2639" s="148" t="s">
        <v>421</v>
      </c>
      <c r="K2639" s="223"/>
      <c r="L2639" s="135" t="str">
        <f t="shared" si="154"/>
        <v>Pteronotus macleayii</v>
      </c>
      <c r="M2639" s="133">
        <f t="shared" si="153"/>
        <v>0.72835378202122847</v>
      </c>
      <c r="N2639" s="151">
        <f>AVERAGE(5.1, 5.6)</f>
        <v>5.35</v>
      </c>
      <c r="O2639" s="189"/>
      <c r="P2639" s="109">
        <v>271</v>
      </c>
    </row>
    <row r="2640" spans="1:16" ht="63.75">
      <c r="A2640" s="212" t="s">
        <v>2594</v>
      </c>
      <c r="B2640" s="141" t="s">
        <v>4592</v>
      </c>
      <c r="C2640" s="148" t="s">
        <v>3817</v>
      </c>
      <c r="D2640" s="223"/>
      <c r="E2640" s="148"/>
      <c r="F2640" s="148"/>
      <c r="G2640" s="109" t="s">
        <v>2663</v>
      </c>
      <c r="H2640" s="148" t="s">
        <v>4686</v>
      </c>
      <c r="I2640" s="148" t="s">
        <v>869</v>
      </c>
      <c r="J2640" s="148" t="s">
        <v>4423</v>
      </c>
      <c r="K2640" s="223"/>
      <c r="L2640" s="135" t="str">
        <f t="shared" si="154"/>
        <v>Pteronotus davyi</v>
      </c>
      <c r="M2640" s="133">
        <f t="shared" si="153"/>
        <v>0.96438821479641434</v>
      </c>
      <c r="N2640" s="149">
        <v>9.2127272727269993</v>
      </c>
      <c r="O2640" s="191"/>
      <c r="P2640" s="109">
        <v>153</v>
      </c>
    </row>
    <row r="2641" spans="1:16" ht="102">
      <c r="A2641" s="212" t="s">
        <v>2594</v>
      </c>
      <c r="B2641" s="141" t="s">
        <v>458</v>
      </c>
      <c r="C2641" s="150" t="s">
        <v>3817</v>
      </c>
      <c r="D2641" s="221"/>
      <c r="E2641" s="150"/>
      <c r="F2641" s="150"/>
      <c r="G2641" s="110" t="s">
        <v>2663</v>
      </c>
      <c r="H2641" s="148" t="s">
        <v>4686</v>
      </c>
      <c r="I2641" s="150" t="s">
        <v>869</v>
      </c>
      <c r="J2641" s="150" t="s">
        <v>419</v>
      </c>
      <c r="K2641" s="221"/>
      <c r="L2641" s="135" t="str">
        <f t="shared" si="154"/>
        <v>Pteronotus parnellii</v>
      </c>
      <c r="M2641" s="133">
        <f t="shared" si="153"/>
        <v>1.2938359002426763</v>
      </c>
      <c r="N2641" s="152">
        <v>19.671428571429001</v>
      </c>
      <c r="O2641" s="191"/>
      <c r="P2641" s="109">
        <v>153</v>
      </c>
    </row>
    <row r="2642" spans="1:16">
      <c r="A2642" s="212" t="s">
        <v>2594</v>
      </c>
      <c r="B2642" s="141" t="s">
        <v>422</v>
      </c>
      <c r="C2642" s="148" t="s">
        <v>3817</v>
      </c>
      <c r="D2642" s="223"/>
      <c r="E2642" s="148"/>
      <c r="F2642" s="148"/>
      <c r="G2642" s="109" t="s">
        <v>2663</v>
      </c>
      <c r="H2642" s="148" t="s">
        <v>1740</v>
      </c>
      <c r="I2642" s="148" t="s">
        <v>1741</v>
      </c>
      <c r="J2642" s="148" t="s">
        <v>2037</v>
      </c>
      <c r="K2642" s="223"/>
      <c r="L2642" s="135" t="str">
        <f t="shared" si="154"/>
        <v>Mystacina tuberculata</v>
      </c>
      <c r="M2642" s="133">
        <f t="shared" si="153"/>
        <v>1.1003705451175629</v>
      </c>
      <c r="N2642" s="149">
        <v>12.6</v>
      </c>
      <c r="O2642" s="191"/>
      <c r="P2642" s="109">
        <v>153</v>
      </c>
    </row>
    <row r="2643" spans="1:16">
      <c r="A2643" s="212" t="s">
        <v>2594</v>
      </c>
      <c r="B2643" s="141" t="s">
        <v>2038</v>
      </c>
      <c r="C2643" s="148" t="s">
        <v>3817</v>
      </c>
      <c r="D2643" s="223"/>
      <c r="E2643" s="148"/>
      <c r="F2643" s="148"/>
      <c r="G2643" s="109" t="s">
        <v>2663</v>
      </c>
      <c r="H2643" s="148" t="s">
        <v>2369</v>
      </c>
      <c r="I2643" s="148" t="s">
        <v>6131</v>
      </c>
      <c r="J2643" s="148" t="s">
        <v>4380</v>
      </c>
      <c r="K2643" s="223"/>
      <c r="L2643" s="135" t="str">
        <f t="shared" si="154"/>
        <v>Myzopoda aurita</v>
      </c>
      <c r="M2643" s="151">
        <v>-999</v>
      </c>
      <c r="N2643" s="151">
        <v>-999</v>
      </c>
      <c r="O2643" s="189"/>
      <c r="P2643" s="109">
        <v>-999</v>
      </c>
    </row>
    <row r="2644" spans="1:16">
      <c r="A2644" s="212" t="s">
        <v>2594</v>
      </c>
      <c r="B2644" s="141" t="s">
        <v>4440</v>
      </c>
      <c r="C2644" s="148" t="s">
        <v>3817</v>
      </c>
      <c r="D2644" s="223"/>
      <c r="E2644" s="148"/>
      <c r="F2644" s="148"/>
      <c r="G2644" s="109" t="s">
        <v>2663</v>
      </c>
      <c r="H2644" s="148" t="s">
        <v>2039</v>
      </c>
      <c r="I2644" s="148" t="s">
        <v>2040</v>
      </c>
      <c r="J2644" s="148" t="s">
        <v>2175</v>
      </c>
      <c r="K2644" s="223"/>
      <c r="L2644" s="135" t="str">
        <f t="shared" si="154"/>
        <v>Natalus lepidus</v>
      </c>
      <c r="M2644" s="151">
        <v>-999</v>
      </c>
      <c r="N2644" s="151">
        <v>-999</v>
      </c>
      <c r="O2644" s="189"/>
      <c r="P2644" s="109">
        <v>-999</v>
      </c>
    </row>
    <row r="2645" spans="1:16" ht="38.25">
      <c r="A2645" s="212" t="s">
        <v>2594</v>
      </c>
      <c r="B2645" s="141" t="s">
        <v>700</v>
      </c>
      <c r="C2645" s="148" t="s">
        <v>3817</v>
      </c>
      <c r="D2645" s="223"/>
      <c r="E2645" s="148"/>
      <c r="F2645" s="148"/>
      <c r="G2645" s="109" t="s">
        <v>2663</v>
      </c>
      <c r="H2645" s="148" t="s">
        <v>2039</v>
      </c>
      <c r="I2645" s="148" t="s">
        <v>2040</v>
      </c>
      <c r="J2645" s="148" t="s">
        <v>3596</v>
      </c>
      <c r="K2645" s="223"/>
      <c r="L2645" s="135" t="str">
        <f t="shared" si="154"/>
        <v>Natalus micropus</v>
      </c>
      <c r="M2645" s="151">
        <v>-999</v>
      </c>
      <c r="N2645" s="151">
        <v>-999</v>
      </c>
      <c r="O2645" s="189"/>
      <c r="P2645" s="109">
        <v>-999</v>
      </c>
    </row>
    <row r="2646" spans="1:16" ht="15" customHeight="1">
      <c r="A2646" s="212" t="s">
        <v>2594</v>
      </c>
      <c r="B2646" s="141" t="s">
        <v>1532</v>
      </c>
      <c r="C2646" s="148" t="s">
        <v>3817</v>
      </c>
      <c r="D2646" s="223"/>
      <c r="E2646" s="148"/>
      <c r="F2646" s="148"/>
      <c r="G2646" s="109" t="s">
        <v>2663</v>
      </c>
      <c r="H2646" s="148" t="s">
        <v>2039</v>
      </c>
      <c r="I2646" s="148" t="s">
        <v>2040</v>
      </c>
      <c r="J2646" s="148" t="s">
        <v>2041</v>
      </c>
      <c r="K2646" s="223"/>
      <c r="L2646" s="135" t="str">
        <f t="shared" si="154"/>
        <v>Natalus tumidifrons</v>
      </c>
      <c r="M2646" s="133">
        <f t="shared" ref="M2646:M2689" si="155">LOG(N2646)</f>
        <v>0.54715912132741751</v>
      </c>
      <c r="N2646" s="149">
        <v>3.5249999999999999</v>
      </c>
      <c r="O2646" s="191"/>
      <c r="P2646" s="109">
        <v>153</v>
      </c>
    </row>
    <row r="2647" spans="1:16" ht="63.75">
      <c r="A2647" s="212" t="s">
        <v>2594</v>
      </c>
      <c r="B2647" s="141" t="s">
        <v>2171</v>
      </c>
      <c r="C2647" s="148" t="s">
        <v>3817</v>
      </c>
      <c r="D2647" s="223"/>
      <c r="E2647" s="148"/>
      <c r="F2647" s="148"/>
      <c r="G2647" s="109" t="s">
        <v>2663</v>
      </c>
      <c r="H2647" s="148" t="s">
        <v>2039</v>
      </c>
      <c r="I2647" s="148" t="s">
        <v>2040</v>
      </c>
      <c r="J2647" s="148" t="s">
        <v>6467</v>
      </c>
      <c r="K2647" s="223"/>
      <c r="L2647" s="135" t="str">
        <f t="shared" si="154"/>
        <v>Natalus stramineus</v>
      </c>
      <c r="M2647" s="133">
        <f t="shared" si="155"/>
        <v>0.73909744611747508</v>
      </c>
      <c r="N2647" s="149">
        <v>5.484</v>
      </c>
      <c r="O2647" s="191"/>
      <c r="P2647" s="109">
        <v>153</v>
      </c>
    </row>
    <row r="2648" spans="1:16" ht="63.75">
      <c r="A2648" s="212" t="s">
        <v>2594</v>
      </c>
      <c r="B2648" s="141" t="s">
        <v>2153</v>
      </c>
      <c r="C2648" s="148" t="s">
        <v>3817</v>
      </c>
      <c r="D2648" s="223"/>
      <c r="E2648" s="148"/>
      <c r="F2648" s="148"/>
      <c r="G2648" s="109" t="s">
        <v>2663</v>
      </c>
      <c r="H2648" s="148" t="s">
        <v>2039</v>
      </c>
      <c r="I2648" s="148" t="s">
        <v>2040</v>
      </c>
      <c r="J2648" s="148" t="s">
        <v>2154</v>
      </c>
      <c r="K2648" s="223"/>
      <c r="L2648" s="135" t="str">
        <f t="shared" si="154"/>
        <v>Natalus tumidirostris</v>
      </c>
      <c r="M2648" s="133">
        <f t="shared" si="155"/>
        <v>0.80617997398388719</v>
      </c>
      <c r="N2648" s="149">
        <f>AVERAGE(4.8, 9.9, 4.6, 6.3)</f>
        <v>6.3999999999999995</v>
      </c>
      <c r="O2648" s="191"/>
      <c r="P2648" s="109">
        <v>261</v>
      </c>
    </row>
    <row r="2649" spans="1:16" ht="76.5">
      <c r="A2649" s="212" t="s">
        <v>2594</v>
      </c>
      <c r="B2649" s="141" t="s">
        <v>4606</v>
      </c>
      <c r="C2649" s="150" t="s">
        <v>3817</v>
      </c>
      <c r="D2649" s="221"/>
      <c r="E2649" s="150"/>
      <c r="F2649" s="150"/>
      <c r="G2649" s="110" t="s">
        <v>2663</v>
      </c>
      <c r="H2649" s="150" t="s">
        <v>2141</v>
      </c>
      <c r="I2649" s="150" t="s">
        <v>4443</v>
      </c>
      <c r="J2649" s="150" t="s">
        <v>4597</v>
      </c>
      <c r="K2649" s="221"/>
      <c r="L2649" s="135" t="str">
        <f t="shared" si="154"/>
        <v>Noctilio leporinus</v>
      </c>
      <c r="M2649" s="133">
        <f t="shared" si="155"/>
        <v>1.7359978840917938</v>
      </c>
      <c r="N2649" s="152">
        <f>AVERAGE(39.8, 81.3, 31.4, 65.3)</f>
        <v>54.45</v>
      </c>
      <c r="O2649" s="191"/>
      <c r="P2649" s="109">
        <v>261</v>
      </c>
    </row>
    <row r="2650" spans="1:16" ht="51">
      <c r="A2650" s="212" t="s">
        <v>2594</v>
      </c>
      <c r="B2650" s="141" t="s">
        <v>4755</v>
      </c>
      <c r="C2650" s="148" t="s">
        <v>3817</v>
      </c>
      <c r="D2650" s="223"/>
      <c r="E2650" s="148"/>
      <c r="F2650" s="148"/>
      <c r="G2650" s="109" t="s">
        <v>2663</v>
      </c>
      <c r="H2650" s="148" t="s">
        <v>6200</v>
      </c>
      <c r="I2650" s="148" t="s">
        <v>6201</v>
      </c>
      <c r="J2650" s="148" t="s">
        <v>5337</v>
      </c>
      <c r="K2650" s="223"/>
      <c r="L2650" s="135" t="str">
        <f t="shared" si="154"/>
        <v>Nycteris hispida</v>
      </c>
      <c r="M2650" s="133">
        <f t="shared" si="155"/>
        <v>0.93613658702149183</v>
      </c>
      <c r="N2650" s="149">
        <v>8.6325000000000003</v>
      </c>
      <c r="O2650" s="191"/>
      <c r="P2650" s="109">
        <v>153</v>
      </c>
    </row>
    <row r="2651" spans="1:16" ht="89.25">
      <c r="A2651" s="212" t="s">
        <v>2594</v>
      </c>
      <c r="B2651" s="141" t="s">
        <v>1540</v>
      </c>
      <c r="C2651" s="148" t="s">
        <v>3817</v>
      </c>
      <c r="D2651" s="223"/>
      <c r="E2651" s="148"/>
      <c r="F2651" s="148"/>
      <c r="G2651" s="109" t="s">
        <v>2663</v>
      </c>
      <c r="H2651" s="148" t="s">
        <v>6200</v>
      </c>
      <c r="I2651" s="148" t="s">
        <v>6201</v>
      </c>
      <c r="J2651" s="148" t="s">
        <v>1438</v>
      </c>
      <c r="K2651" s="223"/>
      <c r="L2651" s="135" t="str">
        <f t="shared" si="154"/>
        <v>Nycteris thebaica</v>
      </c>
      <c r="M2651" s="133">
        <f t="shared" si="155"/>
        <v>0.99171819413823881</v>
      </c>
      <c r="N2651" s="149">
        <v>9.8111111111109999</v>
      </c>
      <c r="O2651" s="191"/>
      <c r="P2651" s="109">
        <v>153</v>
      </c>
    </row>
    <row r="2652" spans="1:16" ht="24" customHeight="1">
      <c r="A2652" s="212" t="s">
        <v>2594</v>
      </c>
      <c r="B2652" s="141" t="s">
        <v>4638</v>
      </c>
      <c r="C2652" s="148" t="s">
        <v>3817</v>
      </c>
      <c r="D2652" s="223"/>
      <c r="E2652" s="148"/>
      <c r="F2652" s="148"/>
      <c r="G2652" s="109" t="s">
        <v>2663</v>
      </c>
      <c r="H2652" s="148" t="s">
        <v>6200</v>
      </c>
      <c r="I2652" s="148" t="s">
        <v>6201</v>
      </c>
      <c r="J2652" s="148" t="s">
        <v>4639</v>
      </c>
      <c r="K2652" s="223"/>
      <c r="L2652" s="135" t="str">
        <f t="shared" si="154"/>
        <v>Nycteris arge</v>
      </c>
      <c r="M2652" s="133">
        <f t="shared" si="155"/>
        <v>1.0773679052841565</v>
      </c>
      <c r="N2652" s="149">
        <v>11.95</v>
      </c>
      <c r="O2652" s="191"/>
      <c r="P2652" s="109">
        <v>153</v>
      </c>
    </row>
    <row r="2653" spans="1:16" ht="38.25">
      <c r="A2653" s="212" t="s">
        <v>2594</v>
      </c>
      <c r="B2653" s="141" t="s">
        <v>603</v>
      </c>
      <c r="C2653" s="148" t="s">
        <v>3817</v>
      </c>
      <c r="D2653" s="223"/>
      <c r="E2653" s="148"/>
      <c r="F2653" s="148"/>
      <c r="G2653" s="109" t="s">
        <v>2663</v>
      </c>
      <c r="H2653" s="148" t="s">
        <v>6200</v>
      </c>
      <c r="I2653" s="148" t="s">
        <v>6201</v>
      </c>
      <c r="J2653" s="148" t="s">
        <v>604</v>
      </c>
      <c r="K2653" s="223"/>
      <c r="L2653" s="135" t="str">
        <f t="shared" si="154"/>
        <v>Nycteris tragata</v>
      </c>
      <c r="M2653" s="133">
        <f t="shared" si="155"/>
        <v>1.1583624920952498</v>
      </c>
      <c r="N2653" s="149">
        <v>14.4</v>
      </c>
      <c r="O2653" s="191"/>
      <c r="P2653" s="109">
        <v>153</v>
      </c>
    </row>
    <row r="2654" spans="1:16" ht="51">
      <c r="A2654" s="212" t="s">
        <v>2594</v>
      </c>
      <c r="B2654" s="141" t="s">
        <v>613</v>
      </c>
      <c r="C2654" s="148" t="s">
        <v>3817</v>
      </c>
      <c r="D2654" s="223"/>
      <c r="E2654" s="148"/>
      <c r="F2654" s="148"/>
      <c r="G2654" s="109" t="s">
        <v>2663</v>
      </c>
      <c r="H2654" s="148" t="s">
        <v>6200</v>
      </c>
      <c r="I2654" s="148" t="s">
        <v>6201</v>
      </c>
      <c r="J2654" s="148" t="s">
        <v>4141</v>
      </c>
      <c r="K2654" s="223"/>
      <c r="L2654" s="135" t="str">
        <f t="shared" si="154"/>
        <v>Nycteris macrotis</v>
      </c>
      <c r="M2654" s="133">
        <f t="shared" si="155"/>
        <v>1.1601253848438662</v>
      </c>
      <c r="N2654" s="149">
        <v>14.458571428571</v>
      </c>
      <c r="O2654" s="191"/>
      <c r="P2654" s="109">
        <v>153</v>
      </c>
    </row>
    <row r="2655" spans="1:16" ht="25.5">
      <c r="A2655" s="212" t="s">
        <v>2594</v>
      </c>
      <c r="B2655" s="141" t="s">
        <v>614</v>
      </c>
      <c r="C2655" s="150" t="s">
        <v>3817</v>
      </c>
      <c r="D2655" s="221"/>
      <c r="E2655" s="150"/>
      <c r="F2655" s="150"/>
      <c r="G2655" s="110" t="s">
        <v>2663</v>
      </c>
      <c r="H2655" s="148" t="s">
        <v>6200</v>
      </c>
      <c r="I2655" s="150" t="s">
        <v>6201</v>
      </c>
      <c r="J2655" s="150" t="s">
        <v>5614</v>
      </c>
      <c r="K2655" s="221"/>
      <c r="L2655" s="135" t="str">
        <f t="shared" si="154"/>
        <v>Nycteris javanica</v>
      </c>
      <c r="M2655" s="133">
        <f t="shared" si="155"/>
        <v>1.2479732663618066</v>
      </c>
      <c r="N2655" s="152">
        <v>17.7</v>
      </c>
      <c r="O2655" s="191"/>
      <c r="P2655" s="109">
        <v>153</v>
      </c>
    </row>
    <row r="2656" spans="1:16" ht="51">
      <c r="A2656" s="212" t="s">
        <v>2594</v>
      </c>
      <c r="B2656" s="141" t="s">
        <v>1931</v>
      </c>
      <c r="C2656" s="150" t="s">
        <v>3817</v>
      </c>
      <c r="D2656" s="221"/>
      <c r="E2656" s="150"/>
      <c r="F2656" s="150"/>
      <c r="G2656" s="110" t="s">
        <v>2663</v>
      </c>
      <c r="H2656" s="150" t="s">
        <v>6200</v>
      </c>
      <c r="I2656" s="150" t="s">
        <v>6201</v>
      </c>
      <c r="J2656" s="150" t="s">
        <v>6591</v>
      </c>
      <c r="K2656" s="221"/>
      <c r="L2656" s="135" t="str">
        <f t="shared" si="154"/>
        <v>Nycteris grandis</v>
      </c>
      <c r="M2656" s="133">
        <f t="shared" si="155"/>
        <v>1.4793901932934017</v>
      </c>
      <c r="N2656" s="152">
        <v>30.157142857143</v>
      </c>
      <c r="O2656" s="191"/>
      <c r="P2656" s="109">
        <v>153</v>
      </c>
    </row>
    <row r="2657" spans="1:16" ht="63.75">
      <c r="A2657" s="212" t="s">
        <v>2594</v>
      </c>
      <c r="B2657" s="141" t="s">
        <v>511</v>
      </c>
      <c r="C2657" s="148" t="s">
        <v>3817</v>
      </c>
      <c r="D2657" s="223"/>
      <c r="E2657" s="148"/>
      <c r="F2657" s="148"/>
      <c r="G2657" s="109" t="s">
        <v>2663</v>
      </c>
      <c r="H2657" s="148" t="s">
        <v>512</v>
      </c>
      <c r="I2657" s="148" t="s">
        <v>513</v>
      </c>
      <c r="J2657" s="148" t="s">
        <v>582</v>
      </c>
      <c r="K2657" s="223"/>
      <c r="L2657" s="135" t="str">
        <f t="shared" si="154"/>
        <v>Ametrida centurio</v>
      </c>
      <c r="M2657" s="133">
        <f t="shared" si="155"/>
        <v>1.0138900603284386</v>
      </c>
      <c r="N2657" s="149">
        <v>10.324999999999999</v>
      </c>
      <c r="O2657" s="191"/>
      <c r="P2657" s="109">
        <v>153</v>
      </c>
    </row>
    <row r="2658" spans="1:16" ht="76.5">
      <c r="A2658" s="212" t="s">
        <v>2594</v>
      </c>
      <c r="B2658" s="141" t="s">
        <v>2014</v>
      </c>
      <c r="C2658" s="148" t="s">
        <v>3817</v>
      </c>
      <c r="D2658" s="223"/>
      <c r="E2658" s="148"/>
      <c r="F2658" s="148"/>
      <c r="G2658" s="109" t="s">
        <v>2663</v>
      </c>
      <c r="H2658" s="148" t="s">
        <v>512</v>
      </c>
      <c r="I2658" s="148" t="s">
        <v>491</v>
      </c>
      <c r="J2658" s="148" t="s">
        <v>3777</v>
      </c>
      <c r="K2658" s="223"/>
      <c r="L2658" s="135" t="str">
        <f t="shared" si="154"/>
        <v>Anoura geoffroyi</v>
      </c>
      <c r="M2658" s="133">
        <f t="shared" si="155"/>
        <v>1.1598678470925667</v>
      </c>
      <c r="N2658" s="149">
        <f>AVERAGE(12.6, 17.7, 11.3, 16.2)</f>
        <v>14.45</v>
      </c>
      <c r="O2658" s="191"/>
      <c r="P2658" s="109">
        <v>261</v>
      </c>
    </row>
    <row r="2659" spans="1:16" ht="25.5">
      <c r="A2659" s="212" t="s">
        <v>2594</v>
      </c>
      <c r="B2659" s="141" t="s">
        <v>2084</v>
      </c>
      <c r="C2659" s="148" t="s">
        <v>3817</v>
      </c>
      <c r="D2659" s="223"/>
      <c r="E2659" s="148"/>
      <c r="F2659" s="148"/>
      <c r="G2659" s="109" t="s">
        <v>2663</v>
      </c>
      <c r="H2659" s="148" t="s">
        <v>512</v>
      </c>
      <c r="I2659" s="148" t="s">
        <v>2085</v>
      </c>
      <c r="J2659" s="148" t="s">
        <v>2086</v>
      </c>
      <c r="K2659" s="223"/>
      <c r="L2659" s="135" t="str">
        <f t="shared" si="154"/>
        <v>Ardops nichollsi</v>
      </c>
      <c r="M2659" s="133">
        <f t="shared" si="155"/>
        <v>1.2345172835126867</v>
      </c>
      <c r="N2659" s="149">
        <v>17.16</v>
      </c>
      <c r="O2659" s="191"/>
      <c r="P2659" s="109">
        <v>153</v>
      </c>
    </row>
    <row r="2660" spans="1:16">
      <c r="A2660" s="212" t="s">
        <v>2594</v>
      </c>
      <c r="B2660" s="141" t="s">
        <v>1987</v>
      </c>
      <c r="C2660" s="148" t="s">
        <v>3817</v>
      </c>
      <c r="D2660" s="223"/>
      <c r="E2660" s="148"/>
      <c r="F2660" s="148"/>
      <c r="G2660" s="109" t="s">
        <v>2663</v>
      </c>
      <c r="H2660" s="148" t="s">
        <v>512</v>
      </c>
      <c r="I2660" s="148" t="s">
        <v>4573</v>
      </c>
      <c r="J2660" s="148" t="s">
        <v>7584</v>
      </c>
      <c r="K2660" s="223"/>
      <c r="L2660" s="135" t="str">
        <f t="shared" si="154"/>
        <v>Ariteus flavescens</v>
      </c>
      <c r="M2660" s="133">
        <f t="shared" si="155"/>
        <v>1.0755469613925308</v>
      </c>
      <c r="N2660" s="151">
        <f>AVERAGE(12.4, 13.1, 9.2, 12.9)</f>
        <v>11.9</v>
      </c>
      <c r="O2660" s="189"/>
      <c r="P2660" s="109">
        <v>280</v>
      </c>
    </row>
    <row r="2661" spans="1:16" ht="51">
      <c r="A2661" s="212" t="s">
        <v>2594</v>
      </c>
      <c r="B2661" s="141" t="s">
        <v>1884</v>
      </c>
      <c r="C2661" s="148" t="s">
        <v>3817</v>
      </c>
      <c r="D2661" s="223"/>
      <c r="E2661" s="148"/>
      <c r="F2661" s="148"/>
      <c r="G2661" s="109" t="s">
        <v>2663</v>
      </c>
      <c r="H2661" s="148" t="s">
        <v>512</v>
      </c>
      <c r="I2661" s="148" t="s">
        <v>1885</v>
      </c>
      <c r="J2661" s="148" t="s">
        <v>5787</v>
      </c>
      <c r="K2661" s="223"/>
      <c r="L2661" s="135" t="str">
        <f t="shared" si="154"/>
        <v>Artibeus glaucus</v>
      </c>
      <c r="M2661" s="133">
        <f t="shared" si="155"/>
        <v>1.0437551269686796</v>
      </c>
      <c r="N2661" s="149">
        <v>11.06</v>
      </c>
      <c r="O2661" s="191"/>
      <c r="P2661" s="109">
        <v>153</v>
      </c>
    </row>
    <row r="2662" spans="1:16" ht="127.5">
      <c r="A2662" s="212" t="s">
        <v>2594</v>
      </c>
      <c r="B2662" s="141" t="s">
        <v>562</v>
      </c>
      <c r="C2662" s="150" t="s">
        <v>3817</v>
      </c>
      <c r="D2662" s="221"/>
      <c r="E2662" s="150"/>
      <c r="F2662" s="150"/>
      <c r="G2662" s="110" t="s">
        <v>2663</v>
      </c>
      <c r="H2662" s="150" t="s">
        <v>512</v>
      </c>
      <c r="I2662" s="150" t="s">
        <v>1885</v>
      </c>
      <c r="J2662" s="150" t="s">
        <v>561</v>
      </c>
      <c r="K2662" s="221"/>
      <c r="L2662" s="135" t="str">
        <f t="shared" si="154"/>
        <v>Artibeus jamaicensis</v>
      </c>
      <c r="M2662" s="133">
        <f t="shared" si="155"/>
        <v>1.625046715930174</v>
      </c>
      <c r="N2662" s="152">
        <v>42.174186666666998</v>
      </c>
      <c r="O2662" s="191"/>
      <c r="P2662" s="109">
        <v>153</v>
      </c>
    </row>
    <row r="2663" spans="1:16" ht="76.5">
      <c r="A2663" s="212" t="s">
        <v>2594</v>
      </c>
      <c r="B2663" s="141" t="s">
        <v>474</v>
      </c>
      <c r="C2663" s="150" t="s">
        <v>3817</v>
      </c>
      <c r="D2663" s="221"/>
      <c r="E2663" s="150"/>
      <c r="F2663" s="150"/>
      <c r="G2663" s="110" t="s">
        <v>2663</v>
      </c>
      <c r="H2663" s="150" t="s">
        <v>512</v>
      </c>
      <c r="I2663" s="150" t="s">
        <v>1885</v>
      </c>
      <c r="J2663" s="150" t="s">
        <v>475</v>
      </c>
      <c r="K2663" s="221"/>
      <c r="L2663" s="135" t="str">
        <f t="shared" si="154"/>
        <v>Artibeus lituratus</v>
      </c>
      <c r="M2663" s="133">
        <f t="shared" si="155"/>
        <v>1.7849737099544007</v>
      </c>
      <c r="N2663" s="152">
        <f>AVERAGE(44.4, 74, 46.2, 79.2)</f>
        <v>60.95</v>
      </c>
      <c r="O2663" s="191"/>
      <c r="P2663" s="109">
        <v>261</v>
      </c>
    </row>
    <row r="2664" spans="1:16" ht="63.75">
      <c r="A2664" s="212" t="s">
        <v>2594</v>
      </c>
      <c r="B2664" s="141" t="s">
        <v>644</v>
      </c>
      <c r="C2664" s="150" t="s">
        <v>3817</v>
      </c>
      <c r="D2664" s="221"/>
      <c r="E2664" s="150"/>
      <c r="F2664" s="150"/>
      <c r="G2664" s="110" t="s">
        <v>2663</v>
      </c>
      <c r="H2664" s="150" t="s">
        <v>512</v>
      </c>
      <c r="I2664" s="150" t="s">
        <v>645</v>
      </c>
      <c r="J2664" s="150" t="s">
        <v>3504</v>
      </c>
      <c r="K2664" s="221"/>
      <c r="L2664" s="135" t="str">
        <f t="shared" si="154"/>
        <v>Brachyphylla nana</v>
      </c>
      <c r="M2664" s="133">
        <f t="shared" si="155"/>
        <v>1.5541995337964172</v>
      </c>
      <c r="N2664" s="152">
        <v>35.826099999999997</v>
      </c>
      <c r="O2664" s="191"/>
      <c r="P2664" s="109">
        <v>153</v>
      </c>
    </row>
    <row r="2665" spans="1:16" ht="51">
      <c r="A2665" s="212" t="s">
        <v>2594</v>
      </c>
      <c r="B2665" s="141" t="s">
        <v>563</v>
      </c>
      <c r="C2665" s="150" t="s">
        <v>3817</v>
      </c>
      <c r="D2665" s="221"/>
      <c r="E2665" s="150"/>
      <c r="F2665" s="150"/>
      <c r="G2665" s="110" t="s">
        <v>2663</v>
      </c>
      <c r="H2665" s="150" t="s">
        <v>512</v>
      </c>
      <c r="I2665" s="150" t="s">
        <v>645</v>
      </c>
      <c r="J2665" s="150" t="s">
        <v>564</v>
      </c>
      <c r="K2665" s="221"/>
      <c r="L2665" s="135" t="str">
        <f t="shared" si="154"/>
        <v>Brachyphylla cavernarum</v>
      </c>
      <c r="M2665" s="133">
        <f t="shared" si="155"/>
        <v>1.6643285186808081</v>
      </c>
      <c r="N2665" s="152">
        <v>46.166666666666998</v>
      </c>
      <c r="O2665" s="191"/>
      <c r="P2665" s="109">
        <v>153</v>
      </c>
    </row>
    <row r="2666" spans="1:16" ht="114.75">
      <c r="A2666" s="212" t="s">
        <v>2594</v>
      </c>
      <c r="B2666" s="141" t="s">
        <v>628</v>
      </c>
      <c r="C2666" s="150" t="s">
        <v>3817</v>
      </c>
      <c r="D2666" s="221"/>
      <c r="E2666" s="150"/>
      <c r="F2666" s="150"/>
      <c r="G2666" s="110" t="s">
        <v>2663</v>
      </c>
      <c r="H2666" s="148" t="s">
        <v>512</v>
      </c>
      <c r="I2666" s="150" t="s">
        <v>394</v>
      </c>
      <c r="J2666" s="150" t="s">
        <v>5370</v>
      </c>
      <c r="K2666" s="221"/>
      <c r="L2666" s="135" t="str">
        <f t="shared" si="154"/>
        <v>Carollia perspicillata</v>
      </c>
      <c r="M2666" s="133">
        <f t="shared" si="155"/>
        <v>1.2101847054724069</v>
      </c>
      <c r="N2666" s="152">
        <f>AVERAGE(12.5, 19.9, 11.3, 21.2)</f>
        <v>16.225000000000001</v>
      </c>
      <c r="O2666" s="191"/>
      <c r="P2666" s="109">
        <v>261</v>
      </c>
    </row>
    <row r="2667" spans="1:16" ht="38.25">
      <c r="A2667" s="212" t="s">
        <v>2594</v>
      </c>
      <c r="B2667" s="141" t="s">
        <v>2035</v>
      </c>
      <c r="C2667" s="150" t="s">
        <v>3817</v>
      </c>
      <c r="D2667" s="221"/>
      <c r="E2667" s="150"/>
      <c r="F2667" s="150"/>
      <c r="G2667" s="110" t="s">
        <v>2663</v>
      </c>
      <c r="H2667" s="148" t="s">
        <v>512</v>
      </c>
      <c r="I2667" s="150" t="s">
        <v>2036</v>
      </c>
      <c r="J2667" s="150" t="s">
        <v>6403</v>
      </c>
      <c r="K2667" s="221"/>
      <c r="L2667" s="135" t="str">
        <f t="shared" si="154"/>
        <v>Centurio senex</v>
      </c>
      <c r="M2667" s="133">
        <f t="shared" si="155"/>
        <v>1.3222192947339193</v>
      </c>
      <c r="N2667" s="152">
        <f>AVERAGE(17.9, 27.5, 17.6)</f>
        <v>21</v>
      </c>
      <c r="O2667" s="191"/>
      <c r="P2667" s="109">
        <v>261</v>
      </c>
    </row>
    <row r="2668" spans="1:16" ht="38.25">
      <c r="A2668" s="212" t="s">
        <v>2594</v>
      </c>
      <c r="B2668" s="141" t="s">
        <v>2149</v>
      </c>
      <c r="C2668" s="148" t="s">
        <v>3817</v>
      </c>
      <c r="D2668" s="223"/>
      <c r="E2668" s="148"/>
      <c r="F2668" s="148"/>
      <c r="G2668" s="109" t="s">
        <v>2663</v>
      </c>
      <c r="H2668" s="148" t="s">
        <v>512</v>
      </c>
      <c r="I2668" s="148" t="s">
        <v>399</v>
      </c>
      <c r="J2668" s="148" t="s">
        <v>480</v>
      </c>
      <c r="K2668" s="223"/>
      <c r="L2668" s="135" t="str">
        <f t="shared" si="154"/>
        <v>Chiroderma trinitatum</v>
      </c>
      <c r="M2668" s="133">
        <f t="shared" si="155"/>
        <v>1.1359273350054684</v>
      </c>
      <c r="N2668" s="149">
        <v>13.675000000000001</v>
      </c>
      <c r="O2668" s="191"/>
      <c r="P2668" s="109">
        <v>153</v>
      </c>
    </row>
    <row r="2669" spans="1:16" ht="38.25">
      <c r="A2669" s="212" t="s">
        <v>2594</v>
      </c>
      <c r="B2669" s="141" t="s">
        <v>536</v>
      </c>
      <c r="C2669" s="150" t="s">
        <v>3817</v>
      </c>
      <c r="D2669" s="221"/>
      <c r="E2669" s="150"/>
      <c r="F2669" s="150"/>
      <c r="G2669" s="110" t="s">
        <v>2663</v>
      </c>
      <c r="H2669" s="150" t="s">
        <v>512</v>
      </c>
      <c r="I2669" s="150" t="s">
        <v>399</v>
      </c>
      <c r="J2669" s="150" t="s">
        <v>2028</v>
      </c>
      <c r="K2669" s="221"/>
      <c r="L2669" s="135" t="str">
        <f t="shared" si="154"/>
        <v>Chiroderma villosum</v>
      </c>
      <c r="M2669" s="133">
        <f t="shared" si="155"/>
        <v>1.3639878297484915</v>
      </c>
      <c r="N2669" s="152">
        <v>23.12</v>
      </c>
      <c r="O2669" s="191"/>
      <c r="P2669" s="109">
        <v>153</v>
      </c>
    </row>
    <row r="2670" spans="1:16" ht="38.25">
      <c r="A2670" s="212" t="s">
        <v>2594</v>
      </c>
      <c r="B2670" s="141" t="s">
        <v>4604</v>
      </c>
      <c r="C2670" s="150" t="s">
        <v>3817</v>
      </c>
      <c r="D2670" s="221"/>
      <c r="E2670" s="150"/>
      <c r="F2670" s="150"/>
      <c r="G2670" s="110" t="s">
        <v>2663</v>
      </c>
      <c r="H2670" s="150" t="s">
        <v>512</v>
      </c>
      <c r="I2670" s="150" t="s">
        <v>399</v>
      </c>
      <c r="J2670" s="150" t="s">
        <v>4605</v>
      </c>
      <c r="K2670" s="221"/>
      <c r="L2670" s="135" t="str">
        <f t="shared" si="154"/>
        <v>Chiroderma improvisum</v>
      </c>
      <c r="M2670" s="133">
        <f t="shared" si="155"/>
        <v>1.5440680443502757</v>
      </c>
      <c r="N2670" s="152">
        <v>35</v>
      </c>
      <c r="O2670" s="191"/>
      <c r="P2670" s="109">
        <v>153</v>
      </c>
    </row>
    <row r="2671" spans="1:16" ht="24" customHeight="1">
      <c r="A2671" s="212" t="s">
        <v>2594</v>
      </c>
      <c r="B2671" s="141" t="s">
        <v>2145</v>
      </c>
      <c r="C2671" s="148" t="s">
        <v>3817</v>
      </c>
      <c r="D2671" s="223"/>
      <c r="E2671" s="148"/>
      <c r="F2671" s="148"/>
      <c r="G2671" s="109" t="s">
        <v>2663</v>
      </c>
      <c r="H2671" s="148" t="s">
        <v>512</v>
      </c>
      <c r="I2671" s="148" t="s">
        <v>2146</v>
      </c>
      <c r="J2671" s="148" t="s">
        <v>3587</v>
      </c>
      <c r="K2671" s="223"/>
      <c r="L2671" s="135" t="str">
        <f t="shared" si="154"/>
        <v>Choeroniscus intermedius</v>
      </c>
      <c r="M2671" s="133">
        <f t="shared" si="155"/>
        <v>0.76591679396660717</v>
      </c>
      <c r="N2671" s="149">
        <v>5.833333333333</v>
      </c>
      <c r="O2671" s="191"/>
      <c r="P2671" s="109">
        <v>153</v>
      </c>
    </row>
    <row r="2672" spans="1:16" ht="63.75">
      <c r="A2672" s="212" t="s">
        <v>2594</v>
      </c>
      <c r="B2672" s="141" t="s">
        <v>598</v>
      </c>
      <c r="C2672" s="150" t="s">
        <v>3817</v>
      </c>
      <c r="D2672" s="221"/>
      <c r="E2672" s="150"/>
      <c r="F2672" s="150"/>
      <c r="G2672" s="110" t="s">
        <v>2663</v>
      </c>
      <c r="H2672" s="150" t="s">
        <v>512</v>
      </c>
      <c r="I2672" s="150" t="s">
        <v>599</v>
      </c>
      <c r="J2672" s="150" t="s">
        <v>600</v>
      </c>
      <c r="K2672" s="221"/>
      <c r="L2672" s="135" t="str">
        <f t="shared" si="154"/>
        <v>Desmodus rotundus</v>
      </c>
      <c r="M2672" s="133">
        <f t="shared" si="155"/>
        <v>1.4345689040341987</v>
      </c>
      <c r="N2672" s="152">
        <f>AVERAGE(14.1, 37.7, 17.4, 39.6)</f>
        <v>27.200000000000003</v>
      </c>
      <c r="O2672" s="191"/>
      <c r="P2672" s="109">
        <v>261</v>
      </c>
    </row>
    <row r="2673" spans="1:22" ht="51">
      <c r="A2673" s="212" t="s">
        <v>2594</v>
      </c>
      <c r="B2673" s="141" t="s">
        <v>684</v>
      </c>
      <c r="C2673" s="150" t="s">
        <v>3817</v>
      </c>
      <c r="D2673" s="221"/>
      <c r="E2673" s="150"/>
      <c r="F2673" s="150"/>
      <c r="G2673" s="110" t="s">
        <v>2663</v>
      </c>
      <c r="H2673" s="150" t="s">
        <v>512</v>
      </c>
      <c r="I2673" s="150" t="s">
        <v>685</v>
      </c>
      <c r="J2673" s="150" t="s">
        <v>609</v>
      </c>
      <c r="K2673" s="221"/>
      <c r="L2673" s="135" t="str">
        <f t="shared" si="154"/>
        <v>Diaemus youngi</v>
      </c>
      <c r="M2673" s="133">
        <f t="shared" si="155"/>
        <v>1.5662410233014672</v>
      </c>
      <c r="N2673" s="152">
        <f>AVERAGE(31.7, 41.3, 37.5)</f>
        <v>36.833333333333336</v>
      </c>
      <c r="O2673" s="191"/>
      <c r="P2673" s="109">
        <v>261</v>
      </c>
    </row>
    <row r="2674" spans="1:22" ht="51">
      <c r="A2674" s="212" t="s">
        <v>2594</v>
      </c>
      <c r="B2674" s="141" t="s">
        <v>450</v>
      </c>
      <c r="C2674" s="150" t="s">
        <v>3817</v>
      </c>
      <c r="D2674" s="221"/>
      <c r="E2674" s="150"/>
      <c r="F2674" s="150"/>
      <c r="G2674" s="110" t="s">
        <v>2663</v>
      </c>
      <c r="H2674" s="148" t="s">
        <v>512</v>
      </c>
      <c r="I2674" s="150" t="s">
        <v>448</v>
      </c>
      <c r="J2674" s="150" t="s">
        <v>449</v>
      </c>
      <c r="K2674" s="221"/>
      <c r="L2674" s="135" t="str">
        <f t="shared" si="154"/>
        <v>Erophylla sezekorni</v>
      </c>
      <c r="M2674" s="133">
        <f t="shared" si="155"/>
        <v>1.1986570869544226</v>
      </c>
      <c r="N2674" s="152">
        <v>15.8</v>
      </c>
      <c r="O2674" s="191"/>
      <c r="P2674" s="109">
        <v>153</v>
      </c>
    </row>
    <row r="2675" spans="1:22" ht="102">
      <c r="A2675" s="212" t="s">
        <v>2594</v>
      </c>
      <c r="B2675" s="141" t="s">
        <v>764</v>
      </c>
      <c r="C2675" s="148" t="s">
        <v>3817</v>
      </c>
      <c r="D2675" s="223"/>
      <c r="E2675" s="148"/>
      <c r="F2675" s="148"/>
      <c r="G2675" s="109" t="s">
        <v>2663</v>
      </c>
      <c r="H2675" s="148" t="s">
        <v>512</v>
      </c>
      <c r="I2675" s="148" t="s">
        <v>440</v>
      </c>
      <c r="J2675" s="148" t="s">
        <v>851</v>
      </c>
      <c r="K2675" s="223"/>
      <c r="L2675" s="135" t="str">
        <f t="shared" si="154"/>
        <v>Glossophaga soricina</v>
      </c>
      <c r="M2675" s="133">
        <f t="shared" si="155"/>
        <v>0.91513590662201194</v>
      </c>
      <c r="N2675" s="149">
        <f>AVERAGE(5.4, 10.4, 5.7, 11.4)</f>
        <v>8.2249999999999996</v>
      </c>
      <c r="O2675" s="191"/>
      <c r="P2675" s="109">
        <v>261</v>
      </c>
    </row>
    <row r="2676" spans="1:22" ht="102">
      <c r="A2676" s="212" t="s">
        <v>2594</v>
      </c>
      <c r="B2676" s="141" t="s">
        <v>409</v>
      </c>
      <c r="C2676" s="148" t="s">
        <v>3817</v>
      </c>
      <c r="D2676" s="223"/>
      <c r="E2676" s="148"/>
      <c r="F2676" s="148"/>
      <c r="G2676" s="109" t="s">
        <v>2663</v>
      </c>
      <c r="H2676" s="148" t="s">
        <v>512</v>
      </c>
      <c r="I2676" s="148" t="s">
        <v>440</v>
      </c>
      <c r="J2676" s="148" t="s">
        <v>2428</v>
      </c>
      <c r="K2676" s="223"/>
      <c r="L2676" s="135" t="str">
        <f t="shared" si="154"/>
        <v>Glossophaga longirostris</v>
      </c>
      <c r="M2676" s="133">
        <f t="shared" si="155"/>
        <v>1.0588054866759067</v>
      </c>
      <c r="N2676" s="149">
        <f>AVERAGE(9.7, 13.4, 9.7, 13)</f>
        <v>11.45</v>
      </c>
      <c r="O2676" s="191"/>
      <c r="P2676" s="109">
        <v>261</v>
      </c>
    </row>
    <row r="2677" spans="1:22" ht="76.5">
      <c r="A2677" s="212" t="s">
        <v>2594</v>
      </c>
      <c r="B2677" s="130" t="s">
        <v>2063</v>
      </c>
      <c r="C2677" s="155" t="s">
        <v>3817</v>
      </c>
      <c r="D2677" s="225"/>
      <c r="E2677" s="155"/>
      <c r="F2677" s="155"/>
      <c r="G2677" s="110" t="s">
        <v>2663</v>
      </c>
      <c r="H2677" s="155" t="s">
        <v>512</v>
      </c>
      <c r="I2677" s="155" t="s">
        <v>2064</v>
      </c>
      <c r="J2677" s="155" t="s">
        <v>1985</v>
      </c>
      <c r="K2677" s="225"/>
      <c r="L2677" s="135" t="str">
        <f t="shared" si="154"/>
        <v>Leptonycteris curasoae</v>
      </c>
      <c r="M2677" s="133">
        <f t="shared" si="155"/>
        <v>1.3695868907363444</v>
      </c>
      <c r="N2677" s="152">
        <v>23.42</v>
      </c>
      <c r="O2677" s="192"/>
      <c r="P2677" s="109">
        <v>153</v>
      </c>
    </row>
    <row r="2678" spans="1:22" ht="63.75">
      <c r="A2678" s="212" t="s">
        <v>2594</v>
      </c>
      <c r="B2678" s="141" t="s">
        <v>463</v>
      </c>
      <c r="C2678" s="150" t="s">
        <v>3817</v>
      </c>
      <c r="D2678" s="221"/>
      <c r="E2678" s="150"/>
      <c r="F2678" s="150"/>
      <c r="G2678" s="110" t="s">
        <v>2663</v>
      </c>
      <c r="H2678" s="148" t="s">
        <v>512</v>
      </c>
      <c r="I2678" s="150" t="s">
        <v>472</v>
      </c>
      <c r="J2678" s="150" t="s">
        <v>4380</v>
      </c>
      <c r="K2678" s="221"/>
      <c r="L2678" s="135" t="str">
        <f t="shared" si="154"/>
        <v>Lonchorhina aurita</v>
      </c>
      <c r="M2678" s="133">
        <f t="shared" si="155"/>
        <v>1.1958996524092338</v>
      </c>
      <c r="N2678" s="152">
        <v>15.7</v>
      </c>
      <c r="O2678" s="191"/>
      <c r="P2678" s="109">
        <v>153</v>
      </c>
      <c r="U2678"/>
      <c r="V2678"/>
    </row>
    <row r="2679" spans="1:22" ht="15" customHeight="1">
      <c r="A2679" s="212" t="s">
        <v>2594</v>
      </c>
      <c r="B2679" s="141" t="s">
        <v>554</v>
      </c>
      <c r="C2679" s="148" t="s">
        <v>3817</v>
      </c>
      <c r="D2679" s="223"/>
      <c r="E2679" s="148"/>
      <c r="F2679" s="148"/>
      <c r="G2679" s="109" t="s">
        <v>2663</v>
      </c>
      <c r="H2679" s="148" t="s">
        <v>512</v>
      </c>
      <c r="I2679" s="148" t="s">
        <v>560</v>
      </c>
      <c r="J2679" s="148" t="s">
        <v>642</v>
      </c>
      <c r="K2679" s="223"/>
      <c r="L2679" s="135" t="str">
        <f t="shared" si="154"/>
        <v>Macrotus waterhousii</v>
      </c>
      <c r="M2679" s="133">
        <f t="shared" si="155"/>
        <v>1.105510184769974</v>
      </c>
      <c r="N2679" s="149">
        <v>12.75</v>
      </c>
      <c r="O2679" s="191"/>
      <c r="P2679" s="109">
        <v>153</v>
      </c>
    </row>
    <row r="2680" spans="1:22" ht="38.25">
      <c r="A2680" s="212" t="s">
        <v>2594</v>
      </c>
      <c r="B2680" s="141" t="s">
        <v>896</v>
      </c>
      <c r="C2680" s="148" t="s">
        <v>3817</v>
      </c>
      <c r="D2680" s="223"/>
      <c r="E2680" s="148"/>
      <c r="F2680" s="148"/>
      <c r="G2680" s="109" t="s">
        <v>2663</v>
      </c>
      <c r="H2680" s="148" t="s">
        <v>512</v>
      </c>
      <c r="I2680" s="148" t="s">
        <v>817</v>
      </c>
      <c r="J2680" s="148" t="s">
        <v>4025</v>
      </c>
      <c r="K2680" s="223"/>
      <c r="L2680" s="135" t="str">
        <f t="shared" si="154"/>
        <v>Mesophylla macconnelli</v>
      </c>
      <c r="M2680" s="133">
        <f t="shared" si="155"/>
        <v>0.84010609445675777</v>
      </c>
      <c r="N2680" s="149">
        <v>6.92</v>
      </c>
      <c r="O2680" s="191"/>
      <c r="P2680" s="109">
        <v>153</v>
      </c>
    </row>
    <row r="2681" spans="1:22" ht="63.75">
      <c r="A2681" s="212" t="s">
        <v>2594</v>
      </c>
      <c r="B2681" s="141" t="s">
        <v>899</v>
      </c>
      <c r="C2681" s="148" t="s">
        <v>3817</v>
      </c>
      <c r="D2681" s="223"/>
      <c r="E2681" s="148"/>
      <c r="F2681" s="148"/>
      <c r="G2681" s="109" t="s">
        <v>2663</v>
      </c>
      <c r="H2681" s="148" t="s">
        <v>512</v>
      </c>
      <c r="I2681" s="148" t="s">
        <v>900</v>
      </c>
      <c r="J2681" s="148" t="s">
        <v>2000</v>
      </c>
      <c r="K2681" s="223"/>
      <c r="L2681" s="135" t="str">
        <f t="shared" si="154"/>
        <v>Micronycteris megalotis</v>
      </c>
      <c r="M2681" s="133">
        <f t="shared" si="155"/>
        <v>0.75396586586516035</v>
      </c>
      <c r="N2681" s="149">
        <f>AVERAGE(3.4, 6.7, 4.3, 8.3)</f>
        <v>5.6749999999999998</v>
      </c>
      <c r="O2681" s="191"/>
      <c r="P2681" s="109">
        <v>261</v>
      </c>
    </row>
    <row r="2682" spans="1:22" ht="38.25">
      <c r="A2682" s="212" t="s">
        <v>2594</v>
      </c>
      <c r="B2682" s="141" t="s">
        <v>1053</v>
      </c>
      <c r="C2682" s="148" t="s">
        <v>3817</v>
      </c>
      <c r="D2682" s="223"/>
      <c r="E2682" s="148"/>
      <c r="F2682" s="148"/>
      <c r="G2682" s="109" t="s">
        <v>2663</v>
      </c>
      <c r="H2682" s="148" t="s">
        <v>512</v>
      </c>
      <c r="I2682" s="148" t="s">
        <v>900</v>
      </c>
      <c r="J2682" s="148" t="s">
        <v>5124</v>
      </c>
      <c r="K2682" s="223"/>
      <c r="L2682" s="135" t="str">
        <f t="shared" si="154"/>
        <v>Micronycteris minuta</v>
      </c>
      <c r="M2682" s="133">
        <f t="shared" si="155"/>
        <v>0.81291335664285558</v>
      </c>
      <c r="N2682" s="149">
        <v>6.5</v>
      </c>
      <c r="O2682" s="191"/>
      <c r="P2682" s="109">
        <v>153</v>
      </c>
    </row>
    <row r="2683" spans="1:22" ht="51">
      <c r="A2683" s="212" t="s">
        <v>2594</v>
      </c>
      <c r="B2683" s="141" t="s">
        <v>655</v>
      </c>
      <c r="C2683" s="148" t="s">
        <v>3817</v>
      </c>
      <c r="D2683" s="223"/>
      <c r="E2683" s="148"/>
      <c r="F2683" s="148"/>
      <c r="G2683" s="109" t="s">
        <v>2663</v>
      </c>
      <c r="H2683" s="148" t="s">
        <v>512</v>
      </c>
      <c r="I2683" s="148" t="s">
        <v>900</v>
      </c>
      <c r="J2683" s="148" t="s">
        <v>565</v>
      </c>
      <c r="K2683" s="223"/>
      <c r="L2683" s="135" t="str">
        <f t="shared" si="154"/>
        <v>Micronycteris nicefori</v>
      </c>
      <c r="M2683" s="133">
        <f t="shared" si="155"/>
        <v>0.91513590662201194</v>
      </c>
      <c r="N2683" s="149">
        <v>8.2249999999999996</v>
      </c>
      <c r="O2683" s="191"/>
      <c r="P2683" s="109">
        <v>153</v>
      </c>
    </row>
    <row r="2684" spans="1:22" ht="38.25">
      <c r="A2684" s="212" t="s">
        <v>2594</v>
      </c>
      <c r="B2684" s="141" t="s">
        <v>657</v>
      </c>
      <c r="C2684" s="148" t="s">
        <v>3817</v>
      </c>
      <c r="D2684" s="223"/>
      <c r="E2684" s="148"/>
      <c r="F2684" s="148"/>
      <c r="G2684" s="109" t="s">
        <v>2663</v>
      </c>
      <c r="H2684" s="148" t="s">
        <v>512</v>
      </c>
      <c r="I2684" s="148" t="s">
        <v>900</v>
      </c>
      <c r="J2684" s="148" t="s">
        <v>8312</v>
      </c>
      <c r="K2684" s="223"/>
      <c r="L2684" s="135" t="str">
        <f t="shared" si="154"/>
        <v>Micronycteris sylvestris</v>
      </c>
      <c r="M2684" s="133">
        <f t="shared" si="155"/>
        <v>0.94448267215016868</v>
      </c>
      <c r="N2684" s="149">
        <v>8.8000000000000007</v>
      </c>
      <c r="O2684" s="191"/>
      <c r="P2684" s="109">
        <v>153</v>
      </c>
    </row>
    <row r="2685" spans="1:22" ht="15" customHeight="1">
      <c r="A2685" s="212" t="s">
        <v>2594</v>
      </c>
      <c r="B2685" s="141" t="s">
        <v>473</v>
      </c>
      <c r="C2685" s="148" t="s">
        <v>3817</v>
      </c>
      <c r="D2685" s="223"/>
      <c r="E2685" s="148"/>
      <c r="F2685" s="148"/>
      <c r="G2685" s="109" t="s">
        <v>2663</v>
      </c>
      <c r="H2685" s="148" t="s">
        <v>512</v>
      </c>
      <c r="I2685" s="148" t="s">
        <v>900</v>
      </c>
      <c r="J2685" s="148" t="s">
        <v>620</v>
      </c>
      <c r="K2685" s="223"/>
      <c r="L2685" s="135" t="str">
        <f t="shared" si="154"/>
        <v>Micronycteris hirsuta</v>
      </c>
      <c r="M2685" s="133">
        <f t="shared" si="155"/>
        <v>1.0492180226701815</v>
      </c>
      <c r="N2685" s="149">
        <f>AVERAGE(10.3, 14, 10.7, 6.7, 14.3)</f>
        <v>11.2</v>
      </c>
      <c r="O2685" s="191"/>
      <c r="P2685" s="109">
        <v>261</v>
      </c>
    </row>
    <row r="2686" spans="1:22" ht="38.25">
      <c r="A2686" s="212" t="s">
        <v>2594</v>
      </c>
      <c r="B2686" s="141" t="s">
        <v>566</v>
      </c>
      <c r="C2686" s="148" t="s">
        <v>3817</v>
      </c>
      <c r="D2686" s="223"/>
      <c r="E2686" s="148"/>
      <c r="F2686" s="148"/>
      <c r="G2686" s="109" t="s">
        <v>2663</v>
      </c>
      <c r="H2686" s="148" t="s">
        <v>512</v>
      </c>
      <c r="I2686" s="148" t="s">
        <v>900</v>
      </c>
      <c r="J2686" s="148" t="s">
        <v>7539</v>
      </c>
      <c r="K2686" s="223"/>
      <c r="L2686" s="135" t="str">
        <f t="shared" si="154"/>
        <v>Micronycteris brachyotis</v>
      </c>
      <c r="M2686" s="133">
        <f t="shared" si="155"/>
        <v>1.0791812460476249</v>
      </c>
      <c r="N2686" s="149">
        <f>AVERAGE(9.4, 15.3, 10, 13.3)</f>
        <v>12</v>
      </c>
      <c r="O2686" s="191"/>
      <c r="P2686" s="109">
        <v>261</v>
      </c>
    </row>
    <row r="2687" spans="1:22" ht="51">
      <c r="A2687" s="212" t="s">
        <v>2594</v>
      </c>
      <c r="B2687" s="141" t="s">
        <v>2148</v>
      </c>
      <c r="C2687" s="148" t="s">
        <v>3817</v>
      </c>
      <c r="D2687" s="223"/>
      <c r="E2687" s="148"/>
      <c r="F2687" s="148"/>
      <c r="G2687" s="109" t="s">
        <v>2663</v>
      </c>
      <c r="H2687" s="148" t="s">
        <v>512</v>
      </c>
      <c r="I2687" s="148" t="s">
        <v>4517</v>
      </c>
      <c r="J2687" s="148" t="s">
        <v>2029</v>
      </c>
      <c r="K2687" s="223"/>
      <c r="L2687" s="135" t="str">
        <f t="shared" si="154"/>
        <v>Mimon crenulatum</v>
      </c>
      <c r="M2687" s="133">
        <f t="shared" si="155"/>
        <v>1.1383026981662814</v>
      </c>
      <c r="N2687" s="149">
        <v>13.75</v>
      </c>
      <c r="O2687" s="191"/>
      <c r="P2687" s="109">
        <v>153</v>
      </c>
    </row>
    <row r="2688" spans="1:22" ht="38.25">
      <c r="A2688" s="212" t="s">
        <v>2594</v>
      </c>
      <c r="B2688" s="141" t="s">
        <v>2142</v>
      </c>
      <c r="C2688" s="148" t="s">
        <v>3817</v>
      </c>
      <c r="D2688" s="223"/>
      <c r="E2688" s="148"/>
      <c r="F2688" s="148"/>
      <c r="G2688" s="109" t="s">
        <v>2663</v>
      </c>
      <c r="H2688" s="148" t="s">
        <v>512</v>
      </c>
      <c r="I2688" s="148" t="s">
        <v>2143</v>
      </c>
      <c r="J2688" s="148" t="s">
        <v>2144</v>
      </c>
      <c r="K2688" s="223"/>
      <c r="L2688" s="135" t="str">
        <f t="shared" si="154"/>
        <v>Monophyllus redmani</v>
      </c>
      <c r="M2688" s="133">
        <f t="shared" si="155"/>
        <v>0.93951925261861846</v>
      </c>
      <c r="N2688" s="149">
        <v>8.6999999999999993</v>
      </c>
      <c r="O2688" s="191"/>
      <c r="P2688" s="109">
        <v>153</v>
      </c>
    </row>
    <row r="2689" spans="1:22" ht="51">
      <c r="A2689" s="212" t="s">
        <v>2594</v>
      </c>
      <c r="B2689" s="141" t="s">
        <v>4928</v>
      </c>
      <c r="C2689" s="150" t="s">
        <v>3817</v>
      </c>
      <c r="D2689" s="221"/>
      <c r="E2689" s="150"/>
      <c r="F2689" s="150"/>
      <c r="G2689" s="110" t="s">
        <v>2663</v>
      </c>
      <c r="H2689" s="148" t="s">
        <v>512</v>
      </c>
      <c r="I2689" s="150" t="s">
        <v>2143</v>
      </c>
      <c r="J2689" s="150" t="s">
        <v>4929</v>
      </c>
      <c r="K2689" s="221"/>
      <c r="L2689" s="135" t="str">
        <f t="shared" si="154"/>
        <v>Monophyllus plethodon</v>
      </c>
      <c r="M2689" s="133">
        <f t="shared" si="155"/>
        <v>1.1704712664156269</v>
      </c>
      <c r="N2689" s="152">
        <v>14.807142857143001</v>
      </c>
      <c r="O2689" s="191"/>
      <c r="P2689" s="109">
        <v>153</v>
      </c>
    </row>
    <row r="2690" spans="1:22">
      <c r="A2690" s="212" t="s">
        <v>2594</v>
      </c>
      <c r="B2690" s="141" t="s">
        <v>1987</v>
      </c>
      <c r="C2690" s="148" t="s">
        <v>3817</v>
      </c>
      <c r="D2690" s="223"/>
      <c r="E2690" s="148"/>
      <c r="F2690" s="148"/>
      <c r="G2690" s="109" t="s">
        <v>2663</v>
      </c>
      <c r="H2690" s="148" t="s">
        <v>512</v>
      </c>
      <c r="I2690" s="148" t="s">
        <v>4506</v>
      </c>
      <c r="J2690" s="148" t="s">
        <v>4507</v>
      </c>
      <c r="K2690" s="223"/>
      <c r="L2690" s="135" t="str">
        <f t="shared" si="154"/>
        <v>Phyllonycteris aphylla</v>
      </c>
      <c r="M2690" s="151">
        <v>-999</v>
      </c>
      <c r="N2690" s="151">
        <v>-999</v>
      </c>
      <c r="O2690" s="189"/>
      <c r="P2690" s="109">
        <v>-999</v>
      </c>
    </row>
    <row r="2691" spans="1:22" ht="25.5">
      <c r="A2691" s="212" t="s">
        <v>2594</v>
      </c>
      <c r="B2691" s="141" t="s">
        <v>4508</v>
      </c>
      <c r="C2691" s="148" t="s">
        <v>3817</v>
      </c>
      <c r="D2691" s="223"/>
      <c r="E2691" s="148"/>
      <c r="F2691" s="148"/>
      <c r="G2691" s="109" t="s">
        <v>2663</v>
      </c>
      <c r="H2691" s="148" t="s">
        <v>512</v>
      </c>
      <c r="I2691" s="148" t="s">
        <v>4506</v>
      </c>
      <c r="J2691" s="148" t="s">
        <v>5072</v>
      </c>
      <c r="K2691" s="223"/>
      <c r="L2691" s="135" t="str">
        <f t="shared" si="154"/>
        <v>Phyllonycteris poeyi</v>
      </c>
      <c r="M2691" s="151">
        <v>-999</v>
      </c>
      <c r="N2691" s="151">
        <v>-999</v>
      </c>
      <c r="O2691" s="189"/>
      <c r="P2691" s="109">
        <v>-999</v>
      </c>
    </row>
    <row r="2692" spans="1:22" ht="25.5">
      <c r="A2692" s="212" t="s">
        <v>2594</v>
      </c>
      <c r="B2692" s="141" t="s">
        <v>1565</v>
      </c>
      <c r="C2692" s="148" t="s">
        <v>3817</v>
      </c>
      <c r="D2692" s="223"/>
      <c r="E2692" s="148"/>
      <c r="F2692" s="148"/>
      <c r="G2692" s="109" t="s">
        <v>2663</v>
      </c>
      <c r="H2692" s="148" t="s">
        <v>512</v>
      </c>
      <c r="I2692" s="148" t="s">
        <v>1566</v>
      </c>
      <c r="J2692" s="148" t="s">
        <v>1567</v>
      </c>
      <c r="K2692" s="223"/>
      <c r="L2692" s="135" t="str">
        <f t="shared" si="154"/>
        <v>Phyllops falcatus</v>
      </c>
      <c r="M2692" s="151">
        <v>-999</v>
      </c>
      <c r="N2692" s="151">
        <v>-999</v>
      </c>
      <c r="O2692" s="189"/>
      <c r="P2692" s="109">
        <v>-999</v>
      </c>
    </row>
    <row r="2693" spans="1:22" ht="76.5">
      <c r="A2693" s="212" t="s">
        <v>2594</v>
      </c>
      <c r="B2693" s="141" t="s">
        <v>507</v>
      </c>
      <c r="C2693" s="150" t="s">
        <v>3817</v>
      </c>
      <c r="D2693" s="221"/>
      <c r="E2693" s="150"/>
      <c r="F2693" s="150"/>
      <c r="G2693" s="110" t="s">
        <v>2663</v>
      </c>
      <c r="H2693" s="150" t="s">
        <v>512</v>
      </c>
      <c r="I2693" s="150" t="s">
        <v>1957</v>
      </c>
      <c r="J2693" s="150" t="s">
        <v>4347</v>
      </c>
      <c r="K2693" s="221"/>
      <c r="L2693" s="135" t="str">
        <f t="shared" ref="L2693:L2756" si="156">I2693&amp;" "&amp;J2693</f>
        <v>Phyllostomus discolor</v>
      </c>
      <c r="M2693" s="133">
        <f>LOG(N2693)</f>
        <v>1.4471580313422192</v>
      </c>
      <c r="N2693" s="152">
        <f>AVERAGE(22.9, 30, 22.2, 36.9)</f>
        <v>28</v>
      </c>
      <c r="O2693" s="191"/>
      <c r="P2693" s="109">
        <v>261</v>
      </c>
    </row>
    <row r="2694" spans="1:22" ht="76.5">
      <c r="A2694" s="212" t="s">
        <v>2594</v>
      </c>
      <c r="B2694" s="141" t="s">
        <v>601</v>
      </c>
      <c r="C2694" s="150" t="s">
        <v>3817</v>
      </c>
      <c r="D2694" s="221"/>
      <c r="E2694" s="150"/>
      <c r="F2694" s="150"/>
      <c r="G2694" s="110" t="s">
        <v>2663</v>
      </c>
      <c r="H2694" s="150" t="s">
        <v>512</v>
      </c>
      <c r="I2694" s="150" t="s">
        <v>1957</v>
      </c>
      <c r="J2694" s="150" t="s">
        <v>610</v>
      </c>
      <c r="K2694" s="221"/>
      <c r="L2694" s="135" t="str">
        <f t="shared" si="156"/>
        <v>Phyllostomus hastatus</v>
      </c>
      <c r="M2694" s="133">
        <f>LOG(N2694)</f>
        <v>1.8846537846545233</v>
      </c>
      <c r="N2694" s="152">
        <f>AVERAGE(52.2, 101.1, 66.3, 87.1)</f>
        <v>76.675000000000011</v>
      </c>
      <c r="O2694" s="192"/>
      <c r="P2694" s="109">
        <v>261</v>
      </c>
    </row>
    <row r="2695" spans="1:22" ht="25.5">
      <c r="A2695" s="212" t="s">
        <v>2594</v>
      </c>
      <c r="B2695" s="141" t="s">
        <v>2081</v>
      </c>
      <c r="C2695" s="150" t="s">
        <v>3817</v>
      </c>
      <c r="D2695" s="221"/>
      <c r="E2695" s="150"/>
      <c r="F2695" s="150"/>
      <c r="G2695" s="110" t="s">
        <v>2663</v>
      </c>
      <c r="H2695" s="150" t="s">
        <v>512</v>
      </c>
      <c r="I2695" s="150" t="s">
        <v>2082</v>
      </c>
      <c r="J2695" s="150" t="s">
        <v>2083</v>
      </c>
      <c r="K2695" s="221"/>
      <c r="L2695" s="135" t="str">
        <f t="shared" si="156"/>
        <v>Stenoderma rufum</v>
      </c>
      <c r="M2695" s="133">
        <f>LOG(N2695)</f>
        <v>1.3149200559924199</v>
      </c>
      <c r="N2695" s="152">
        <v>20.65</v>
      </c>
      <c r="O2695" s="191"/>
      <c r="P2695" s="109">
        <v>153</v>
      </c>
      <c r="U2695" s="61"/>
      <c r="V2695" s="61"/>
    </row>
    <row r="2696" spans="1:22" ht="15" customHeight="1">
      <c r="A2696" s="212" t="s">
        <v>2594</v>
      </c>
      <c r="B2696" s="141" t="s">
        <v>651</v>
      </c>
      <c r="C2696" s="150" t="s">
        <v>3817</v>
      </c>
      <c r="D2696" s="221"/>
      <c r="E2696" s="150"/>
      <c r="F2696" s="150"/>
      <c r="G2696" s="110" t="s">
        <v>2663</v>
      </c>
      <c r="H2696" s="150" t="s">
        <v>512</v>
      </c>
      <c r="I2696" s="150" t="s">
        <v>1973</v>
      </c>
      <c r="J2696" s="150" t="s">
        <v>4852</v>
      </c>
      <c r="K2696" s="221"/>
      <c r="L2696" s="135" t="str">
        <f t="shared" si="156"/>
        <v>Sturnira thomasi</v>
      </c>
      <c r="M2696" s="151">
        <v>-999</v>
      </c>
      <c r="N2696" s="146">
        <v>-999</v>
      </c>
      <c r="O2696" s="189"/>
      <c r="P2696" s="109">
        <v>-999</v>
      </c>
    </row>
    <row r="2697" spans="1:22" ht="63.75">
      <c r="A2697" s="212" t="s">
        <v>2594</v>
      </c>
      <c r="B2697" s="130" t="s">
        <v>4874</v>
      </c>
      <c r="C2697" s="155" t="s">
        <v>3817</v>
      </c>
      <c r="D2697" s="225"/>
      <c r="E2697" s="155"/>
      <c r="F2697" s="155"/>
      <c r="G2697" s="110" t="s">
        <v>2663</v>
      </c>
      <c r="H2697" s="155" t="s">
        <v>512</v>
      </c>
      <c r="I2697" s="155" t="s">
        <v>1973</v>
      </c>
      <c r="J2697" s="155" t="s">
        <v>4875</v>
      </c>
      <c r="K2697" s="225"/>
      <c r="L2697" s="135" t="str">
        <f t="shared" si="156"/>
        <v>Sturnira lilium</v>
      </c>
      <c r="M2697" s="133">
        <f t="shared" ref="M2697:M2704" si="157">LOG(N2697)</f>
        <v>1.2810333672477277</v>
      </c>
      <c r="N2697" s="152">
        <v>19.100000000000001</v>
      </c>
      <c r="O2697" s="191"/>
      <c r="P2697" s="109">
        <v>153</v>
      </c>
    </row>
    <row r="2698" spans="1:22" ht="51">
      <c r="A2698" s="212" t="s">
        <v>2594</v>
      </c>
      <c r="B2698" s="141" t="s">
        <v>4869</v>
      </c>
      <c r="C2698" s="150" t="s">
        <v>3817</v>
      </c>
      <c r="D2698" s="221"/>
      <c r="E2698" s="150"/>
      <c r="F2698" s="150"/>
      <c r="G2698" s="110" t="s">
        <v>2663</v>
      </c>
      <c r="H2698" s="150" t="s">
        <v>512</v>
      </c>
      <c r="I2698" s="150" t="s">
        <v>1973</v>
      </c>
      <c r="J2698" s="150" t="s">
        <v>868</v>
      </c>
      <c r="K2698" s="221"/>
      <c r="L2698" s="135" t="str">
        <f t="shared" si="156"/>
        <v>Sturnira tildae</v>
      </c>
      <c r="M2698" s="133">
        <f t="shared" si="157"/>
        <v>1.3809344633307019</v>
      </c>
      <c r="N2698" s="152">
        <v>24.04</v>
      </c>
      <c r="O2698" s="191"/>
      <c r="P2698" s="109">
        <v>153</v>
      </c>
    </row>
    <row r="2699" spans="1:22" ht="38.25">
      <c r="A2699" s="212" t="s">
        <v>2594</v>
      </c>
      <c r="B2699" s="141" t="s">
        <v>481</v>
      </c>
      <c r="C2699" s="150" t="s">
        <v>3817</v>
      </c>
      <c r="D2699" s="221"/>
      <c r="E2699" s="150"/>
      <c r="F2699" s="150"/>
      <c r="G2699" s="110" t="s">
        <v>2663</v>
      </c>
      <c r="H2699" s="150" t="s">
        <v>512</v>
      </c>
      <c r="I2699" s="150" t="s">
        <v>482</v>
      </c>
      <c r="J2699" s="150" t="s">
        <v>483</v>
      </c>
      <c r="K2699" s="221"/>
      <c r="L2699" s="135" t="str">
        <f t="shared" si="156"/>
        <v>Tonatia brasiliense</v>
      </c>
      <c r="M2699" s="133">
        <f t="shared" si="157"/>
        <v>0.97197127639975645</v>
      </c>
      <c r="N2699" s="152">
        <v>9.375</v>
      </c>
      <c r="O2699" s="192"/>
      <c r="P2699" s="109">
        <v>153</v>
      </c>
    </row>
    <row r="2700" spans="1:22" ht="51">
      <c r="A2700" s="212" t="s">
        <v>2594</v>
      </c>
      <c r="B2700" s="141" t="s">
        <v>2789</v>
      </c>
      <c r="C2700" s="150" t="s">
        <v>3817</v>
      </c>
      <c r="D2700" s="221"/>
      <c r="E2700" s="150"/>
      <c r="F2700" s="150"/>
      <c r="G2700" s="110" t="s">
        <v>2663</v>
      </c>
      <c r="H2700" s="150" t="s">
        <v>512</v>
      </c>
      <c r="I2700" s="150" t="s">
        <v>482</v>
      </c>
      <c r="J2700" s="150" t="s">
        <v>5610</v>
      </c>
      <c r="K2700" s="221"/>
      <c r="L2700" s="135" t="str">
        <f t="shared" si="156"/>
        <v>Tonatia bidens</v>
      </c>
      <c r="M2700" s="133">
        <f t="shared" si="157"/>
        <v>1.4144162029529022</v>
      </c>
      <c r="N2700" s="152">
        <f>AVERAGE(26.8, 24.2, 26.9)</f>
        <v>25.966666666666669</v>
      </c>
      <c r="O2700" s="192"/>
      <c r="P2700" s="109">
        <v>261</v>
      </c>
    </row>
    <row r="2701" spans="1:22" ht="51">
      <c r="A2701" s="212" t="s">
        <v>2594</v>
      </c>
      <c r="B2701" s="141" t="s">
        <v>2953</v>
      </c>
      <c r="C2701" s="150" t="s">
        <v>3817</v>
      </c>
      <c r="D2701" s="221"/>
      <c r="E2701" s="150"/>
      <c r="F2701" s="150"/>
      <c r="G2701" s="110" t="s">
        <v>2663</v>
      </c>
      <c r="H2701" s="150" t="s">
        <v>512</v>
      </c>
      <c r="I2701" s="150" t="s">
        <v>652</v>
      </c>
      <c r="J2701" s="150" t="s">
        <v>479</v>
      </c>
      <c r="K2701" s="221"/>
      <c r="L2701" s="135" t="str">
        <f t="shared" si="156"/>
        <v>Trachops cirrhosus</v>
      </c>
      <c r="M2701" s="133">
        <f t="shared" si="157"/>
        <v>1.5759571887637611</v>
      </c>
      <c r="N2701" s="152">
        <v>37.666666666666998</v>
      </c>
      <c r="O2701" s="192"/>
      <c r="P2701" s="109">
        <v>153</v>
      </c>
    </row>
    <row r="2702" spans="1:22" ht="38.25">
      <c r="A2702" s="212" t="s">
        <v>2594</v>
      </c>
      <c r="B2702" s="141" t="s">
        <v>719</v>
      </c>
      <c r="C2702" s="150" t="s">
        <v>3817</v>
      </c>
      <c r="D2702" s="221"/>
      <c r="E2702" s="150"/>
      <c r="F2702" s="150"/>
      <c r="G2702" s="110" t="s">
        <v>2663</v>
      </c>
      <c r="H2702" s="150" t="s">
        <v>512</v>
      </c>
      <c r="I2702" s="150" t="s">
        <v>568</v>
      </c>
      <c r="J2702" s="150" t="s">
        <v>567</v>
      </c>
      <c r="K2702" s="221"/>
      <c r="L2702" s="135" t="str">
        <f t="shared" si="156"/>
        <v>Uroderma bilobatum</v>
      </c>
      <c r="M2702" s="133">
        <f t="shared" si="157"/>
        <v>1.2278867046136737</v>
      </c>
      <c r="N2702" s="152">
        <f>AVERAGE(13.7, 18.5, 17.1, 18.3)</f>
        <v>16.900000000000002</v>
      </c>
      <c r="O2702" s="192"/>
      <c r="P2702" s="109">
        <v>261</v>
      </c>
    </row>
    <row r="2703" spans="1:22" ht="38.25">
      <c r="A2703" s="212" t="s">
        <v>2594</v>
      </c>
      <c r="B2703" s="141" t="s">
        <v>4940</v>
      </c>
      <c r="C2703" s="150" t="s">
        <v>3817</v>
      </c>
      <c r="D2703" s="221"/>
      <c r="E2703" s="150"/>
      <c r="F2703" s="150"/>
      <c r="G2703" s="110" t="s">
        <v>2663</v>
      </c>
      <c r="H2703" s="150" t="s">
        <v>512</v>
      </c>
      <c r="I2703" s="150" t="s">
        <v>392</v>
      </c>
      <c r="J2703" s="150" t="s">
        <v>533</v>
      </c>
      <c r="K2703" s="221"/>
      <c r="L2703" s="135" t="str">
        <f t="shared" si="156"/>
        <v>Vampyrodes caraccioli</v>
      </c>
      <c r="M2703" s="133">
        <f t="shared" si="157"/>
        <v>1.5403294747908738</v>
      </c>
      <c r="N2703" s="152">
        <v>34.700000000000003</v>
      </c>
      <c r="O2703" s="192"/>
      <c r="P2703" s="110">
        <v>153</v>
      </c>
    </row>
    <row r="2704" spans="1:22" ht="51">
      <c r="A2704" s="212" t="s">
        <v>2594</v>
      </c>
      <c r="B2704" s="141" t="s">
        <v>4651</v>
      </c>
      <c r="C2704" s="150" t="s">
        <v>3817</v>
      </c>
      <c r="D2704" s="221"/>
      <c r="E2704" s="150"/>
      <c r="F2704" s="150"/>
      <c r="G2704" s="110" t="s">
        <v>2663</v>
      </c>
      <c r="H2704" s="150" t="s">
        <v>512</v>
      </c>
      <c r="I2704" s="150" t="s">
        <v>2150</v>
      </c>
      <c r="J2704" s="150" t="s">
        <v>5777</v>
      </c>
      <c r="K2704" s="221"/>
      <c r="L2704" s="135" t="str">
        <f t="shared" si="156"/>
        <v>Vampyrum spectrum</v>
      </c>
      <c r="M2704" s="133">
        <f t="shared" si="157"/>
        <v>2.215373152783422</v>
      </c>
      <c r="N2704" s="152">
        <f>AVERAGE(147, 174.1, 150.8, 184.9)</f>
        <v>164.20000000000002</v>
      </c>
      <c r="O2704" s="192"/>
      <c r="P2704" s="110">
        <v>261</v>
      </c>
    </row>
    <row r="2705" spans="1:22">
      <c r="A2705" s="212" t="s">
        <v>2594</v>
      </c>
      <c r="B2705" s="141" t="s">
        <v>650</v>
      </c>
      <c r="C2705" s="150" t="s">
        <v>3817</v>
      </c>
      <c r="D2705" s="221"/>
      <c r="E2705" s="150"/>
      <c r="F2705" s="150"/>
      <c r="G2705" s="109" t="s">
        <v>2663</v>
      </c>
      <c r="H2705" s="148" t="s">
        <v>6203</v>
      </c>
      <c r="I2705" s="148" t="s">
        <v>2152</v>
      </c>
      <c r="J2705" s="148" t="s">
        <v>478</v>
      </c>
      <c r="K2705" s="223"/>
      <c r="L2705" s="135" t="str">
        <f t="shared" si="156"/>
        <v>Acerodon humilis</v>
      </c>
      <c r="M2705" s="151">
        <v>-999</v>
      </c>
      <c r="N2705" s="151">
        <v>-999</v>
      </c>
      <c r="O2705" s="189"/>
      <c r="P2705" s="109">
        <v>-999</v>
      </c>
    </row>
    <row r="2706" spans="1:22" ht="25.5">
      <c r="A2706" s="212" t="s">
        <v>2594</v>
      </c>
      <c r="B2706" s="141" t="s">
        <v>4518</v>
      </c>
      <c r="C2706" s="148" t="s">
        <v>3817</v>
      </c>
      <c r="D2706" s="223"/>
      <c r="E2706" s="148"/>
      <c r="F2706" s="148"/>
      <c r="G2706" s="109" t="s">
        <v>2663</v>
      </c>
      <c r="H2706" s="148" t="s">
        <v>6203</v>
      </c>
      <c r="I2706" s="148" t="s">
        <v>2152</v>
      </c>
      <c r="J2706" s="148" t="s">
        <v>7245</v>
      </c>
      <c r="K2706" s="223"/>
      <c r="L2706" s="135" t="str">
        <f t="shared" si="156"/>
        <v>Acerodon leucotis</v>
      </c>
      <c r="M2706" s="151">
        <v>-999</v>
      </c>
      <c r="N2706" s="151">
        <v>-999</v>
      </c>
      <c r="O2706" s="189"/>
      <c r="P2706" s="109">
        <v>-999</v>
      </c>
    </row>
    <row r="2707" spans="1:22" ht="25.5">
      <c r="A2707" s="212" t="s">
        <v>2594</v>
      </c>
      <c r="B2707" s="141" t="s">
        <v>2151</v>
      </c>
      <c r="C2707" s="150" t="s">
        <v>3817</v>
      </c>
      <c r="D2707" s="221"/>
      <c r="E2707" s="150"/>
      <c r="F2707" s="150"/>
      <c r="G2707" s="110" t="s">
        <v>2663</v>
      </c>
      <c r="H2707" s="150" t="s">
        <v>6203</v>
      </c>
      <c r="I2707" s="150" t="s">
        <v>2152</v>
      </c>
      <c r="J2707" s="150" t="s">
        <v>6485</v>
      </c>
      <c r="K2707" s="221"/>
      <c r="L2707" s="135" t="str">
        <f t="shared" si="156"/>
        <v>Acerodon celebensis</v>
      </c>
      <c r="M2707" s="133">
        <f t="shared" ref="M2707:M2713" si="158">LOG(N2707)</f>
        <v>2.5910646070264991</v>
      </c>
      <c r="N2707" s="152">
        <v>390</v>
      </c>
      <c r="O2707" s="191"/>
      <c r="P2707" s="109">
        <v>153</v>
      </c>
    </row>
    <row r="2708" spans="1:22" ht="38.25">
      <c r="A2708" s="212" t="s">
        <v>2594</v>
      </c>
      <c r="B2708" s="141" t="s">
        <v>648</v>
      </c>
      <c r="C2708" s="150" t="s">
        <v>3817</v>
      </c>
      <c r="D2708" s="221"/>
      <c r="E2708" s="150"/>
      <c r="F2708" s="150"/>
      <c r="G2708" s="110" t="s">
        <v>2663</v>
      </c>
      <c r="H2708" s="150" t="s">
        <v>6203</v>
      </c>
      <c r="I2708" s="150" t="s">
        <v>2152</v>
      </c>
      <c r="J2708" s="150" t="s">
        <v>649</v>
      </c>
      <c r="K2708" s="221"/>
      <c r="L2708" s="135" t="str">
        <f t="shared" si="156"/>
        <v>Acerodon mackloti</v>
      </c>
      <c r="M2708" s="133">
        <f t="shared" si="158"/>
        <v>2.6724057590346821</v>
      </c>
      <c r="N2708" s="152">
        <v>470.33333333333002</v>
      </c>
      <c r="O2708" s="191"/>
      <c r="P2708" s="109">
        <v>153</v>
      </c>
    </row>
    <row r="2709" spans="1:22" ht="15" customHeight="1">
      <c r="A2709" s="212" t="s">
        <v>2594</v>
      </c>
      <c r="B2709" s="141" t="s">
        <v>6062</v>
      </c>
      <c r="C2709" s="150" t="s">
        <v>3817</v>
      </c>
      <c r="D2709" s="221"/>
      <c r="E2709" s="150"/>
      <c r="F2709" s="150"/>
      <c r="G2709" s="110" t="s">
        <v>2663</v>
      </c>
      <c r="H2709" s="150" t="s">
        <v>6203</v>
      </c>
      <c r="I2709" s="150" t="s">
        <v>2152</v>
      </c>
      <c r="J2709" s="150" t="s">
        <v>4836</v>
      </c>
      <c r="K2709" s="221"/>
      <c r="L2709" s="135" t="str">
        <f t="shared" si="156"/>
        <v>Acerodon jubatus</v>
      </c>
      <c r="M2709" s="133">
        <f t="shared" si="158"/>
        <v>3.0314084642516241</v>
      </c>
      <c r="N2709" s="152">
        <v>1075</v>
      </c>
      <c r="O2709" s="192"/>
      <c r="P2709" s="110">
        <v>153</v>
      </c>
    </row>
    <row r="2710" spans="1:22" ht="38.25">
      <c r="A2710" s="212" t="s">
        <v>2594</v>
      </c>
      <c r="B2710" s="141" t="s">
        <v>4930</v>
      </c>
      <c r="C2710" s="150" t="s">
        <v>3817</v>
      </c>
      <c r="D2710" s="221"/>
      <c r="E2710" s="150"/>
      <c r="F2710" s="150"/>
      <c r="G2710" s="110" t="s">
        <v>2663</v>
      </c>
      <c r="H2710" s="148" t="s">
        <v>6203</v>
      </c>
      <c r="I2710" s="150" t="s">
        <v>4931</v>
      </c>
      <c r="J2710" s="150" t="s">
        <v>6087</v>
      </c>
      <c r="K2710" s="221"/>
      <c r="L2710" s="135" t="str">
        <f t="shared" si="156"/>
        <v>Aethalops alecto</v>
      </c>
      <c r="M2710" s="133">
        <f t="shared" si="158"/>
        <v>1.1760912590556813</v>
      </c>
      <c r="N2710" s="152">
        <v>15</v>
      </c>
      <c r="O2710" s="191"/>
      <c r="P2710" s="109">
        <v>153</v>
      </c>
      <c r="U2710" s="59"/>
      <c r="V2710" s="59"/>
    </row>
    <row r="2711" spans="1:22">
      <c r="A2711" s="212" t="s">
        <v>2594</v>
      </c>
      <c r="B2711" s="141" t="s">
        <v>4932</v>
      </c>
      <c r="C2711" s="150" t="s">
        <v>3817</v>
      </c>
      <c r="D2711" s="221"/>
      <c r="E2711" s="150"/>
      <c r="F2711" s="150"/>
      <c r="G2711" s="110" t="s">
        <v>2663</v>
      </c>
      <c r="H2711" s="148" t="s">
        <v>6203</v>
      </c>
      <c r="I2711" s="150" t="s">
        <v>4513</v>
      </c>
      <c r="J2711" s="150" t="s">
        <v>4514</v>
      </c>
      <c r="K2711" s="221"/>
      <c r="L2711" s="135" t="str">
        <f t="shared" si="156"/>
        <v>Alionycteris paucidentata</v>
      </c>
      <c r="M2711" s="133">
        <f t="shared" si="158"/>
        <v>1.2082424384175929</v>
      </c>
      <c r="N2711" s="152">
        <v>16.1526</v>
      </c>
      <c r="O2711" s="191"/>
      <c r="P2711" s="109">
        <v>153</v>
      </c>
    </row>
    <row r="2712" spans="1:22">
      <c r="A2712" s="212" t="s">
        <v>2594</v>
      </c>
      <c r="B2712" s="141" t="s">
        <v>2170</v>
      </c>
      <c r="C2712" s="150" t="s">
        <v>3817</v>
      </c>
      <c r="D2712" s="221"/>
      <c r="E2712" s="150"/>
      <c r="F2712" s="150"/>
      <c r="G2712" s="110" t="s">
        <v>2663</v>
      </c>
      <c r="H2712" s="150" t="s">
        <v>6203</v>
      </c>
      <c r="I2712" s="150" t="s">
        <v>1476</v>
      </c>
      <c r="J2712" s="150" t="s">
        <v>1477</v>
      </c>
      <c r="K2712" s="221"/>
      <c r="L2712" s="135" t="str">
        <f t="shared" si="156"/>
        <v>Aproteles bulmerae</v>
      </c>
      <c r="M2712" s="133">
        <f t="shared" si="158"/>
        <v>2.7781512503836434</v>
      </c>
      <c r="N2712" s="152">
        <v>600</v>
      </c>
      <c r="O2712" s="191"/>
      <c r="P2712" s="109">
        <v>153</v>
      </c>
    </row>
    <row r="2713" spans="1:22" ht="38.25">
      <c r="A2713" s="212" t="s">
        <v>2594</v>
      </c>
      <c r="B2713" s="141" t="s">
        <v>4920</v>
      </c>
      <c r="C2713" s="148" t="s">
        <v>3817</v>
      </c>
      <c r="D2713" s="223"/>
      <c r="E2713" s="148"/>
      <c r="F2713" s="148"/>
      <c r="G2713" s="109" t="s">
        <v>2663</v>
      </c>
      <c r="H2713" s="148" t="s">
        <v>6203</v>
      </c>
      <c r="I2713" s="148" t="s">
        <v>4921</v>
      </c>
      <c r="J2713" s="148" t="s">
        <v>4913</v>
      </c>
      <c r="K2713" s="223"/>
      <c r="L2713" s="135" t="str">
        <f t="shared" si="156"/>
        <v>Balionycteris maculata</v>
      </c>
      <c r="M2713" s="133">
        <f t="shared" si="158"/>
        <v>1.0969100130080565</v>
      </c>
      <c r="N2713" s="149">
        <f>AVERAGE(10, 15)</f>
        <v>12.5</v>
      </c>
      <c r="O2713" s="191"/>
      <c r="P2713" s="109">
        <v>257</v>
      </c>
    </row>
    <row r="2714" spans="1:22">
      <c r="A2714" s="212" t="s">
        <v>2594</v>
      </c>
      <c r="B2714" s="141" t="s">
        <v>4922</v>
      </c>
      <c r="C2714" s="148" t="s">
        <v>3817</v>
      </c>
      <c r="D2714" s="223"/>
      <c r="E2714" s="148"/>
      <c r="F2714" s="148"/>
      <c r="G2714" s="109" t="s">
        <v>2663</v>
      </c>
      <c r="H2714" s="148" t="s">
        <v>6203</v>
      </c>
      <c r="I2714" s="148" t="s">
        <v>4923</v>
      </c>
      <c r="J2714" s="148" t="s">
        <v>5610</v>
      </c>
      <c r="K2714" s="223"/>
      <c r="L2714" s="135" t="str">
        <f t="shared" si="156"/>
        <v>Boneia bidens</v>
      </c>
      <c r="M2714" s="151">
        <v>-999</v>
      </c>
      <c r="N2714" s="151">
        <v>-999</v>
      </c>
      <c r="O2714" s="189"/>
      <c r="P2714" s="109">
        <v>-999</v>
      </c>
    </row>
    <row r="2715" spans="1:22" ht="15" customHeight="1">
      <c r="A2715" s="212" t="s">
        <v>2594</v>
      </c>
      <c r="B2715" s="141" t="s">
        <v>4927</v>
      </c>
      <c r="C2715" s="150" t="s">
        <v>3817</v>
      </c>
      <c r="D2715" s="221"/>
      <c r="E2715" s="150"/>
      <c r="F2715" s="150"/>
      <c r="G2715" s="110" t="s">
        <v>2663</v>
      </c>
      <c r="H2715" s="148" t="s">
        <v>6203</v>
      </c>
      <c r="I2715" s="150" t="s">
        <v>4939</v>
      </c>
      <c r="J2715" s="150" t="s">
        <v>4779</v>
      </c>
      <c r="K2715" s="221"/>
      <c r="L2715" s="135" t="str">
        <f t="shared" si="156"/>
        <v>Chironax melanocephalus</v>
      </c>
      <c r="M2715" s="133">
        <f t="shared" ref="M2715:M2742" si="159">LOG(N2715)</f>
        <v>1.1958996524092338</v>
      </c>
      <c r="N2715" s="152">
        <v>15.7</v>
      </c>
      <c r="O2715" s="191"/>
      <c r="P2715" s="109">
        <v>257</v>
      </c>
    </row>
    <row r="2716" spans="1:22" ht="76.5">
      <c r="A2716" s="212" t="s">
        <v>2594</v>
      </c>
      <c r="B2716" s="141" t="s">
        <v>2060</v>
      </c>
      <c r="C2716" s="150" t="s">
        <v>3817</v>
      </c>
      <c r="D2716" s="221"/>
      <c r="E2716" s="150"/>
      <c r="F2716" s="150"/>
      <c r="G2716" s="110" t="s">
        <v>2663</v>
      </c>
      <c r="H2716" s="150" t="s">
        <v>6203</v>
      </c>
      <c r="I2716" s="150" t="s">
        <v>1956</v>
      </c>
      <c r="J2716" s="150" t="s">
        <v>7539</v>
      </c>
      <c r="K2716" s="221"/>
      <c r="L2716" s="135" t="str">
        <f t="shared" si="156"/>
        <v>Cynopterus brachyotis</v>
      </c>
      <c r="M2716" s="133">
        <f t="shared" si="159"/>
        <v>1.485011214578573</v>
      </c>
      <c r="N2716" s="152">
        <f>AVERAGE(21, 42, 29.5, 29.7)</f>
        <v>30.55</v>
      </c>
      <c r="O2716" s="191"/>
      <c r="P2716" s="109" t="s">
        <v>1837</v>
      </c>
    </row>
    <row r="2717" spans="1:22" ht="15" customHeight="1">
      <c r="A2717" s="212" t="s">
        <v>2594</v>
      </c>
      <c r="B2717" s="141" t="s">
        <v>503</v>
      </c>
      <c r="C2717" s="148" t="s">
        <v>3817</v>
      </c>
      <c r="D2717" s="223"/>
      <c r="E2717" s="148"/>
      <c r="F2717" s="148"/>
      <c r="G2717" s="109" t="s">
        <v>2663</v>
      </c>
      <c r="H2717" s="148" t="s">
        <v>6203</v>
      </c>
      <c r="I2717" s="148" t="s">
        <v>1956</v>
      </c>
      <c r="J2717" s="148" t="s">
        <v>504</v>
      </c>
      <c r="K2717" s="223"/>
      <c r="L2717" s="135" t="str">
        <f t="shared" si="156"/>
        <v>Cynopterus nusatenggara</v>
      </c>
      <c r="M2717" s="151">
        <f t="shared" si="159"/>
        <v>1.5615485721030893</v>
      </c>
      <c r="N2717" s="151">
        <f>AVERAGE(41.6, 42, 36.1, 36.4, 36.8, 38.3, 29.2, 31.1)</f>
        <v>36.4375</v>
      </c>
      <c r="O2717" s="189"/>
      <c r="P2717" s="109">
        <v>258</v>
      </c>
    </row>
    <row r="2718" spans="1:22" ht="63.75">
      <c r="A2718" s="212" t="s">
        <v>2594</v>
      </c>
      <c r="B2718" s="141" t="s">
        <v>597</v>
      </c>
      <c r="C2718" s="150" t="s">
        <v>3817</v>
      </c>
      <c r="D2718" s="221"/>
      <c r="E2718" s="150"/>
      <c r="F2718" s="150"/>
      <c r="G2718" s="110" t="s">
        <v>2663</v>
      </c>
      <c r="H2718" s="150" t="s">
        <v>6203</v>
      </c>
      <c r="I2718" s="150" t="s">
        <v>1956</v>
      </c>
      <c r="J2718" s="150" t="s">
        <v>6347</v>
      </c>
      <c r="K2718" s="221"/>
      <c r="L2718" s="135" t="str">
        <f t="shared" si="156"/>
        <v>Cynopterus sphinx</v>
      </c>
      <c r="M2718" s="133">
        <f t="shared" si="159"/>
        <v>1.6401058356857277</v>
      </c>
      <c r="N2718" s="152">
        <v>43.662222222221999</v>
      </c>
      <c r="O2718" s="191"/>
      <c r="P2718" s="109">
        <v>153</v>
      </c>
    </row>
    <row r="2719" spans="1:22" ht="51">
      <c r="A2719" s="212" t="s">
        <v>2594</v>
      </c>
      <c r="B2719" s="141" t="s">
        <v>930</v>
      </c>
      <c r="C2719" s="150" t="s">
        <v>3817</v>
      </c>
      <c r="D2719" s="221"/>
      <c r="E2719" s="150"/>
      <c r="F2719" s="150"/>
      <c r="G2719" s="110" t="s">
        <v>2663</v>
      </c>
      <c r="H2719" s="150" t="s">
        <v>6203</v>
      </c>
      <c r="I2719" s="150" t="s">
        <v>1956</v>
      </c>
      <c r="J2719" s="150" t="s">
        <v>6441</v>
      </c>
      <c r="K2719" s="221"/>
      <c r="L2719" s="135" t="str">
        <f t="shared" si="156"/>
        <v>Cynopterus horsfieldi</v>
      </c>
      <c r="M2719" s="133">
        <f t="shared" si="159"/>
        <v>1.7442929831226763</v>
      </c>
      <c r="N2719" s="152">
        <f>AVERAGE(41, 70)</f>
        <v>55.5</v>
      </c>
      <c r="O2719" s="192"/>
      <c r="P2719" s="109">
        <v>257</v>
      </c>
    </row>
    <row r="2720" spans="1:22" ht="38.25">
      <c r="A2720" s="212" t="s">
        <v>2594</v>
      </c>
      <c r="B2720" s="141" t="s">
        <v>860</v>
      </c>
      <c r="C2720" s="150" t="s">
        <v>3817</v>
      </c>
      <c r="D2720" s="221"/>
      <c r="E2720" s="150"/>
      <c r="F2720" s="150"/>
      <c r="G2720" s="110" t="s">
        <v>2663</v>
      </c>
      <c r="H2720" s="150" t="s">
        <v>6203</v>
      </c>
      <c r="I2720" s="150" t="s">
        <v>1956</v>
      </c>
      <c r="J2720" s="150" t="s">
        <v>861</v>
      </c>
      <c r="K2720" s="221"/>
      <c r="L2720" s="135" t="str">
        <f t="shared" si="156"/>
        <v>Cynopterus titthaecheileus</v>
      </c>
      <c r="M2720" s="133">
        <f t="shared" si="159"/>
        <v>1.7502511875699764</v>
      </c>
      <c r="N2720" s="152">
        <v>56.266666666667</v>
      </c>
      <c r="O2720" s="191"/>
      <c r="P2720" s="109">
        <v>153</v>
      </c>
    </row>
    <row r="2721" spans="1:16" ht="38.25">
      <c r="A2721" s="212" t="s">
        <v>2594</v>
      </c>
      <c r="B2721" s="141" t="s">
        <v>787</v>
      </c>
      <c r="C2721" s="150" t="s">
        <v>3817</v>
      </c>
      <c r="D2721" s="221"/>
      <c r="E2721" s="150"/>
      <c r="F2721" s="150"/>
      <c r="G2721" s="110" t="s">
        <v>2663</v>
      </c>
      <c r="H2721" s="150" t="s">
        <v>6203</v>
      </c>
      <c r="I2721" s="150" t="s">
        <v>1574</v>
      </c>
      <c r="J2721" s="150" t="s">
        <v>3078</v>
      </c>
      <c r="K2721" s="221"/>
      <c r="L2721" s="135" t="str">
        <f t="shared" si="156"/>
        <v>Dobsonia minor</v>
      </c>
      <c r="M2721" s="133">
        <f t="shared" si="159"/>
        <v>1.8933455718182308</v>
      </c>
      <c r="N2721" s="152">
        <v>78.224999999999994</v>
      </c>
      <c r="O2721" s="191"/>
      <c r="P2721" s="109">
        <v>153</v>
      </c>
    </row>
    <row r="2722" spans="1:16">
      <c r="A2722" s="212" t="s">
        <v>2594</v>
      </c>
      <c r="B2722" s="141" t="s">
        <v>747</v>
      </c>
      <c r="C2722" s="150" t="s">
        <v>3817</v>
      </c>
      <c r="D2722" s="221"/>
      <c r="E2722" s="150"/>
      <c r="F2722" s="150"/>
      <c r="G2722" s="110" t="s">
        <v>2663</v>
      </c>
      <c r="H2722" s="150" t="s">
        <v>6203</v>
      </c>
      <c r="I2722" s="150" t="s">
        <v>1574</v>
      </c>
      <c r="J2722" s="150" t="s">
        <v>5760</v>
      </c>
      <c r="K2722" s="221"/>
      <c r="L2722" s="135" t="str">
        <f t="shared" si="156"/>
        <v>Dobsonia inermis</v>
      </c>
      <c r="M2722" s="133">
        <f t="shared" si="159"/>
        <v>2.1746411926604483</v>
      </c>
      <c r="N2722" s="152">
        <v>149.5</v>
      </c>
      <c r="O2722" s="191"/>
      <c r="P2722" s="109">
        <v>153</v>
      </c>
    </row>
    <row r="2723" spans="1:16" ht="24" customHeight="1">
      <c r="A2723" s="212" t="s">
        <v>2594</v>
      </c>
      <c r="B2723" s="141" t="s">
        <v>748</v>
      </c>
      <c r="C2723" s="150" t="s">
        <v>3817</v>
      </c>
      <c r="D2723" s="221"/>
      <c r="E2723" s="150"/>
      <c r="F2723" s="150"/>
      <c r="G2723" s="110" t="s">
        <v>2663</v>
      </c>
      <c r="H2723" s="150" t="s">
        <v>6203</v>
      </c>
      <c r="I2723" s="150" t="s">
        <v>1574</v>
      </c>
      <c r="J2723" s="150" t="s">
        <v>749</v>
      </c>
      <c r="K2723" s="221"/>
      <c r="L2723" s="135" t="str">
        <f t="shared" si="156"/>
        <v>Dobsonia beauforti</v>
      </c>
      <c r="M2723" s="133">
        <f t="shared" si="159"/>
        <v>2.201436454869909</v>
      </c>
      <c r="N2723" s="152">
        <v>159.01439999999999</v>
      </c>
      <c r="O2723" s="191"/>
      <c r="P2723" s="109">
        <v>153</v>
      </c>
    </row>
    <row r="2724" spans="1:16" ht="24" customHeight="1">
      <c r="A2724" s="212" t="s">
        <v>2594</v>
      </c>
      <c r="B2724" s="141" t="s">
        <v>750</v>
      </c>
      <c r="C2724" s="148" t="s">
        <v>3817</v>
      </c>
      <c r="D2724" s="223"/>
      <c r="E2724" s="148"/>
      <c r="F2724" s="148"/>
      <c r="G2724" s="109" t="s">
        <v>2663</v>
      </c>
      <c r="H2724" s="148" t="s">
        <v>6203</v>
      </c>
      <c r="I2724" s="148" t="s">
        <v>1574</v>
      </c>
      <c r="J2724" s="148" t="s">
        <v>751</v>
      </c>
      <c r="K2724" s="223"/>
      <c r="L2724" s="135" t="str">
        <f t="shared" si="156"/>
        <v>Dobsonia praedatrix</v>
      </c>
      <c r="M2724" s="133">
        <f t="shared" si="159"/>
        <v>2.275733540011041</v>
      </c>
      <c r="N2724" s="149">
        <v>188.68333333333001</v>
      </c>
      <c r="O2724" s="191"/>
      <c r="P2724" s="109">
        <v>153</v>
      </c>
    </row>
    <row r="2725" spans="1:16" ht="25.5">
      <c r="A2725" s="212" t="s">
        <v>2594</v>
      </c>
      <c r="B2725" s="141" t="s">
        <v>847</v>
      </c>
      <c r="C2725" s="150" t="s">
        <v>3817</v>
      </c>
      <c r="D2725" s="221"/>
      <c r="E2725" s="150"/>
      <c r="F2725" s="150"/>
      <c r="G2725" s="110" t="s">
        <v>2663</v>
      </c>
      <c r="H2725" s="150" t="s">
        <v>6203</v>
      </c>
      <c r="I2725" s="150" t="s">
        <v>1574</v>
      </c>
      <c r="J2725" s="150" t="s">
        <v>848</v>
      </c>
      <c r="K2725" s="221"/>
      <c r="L2725" s="135" t="str">
        <f t="shared" si="156"/>
        <v>Dobsonia emersa</v>
      </c>
      <c r="M2725" s="133">
        <f t="shared" si="159"/>
        <v>2.2911467617318855</v>
      </c>
      <c r="N2725" s="152">
        <v>195.5</v>
      </c>
      <c r="O2725" s="191"/>
      <c r="P2725" s="109">
        <v>153</v>
      </c>
    </row>
    <row r="2726" spans="1:16" ht="51">
      <c r="A2726" s="212" t="s">
        <v>2594</v>
      </c>
      <c r="B2726" s="141" t="s">
        <v>928</v>
      </c>
      <c r="C2726" s="150" t="s">
        <v>3817</v>
      </c>
      <c r="D2726" s="221"/>
      <c r="E2726" s="150"/>
      <c r="F2726" s="150"/>
      <c r="G2726" s="110" t="s">
        <v>2663</v>
      </c>
      <c r="H2726" s="150" t="s">
        <v>6203</v>
      </c>
      <c r="I2726" s="150" t="s">
        <v>1574</v>
      </c>
      <c r="J2726" s="150" t="s">
        <v>2818</v>
      </c>
      <c r="K2726" s="221"/>
      <c r="L2726" s="135" t="str">
        <f t="shared" si="156"/>
        <v>Dobsonia peroni</v>
      </c>
      <c r="M2726" s="133">
        <f t="shared" si="159"/>
        <v>2.3362595520141931</v>
      </c>
      <c r="N2726" s="152">
        <v>216.9</v>
      </c>
      <c r="O2726" s="191"/>
      <c r="P2726" s="109">
        <v>153</v>
      </c>
    </row>
    <row r="2727" spans="1:16" ht="25.5">
      <c r="A2727" s="212" t="s">
        <v>2594</v>
      </c>
      <c r="B2727" s="141" t="s">
        <v>2806</v>
      </c>
      <c r="C2727" s="150" t="s">
        <v>3817</v>
      </c>
      <c r="D2727" s="221"/>
      <c r="E2727" s="150"/>
      <c r="F2727" s="150"/>
      <c r="G2727" s="110" t="s">
        <v>2663</v>
      </c>
      <c r="H2727" s="150" t="s">
        <v>6203</v>
      </c>
      <c r="I2727" s="150" t="s">
        <v>1574</v>
      </c>
      <c r="J2727" s="150" t="s">
        <v>2807</v>
      </c>
      <c r="K2727" s="221"/>
      <c r="L2727" s="135" t="str">
        <f t="shared" si="156"/>
        <v>Dobsonia viridis</v>
      </c>
      <c r="M2727" s="133">
        <f t="shared" si="159"/>
        <v>2.3765769570565118</v>
      </c>
      <c r="N2727" s="152">
        <v>238</v>
      </c>
      <c r="O2727" s="191"/>
      <c r="P2727" s="109">
        <v>153</v>
      </c>
    </row>
    <row r="2728" spans="1:16" ht="25.5">
      <c r="A2728" s="212" t="s">
        <v>2594</v>
      </c>
      <c r="B2728" s="141" t="s">
        <v>2808</v>
      </c>
      <c r="C2728" s="150" t="s">
        <v>3817</v>
      </c>
      <c r="D2728" s="221"/>
      <c r="E2728" s="150"/>
      <c r="F2728" s="150"/>
      <c r="G2728" s="110" t="s">
        <v>2663</v>
      </c>
      <c r="H2728" s="150" t="s">
        <v>6203</v>
      </c>
      <c r="I2728" s="150" t="s">
        <v>1574</v>
      </c>
      <c r="J2728" s="150" t="s">
        <v>2809</v>
      </c>
      <c r="K2728" s="221"/>
      <c r="L2728" s="135" t="str">
        <f t="shared" si="156"/>
        <v>Dobsonia exoleta</v>
      </c>
      <c r="M2728" s="133">
        <f t="shared" si="159"/>
        <v>2.3961993470957363</v>
      </c>
      <c r="N2728" s="152">
        <v>249</v>
      </c>
      <c r="O2728" s="191"/>
      <c r="P2728" s="109">
        <v>153</v>
      </c>
    </row>
    <row r="2729" spans="1:16" ht="51">
      <c r="A2729" s="212" t="s">
        <v>2594</v>
      </c>
      <c r="B2729" s="141" t="s">
        <v>4574</v>
      </c>
      <c r="C2729" s="150" t="s">
        <v>3817</v>
      </c>
      <c r="D2729" s="221"/>
      <c r="E2729" s="150"/>
      <c r="F2729" s="150"/>
      <c r="G2729" s="110" t="s">
        <v>2663</v>
      </c>
      <c r="H2729" s="150" t="s">
        <v>6203</v>
      </c>
      <c r="I2729" s="150" t="s">
        <v>1574</v>
      </c>
      <c r="J2729" s="150" t="s">
        <v>4575</v>
      </c>
      <c r="K2729" s="221"/>
      <c r="L2729" s="135" t="str">
        <f t="shared" si="156"/>
        <v>Dobsonia pannietensis</v>
      </c>
      <c r="M2729" s="133">
        <f t="shared" si="159"/>
        <v>2.4276483711869328</v>
      </c>
      <c r="N2729" s="152">
        <v>267.7</v>
      </c>
      <c r="O2729" s="191"/>
      <c r="P2729" s="109">
        <v>153</v>
      </c>
    </row>
    <row r="2730" spans="1:16" ht="76.5">
      <c r="A2730" s="212" t="s">
        <v>2594</v>
      </c>
      <c r="B2730" s="141" t="s">
        <v>615</v>
      </c>
      <c r="C2730" s="150" t="s">
        <v>3817</v>
      </c>
      <c r="D2730" s="221"/>
      <c r="E2730" s="150"/>
      <c r="F2730" s="150"/>
      <c r="G2730" s="110" t="s">
        <v>2663</v>
      </c>
      <c r="H2730" s="150" t="s">
        <v>6203</v>
      </c>
      <c r="I2730" s="150" t="s">
        <v>1574</v>
      </c>
      <c r="J2730" s="150" t="s">
        <v>788</v>
      </c>
      <c r="K2730" s="221"/>
      <c r="L2730" s="135" t="str">
        <f t="shared" si="156"/>
        <v>Dobsonia moluccensis</v>
      </c>
      <c r="M2730" s="133">
        <f t="shared" si="159"/>
        <v>2.5814220934656538</v>
      </c>
      <c r="N2730" s="152">
        <v>381.43636363636</v>
      </c>
      <c r="O2730" s="191"/>
      <c r="P2730" s="109">
        <v>153</v>
      </c>
    </row>
    <row r="2731" spans="1:16" ht="15" customHeight="1">
      <c r="A2731" s="212" t="s">
        <v>2594</v>
      </c>
      <c r="B2731" s="141" t="s">
        <v>4581</v>
      </c>
      <c r="C2731" s="150" t="s">
        <v>3817</v>
      </c>
      <c r="D2731" s="221"/>
      <c r="E2731" s="150"/>
      <c r="F2731" s="150"/>
      <c r="G2731" s="110" t="s">
        <v>2663</v>
      </c>
      <c r="H2731" s="150" t="s">
        <v>6203</v>
      </c>
      <c r="I2731" s="150" t="s">
        <v>4582</v>
      </c>
      <c r="J2731" s="150" t="s">
        <v>6466</v>
      </c>
      <c r="K2731" s="221"/>
      <c r="L2731" s="135" t="str">
        <f t="shared" si="156"/>
        <v>Dyacopterus spadiceus</v>
      </c>
      <c r="M2731" s="133">
        <f t="shared" si="159"/>
        <v>1.8920946026904804</v>
      </c>
      <c r="N2731" s="152">
        <v>78</v>
      </c>
      <c r="O2731" s="192"/>
      <c r="P2731" s="109">
        <v>153</v>
      </c>
    </row>
    <row r="2732" spans="1:16" ht="51">
      <c r="A2732" s="212" t="s">
        <v>2594</v>
      </c>
      <c r="B2732" s="141" t="s">
        <v>4736</v>
      </c>
      <c r="C2732" s="150" t="s">
        <v>3817</v>
      </c>
      <c r="D2732" s="221"/>
      <c r="E2732" s="150"/>
      <c r="F2732" s="150"/>
      <c r="G2732" s="110" t="s">
        <v>2663</v>
      </c>
      <c r="H2732" s="150" t="s">
        <v>6203</v>
      </c>
      <c r="I2732" s="150" t="s">
        <v>4583</v>
      </c>
      <c r="J2732" s="150" t="s">
        <v>4584</v>
      </c>
      <c r="K2732" s="221"/>
      <c r="L2732" s="135" t="str">
        <f t="shared" si="156"/>
        <v>Eidolon helvum</v>
      </c>
      <c r="M2732" s="133">
        <f t="shared" si="159"/>
        <v>2.4036603357360535</v>
      </c>
      <c r="N2732" s="152">
        <v>253.31466666666</v>
      </c>
      <c r="O2732" s="192"/>
      <c r="P2732" s="109">
        <v>153</v>
      </c>
    </row>
    <row r="2733" spans="1:16" ht="15" customHeight="1">
      <c r="A2733" s="212" t="s">
        <v>2594</v>
      </c>
      <c r="B2733" s="141" t="s">
        <v>2593</v>
      </c>
      <c r="C2733" s="150" t="s">
        <v>3817</v>
      </c>
      <c r="D2733" s="221"/>
      <c r="E2733" s="150"/>
      <c r="F2733" s="150"/>
      <c r="G2733" s="110" t="s">
        <v>2663</v>
      </c>
      <c r="H2733" s="150" t="s">
        <v>6203</v>
      </c>
      <c r="I2733" s="150" t="s">
        <v>4583</v>
      </c>
      <c r="J2733" s="150" t="s">
        <v>2531</v>
      </c>
      <c r="K2733" s="221"/>
      <c r="L2733" s="135" t="str">
        <f t="shared" si="156"/>
        <v>Eidolon dupreanum</v>
      </c>
      <c r="M2733" s="133">
        <f t="shared" si="159"/>
        <v>2.4529358702011792</v>
      </c>
      <c r="N2733" s="152">
        <v>283.75</v>
      </c>
      <c r="O2733" s="192"/>
      <c r="P2733" s="110">
        <v>153</v>
      </c>
    </row>
    <row r="2734" spans="1:16" ht="89.25">
      <c r="A2734" s="212" t="s">
        <v>2594</v>
      </c>
      <c r="B2734" s="141" t="s">
        <v>5013</v>
      </c>
      <c r="C2734" s="150" t="s">
        <v>3817</v>
      </c>
      <c r="D2734" s="221"/>
      <c r="E2734" s="150"/>
      <c r="F2734" s="150"/>
      <c r="G2734" s="110" t="s">
        <v>2663</v>
      </c>
      <c r="H2734" s="150" t="s">
        <v>6203</v>
      </c>
      <c r="I2734" s="150" t="s">
        <v>5014</v>
      </c>
      <c r="J2734" s="150" t="s">
        <v>4870</v>
      </c>
      <c r="K2734" s="221"/>
      <c r="L2734" s="135" t="str">
        <f t="shared" si="156"/>
        <v>Eonycteris spelaea</v>
      </c>
      <c r="M2734" s="133">
        <f t="shared" si="159"/>
        <v>1.7742735953204418</v>
      </c>
      <c r="N2734" s="152">
        <f>AVERAGE(44, 62.8, 69, 58, 72, 51)</f>
        <v>59.466666666666669</v>
      </c>
      <c r="O2734" s="192"/>
      <c r="P2734" s="109" t="s">
        <v>1838</v>
      </c>
    </row>
    <row r="2735" spans="1:16" ht="25.5">
      <c r="A2735" s="212" t="s">
        <v>2594</v>
      </c>
      <c r="B2735" s="141" t="s">
        <v>2080</v>
      </c>
      <c r="C2735" s="150" t="s">
        <v>3817</v>
      </c>
      <c r="D2735" s="221"/>
      <c r="E2735" s="150"/>
      <c r="F2735" s="150"/>
      <c r="G2735" s="110" t="s">
        <v>2663</v>
      </c>
      <c r="H2735" s="150" t="s">
        <v>6203</v>
      </c>
      <c r="I2735" s="150" t="s">
        <v>5014</v>
      </c>
      <c r="J2735" s="150" t="s">
        <v>5838</v>
      </c>
      <c r="K2735" s="221"/>
      <c r="L2735" s="135" t="str">
        <f t="shared" si="156"/>
        <v>Eonycteris major</v>
      </c>
      <c r="M2735" s="133">
        <f t="shared" si="159"/>
        <v>1.8618329976579449</v>
      </c>
      <c r="N2735" s="152">
        <v>72.75</v>
      </c>
      <c r="O2735" s="192"/>
      <c r="P2735" s="109">
        <v>153</v>
      </c>
    </row>
    <row r="2736" spans="1:16" ht="51">
      <c r="A2736" s="212" t="s">
        <v>2594</v>
      </c>
      <c r="B2736" s="141" t="s">
        <v>4714</v>
      </c>
      <c r="C2736" s="150" t="s">
        <v>3817</v>
      </c>
      <c r="D2736" s="221"/>
      <c r="E2736" s="150"/>
      <c r="F2736" s="150"/>
      <c r="G2736" s="110" t="s">
        <v>2663</v>
      </c>
      <c r="H2736" s="150" t="s">
        <v>6203</v>
      </c>
      <c r="I2736" s="150" t="s">
        <v>4586</v>
      </c>
      <c r="J2736" s="150" t="s">
        <v>4571</v>
      </c>
      <c r="K2736" s="221"/>
      <c r="L2736" s="135" t="str">
        <f t="shared" si="156"/>
        <v>Epomophorus wahlbergi</v>
      </c>
      <c r="M2736" s="133">
        <f t="shared" si="159"/>
        <v>1.9618196077436636</v>
      </c>
      <c r="N2736" s="152">
        <v>91.584000000000003</v>
      </c>
      <c r="O2736" s="192"/>
      <c r="P2736" s="109">
        <v>153</v>
      </c>
    </row>
    <row r="2737" spans="1:16">
      <c r="A2737" s="212" t="s">
        <v>2594</v>
      </c>
      <c r="B2737" s="141" t="s">
        <v>6062</v>
      </c>
      <c r="C2737" s="148" t="s">
        <v>3817</v>
      </c>
      <c r="D2737" s="223"/>
      <c r="E2737" s="148"/>
      <c r="F2737" s="148"/>
      <c r="G2737" s="109" t="s">
        <v>2663</v>
      </c>
      <c r="H2737" s="148" t="s">
        <v>6203</v>
      </c>
      <c r="I2737" s="148" t="s">
        <v>617</v>
      </c>
      <c r="J2737" s="148" t="s">
        <v>2268</v>
      </c>
      <c r="K2737" s="223"/>
      <c r="L2737" s="135" t="str">
        <f t="shared" si="156"/>
        <v>Haplonycteris fischeri</v>
      </c>
      <c r="M2737" s="133">
        <f t="shared" si="159"/>
        <v>1.2543063323312855</v>
      </c>
      <c r="N2737" s="149">
        <v>17.96</v>
      </c>
      <c r="O2737" s="192"/>
      <c r="P2737" s="109">
        <v>153</v>
      </c>
    </row>
    <row r="2738" spans="1:16">
      <c r="A2738" s="212" t="s">
        <v>2594</v>
      </c>
      <c r="B2738" s="141" t="s">
        <v>2540</v>
      </c>
      <c r="C2738" s="150" t="s">
        <v>3817</v>
      </c>
      <c r="D2738" s="221"/>
      <c r="E2738" s="150"/>
      <c r="F2738" s="150"/>
      <c r="G2738" s="110" t="s">
        <v>2663</v>
      </c>
      <c r="H2738" s="150" t="s">
        <v>6203</v>
      </c>
      <c r="I2738" s="150" t="s">
        <v>810</v>
      </c>
      <c r="J2738" s="150" t="s">
        <v>6485</v>
      </c>
      <c r="K2738" s="221"/>
      <c r="L2738" s="135" t="str">
        <f t="shared" si="156"/>
        <v>Harpyionycteris celebensis</v>
      </c>
      <c r="M2738" s="133">
        <f t="shared" si="159"/>
        <v>2.0170333392987803</v>
      </c>
      <c r="N2738" s="152">
        <v>104</v>
      </c>
      <c r="O2738" s="192"/>
      <c r="P2738" s="109">
        <v>153</v>
      </c>
    </row>
    <row r="2739" spans="1:16">
      <c r="A2739" s="212" t="s">
        <v>2594</v>
      </c>
      <c r="B2739" s="141" t="s">
        <v>6062</v>
      </c>
      <c r="C2739" s="150" t="s">
        <v>3817</v>
      </c>
      <c r="D2739" s="221"/>
      <c r="E2739" s="150"/>
      <c r="F2739" s="150"/>
      <c r="G2739" s="110" t="s">
        <v>2663</v>
      </c>
      <c r="H2739" s="150" t="s">
        <v>6203</v>
      </c>
      <c r="I2739" s="150" t="s">
        <v>810</v>
      </c>
      <c r="J2739" s="150" t="s">
        <v>5495</v>
      </c>
      <c r="K2739" s="221"/>
      <c r="L2739" s="135" t="str">
        <f t="shared" si="156"/>
        <v>Harpyionycteris whiteheadi</v>
      </c>
      <c r="M2739" s="133">
        <f t="shared" si="159"/>
        <v>2.0433622780211294</v>
      </c>
      <c r="N2739" s="152">
        <v>110.5</v>
      </c>
      <c r="O2739" s="192"/>
      <c r="P2739" s="109">
        <v>153</v>
      </c>
    </row>
    <row r="2740" spans="1:16" ht="38.25">
      <c r="A2740" s="212" t="s">
        <v>2594</v>
      </c>
      <c r="B2740" s="141" t="s">
        <v>723</v>
      </c>
      <c r="C2740" s="150" t="s">
        <v>3817</v>
      </c>
      <c r="D2740" s="221"/>
      <c r="E2740" s="150"/>
      <c r="F2740" s="150"/>
      <c r="G2740" s="110" t="s">
        <v>2663</v>
      </c>
      <c r="H2740" s="150" t="s">
        <v>6203</v>
      </c>
      <c r="I2740" s="150" t="s">
        <v>724</v>
      </c>
      <c r="J2740" s="150" t="s">
        <v>725</v>
      </c>
      <c r="K2740" s="221"/>
      <c r="L2740" s="135" t="str">
        <f t="shared" si="156"/>
        <v>Hypsignathus monstrosus</v>
      </c>
      <c r="M2740" s="133">
        <f t="shared" si="159"/>
        <v>2.5251528270552819</v>
      </c>
      <c r="N2740" s="152">
        <v>335.08333333333002</v>
      </c>
      <c r="O2740" s="192"/>
      <c r="P2740" s="109">
        <v>153</v>
      </c>
    </row>
    <row r="2741" spans="1:16" ht="24" customHeight="1">
      <c r="A2741" s="212" t="s">
        <v>2594</v>
      </c>
      <c r="B2741" s="141" t="s">
        <v>2881</v>
      </c>
      <c r="C2741" s="150" t="s">
        <v>3817</v>
      </c>
      <c r="D2741" s="221"/>
      <c r="E2741" s="150"/>
      <c r="F2741" s="150"/>
      <c r="G2741" s="110" t="s">
        <v>2663</v>
      </c>
      <c r="H2741" s="148" t="s">
        <v>6203</v>
      </c>
      <c r="I2741" s="150" t="s">
        <v>1525</v>
      </c>
      <c r="J2741" s="150" t="s">
        <v>4171</v>
      </c>
      <c r="K2741" s="221"/>
      <c r="L2741" s="135" t="str">
        <f t="shared" si="156"/>
        <v>Macroglossus minimus</v>
      </c>
      <c r="M2741" s="133">
        <f t="shared" si="159"/>
        <v>1.2405492482825997</v>
      </c>
      <c r="N2741" s="152">
        <f>AVERAGE(18, 17, 16, 18, 18)</f>
        <v>17.399999999999999</v>
      </c>
      <c r="O2741" s="192"/>
      <c r="P2741" s="109">
        <v>122</v>
      </c>
    </row>
    <row r="2742" spans="1:16" ht="38.25">
      <c r="A2742" s="212" t="s">
        <v>2594</v>
      </c>
      <c r="B2742" s="141" t="s">
        <v>895</v>
      </c>
      <c r="C2742" s="150" t="s">
        <v>3817</v>
      </c>
      <c r="D2742" s="221"/>
      <c r="E2742" s="150"/>
      <c r="F2742" s="150"/>
      <c r="G2742" s="110" t="s">
        <v>2663</v>
      </c>
      <c r="H2742" s="148" t="s">
        <v>6203</v>
      </c>
      <c r="I2742" s="150" t="s">
        <v>1525</v>
      </c>
      <c r="J2742" s="150" t="s">
        <v>2951</v>
      </c>
      <c r="K2742" s="221"/>
      <c r="L2742" s="135" t="str">
        <f t="shared" si="156"/>
        <v>Macroglossus sobrinus</v>
      </c>
      <c r="M2742" s="133">
        <f t="shared" si="159"/>
        <v>1.3450468246483485</v>
      </c>
      <c r="N2742" s="152">
        <v>22.133333333332999</v>
      </c>
      <c r="O2742" s="192"/>
      <c r="P2742" s="109">
        <v>153</v>
      </c>
    </row>
    <row r="2743" spans="1:16">
      <c r="A2743" s="212" t="s">
        <v>2594</v>
      </c>
      <c r="B2743" s="141" t="s">
        <v>2538</v>
      </c>
      <c r="C2743" s="150" t="s">
        <v>3817</v>
      </c>
      <c r="D2743" s="221"/>
      <c r="E2743" s="150"/>
      <c r="F2743" s="150"/>
      <c r="G2743" s="110" t="s">
        <v>2663</v>
      </c>
      <c r="H2743" s="148" t="s">
        <v>6203</v>
      </c>
      <c r="I2743" s="150" t="s">
        <v>2859</v>
      </c>
      <c r="J2743" s="150" t="s">
        <v>2766</v>
      </c>
      <c r="K2743" s="221"/>
      <c r="L2743" s="135" t="str">
        <f t="shared" si="156"/>
        <v>Megaerops kusnotoi</v>
      </c>
      <c r="M2743" s="146">
        <v>-999</v>
      </c>
      <c r="N2743" s="146">
        <v>-999</v>
      </c>
      <c r="O2743" s="183"/>
      <c r="P2743" s="109">
        <v>-999</v>
      </c>
    </row>
    <row r="2744" spans="1:16" ht="25.5">
      <c r="A2744" s="212" t="s">
        <v>2594</v>
      </c>
      <c r="B2744" s="141" t="s">
        <v>798</v>
      </c>
      <c r="C2744" s="150" t="s">
        <v>3817</v>
      </c>
      <c r="D2744" s="221"/>
      <c r="E2744" s="150"/>
      <c r="F2744" s="150"/>
      <c r="G2744" s="110" t="s">
        <v>2663</v>
      </c>
      <c r="H2744" s="148" t="s">
        <v>6203</v>
      </c>
      <c r="I2744" s="150" t="s">
        <v>2859</v>
      </c>
      <c r="J2744" s="150" t="s">
        <v>2959</v>
      </c>
      <c r="K2744" s="221"/>
      <c r="L2744" s="135" t="str">
        <f t="shared" si="156"/>
        <v>Megaerops wetmorei</v>
      </c>
      <c r="M2744" s="133">
        <f t="shared" ref="M2744:M2749" si="160">LOG(N2744)</f>
        <v>1.2671717284030137</v>
      </c>
      <c r="N2744" s="152">
        <v>18.5</v>
      </c>
      <c r="O2744" s="192"/>
      <c r="P2744" s="109">
        <v>153</v>
      </c>
    </row>
    <row r="2745" spans="1:16" ht="38.25">
      <c r="A2745" s="212" t="s">
        <v>2594</v>
      </c>
      <c r="B2745" s="141" t="s">
        <v>2862</v>
      </c>
      <c r="C2745" s="150" t="s">
        <v>3817</v>
      </c>
      <c r="D2745" s="221"/>
      <c r="E2745" s="150"/>
      <c r="F2745" s="150"/>
      <c r="G2745" s="110" t="s">
        <v>2663</v>
      </c>
      <c r="H2745" s="150" t="s">
        <v>6203</v>
      </c>
      <c r="I2745" s="150" t="s">
        <v>2859</v>
      </c>
      <c r="J2745" s="150" t="s">
        <v>5815</v>
      </c>
      <c r="K2745" s="221"/>
      <c r="L2745" s="135" t="str">
        <f t="shared" si="156"/>
        <v>Megaerops ecaudatus</v>
      </c>
      <c r="M2745" s="133">
        <f t="shared" si="160"/>
        <v>1.3921104650113196</v>
      </c>
      <c r="N2745" s="152">
        <v>24.666666666666998</v>
      </c>
      <c r="O2745" s="192"/>
      <c r="P2745" s="109">
        <v>153</v>
      </c>
    </row>
    <row r="2746" spans="1:16" ht="25.5">
      <c r="A2746" s="212" t="s">
        <v>2594</v>
      </c>
      <c r="B2746" s="141" t="s">
        <v>2759</v>
      </c>
      <c r="C2746" s="150" t="s">
        <v>3817</v>
      </c>
      <c r="D2746" s="221"/>
      <c r="E2746" s="150"/>
      <c r="F2746" s="150"/>
      <c r="G2746" s="110" t="s">
        <v>2663</v>
      </c>
      <c r="H2746" s="148" t="s">
        <v>6203</v>
      </c>
      <c r="I2746" s="150" t="s">
        <v>2760</v>
      </c>
      <c r="J2746" s="150" t="s">
        <v>2761</v>
      </c>
      <c r="K2746" s="221"/>
      <c r="L2746" s="135" t="str">
        <f t="shared" si="156"/>
        <v>Megaloglossus woermanni</v>
      </c>
      <c r="M2746" s="133">
        <f t="shared" si="160"/>
        <v>1.1947125141340975</v>
      </c>
      <c r="N2746" s="152">
        <v>15.657142857143</v>
      </c>
      <c r="O2746" s="192"/>
      <c r="P2746" s="109">
        <v>153</v>
      </c>
    </row>
    <row r="2747" spans="1:16" ht="25.5">
      <c r="A2747" s="212" t="s">
        <v>2594</v>
      </c>
      <c r="B2747" s="141" t="s">
        <v>2762</v>
      </c>
      <c r="C2747" s="150" t="s">
        <v>3817</v>
      </c>
      <c r="D2747" s="221"/>
      <c r="E2747" s="150"/>
      <c r="F2747" s="150"/>
      <c r="G2747" s="110" t="s">
        <v>2663</v>
      </c>
      <c r="H2747" s="150" t="s">
        <v>6203</v>
      </c>
      <c r="I2747" s="150" t="s">
        <v>2763</v>
      </c>
      <c r="J2747" s="150" t="s">
        <v>2764</v>
      </c>
      <c r="K2747" s="221"/>
      <c r="L2747" s="135" t="str">
        <f t="shared" si="156"/>
        <v>Melonycteris aurantius</v>
      </c>
      <c r="M2747" s="133">
        <f t="shared" si="160"/>
        <v>1.4656787253038732</v>
      </c>
      <c r="N2747" s="152">
        <v>29.219899999999999</v>
      </c>
      <c r="O2747" s="192"/>
      <c r="P2747" s="109">
        <v>153</v>
      </c>
    </row>
    <row r="2748" spans="1:16">
      <c r="A2748" s="212" t="s">
        <v>2594</v>
      </c>
      <c r="B2748" s="141" t="s">
        <v>2635</v>
      </c>
      <c r="C2748" s="150" t="s">
        <v>3817</v>
      </c>
      <c r="D2748" s="221"/>
      <c r="E2748" s="150"/>
      <c r="F2748" s="150"/>
      <c r="G2748" s="110" t="s">
        <v>2663</v>
      </c>
      <c r="H2748" s="150" t="s">
        <v>6203</v>
      </c>
      <c r="I2748" s="150" t="s">
        <v>2763</v>
      </c>
      <c r="J2748" s="150" t="s">
        <v>2866</v>
      </c>
      <c r="K2748" s="221"/>
      <c r="L2748" s="135" t="str">
        <f t="shared" si="156"/>
        <v>Melonycteris woodfordi</v>
      </c>
      <c r="M2748" s="133">
        <f t="shared" si="160"/>
        <v>1.5667320289862194</v>
      </c>
      <c r="N2748" s="152">
        <v>36.875</v>
      </c>
      <c r="O2748" s="192"/>
      <c r="P2748" s="109">
        <v>153</v>
      </c>
    </row>
    <row r="2749" spans="1:16" ht="76.5">
      <c r="A2749" s="212" t="s">
        <v>2594</v>
      </c>
      <c r="B2749" s="141" t="s">
        <v>615</v>
      </c>
      <c r="C2749" s="150" t="s">
        <v>3817</v>
      </c>
      <c r="D2749" s="221"/>
      <c r="E2749" s="150"/>
      <c r="F2749" s="150"/>
      <c r="G2749" s="110" t="s">
        <v>2663</v>
      </c>
      <c r="H2749" s="150" t="s">
        <v>6203</v>
      </c>
      <c r="I2749" s="150" t="s">
        <v>2763</v>
      </c>
      <c r="J2749" s="150" t="s">
        <v>3533</v>
      </c>
      <c r="K2749" s="221"/>
      <c r="L2749" s="135" t="str">
        <f t="shared" si="156"/>
        <v>Melonycteris melanops</v>
      </c>
      <c r="M2749" s="133">
        <f t="shared" si="160"/>
        <v>1.6905652211318316</v>
      </c>
      <c r="N2749" s="152">
        <v>49.041666666666998</v>
      </c>
      <c r="O2749" s="192"/>
      <c r="P2749" s="109">
        <v>153</v>
      </c>
    </row>
    <row r="2750" spans="1:16" ht="15" customHeight="1">
      <c r="A2750" s="212" t="s">
        <v>2594</v>
      </c>
      <c r="B2750" s="141" t="s">
        <v>4516</v>
      </c>
      <c r="C2750" s="150" t="s">
        <v>3817</v>
      </c>
      <c r="D2750" s="221"/>
      <c r="E2750" s="150"/>
      <c r="F2750" s="150"/>
      <c r="G2750" s="110" t="s">
        <v>2663</v>
      </c>
      <c r="H2750" s="148" t="s">
        <v>6203</v>
      </c>
      <c r="I2750" s="150" t="s">
        <v>2638</v>
      </c>
      <c r="J2750" s="150" t="s">
        <v>5073</v>
      </c>
      <c r="K2750" s="221"/>
      <c r="L2750" s="135" t="str">
        <f t="shared" si="156"/>
        <v>Myonycteris brachycephala</v>
      </c>
      <c r="M2750" s="146">
        <v>-999</v>
      </c>
      <c r="N2750" s="146">
        <v>-999</v>
      </c>
      <c r="O2750" s="183"/>
      <c r="P2750" s="109">
        <v>-999</v>
      </c>
    </row>
    <row r="2751" spans="1:16" ht="38.25">
      <c r="A2751" s="212" t="s">
        <v>2594</v>
      </c>
      <c r="B2751" s="141" t="s">
        <v>2637</v>
      </c>
      <c r="C2751" s="150" t="s">
        <v>3817</v>
      </c>
      <c r="D2751" s="221"/>
      <c r="E2751" s="150"/>
      <c r="F2751" s="150"/>
      <c r="G2751" s="110" t="s">
        <v>2663</v>
      </c>
      <c r="H2751" s="150" t="s">
        <v>6203</v>
      </c>
      <c r="I2751" s="150" t="s">
        <v>2638</v>
      </c>
      <c r="J2751" s="150" t="s">
        <v>2639</v>
      </c>
      <c r="K2751" s="221"/>
      <c r="L2751" s="135" t="str">
        <f t="shared" si="156"/>
        <v>Myonycteris torquata</v>
      </c>
      <c r="M2751" s="133">
        <f>LOG(N2751)</f>
        <v>1.6255696582430463</v>
      </c>
      <c r="N2751" s="152">
        <v>42.225000000000001</v>
      </c>
      <c r="O2751" s="192"/>
      <c r="P2751" s="109">
        <v>153</v>
      </c>
    </row>
    <row r="2752" spans="1:16">
      <c r="A2752" s="212" t="s">
        <v>2594</v>
      </c>
      <c r="B2752" s="141" t="s">
        <v>2027</v>
      </c>
      <c r="C2752" s="150" t="s">
        <v>3817</v>
      </c>
      <c r="D2752" s="221"/>
      <c r="E2752" s="150"/>
      <c r="F2752" s="150"/>
      <c r="G2752" s="110" t="s">
        <v>2663</v>
      </c>
      <c r="H2752" s="148" t="s">
        <v>6203</v>
      </c>
      <c r="I2752" s="150" t="s">
        <v>4511</v>
      </c>
      <c r="J2752" s="150" t="s">
        <v>4512</v>
      </c>
      <c r="K2752" s="221"/>
      <c r="L2752" s="135" t="str">
        <f t="shared" si="156"/>
        <v>Neopteryx frosti</v>
      </c>
      <c r="M2752" s="146">
        <v>-999</v>
      </c>
      <c r="N2752" s="146">
        <v>-999</v>
      </c>
      <c r="O2752" s="183"/>
      <c r="P2752" s="109">
        <v>-999</v>
      </c>
    </row>
    <row r="2753" spans="1:16" ht="38.25">
      <c r="A2753" s="212" t="s">
        <v>2594</v>
      </c>
      <c r="B2753" s="141" t="s">
        <v>4520</v>
      </c>
      <c r="C2753" s="150" t="s">
        <v>3817</v>
      </c>
      <c r="D2753" s="221"/>
      <c r="E2753" s="150"/>
      <c r="F2753" s="150"/>
      <c r="G2753" s="110" t="s">
        <v>2663</v>
      </c>
      <c r="H2753" s="150" t="s">
        <v>6203</v>
      </c>
      <c r="I2753" s="150" t="s">
        <v>4521</v>
      </c>
      <c r="J2753" s="150" t="s">
        <v>4522</v>
      </c>
      <c r="K2753" s="221"/>
      <c r="L2753" s="135" t="str">
        <f t="shared" si="156"/>
        <v>Notopteris macdonaldi</v>
      </c>
      <c r="M2753" s="133">
        <f>LOG(N2753)</f>
        <v>1.8138477542288542</v>
      </c>
      <c r="N2753" s="152">
        <v>65.14</v>
      </c>
      <c r="O2753" s="192"/>
      <c r="P2753" s="109">
        <v>153</v>
      </c>
    </row>
    <row r="2754" spans="1:16" ht="38.25">
      <c r="A2754" s="212" t="s">
        <v>2594</v>
      </c>
      <c r="B2754" s="141" t="s">
        <v>4346</v>
      </c>
      <c r="C2754" s="150" t="s">
        <v>3817</v>
      </c>
      <c r="D2754" s="221"/>
      <c r="E2754" s="150"/>
      <c r="F2754" s="150"/>
      <c r="G2754" s="110" t="s">
        <v>2663</v>
      </c>
      <c r="H2754" s="148" t="s">
        <v>6203</v>
      </c>
      <c r="I2754" s="150" t="s">
        <v>1629</v>
      </c>
      <c r="J2754" s="150" t="s">
        <v>663</v>
      </c>
      <c r="K2754" s="221"/>
      <c r="L2754" s="135" t="str">
        <f t="shared" si="156"/>
        <v>Nyctimene celaeno</v>
      </c>
      <c r="M2754" s="146">
        <v>-999</v>
      </c>
      <c r="N2754" s="146">
        <v>-999</v>
      </c>
      <c r="O2754" s="183"/>
      <c r="P2754" s="109">
        <v>-999</v>
      </c>
    </row>
    <row r="2755" spans="1:16">
      <c r="A2755" s="212" t="s">
        <v>2594</v>
      </c>
      <c r="B2755" s="141" t="s">
        <v>2893</v>
      </c>
      <c r="C2755" s="150" t="s">
        <v>3817</v>
      </c>
      <c r="D2755" s="221"/>
      <c r="E2755" s="150"/>
      <c r="F2755" s="150"/>
      <c r="G2755" s="110" t="s">
        <v>2663</v>
      </c>
      <c r="H2755" s="148" t="s">
        <v>6203</v>
      </c>
      <c r="I2755" s="150" t="s">
        <v>1629</v>
      </c>
      <c r="J2755" s="150" t="s">
        <v>3876</v>
      </c>
      <c r="K2755" s="221"/>
      <c r="L2755" s="135" t="str">
        <f t="shared" si="156"/>
        <v>Nyctimene minutus</v>
      </c>
      <c r="M2755" s="146">
        <v>-999</v>
      </c>
      <c r="N2755" s="146">
        <v>-999</v>
      </c>
      <c r="O2755" s="183"/>
      <c r="P2755" s="109">
        <v>-999</v>
      </c>
    </row>
    <row r="2756" spans="1:16" ht="25.5">
      <c r="A2756" s="212" t="s">
        <v>2594</v>
      </c>
      <c r="B2756" s="141" t="s">
        <v>4340</v>
      </c>
      <c r="C2756" s="150" t="s">
        <v>3817</v>
      </c>
      <c r="D2756" s="221"/>
      <c r="E2756" s="150"/>
      <c r="F2756" s="150"/>
      <c r="G2756" s="110" t="s">
        <v>2663</v>
      </c>
      <c r="H2756" s="150" t="s">
        <v>6203</v>
      </c>
      <c r="I2756" s="150" t="s">
        <v>1629</v>
      </c>
      <c r="J2756" s="150" t="s">
        <v>6264</v>
      </c>
      <c r="K2756" s="221"/>
      <c r="L2756" s="135" t="str">
        <f t="shared" si="156"/>
        <v>Nyctimene draconilla</v>
      </c>
      <c r="M2756" s="133">
        <f t="shared" ref="M2756:M2775" si="161">LOG(N2756)</f>
        <v>1.4623979978989561</v>
      </c>
      <c r="N2756" s="152">
        <v>29</v>
      </c>
      <c r="O2756" s="192"/>
      <c r="P2756" s="109">
        <v>153</v>
      </c>
    </row>
    <row r="2757" spans="1:16" ht="51">
      <c r="A2757" s="212" t="s">
        <v>2594</v>
      </c>
      <c r="B2757" s="141" t="s">
        <v>485</v>
      </c>
      <c r="C2757" s="150" t="s">
        <v>3817</v>
      </c>
      <c r="D2757" s="221"/>
      <c r="E2757" s="150"/>
      <c r="F2757" s="150"/>
      <c r="G2757" s="110" t="s">
        <v>2663</v>
      </c>
      <c r="H2757" s="150" t="s">
        <v>6203</v>
      </c>
      <c r="I2757" s="150" t="s">
        <v>1629</v>
      </c>
      <c r="J2757" s="150" t="s">
        <v>4303</v>
      </c>
      <c r="K2757" s="221"/>
      <c r="L2757" s="135" t="str">
        <f t="shared" ref="L2757:L2820" si="162">I2757&amp;" "&amp;J2757</f>
        <v>Nyctimene albiventer</v>
      </c>
      <c r="M2757" s="133">
        <f t="shared" si="161"/>
        <v>1.4753079139561942</v>
      </c>
      <c r="N2757" s="152">
        <v>29.875</v>
      </c>
      <c r="O2757" s="192"/>
      <c r="P2757" s="109">
        <v>153</v>
      </c>
    </row>
    <row r="2758" spans="1:16" ht="25.5">
      <c r="A2758" s="212" t="s">
        <v>2594</v>
      </c>
      <c r="B2758" s="141" t="s">
        <v>4652</v>
      </c>
      <c r="C2758" s="150" t="s">
        <v>3817</v>
      </c>
      <c r="D2758" s="221"/>
      <c r="E2758" s="150"/>
      <c r="F2758" s="150"/>
      <c r="G2758" s="110" t="s">
        <v>2663</v>
      </c>
      <c r="H2758" s="150" t="s">
        <v>6203</v>
      </c>
      <c r="I2758" s="150" t="s">
        <v>1629</v>
      </c>
      <c r="J2758" s="150" t="s">
        <v>4515</v>
      </c>
      <c r="K2758" s="221"/>
      <c r="L2758" s="135" t="str">
        <f t="shared" si="162"/>
        <v>Nyctimene vizcaccia</v>
      </c>
      <c r="M2758" s="133">
        <f t="shared" si="161"/>
        <v>1.6020599913279623</v>
      </c>
      <c r="N2758" s="152">
        <v>40</v>
      </c>
      <c r="O2758" s="192"/>
      <c r="P2758" s="109">
        <v>153</v>
      </c>
    </row>
    <row r="2759" spans="1:16">
      <c r="A2759" s="212" t="s">
        <v>2594</v>
      </c>
      <c r="B2759" s="141" t="s">
        <v>2170</v>
      </c>
      <c r="C2759" s="150" t="s">
        <v>3817</v>
      </c>
      <c r="D2759" s="221"/>
      <c r="E2759" s="150"/>
      <c r="F2759" s="150"/>
      <c r="G2759" s="110" t="s">
        <v>2663</v>
      </c>
      <c r="H2759" s="150" t="s">
        <v>6203</v>
      </c>
      <c r="I2759" s="150" t="s">
        <v>1629</v>
      </c>
      <c r="J2759" s="150" t="s">
        <v>1614</v>
      </c>
      <c r="K2759" s="221"/>
      <c r="L2759" s="135" t="str">
        <f t="shared" si="162"/>
        <v>Nyctimene certans</v>
      </c>
      <c r="M2759" s="133">
        <f t="shared" si="161"/>
        <v>1.6242820958356683</v>
      </c>
      <c r="N2759" s="152">
        <v>42.1</v>
      </c>
      <c r="O2759" s="192"/>
      <c r="P2759" s="109">
        <v>153</v>
      </c>
    </row>
    <row r="2760" spans="1:16" ht="51">
      <c r="A2760" s="212" t="s">
        <v>2594</v>
      </c>
      <c r="B2760" s="141" t="s">
        <v>4342</v>
      </c>
      <c r="C2760" s="150" t="s">
        <v>3817</v>
      </c>
      <c r="D2760" s="221"/>
      <c r="E2760" s="150"/>
      <c r="F2760" s="150"/>
      <c r="G2760" s="110" t="s">
        <v>2663</v>
      </c>
      <c r="H2760" s="150" t="s">
        <v>6203</v>
      </c>
      <c r="I2760" s="150" t="s">
        <v>1629</v>
      </c>
      <c r="J2760" s="150" t="s">
        <v>4343</v>
      </c>
      <c r="K2760" s="221"/>
      <c r="L2760" s="135" t="str">
        <f t="shared" si="162"/>
        <v>Nyctimene cephalotes</v>
      </c>
      <c r="M2760" s="133">
        <f t="shared" si="161"/>
        <v>1.6480345748608709</v>
      </c>
      <c r="N2760" s="152">
        <v>44.466666666667003</v>
      </c>
      <c r="O2760" s="192"/>
      <c r="P2760" s="109">
        <v>153</v>
      </c>
    </row>
    <row r="2761" spans="1:16" ht="25.5">
      <c r="A2761" s="212" t="s">
        <v>2594</v>
      </c>
      <c r="B2761" s="141" t="s">
        <v>4340</v>
      </c>
      <c r="C2761" s="150" t="s">
        <v>3817</v>
      </c>
      <c r="D2761" s="221"/>
      <c r="E2761" s="150"/>
      <c r="F2761" s="150"/>
      <c r="G2761" s="110" t="s">
        <v>2663</v>
      </c>
      <c r="H2761" s="150" t="s">
        <v>6203</v>
      </c>
      <c r="I2761" s="150" t="s">
        <v>1629</v>
      </c>
      <c r="J2761" s="150" t="s">
        <v>2303</v>
      </c>
      <c r="K2761" s="221"/>
      <c r="L2761" s="135" t="str">
        <f t="shared" si="162"/>
        <v>Nyctimene cyclotis</v>
      </c>
      <c r="M2761" s="133">
        <f t="shared" si="161"/>
        <v>1.6812412373755872</v>
      </c>
      <c r="N2761" s="152">
        <v>48</v>
      </c>
      <c r="O2761" s="192"/>
      <c r="P2761" s="109">
        <v>153</v>
      </c>
    </row>
    <row r="2762" spans="1:16" ht="25.5">
      <c r="A2762" s="212" t="s">
        <v>2594</v>
      </c>
      <c r="B2762" s="141" t="s">
        <v>1947</v>
      </c>
      <c r="C2762" s="150" t="s">
        <v>3817</v>
      </c>
      <c r="D2762" s="221"/>
      <c r="E2762" s="150"/>
      <c r="F2762" s="150"/>
      <c r="G2762" s="110" t="s">
        <v>2663</v>
      </c>
      <c r="H2762" s="150" t="s">
        <v>6203</v>
      </c>
      <c r="I2762" s="150" t="s">
        <v>1629</v>
      </c>
      <c r="J2762" s="150" t="s">
        <v>1948</v>
      </c>
      <c r="K2762" s="221"/>
      <c r="L2762" s="135" t="str">
        <f t="shared" si="162"/>
        <v>Nyctimene masalai</v>
      </c>
      <c r="M2762" s="133">
        <f t="shared" si="161"/>
        <v>1.7185016888672742</v>
      </c>
      <c r="N2762" s="152">
        <v>52.3</v>
      </c>
      <c r="O2762" s="192"/>
      <c r="P2762" s="109">
        <v>153</v>
      </c>
    </row>
    <row r="2763" spans="1:16">
      <c r="A2763" s="212" t="s">
        <v>2594</v>
      </c>
      <c r="B2763" s="141" t="s">
        <v>1953</v>
      </c>
      <c r="C2763" s="150" t="s">
        <v>3817</v>
      </c>
      <c r="D2763" s="221"/>
      <c r="E2763" s="150"/>
      <c r="F2763" s="150"/>
      <c r="G2763" s="110" t="s">
        <v>2663</v>
      </c>
      <c r="H2763" s="150" t="s">
        <v>6203</v>
      </c>
      <c r="I2763" s="150" t="s">
        <v>1629</v>
      </c>
      <c r="J2763" s="150" t="s">
        <v>6254</v>
      </c>
      <c r="K2763" s="221"/>
      <c r="L2763" s="135" t="str">
        <f t="shared" si="162"/>
        <v>Nyctimene rabori</v>
      </c>
      <c r="M2763" s="133">
        <f t="shared" si="161"/>
        <v>1.8293037728310249</v>
      </c>
      <c r="N2763" s="152">
        <v>67.5</v>
      </c>
      <c r="O2763" s="192"/>
      <c r="P2763" s="109">
        <v>153</v>
      </c>
    </row>
    <row r="2764" spans="1:16" ht="15" customHeight="1">
      <c r="A2764" s="212" t="s">
        <v>2594</v>
      </c>
      <c r="B2764" s="141" t="s">
        <v>1954</v>
      </c>
      <c r="C2764" s="150" t="s">
        <v>3817</v>
      </c>
      <c r="D2764" s="221"/>
      <c r="E2764" s="150"/>
      <c r="F2764" s="150"/>
      <c r="G2764" s="110" t="s">
        <v>2663</v>
      </c>
      <c r="H2764" s="150" t="s">
        <v>6203</v>
      </c>
      <c r="I2764" s="150" t="s">
        <v>1629</v>
      </c>
      <c r="J2764" s="150" t="s">
        <v>1955</v>
      </c>
      <c r="K2764" s="221"/>
      <c r="L2764" s="135" t="str">
        <f t="shared" si="162"/>
        <v>Nyctimene malaitensis</v>
      </c>
      <c r="M2764" s="133">
        <f t="shared" si="161"/>
        <v>1.8772993414790093</v>
      </c>
      <c r="N2764" s="152">
        <v>75.387500000000003</v>
      </c>
      <c r="O2764" s="192"/>
      <c r="P2764" s="109">
        <v>153</v>
      </c>
    </row>
    <row r="2765" spans="1:16">
      <c r="A2765" s="212" t="s">
        <v>2594</v>
      </c>
      <c r="B2765" s="141" t="s">
        <v>2170</v>
      </c>
      <c r="C2765" s="150" t="s">
        <v>3817</v>
      </c>
      <c r="D2765" s="221"/>
      <c r="E2765" s="150"/>
      <c r="F2765" s="150"/>
      <c r="G2765" s="110" t="s">
        <v>2663</v>
      </c>
      <c r="H2765" s="150" t="s">
        <v>6203</v>
      </c>
      <c r="I2765" s="150" t="s">
        <v>1629</v>
      </c>
      <c r="J2765" s="150" t="s">
        <v>1630</v>
      </c>
      <c r="K2765" s="221"/>
      <c r="L2765" s="135" t="str">
        <f t="shared" si="162"/>
        <v>Nyctimene aello</v>
      </c>
      <c r="M2765" s="133">
        <f t="shared" si="161"/>
        <v>1.9256343401468479</v>
      </c>
      <c r="N2765" s="152">
        <v>84.262500000000003</v>
      </c>
      <c r="O2765" s="192"/>
      <c r="P2765" s="109">
        <v>153</v>
      </c>
    </row>
    <row r="2766" spans="1:16" ht="15" customHeight="1">
      <c r="A2766" s="212" t="s">
        <v>2594</v>
      </c>
      <c r="B2766" s="141" t="s">
        <v>825</v>
      </c>
      <c r="C2766" s="150" t="s">
        <v>3817</v>
      </c>
      <c r="D2766" s="221"/>
      <c r="E2766" s="150"/>
      <c r="F2766" s="150"/>
      <c r="G2766" s="110" t="s">
        <v>2663</v>
      </c>
      <c r="H2766" s="150" t="s">
        <v>6203</v>
      </c>
      <c r="I2766" s="150" t="s">
        <v>1629</v>
      </c>
      <c r="J2766" s="150" t="s">
        <v>5838</v>
      </c>
      <c r="K2766" s="221"/>
      <c r="L2766" s="135" t="str">
        <f t="shared" si="162"/>
        <v>Nyctimene major</v>
      </c>
      <c r="M2766" s="133">
        <f t="shared" si="161"/>
        <v>2.0176696988941734</v>
      </c>
      <c r="N2766" s="152">
        <v>104.1525</v>
      </c>
      <c r="O2766" s="192"/>
      <c r="P2766" s="109">
        <v>153</v>
      </c>
    </row>
    <row r="2767" spans="1:16">
      <c r="A2767" s="212" t="s">
        <v>2594</v>
      </c>
      <c r="B2767" s="141" t="s">
        <v>2896</v>
      </c>
      <c r="C2767" s="150" t="s">
        <v>3817</v>
      </c>
      <c r="D2767" s="221"/>
      <c r="E2767" s="150"/>
      <c r="F2767" s="150"/>
      <c r="G2767" s="110" t="s">
        <v>2663</v>
      </c>
      <c r="H2767" s="148" t="s">
        <v>6203</v>
      </c>
      <c r="I2767" s="150" t="s">
        <v>2897</v>
      </c>
      <c r="J2767" s="150" t="s">
        <v>505</v>
      </c>
      <c r="K2767" s="221"/>
      <c r="L2767" s="135" t="str">
        <f t="shared" si="162"/>
        <v>Otopteropus cartilagonodus</v>
      </c>
      <c r="M2767" s="133">
        <f t="shared" si="161"/>
        <v>1.2240148113728639</v>
      </c>
      <c r="N2767" s="152">
        <v>16.75</v>
      </c>
      <c r="O2767" s="192"/>
      <c r="P2767" s="109">
        <v>153</v>
      </c>
    </row>
    <row r="2768" spans="1:16" ht="15" customHeight="1">
      <c r="A2768" s="212" t="s">
        <v>2594</v>
      </c>
      <c r="B2768" s="141" t="s">
        <v>2170</v>
      </c>
      <c r="C2768" s="150" t="s">
        <v>3817</v>
      </c>
      <c r="D2768" s="221"/>
      <c r="E2768" s="150"/>
      <c r="F2768" s="150"/>
      <c r="G2768" s="110" t="s">
        <v>2663</v>
      </c>
      <c r="H2768" s="150" t="s">
        <v>6203</v>
      </c>
      <c r="I2768" s="150" t="s">
        <v>3254</v>
      </c>
      <c r="J2768" s="150" t="s">
        <v>4232</v>
      </c>
      <c r="K2768" s="221"/>
      <c r="L2768" s="135" t="str">
        <f t="shared" si="162"/>
        <v>Paranyctimene raptor</v>
      </c>
      <c r="M2768" s="133">
        <f t="shared" si="161"/>
        <v>1.3858048082220662</v>
      </c>
      <c r="N2768" s="152">
        <v>24.311111111111</v>
      </c>
      <c r="O2768" s="192"/>
      <c r="P2768" s="109">
        <v>153</v>
      </c>
    </row>
    <row r="2769" spans="1:16">
      <c r="A2769" s="212" t="s">
        <v>2594</v>
      </c>
      <c r="B2769" s="141" t="s">
        <v>2898</v>
      </c>
      <c r="C2769" s="150" t="s">
        <v>3817</v>
      </c>
      <c r="D2769" s="221"/>
      <c r="E2769" s="150"/>
      <c r="F2769" s="150"/>
      <c r="G2769" s="110" t="s">
        <v>2663</v>
      </c>
      <c r="H2769" s="150" t="s">
        <v>6203</v>
      </c>
      <c r="I2769" s="150" t="s">
        <v>2899</v>
      </c>
      <c r="J2769" s="150" t="s">
        <v>829</v>
      </c>
      <c r="K2769" s="221"/>
      <c r="L2769" s="135" t="str">
        <f t="shared" si="162"/>
        <v>Penthetor lucasi</v>
      </c>
      <c r="M2769" s="133">
        <f t="shared" si="161"/>
        <v>1.5816842319562481</v>
      </c>
      <c r="N2769" s="152">
        <v>38.166666666666998</v>
      </c>
      <c r="O2769" s="192"/>
      <c r="P2769" s="109">
        <v>153</v>
      </c>
    </row>
    <row r="2770" spans="1:16">
      <c r="A2770" s="212" t="s">
        <v>2594</v>
      </c>
      <c r="B2770" s="141" t="s">
        <v>6062</v>
      </c>
      <c r="C2770" s="150" t="s">
        <v>3817</v>
      </c>
      <c r="D2770" s="221"/>
      <c r="E2770" s="150"/>
      <c r="F2770" s="150"/>
      <c r="G2770" s="110" t="s">
        <v>2663</v>
      </c>
      <c r="H2770" s="150" t="s">
        <v>6203</v>
      </c>
      <c r="I2770" s="150" t="s">
        <v>665</v>
      </c>
      <c r="J2770" s="150" t="s">
        <v>3078</v>
      </c>
      <c r="K2770" s="221"/>
      <c r="L2770" s="135" t="str">
        <f t="shared" si="162"/>
        <v>Ptenochirus minor</v>
      </c>
      <c r="M2770" s="133">
        <f t="shared" si="161"/>
        <v>1.5593080109070125</v>
      </c>
      <c r="N2770" s="152">
        <f>AVERAGE(36, 36, 37, 36)</f>
        <v>36.25</v>
      </c>
      <c r="O2770" s="192"/>
      <c r="P2770" s="109">
        <v>122</v>
      </c>
    </row>
    <row r="2771" spans="1:16">
      <c r="A2771" s="212" t="s">
        <v>2594</v>
      </c>
      <c r="B2771" s="141" t="s">
        <v>6062</v>
      </c>
      <c r="C2771" s="150" t="s">
        <v>3817</v>
      </c>
      <c r="D2771" s="221"/>
      <c r="E2771" s="150"/>
      <c r="F2771" s="150"/>
      <c r="G2771" s="110" t="s">
        <v>2663</v>
      </c>
      <c r="H2771" s="150" t="s">
        <v>6203</v>
      </c>
      <c r="I2771" s="150" t="s">
        <v>665</v>
      </c>
      <c r="J2771" s="150" t="s">
        <v>2020</v>
      </c>
      <c r="K2771" s="221"/>
      <c r="L2771" s="135" t="str">
        <f t="shared" si="162"/>
        <v>Ptenochirus jagori</v>
      </c>
      <c r="M2771" s="133">
        <f t="shared" si="161"/>
        <v>1.8878984880968723</v>
      </c>
      <c r="N2771" s="152">
        <v>77.25</v>
      </c>
      <c r="O2771" s="192"/>
      <c r="P2771" s="109">
        <v>153</v>
      </c>
    </row>
    <row r="2772" spans="1:16">
      <c r="A2772" s="212" t="s">
        <v>2594</v>
      </c>
      <c r="B2772" s="141" t="s">
        <v>2021</v>
      </c>
      <c r="C2772" s="150" t="s">
        <v>3817</v>
      </c>
      <c r="D2772" s="221"/>
      <c r="E2772" s="150"/>
      <c r="F2772" s="150"/>
      <c r="G2772" s="110" t="s">
        <v>2663</v>
      </c>
      <c r="H2772" s="150" t="s">
        <v>6203</v>
      </c>
      <c r="I2772" s="150" t="s">
        <v>443</v>
      </c>
      <c r="J2772" s="150" t="s">
        <v>506</v>
      </c>
      <c r="K2772" s="221"/>
      <c r="L2772" s="135" t="str">
        <f t="shared" si="162"/>
        <v>Pteralopex acrodonta</v>
      </c>
      <c r="M2772" s="133">
        <f t="shared" si="161"/>
        <v>2.3988077302032647</v>
      </c>
      <c r="N2772" s="152">
        <v>250.5</v>
      </c>
      <c r="O2772" s="192"/>
      <c r="P2772" s="109">
        <v>153</v>
      </c>
    </row>
    <row r="2773" spans="1:16" ht="38.25">
      <c r="A2773" s="212" t="s">
        <v>2594</v>
      </c>
      <c r="B2773" s="141" t="s">
        <v>763</v>
      </c>
      <c r="C2773" s="150" t="s">
        <v>3817</v>
      </c>
      <c r="D2773" s="221"/>
      <c r="E2773" s="150"/>
      <c r="F2773" s="150"/>
      <c r="G2773" s="110" t="s">
        <v>2663</v>
      </c>
      <c r="H2773" s="150" t="s">
        <v>6203</v>
      </c>
      <c r="I2773" s="150" t="s">
        <v>443</v>
      </c>
      <c r="J2773" s="150" t="s">
        <v>761</v>
      </c>
      <c r="K2773" s="221"/>
      <c r="L2773" s="135" t="str">
        <f t="shared" si="162"/>
        <v>Pteralopex pulchra</v>
      </c>
      <c r="M2773" s="133">
        <f t="shared" si="161"/>
        <v>2.4471580313422194</v>
      </c>
      <c r="N2773" s="152">
        <v>280</v>
      </c>
      <c r="O2773" s="192"/>
      <c r="P2773" s="109">
        <v>153</v>
      </c>
    </row>
    <row r="2774" spans="1:16" ht="25.5">
      <c r="A2774" s="212" t="s">
        <v>2594</v>
      </c>
      <c r="B2774" s="141" t="s">
        <v>762</v>
      </c>
      <c r="C2774" s="150" t="s">
        <v>3817</v>
      </c>
      <c r="D2774" s="221"/>
      <c r="E2774" s="150"/>
      <c r="F2774" s="150"/>
      <c r="G2774" s="110" t="s">
        <v>2663</v>
      </c>
      <c r="H2774" s="150" t="s">
        <v>6203</v>
      </c>
      <c r="I2774" s="150" t="s">
        <v>443</v>
      </c>
      <c r="J2774" s="150" t="s">
        <v>5862</v>
      </c>
      <c r="K2774" s="221"/>
      <c r="L2774" s="135" t="str">
        <f t="shared" si="162"/>
        <v>Pteralopex atrata</v>
      </c>
      <c r="M2774" s="133">
        <f t="shared" si="161"/>
        <v>2.673941998634088</v>
      </c>
      <c r="N2774" s="152">
        <v>472</v>
      </c>
      <c r="O2774" s="192"/>
      <c r="P2774" s="109">
        <v>153</v>
      </c>
    </row>
    <row r="2775" spans="1:16" ht="25.5">
      <c r="A2775" s="212" t="s">
        <v>2594</v>
      </c>
      <c r="B2775" s="141" t="s">
        <v>845</v>
      </c>
      <c r="C2775" s="150" t="s">
        <v>3817</v>
      </c>
      <c r="D2775" s="221"/>
      <c r="E2775" s="150"/>
      <c r="F2775" s="150"/>
      <c r="G2775" s="110" t="s">
        <v>2663</v>
      </c>
      <c r="H2775" s="150" t="s">
        <v>6203</v>
      </c>
      <c r="I2775" s="150" t="s">
        <v>443</v>
      </c>
      <c r="J2775" s="150" t="s">
        <v>846</v>
      </c>
      <c r="K2775" s="221"/>
      <c r="L2775" s="135" t="str">
        <f t="shared" si="162"/>
        <v>Pteralopex anceps</v>
      </c>
      <c r="M2775" s="133">
        <f t="shared" si="161"/>
        <v>2.7484663515866954</v>
      </c>
      <c r="N2775" s="152">
        <v>560.35900000000004</v>
      </c>
      <c r="O2775" s="192"/>
      <c r="P2775" s="109">
        <v>153</v>
      </c>
    </row>
    <row r="2776" spans="1:16">
      <c r="A2776" s="212" t="s">
        <v>2594</v>
      </c>
      <c r="B2776" s="141" t="s">
        <v>811</v>
      </c>
      <c r="C2776" s="150" t="s">
        <v>3817</v>
      </c>
      <c r="D2776" s="221"/>
      <c r="E2776" s="150"/>
      <c r="F2776" s="150"/>
      <c r="G2776" s="110" t="s">
        <v>2663</v>
      </c>
      <c r="H2776" s="148" t="s">
        <v>6203</v>
      </c>
      <c r="I2776" s="150" t="s">
        <v>6204</v>
      </c>
      <c r="J2776" s="150" t="s">
        <v>5845</v>
      </c>
      <c r="K2776" s="221"/>
      <c r="L2776" s="135" t="str">
        <f t="shared" si="162"/>
        <v>Pteropus argentatus</v>
      </c>
      <c r="M2776" s="146">
        <v>-999</v>
      </c>
      <c r="N2776" s="146">
        <v>-999</v>
      </c>
      <c r="O2776" s="183"/>
      <c r="P2776" s="109">
        <v>-999</v>
      </c>
    </row>
    <row r="2777" spans="1:16" ht="25.5">
      <c r="A2777" s="212" t="s">
        <v>2594</v>
      </c>
      <c r="B2777" s="141" t="s">
        <v>5074</v>
      </c>
      <c r="C2777" s="150" t="s">
        <v>3817</v>
      </c>
      <c r="D2777" s="221"/>
      <c r="E2777" s="150"/>
      <c r="F2777" s="150"/>
      <c r="G2777" s="110" t="s">
        <v>2663</v>
      </c>
      <c r="H2777" s="148" t="s">
        <v>6203</v>
      </c>
      <c r="I2777" s="150" t="s">
        <v>6204</v>
      </c>
      <c r="J2777" s="150" t="s">
        <v>4509</v>
      </c>
      <c r="K2777" s="221"/>
      <c r="L2777" s="135" t="str">
        <f t="shared" si="162"/>
        <v>Pteropus faunulus</v>
      </c>
      <c r="M2777" s="146">
        <v>-999</v>
      </c>
      <c r="N2777" s="146">
        <v>-999</v>
      </c>
      <c r="O2777" s="183"/>
      <c r="P2777" s="109">
        <v>-999</v>
      </c>
    </row>
    <row r="2778" spans="1:16">
      <c r="A2778" s="212" t="s">
        <v>2594</v>
      </c>
      <c r="B2778" s="141" t="s">
        <v>4510</v>
      </c>
      <c r="C2778" s="150" t="s">
        <v>3817</v>
      </c>
      <c r="D2778" s="221"/>
      <c r="E2778" s="150"/>
      <c r="F2778" s="150"/>
      <c r="G2778" s="110" t="s">
        <v>2663</v>
      </c>
      <c r="H2778" s="148" t="s">
        <v>6203</v>
      </c>
      <c r="I2778" s="150" t="s">
        <v>6204</v>
      </c>
      <c r="J2778" s="150" t="s">
        <v>8271</v>
      </c>
      <c r="K2778" s="221"/>
      <c r="L2778" s="135" t="str">
        <f t="shared" si="162"/>
        <v>Pteropus insularis</v>
      </c>
      <c r="M2778" s="146">
        <v>-999</v>
      </c>
      <c r="N2778" s="146">
        <v>-999</v>
      </c>
      <c r="O2778" s="183"/>
      <c r="P2778" s="109">
        <v>-999</v>
      </c>
    </row>
    <row r="2779" spans="1:16" ht="25.5">
      <c r="A2779" s="212" t="s">
        <v>2594</v>
      </c>
      <c r="B2779" s="141" t="s">
        <v>658</v>
      </c>
      <c r="C2779" s="150" t="s">
        <v>3817</v>
      </c>
      <c r="D2779" s="221"/>
      <c r="E2779" s="150"/>
      <c r="F2779" s="150"/>
      <c r="G2779" s="110" t="s">
        <v>2663</v>
      </c>
      <c r="H2779" s="148" t="s">
        <v>6203</v>
      </c>
      <c r="I2779" s="150" t="s">
        <v>6204</v>
      </c>
      <c r="J2779" s="150" t="s">
        <v>3310</v>
      </c>
      <c r="K2779" s="221"/>
      <c r="L2779" s="135" t="str">
        <f t="shared" si="162"/>
        <v>Pteropus mearnsi</v>
      </c>
      <c r="M2779" s="146">
        <v>-999</v>
      </c>
      <c r="N2779" s="146">
        <v>-999</v>
      </c>
      <c r="O2779" s="183"/>
      <c r="P2779" s="109">
        <v>-999</v>
      </c>
    </row>
    <row r="2780" spans="1:16" ht="51">
      <c r="A2780" s="212" t="s">
        <v>2594</v>
      </c>
      <c r="B2780" s="141" t="s">
        <v>659</v>
      </c>
      <c r="C2780" s="150" t="s">
        <v>3817</v>
      </c>
      <c r="D2780" s="221"/>
      <c r="E2780" s="150"/>
      <c r="F2780" s="150"/>
      <c r="G2780" s="110" t="s">
        <v>2663</v>
      </c>
      <c r="H2780" s="148" t="s">
        <v>6203</v>
      </c>
      <c r="I2780" s="150" t="s">
        <v>6204</v>
      </c>
      <c r="J2780" s="150" t="s">
        <v>4341</v>
      </c>
      <c r="K2780" s="221"/>
      <c r="L2780" s="135" t="str">
        <f t="shared" si="162"/>
        <v>Pteropus melanotus</v>
      </c>
      <c r="M2780" s="146">
        <v>-999</v>
      </c>
      <c r="N2780" s="146">
        <v>-999</v>
      </c>
      <c r="O2780" s="183"/>
      <c r="P2780" s="109">
        <v>-999</v>
      </c>
    </row>
    <row r="2781" spans="1:16" ht="25.5">
      <c r="A2781" s="212" t="s">
        <v>2594</v>
      </c>
      <c r="B2781" s="141" t="s">
        <v>4524</v>
      </c>
      <c r="C2781" s="150" t="s">
        <v>3817</v>
      </c>
      <c r="D2781" s="221"/>
      <c r="E2781" s="150"/>
      <c r="F2781" s="150"/>
      <c r="G2781" s="110" t="s">
        <v>2663</v>
      </c>
      <c r="H2781" s="148" t="s">
        <v>6203</v>
      </c>
      <c r="I2781" s="150" t="s">
        <v>6204</v>
      </c>
      <c r="J2781" s="150" t="s">
        <v>4525</v>
      </c>
      <c r="K2781" s="221"/>
      <c r="L2781" s="135" t="str">
        <f t="shared" si="162"/>
        <v>Pteropus molossinus</v>
      </c>
      <c r="M2781" s="146">
        <v>-999</v>
      </c>
      <c r="N2781" s="146">
        <v>-999</v>
      </c>
      <c r="O2781" s="183"/>
      <c r="P2781" s="109">
        <v>-999</v>
      </c>
    </row>
    <row r="2782" spans="1:16" ht="25.5">
      <c r="A2782" s="212" t="s">
        <v>2594</v>
      </c>
      <c r="B2782" s="141" t="s">
        <v>2043</v>
      </c>
      <c r="C2782" s="150" t="s">
        <v>3817</v>
      </c>
      <c r="D2782" s="221"/>
      <c r="E2782" s="150"/>
      <c r="F2782" s="150"/>
      <c r="G2782" s="110" t="s">
        <v>2663</v>
      </c>
      <c r="H2782" s="148" t="s">
        <v>6203</v>
      </c>
      <c r="I2782" s="150" t="s">
        <v>6204</v>
      </c>
      <c r="J2782" s="150" t="s">
        <v>2044</v>
      </c>
      <c r="K2782" s="221"/>
      <c r="L2782" s="135" t="str">
        <f t="shared" si="162"/>
        <v>Pteropus phaeocephalus</v>
      </c>
      <c r="M2782" s="146">
        <v>-999</v>
      </c>
      <c r="N2782" s="146">
        <v>-999</v>
      </c>
      <c r="O2782" s="183"/>
      <c r="P2782" s="109">
        <v>-999</v>
      </c>
    </row>
    <row r="2783" spans="1:16" ht="25.5">
      <c r="A2783" s="212" t="s">
        <v>2594</v>
      </c>
      <c r="B2783" s="141" t="s">
        <v>4344</v>
      </c>
      <c r="C2783" s="150" t="s">
        <v>3817</v>
      </c>
      <c r="D2783" s="221"/>
      <c r="E2783" s="150"/>
      <c r="F2783" s="150"/>
      <c r="G2783" s="110" t="s">
        <v>2663</v>
      </c>
      <c r="H2783" s="148" t="s">
        <v>6203</v>
      </c>
      <c r="I2783" s="150" t="s">
        <v>6204</v>
      </c>
      <c r="J2783" s="150" t="s">
        <v>1949</v>
      </c>
      <c r="K2783" s="221"/>
      <c r="L2783" s="135" t="str">
        <f t="shared" si="162"/>
        <v>Pteropus pselaphon</v>
      </c>
      <c r="M2783" s="146">
        <v>-999</v>
      </c>
      <c r="N2783" s="146">
        <v>-999</v>
      </c>
      <c r="O2783" s="183"/>
      <c r="P2783" s="109">
        <v>-999</v>
      </c>
    </row>
    <row r="2784" spans="1:16" ht="25.5">
      <c r="A2784" s="212" t="s">
        <v>2594</v>
      </c>
      <c r="B2784" s="141" t="s">
        <v>4637</v>
      </c>
      <c r="C2784" s="150" t="s">
        <v>3817</v>
      </c>
      <c r="D2784" s="221"/>
      <c r="E2784" s="150"/>
      <c r="F2784" s="150"/>
      <c r="G2784" s="110" t="s">
        <v>2663</v>
      </c>
      <c r="H2784" s="148" t="s">
        <v>6203</v>
      </c>
      <c r="I2784" s="150" t="s">
        <v>6204</v>
      </c>
      <c r="J2784" s="150" t="s">
        <v>2895</v>
      </c>
      <c r="K2784" s="221"/>
      <c r="L2784" s="135" t="str">
        <f t="shared" si="162"/>
        <v>Pteropus sanctacrucis</v>
      </c>
      <c r="M2784" s="146">
        <v>-999</v>
      </c>
      <c r="N2784" s="146">
        <v>-999</v>
      </c>
      <c r="O2784" s="183"/>
      <c r="P2784" s="109">
        <v>-999</v>
      </c>
    </row>
    <row r="2785" spans="1:16" ht="51">
      <c r="A2785" s="212" t="s">
        <v>2594</v>
      </c>
      <c r="B2785" s="141" t="s">
        <v>492</v>
      </c>
      <c r="C2785" s="150" t="s">
        <v>3817</v>
      </c>
      <c r="D2785" s="221"/>
      <c r="E2785" s="150"/>
      <c r="F2785" s="150"/>
      <c r="G2785" s="110" t="s">
        <v>2663</v>
      </c>
      <c r="H2785" s="148" t="s">
        <v>6203</v>
      </c>
      <c r="I2785" s="150" t="s">
        <v>6204</v>
      </c>
      <c r="J2785" s="150" t="s">
        <v>4666</v>
      </c>
      <c r="K2785" s="221"/>
      <c r="L2785" s="135" t="str">
        <f t="shared" si="162"/>
        <v>Pteropus speciosus</v>
      </c>
      <c r="M2785" s="146">
        <v>-999</v>
      </c>
      <c r="N2785" s="146">
        <v>-999</v>
      </c>
      <c r="O2785" s="183"/>
      <c r="P2785" s="109">
        <v>-999</v>
      </c>
    </row>
    <row r="2786" spans="1:16" ht="25.5">
      <c r="A2786" s="212" t="s">
        <v>2594</v>
      </c>
      <c r="B2786" s="141" t="s">
        <v>2017</v>
      </c>
      <c r="C2786" s="150" t="s">
        <v>3817</v>
      </c>
      <c r="D2786" s="221"/>
      <c r="E2786" s="150"/>
      <c r="F2786" s="150"/>
      <c r="G2786" s="110" t="s">
        <v>2663</v>
      </c>
      <c r="H2786" s="148" t="s">
        <v>6203</v>
      </c>
      <c r="I2786" s="150" t="s">
        <v>6204</v>
      </c>
      <c r="J2786" s="150" t="s">
        <v>5749</v>
      </c>
      <c r="K2786" s="221"/>
      <c r="L2786" s="135" t="str">
        <f t="shared" si="162"/>
        <v>Pteropus tuberculatus</v>
      </c>
      <c r="M2786" s="146">
        <v>-999</v>
      </c>
      <c r="N2786" s="146">
        <v>-999</v>
      </c>
      <c r="O2786" s="183"/>
      <c r="P2786" s="109">
        <v>-999</v>
      </c>
    </row>
    <row r="2787" spans="1:16" ht="25.5">
      <c r="A2787" s="212" t="s">
        <v>2594</v>
      </c>
      <c r="B2787" s="141" t="s">
        <v>2905</v>
      </c>
      <c r="C2787" s="150" t="s">
        <v>3817</v>
      </c>
      <c r="D2787" s="221"/>
      <c r="E2787" s="150"/>
      <c r="F2787" s="150"/>
      <c r="G2787" s="110" t="s">
        <v>2663</v>
      </c>
      <c r="H2787" s="150" t="s">
        <v>6203</v>
      </c>
      <c r="I2787" s="150" t="s">
        <v>6204</v>
      </c>
      <c r="J2787" s="150" t="s">
        <v>2866</v>
      </c>
      <c r="K2787" s="221"/>
      <c r="L2787" s="135" t="str">
        <f t="shared" si="162"/>
        <v>Pteropus woodfordi</v>
      </c>
      <c r="M2787" s="133">
        <f t="shared" ref="M2787:M2818" si="163">LOG(N2787)</f>
        <v>2.0767423616812133</v>
      </c>
      <c r="N2787" s="152">
        <v>119.328</v>
      </c>
      <c r="O2787" s="192"/>
      <c r="P2787" s="109">
        <v>153</v>
      </c>
    </row>
    <row r="2788" spans="1:16">
      <c r="A2788" s="212" t="s">
        <v>2594</v>
      </c>
      <c r="B2788" s="141" t="s">
        <v>2811</v>
      </c>
      <c r="C2788" s="150" t="s">
        <v>3817</v>
      </c>
      <c r="D2788" s="221"/>
      <c r="E2788" s="150"/>
      <c r="F2788" s="150"/>
      <c r="G2788" s="110" t="s">
        <v>2663</v>
      </c>
      <c r="H2788" s="150" t="s">
        <v>6203</v>
      </c>
      <c r="I2788" s="150" t="s">
        <v>6204</v>
      </c>
      <c r="J2788" s="150" t="s">
        <v>3251</v>
      </c>
      <c r="K2788" s="221"/>
      <c r="L2788" s="135" t="str">
        <f t="shared" si="162"/>
        <v>Pteropus personatus</v>
      </c>
      <c r="M2788" s="133">
        <f t="shared" si="163"/>
        <v>2.1055101847699738</v>
      </c>
      <c r="N2788" s="152">
        <v>127.5</v>
      </c>
      <c r="O2788" s="192"/>
      <c r="P2788" s="109">
        <v>153</v>
      </c>
    </row>
    <row r="2789" spans="1:16">
      <c r="A2789" s="212" t="s">
        <v>2594</v>
      </c>
      <c r="B2789" s="141" t="s">
        <v>2812</v>
      </c>
      <c r="C2789" s="150" t="s">
        <v>3817</v>
      </c>
      <c r="D2789" s="221"/>
      <c r="E2789" s="150"/>
      <c r="F2789" s="150"/>
      <c r="G2789" s="110" t="s">
        <v>2663</v>
      </c>
      <c r="H2789" s="150" t="s">
        <v>6203</v>
      </c>
      <c r="I2789" s="150" t="s">
        <v>6204</v>
      </c>
      <c r="J2789" s="150" t="s">
        <v>7318</v>
      </c>
      <c r="K2789" s="221"/>
      <c r="L2789" s="135" t="str">
        <f t="shared" si="162"/>
        <v>Pteropus vetulus</v>
      </c>
      <c r="M2789" s="133">
        <f t="shared" si="163"/>
        <v>2.1702617153949575</v>
      </c>
      <c r="N2789" s="152">
        <v>148</v>
      </c>
      <c r="O2789" s="192"/>
      <c r="P2789" s="109">
        <v>153</v>
      </c>
    </row>
    <row r="2790" spans="1:16">
      <c r="A2790" s="212" t="s">
        <v>2594</v>
      </c>
      <c r="B2790" s="141" t="s">
        <v>6062</v>
      </c>
      <c r="C2790" s="150" t="s">
        <v>3817</v>
      </c>
      <c r="D2790" s="221"/>
      <c r="E2790" s="150"/>
      <c r="F2790" s="150"/>
      <c r="G2790" s="110" t="s">
        <v>2663</v>
      </c>
      <c r="H2790" s="150" t="s">
        <v>6203</v>
      </c>
      <c r="I2790" s="150" t="s">
        <v>6204</v>
      </c>
      <c r="J2790" s="150" t="s">
        <v>5776</v>
      </c>
      <c r="K2790" s="221"/>
      <c r="L2790" s="135" t="str">
        <f t="shared" si="162"/>
        <v>Pteropus pumilus</v>
      </c>
      <c r="M2790" s="133">
        <f t="shared" si="163"/>
        <v>2.2632809142966215</v>
      </c>
      <c r="N2790" s="152">
        <v>183.35</v>
      </c>
      <c r="O2790" s="192"/>
      <c r="P2790" s="109">
        <v>153</v>
      </c>
    </row>
    <row r="2791" spans="1:16">
      <c r="A2791" s="212" t="s">
        <v>2594</v>
      </c>
      <c r="B2791" s="141" t="s">
        <v>2815</v>
      </c>
      <c r="C2791" s="150" t="s">
        <v>3817</v>
      </c>
      <c r="D2791" s="221"/>
      <c r="E2791" s="150"/>
      <c r="F2791" s="150"/>
      <c r="G2791" s="110" t="s">
        <v>2663</v>
      </c>
      <c r="H2791" s="150" t="s">
        <v>6203</v>
      </c>
      <c r="I2791" s="150" t="s">
        <v>6204</v>
      </c>
      <c r="J2791" s="150" t="s">
        <v>2816</v>
      </c>
      <c r="K2791" s="221"/>
      <c r="L2791" s="135" t="str">
        <f t="shared" si="162"/>
        <v>Pteropus fundatus</v>
      </c>
      <c r="M2791" s="133">
        <f t="shared" si="163"/>
        <v>2.3131287138451939</v>
      </c>
      <c r="N2791" s="152">
        <v>205.65</v>
      </c>
      <c r="O2791" s="192"/>
      <c r="P2791" s="109">
        <v>153</v>
      </c>
    </row>
    <row r="2792" spans="1:16" ht="25.5">
      <c r="A2792" s="212" t="s">
        <v>2594</v>
      </c>
      <c r="B2792" s="141" t="s">
        <v>2817</v>
      </c>
      <c r="C2792" s="150" t="s">
        <v>3817</v>
      </c>
      <c r="D2792" s="221"/>
      <c r="E2792" s="150"/>
      <c r="F2792" s="150"/>
      <c r="G2792" s="110" t="s">
        <v>2663</v>
      </c>
      <c r="H2792" s="150" t="s">
        <v>6203</v>
      </c>
      <c r="I2792" s="150" t="s">
        <v>6204</v>
      </c>
      <c r="J2792" s="150" t="s">
        <v>8044</v>
      </c>
      <c r="K2792" s="221"/>
      <c r="L2792" s="135" t="str">
        <f t="shared" si="162"/>
        <v>Pteropus ocularis</v>
      </c>
      <c r="M2792" s="133">
        <f t="shared" si="163"/>
        <v>2.3424226808222062</v>
      </c>
      <c r="N2792" s="152">
        <v>220</v>
      </c>
      <c r="O2792" s="192"/>
      <c r="P2792" s="109">
        <v>153</v>
      </c>
    </row>
    <row r="2793" spans="1:16" ht="25.5">
      <c r="A2793" s="212" t="s">
        <v>2594</v>
      </c>
      <c r="B2793" s="141" t="s">
        <v>2810</v>
      </c>
      <c r="C2793" s="150" t="s">
        <v>3817</v>
      </c>
      <c r="D2793" s="221"/>
      <c r="E2793" s="150"/>
      <c r="F2793" s="150"/>
      <c r="G2793" s="110" t="s">
        <v>2663</v>
      </c>
      <c r="H2793" s="150" t="s">
        <v>6203</v>
      </c>
      <c r="I2793" s="150" t="s">
        <v>6204</v>
      </c>
      <c r="J2793" s="150" t="s">
        <v>2695</v>
      </c>
      <c r="K2793" s="221"/>
      <c r="L2793" s="135" t="str">
        <f t="shared" si="162"/>
        <v>Pteropus howensis</v>
      </c>
      <c r="M2793" s="133">
        <f t="shared" si="163"/>
        <v>2.3672254266858306</v>
      </c>
      <c r="N2793" s="152">
        <v>232.93</v>
      </c>
      <c r="O2793" s="192"/>
      <c r="P2793" s="109">
        <v>153</v>
      </c>
    </row>
    <row r="2794" spans="1:16" ht="63.75">
      <c r="A2794" s="212" t="s">
        <v>2594</v>
      </c>
      <c r="B2794" s="141" t="s">
        <v>701</v>
      </c>
      <c r="C2794" s="150" t="s">
        <v>3817</v>
      </c>
      <c r="D2794" s="221"/>
      <c r="E2794" s="150"/>
      <c r="F2794" s="150"/>
      <c r="G2794" s="110" t="s">
        <v>2663</v>
      </c>
      <c r="H2794" s="150" t="s">
        <v>6203</v>
      </c>
      <c r="I2794" s="150" t="s">
        <v>6204</v>
      </c>
      <c r="J2794" s="150" t="s">
        <v>622</v>
      </c>
      <c r="K2794" s="221"/>
      <c r="L2794" s="135" t="str">
        <f t="shared" si="162"/>
        <v>Pteropus temmincki</v>
      </c>
      <c r="M2794" s="133">
        <f t="shared" si="163"/>
        <v>2.3979400086720375</v>
      </c>
      <c r="N2794" s="152">
        <v>250</v>
      </c>
      <c r="O2794" s="192"/>
      <c r="P2794" s="109">
        <v>153</v>
      </c>
    </row>
    <row r="2795" spans="1:16" ht="38.25">
      <c r="A2795" s="212" t="s">
        <v>2594</v>
      </c>
      <c r="B2795" s="141" t="s">
        <v>4737</v>
      </c>
      <c r="C2795" s="150" t="s">
        <v>3817</v>
      </c>
      <c r="D2795" s="221"/>
      <c r="E2795" s="150"/>
      <c r="F2795" s="150"/>
      <c r="G2795" s="110" t="s">
        <v>2663</v>
      </c>
      <c r="H2795" s="150" t="s">
        <v>6203</v>
      </c>
      <c r="I2795" s="150" t="s">
        <v>6204</v>
      </c>
      <c r="J2795" s="150" t="s">
        <v>4738</v>
      </c>
      <c r="K2795" s="221"/>
      <c r="L2795" s="135" t="str">
        <f t="shared" si="162"/>
        <v>Pteropus lombocensis</v>
      </c>
      <c r="M2795" s="133">
        <f t="shared" si="163"/>
        <v>2.3984608496082234</v>
      </c>
      <c r="N2795" s="152">
        <v>250.3</v>
      </c>
      <c r="O2795" s="192"/>
      <c r="P2795" s="109">
        <v>153</v>
      </c>
    </row>
    <row r="2796" spans="1:16" ht="25.5">
      <c r="A2796" s="212" t="s">
        <v>2594</v>
      </c>
      <c r="B2796" s="141" t="s">
        <v>789</v>
      </c>
      <c r="C2796" s="150" t="s">
        <v>3817</v>
      </c>
      <c r="D2796" s="221"/>
      <c r="E2796" s="150"/>
      <c r="F2796" s="150"/>
      <c r="G2796" s="110" t="s">
        <v>2663</v>
      </c>
      <c r="H2796" s="150" t="s">
        <v>6203</v>
      </c>
      <c r="I2796" s="150" t="s">
        <v>6204</v>
      </c>
      <c r="J2796" s="150" t="s">
        <v>451</v>
      </c>
      <c r="K2796" s="221"/>
      <c r="L2796" s="135" t="str">
        <f t="shared" si="162"/>
        <v>Pteropus mahaganus</v>
      </c>
      <c r="M2796" s="133">
        <f t="shared" si="163"/>
        <v>2.4003661371010327</v>
      </c>
      <c r="N2796" s="152">
        <v>251.40049999999999</v>
      </c>
      <c r="O2796" s="192"/>
      <c r="P2796" s="109">
        <v>153</v>
      </c>
    </row>
    <row r="2797" spans="1:16" ht="38.25">
      <c r="A2797" s="212" t="s">
        <v>2594</v>
      </c>
      <c r="B2797" s="141" t="s">
        <v>768</v>
      </c>
      <c r="C2797" s="150" t="s">
        <v>3817</v>
      </c>
      <c r="D2797" s="221"/>
      <c r="E2797" s="150"/>
      <c r="F2797" s="150"/>
      <c r="G2797" s="110" t="s">
        <v>2663</v>
      </c>
      <c r="H2797" s="150" t="s">
        <v>6203</v>
      </c>
      <c r="I2797" s="150" t="s">
        <v>6204</v>
      </c>
      <c r="J2797" s="150" t="s">
        <v>626</v>
      </c>
      <c r="K2797" s="221"/>
      <c r="L2797" s="135" t="str">
        <f t="shared" si="162"/>
        <v>Pteropus rodricensis</v>
      </c>
      <c r="M2797" s="133">
        <f t="shared" si="163"/>
        <v>2.4045486529523932</v>
      </c>
      <c r="N2797" s="152">
        <v>253.83333333332999</v>
      </c>
      <c r="O2797" s="192"/>
      <c r="P2797" s="109">
        <v>153</v>
      </c>
    </row>
    <row r="2798" spans="1:16">
      <c r="A2798" s="212" t="s">
        <v>2594</v>
      </c>
      <c r="B2798" s="141" t="s">
        <v>852</v>
      </c>
      <c r="C2798" s="150" t="s">
        <v>3817</v>
      </c>
      <c r="D2798" s="221"/>
      <c r="E2798" s="150"/>
      <c r="F2798" s="150"/>
      <c r="G2798" s="110" t="s">
        <v>2663</v>
      </c>
      <c r="H2798" s="150" t="s">
        <v>6203</v>
      </c>
      <c r="I2798" s="150" t="s">
        <v>6204</v>
      </c>
      <c r="J2798" s="150" t="s">
        <v>526</v>
      </c>
      <c r="K2798" s="221"/>
      <c r="L2798" s="135" t="str">
        <f t="shared" si="162"/>
        <v>Pteropus nitendiensis</v>
      </c>
      <c r="M2798" s="133">
        <f t="shared" si="163"/>
        <v>2.4232458739368079</v>
      </c>
      <c r="N2798" s="152">
        <v>265</v>
      </c>
      <c r="O2798" s="192"/>
      <c r="P2798" s="109">
        <v>153</v>
      </c>
    </row>
    <row r="2799" spans="1:16" ht="76.5">
      <c r="A2799" s="212" t="s">
        <v>2594</v>
      </c>
      <c r="B2799" s="141" t="s">
        <v>4432</v>
      </c>
      <c r="C2799" s="150" t="s">
        <v>3817</v>
      </c>
      <c r="D2799" s="221"/>
      <c r="E2799" s="150"/>
      <c r="F2799" s="150"/>
      <c r="G2799" s="110" t="s">
        <v>2663</v>
      </c>
      <c r="H2799" s="150" t="s">
        <v>6203</v>
      </c>
      <c r="I2799" s="150" t="s">
        <v>6204</v>
      </c>
      <c r="J2799" s="150" t="s">
        <v>2210</v>
      </c>
      <c r="K2799" s="221"/>
      <c r="L2799" s="135" t="str">
        <f t="shared" si="162"/>
        <v>Pteropus griseus</v>
      </c>
      <c r="M2799" s="133">
        <f t="shared" si="163"/>
        <v>2.4297522800024081</v>
      </c>
      <c r="N2799" s="152">
        <v>269</v>
      </c>
      <c r="O2799" s="192"/>
      <c r="P2799" s="109">
        <v>153</v>
      </c>
    </row>
    <row r="2800" spans="1:16" ht="51">
      <c r="A2800" s="212" t="s">
        <v>2594</v>
      </c>
      <c r="B2800" s="141" t="s">
        <v>4591</v>
      </c>
      <c r="C2800" s="150" t="s">
        <v>3817</v>
      </c>
      <c r="D2800" s="221"/>
      <c r="E2800" s="150"/>
      <c r="F2800" s="150"/>
      <c r="G2800" s="110" t="s">
        <v>2663</v>
      </c>
      <c r="H2800" s="150" t="s">
        <v>6203</v>
      </c>
      <c r="I2800" s="150" t="s">
        <v>6204</v>
      </c>
      <c r="J2800" s="150" t="s">
        <v>4433</v>
      </c>
      <c r="K2800" s="221"/>
      <c r="L2800" s="135" t="str">
        <f t="shared" si="162"/>
        <v>Pteropus admiralitatum</v>
      </c>
      <c r="M2800" s="133">
        <f t="shared" si="163"/>
        <v>2.476976465759527</v>
      </c>
      <c r="N2800" s="152">
        <v>299.89999999999998</v>
      </c>
      <c r="O2800" s="192"/>
      <c r="P2800" s="109">
        <v>153</v>
      </c>
    </row>
    <row r="2801" spans="1:16">
      <c r="A2801" s="212" t="s">
        <v>2594</v>
      </c>
      <c r="B2801" s="141" t="s">
        <v>1934</v>
      </c>
      <c r="C2801" s="150" t="s">
        <v>3817</v>
      </c>
      <c r="D2801" s="221"/>
      <c r="E2801" s="150"/>
      <c r="F2801" s="150"/>
      <c r="G2801" s="110" t="s">
        <v>2663</v>
      </c>
      <c r="H2801" s="150" t="s">
        <v>6203</v>
      </c>
      <c r="I2801" s="150" t="s">
        <v>6204</v>
      </c>
      <c r="J2801" s="150" t="s">
        <v>1935</v>
      </c>
      <c r="K2801" s="221"/>
      <c r="L2801" s="135" t="str">
        <f t="shared" si="162"/>
        <v>Pteropus aldabrensis</v>
      </c>
      <c r="M2801" s="133">
        <f t="shared" si="163"/>
        <v>2.4842998393467859</v>
      </c>
      <c r="N2801" s="152">
        <v>305</v>
      </c>
      <c r="O2801" s="192"/>
      <c r="P2801" s="109">
        <v>153</v>
      </c>
    </row>
    <row r="2802" spans="1:16" ht="25.5">
      <c r="A2802" s="212" t="s">
        <v>2594</v>
      </c>
      <c r="B2802" s="141" t="s">
        <v>4588</v>
      </c>
      <c r="C2802" s="150" t="s">
        <v>3817</v>
      </c>
      <c r="D2802" s="221"/>
      <c r="E2802" s="150"/>
      <c r="F2802" s="150"/>
      <c r="G2802" s="110" t="s">
        <v>2663</v>
      </c>
      <c r="H2802" s="150" t="s">
        <v>6203</v>
      </c>
      <c r="I2802" s="150" t="s">
        <v>6204</v>
      </c>
      <c r="J2802" s="150" t="s">
        <v>4589</v>
      </c>
      <c r="K2802" s="221"/>
      <c r="L2802" s="135" t="str">
        <f t="shared" si="162"/>
        <v>Pteropus samoensis</v>
      </c>
      <c r="M2802" s="133">
        <f t="shared" si="163"/>
        <v>2.4913616938342726</v>
      </c>
      <c r="N2802" s="152">
        <v>310</v>
      </c>
      <c r="O2802" s="192"/>
      <c r="P2802" s="109">
        <v>153</v>
      </c>
    </row>
    <row r="2803" spans="1:16" ht="25.5">
      <c r="A2803" s="212" t="s">
        <v>2594</v>
      </c>
      <c r="B2803" s="141" t="s">
        <v>695</v>
      </c>
      <c r="C2803" s="150" t="s">
        <v>3817</v>
      </c>
      <c r="D2803" s="221"/>
      <c r="E2803" s="150"/>
      <c r="F2803" s="150"/>
      <c r="G2803" s="110" t="s">
        <v>2663</v>
      </c>
      <c r="H2803" s="150" t="s">
        <v>6203</v>
      </c>
      <c r="I2803" s="150" t="s">
        <v>6204</v>
      </c>
      <c r="J2803" s="150" t="s">
        <v>4907</v>
      </c>
      <c r="K2803" s="221"/>
      <c r="L2803" s="135" t="str">
        <f t="shared" si="162"/>
        <v>Pteropus ornatus</v>
      </c>
      <c r="M2803" s="133">
        <f t="shared" si="163"/>
        <v>2.5185139398778875</v>
      </c>
      <c r="N2803" s="152">
        <v>330</v>
      </c>
      <c r="O2803" s="192"/>
      <c r="P2803" s="109">
        <v>153</v>
      </c>
    </row>
    <row r="2804" spans="1:16" ht="25.5">
      <c r="A2804" s="212" t="s">
        <v>2594</v>
      </c>
      <c r="B2804" s="141" t="s">
        <v>462</v>
      </c>
      <c r="C2804" s="150" t="s">
        <v>3817</v>
      </c>
      <c r="D2804" s="221"/>
      <c r="E2804" s="150"/>
      <c r="F2804" s="150"/>
      <c r="G2804" s="110" t="s">
        <v>2663</v>
      </c>
      <c r="H2804" s="150" t="s">
        <v>6203</v>
      </c>
      <c r="I2804" s="150" t="s">
        <v>6204</v>
      </c>
      <c r="J2804" s="150" t="s">
        <v>2007</v>
      </c>
      <c r="K2804" s="221"/>
      <c r="L2804" s="135" t="str">
        <f t="shared" si="162"/>
        <v>Pteropus leucopterus</v>
      </c>
      <c r="M2804" s="133">
        <f t="shared" si="163"/>
        <v>2.5314789170422549</v>
      </c>
      <c r="N2804" s="152">
        <v>340</v>
      </c>
      <c r="O2804" s="192"/>
      <c r="P2804" s="109">
        <v>153</v>
      </c>
    </row>
    <row r="2805" spans="1:16" ht="25.5">
      <c r="A2805" s="212" t="s">
        <v>2594</v>
      </c>
      <c r="B2805" s="141" t="s">
        <v>4435</v>
      </c>
      <c r="C2805" s="150" t="s">
        <v>3817</v>
      </c>
      <c r="D2805" s="221"/>
      <c r="E2805" s="150"/>
      <c r="F2805" s="150"/>
      <c r="G2805" s="110" t="s">
        <v>2663</v>
      </c>
      <c r="H2805" s="150" t="s">
        <v>6203</v>
      </c>
      <c r="I2805" s="150" t="s">
        <v>6204</v>
      </c>
      <c r="J2805" s="150" t="s">
        <v>4436</v>
      </c>
      <c r="K2805" s="221"/>
      <c r="L2805" s="135" t="str">
        <f t="shared" si="162"/>
        <v>Pteropus pohlei</v>
      </c>
      <c r="M2805" s="133">
        <f t="shared" si="163"/>
        <v>2.5352941200427703</v>
      </c>
      <c r="N2805" s="152">
        <v>343</v>
      </c>
      <c r="O2805" s="192"/>
      <c r="P2805" s="109">
        <v>153</v>
      </c>
    </row>
    <row r="2806" spans="1:16" ht="25.5">
      <c r="A2806" s="212" t="s">
        <v>2594</v>
      </c>
      <c r="B2806" s="141" t="s">
        <v>782</v>
      </c>
      <c r="C2806" s="150" t="s">
        <v>3817</v>
      </c>
      <c r="D2806" s="221"/>
      <c r="E2806" s="150"/>
      <c r="F2806" s="150"/>
      <c r="G2806" s="110" t="s">
        <v>2663</v>
      </c>
      <c r="H2806" s="150" t="s">
        <v>6203</v>
      </c>
      <c r="I2806" s="150" t="s">
        <v>6204</v>
      </c>
      <c r="J2806" s="150" t="s">
        <v>4141</v>
      </c>
      <c r="K2806" s="221"/>
      <c r="L2806" s="135" t="str">
        <f t="shared" si="162"/>
        <v>Pteropus macrotis</v>
      </c>
      <c r="M2806" s="133">
        <f t="shared" si="163"/>
        <v>2.5526682161121932</v>
      </c>
      <c r="N2806" s="152">
        <v>357</v>
      </c>
      <c r="O2806" s="192"/>
      <c r="P2806" s="109">
        <v>153</v>
      </c>
    </row>
    <row r="2807" spans="1:16">
      <c r="A2807" s="212" t="s">
        <v>2594</v>
      </c>
      <c r="B2807" s="141" t="s">
        <v>2593</v>
      </c>
      <c r="C2807" s="150" t="s">
        <v>3817</v>
      </c>
      <c r="D2807" s="221"/>
      <c r="E2807" s="150"/>
      <c r="F2807" s="150"/>
      <c r="G2807" s="110" t="s">
        <v>2663</v>
      </c>
      <c r="H2807" s="150" t="s">
        <v>6203</v>
      </c>
      <c r="I2807" s="150" t="s">
        <v>6204</v>
      </c>
      <c r="J2807" s="150" t="s">
        <v>2329</v>
      </c>
      <c r="K2807" s="221"/>
      <c r="L2807" s="135" t="str">
        <f t="shared" si="162"/>
        <v>Pteropus rufus</v>
      </c>
      <c r="M2807" s="133">
        <f t="shared" si="163"/>
        <v>2.5575072019056577</v>
      </c>
      <c r="N2807" s="152">
        <v>361</v>
      </c>
      <c r="O2807" s="192"/>
      <c r="P2807" s="109">
        <v>153</v>
      </c>
    </row>
    <row r="2808" spans="1:16">
      <c r="A2808" s="212" t="s">
        <v>2594</v>
      </c>
      <c r="B2808" s="141" t="s">
        <v>1271</v>
      </c>
      <c r="C2808" s="150" t="s">
        <v>3817</v>
      </c>
      <c r="D2808" s="221"/>
      <c r="E2808" s="150"/>
      <c r="F2808" s="150"/>
      <c r="G2808" s="110" t="s">
        <v>2663</v>
      </c>
      <c r="H2808" s="150" t="s">
        <v>6203</v>
      </c>
      <c r="I2808" s="150" t="s">
        <v>6204</v>
      </c>
      <c r="J2808" s="150" t="s">
        <v>3110</v>
      </c>
      <c r="K2808" s="221"/>
      <c r="L2808" s="135" t="str">
        <f t="shared" si="162"/>
        <v>Pteropus scapulatus</v>
      </c>
      <c r="M2808" s="133">
        <f t="shared" si="163"/>
        <v>2.5664374921950701</v>
      </c>
      <c r="N2808" s="109">
        <f>AVERAGE(319, 447, 333, 375)</f>
        <v>368.5</v>
      </c>
      <c r="O2808" s="192"/>
      <c r="P2808" s="109">
        <v>259</v>
      </c>
    </row>
    <row r="2809" spans="1:16" ht="25.5">
      <c r="A2809" s="212" t="s">
        <v>2594</v>
      </c>
      <c r="B2809" s="141" t="s">
        <v>523</v>
      </c>
      <c r="C2809" s="150" t="s">
        <v>3817</v>
      </c>
      <c r="D2809" s="221"/>
      <c r="E2809" s="150"/>
      <c r="F2809" s="150"/>
      <c r="G2809" s="110" t="s">
        <v>2663</v>
      </c>
      <c r="H2809" s="150" t="s">
        <v>6203</v>
      </c>
      <c r="I2809" s="150" t="s">
        <v>6204</v>
      </c>
      <c r="J2809" s="150" t="s">
        <v>470</v>
      </c>
      <c r="K2809" s="221"/>
      <c r="L2809" s="135" t="str">
        <f t="shared" si="162"/>
        <v>Pteropus gilliardi</v>
      </c>
      <c r="M2809" s="133">
        <f t="shared" si="163"/>
        <v>2.6020599913279625</v>
      </c>
      <c r="N2809" s="152">
        <v>400</v>
      </c>
      <c r="O2809" s="192"/>
      <c r="P2809" s="109">
        <v>153</v>
      </c>
    </row>
    <row r="2810" spans="1:16">
      <c r="A2810" s="212" t="s">
        <v>2594</v>
      </c>
      <c r="B2810" s="141" t="s">
        <v>637</v>
      </c>
      <c r="C2810" s="150" t="s">
        <v>3817</v>
      </c>
      <c r="D2810" s="221"/>
      <c r="E2810" s="150"/>
      <c r="F2810" s="150"/>
      <c r="G2810" s="110" t="s">
        <v>2663</v>
      </c>
      <c r="H2810" s="150" t="s">
        <v>6203</v>
      </c>
      <c r="I2810" s="150" t="s">
        <v>6204</v>
      </c>
      <c r="J2810" s="150" t="s">
        <v>638</v>
      </c>
      <c r="K2810" s="221"/>
      <c r="L2810" s="135" t="str">
        <f t="shared" si="162"/>
        <v>Pteropus tonganus</v>
      </c>
      <c r="M2810" s="133">
        <f t="shared" si="163"/>
        <v>2.621522471097391</v>
      </c>
      <c r="N2810" s="152">
        <v>418.33333333333002</v>
      </c>
      <c r="O2810" s="192"/>
      <c r="P2810" s="109">
        <v>153</v>
      </c>
    </row>
    <row r="2811" spans="1:16" ht="25.5">
      <c r="A2811" s="212" t="s">
        <v>2594</v>
      </c>
      <c r="B2811" s="141" t="s">
        <v>524</v>
      </c>
      <c r="C2811" s="150" t="s">
        <v>3817</v>
      </c>
      <c r="D2811" s="221"/>
      <c r="E2811" s="150"/>
      <c r="F2811" s="150"/>
      <c r="G2811" s="110" t="s">
        <v>2663</v>
      </c>
      <c r="H2811" s="150" t="s">
        <v>6203</v>
      </c>
      <c r="I2811" s="150" t="s">
        <v>6204</v>
      </c>
      <c r="J2811" s="150" t="s">
        <v>525</v>
      </c>
      <c r="K2811" s="221"/>
      <c r="L2811" s="135" t="str">
        <f t="shared" si="162"/>
        <v>Pteropus anetianus</v>
      </c>
      <c r="M2811" s="133">
        <f t="shared" si="163"/>
        <v>2.6294095991027189</v>
      </c>
      <c r="N2811" s="152">
        <v>426</v>
      </c>
      <c r="O2811" s="192"/>
      <c r="P2811" s="109">
        <v>153</v>
      </c>
    </row>
    <row r="2812" spans="1:16" ht="63.75">
      <c r="A2812" s="212" t="s">
        <v>2594</v>
      </c>
      <c r="B2812" s="141" t="s">
        <v>809</v>
      </c>
      <c r="C2812" s="150" t="s">
        <v>3817</v>
      </c>
      <c r="D2812" s="221"/>
      <c r="E2812" s="150"/>
      <c r="F2812" s="150"/>
      <c r="G2812" s="110" t="s">
        <v>2663</v>
      </c>
      <c r="H2812" s="150" t="s">
        <v>6203</v>
      </c>
      <c r="I2812" s="150" t="s">
        <v>6204</v>
      </c>
      <c r="J2812" s="150" t="s">
        <v>3109</v>
      </c>
      <c r="K2812" s="221"/>
      <c r="L2812" s="135" t="str">
        <f t="shared" si="162"/>
        <v>Pteropus hypomelanus</v>
      </c>
      <c r="M2812" s="133">
        <f t="shared" si="163"/>
        <v>2.6296643920005542</v>
      </c>
      <c r="N2812" s="152">
        <f>AVERAGE(330, 550, 325, 500)</f>
        <v>426.25</v>
      </c>
      <c r="O2812" s="192"/>
      <c r="P2812" s="109">
        <v>259</v>
      </c>
    </row>
    <row r="2813" spans="1:16" ht="38.25">
      <c r="A2813" s="212" t="s">
        <v>2594</v>
      </c>
      <c r="B2813" s="141" t="s">
        <v>707</v>
      </c>
      <c r="C2813" s="150" t="s">
        <v>3817</v>
      </c>
      <c r="D2813" s="221"/>
      <c r="E2813" s="150"/>
      <c r="F2813" s="150"/>
      <c r="G2813" s="110" t="s">
        <v>2663</v>
      </c>
      <c r="H2813" s="150" t="s">
        <v>6203</v>
      </c>
      <c r="I2813" s="150" t="s">
        <v>6204</v>
      </c>
      <c r="J2813" s="150" t="s">
        <v>2860</v>
      </c>
      <c r="K2813" s="221"/>
      <c r="L2813" s="135" t="str">
        <f t="shared" si="162"/>
        <v>Pteropus dasymallus</v>
      </c>
      <c r="M2813" s="133">
        <f t="shared" si="163"/>
        <v>2.6384892569546374</v>
      </c>
      <c r="N2813" s="152">
        <v>435</v>
      </c>
      <c r="O2813" s="192"/>
      <c r="P2813" s="109">
        <v>153</v>
      </c>
    </row>
    <row r="2814" spans="1:16" ht="38.25">
      <c r="A2814" s="212" t="s">
        <v>2594</v>
      </c>
      <c r="B2814" s="141" t="s">
        <v>2950</v>
      </c>
      <c r="C2814" s="150" t="s">
        <v>3817</v>
      </c>
      <c r="D2814" s="221"/>
      <c r="E2814" s="150"/>
      <c r="F2814" s="150"/>
      <c r="G2814" s="110" t="s">
        <v>2663</v>
      </c>
      <c r="H2814" s="150" t="s">
        <v>6203</v>
      </c>
      <c r="I2814" s="150" t="s">
        <v>6204</v>
      </c>
      <c r="J2814" s="150" t="s">
        <v>5440</v>
      </c>
      <c r="K2814" s="221"/>
      <c r="L2814" s="135" t="str">
        <f t="shared" si="162"/>
        <v>Pteropus mariannus</v>
      </c>
      <c r="M2814" s="133">
        <f t="shared" si="163"/>
        <v>2.6565772913961139</v>
      </c>
      <c r="N2814" s="152">
        <v>453.5</v>
      </c>
      <c r="O2814" s="192"/>
      <c r="P2814" s="109">
        <v>153</v>
      </c>
    </row>
    <row r="2815" spans="1:16" ht="25.5">
      <c r="A2815" s="212" t="s">
        <v>2594</v>
      </c>
      <c r="B2815" s="141" t="s">
        <v>2952</v>
      </c>
      <c r="C2815" s="150" t="s">
        <v>3817</v>
      </c>
      <c r="D2815" s="221"/>
      <c r="E2815" s="150"/>
      <c r="F2815" s="150"/>
      <c r="G2815" s="110" t="s">
        <v>2663</v>
      </c>
      <c r="H2815" s="150" t="s">
        <v>6203</v>
      </c>
      <c r="I2815" s="150" t="s">
        <v>6204</v>
      </c>
      <c r="J2815" s="150" t="s">
        <v>3837</v>
      </c>
      <c r="K2815" s="221"/>
      <c r="L2815" s="135" t="str">
        <f t="shared" si="162"/>
        <v>Pteropus niger</v>
      </c>
      <c r="M2815" s="133">
        <f t="shared" si="163"/>
        <v>2.6592028774645313</v>
      </c>
      <c r="N2815" s="152">
        <v>456.25</v>
      </c>
      <c r="O2815" s="192"/>
      <c r="P2815" s="109">
        <v>153</v>
      </c>
    </row>
    <row r="2816" spans="1:16" ht="38.25">
      <c r="A2816" s="212" t="s">
        <v>2594</v>
      </c>
      <c r="B2816" s="141" t="s">
        <v>705</v>
      </c>
      <c r="C2816" s="150" t="s">
        <v>3817</v>
      </c>
      <c r="D2816" s="221"/>
      <c r="E2816" s="150"/>
      <c r="F2816" s="150"/>
      <c r="G2816" s="110" t="s">
        <v>2663</v>
      </c>
      <c r="H2816" s="150" t="s">
        <v>6203</v>
      </c>
      <c r="I2816" s="150" t="s">
        <v>6204</v>
      </c>
      <c r="J2816" s="150" t="s">
        <v>1735</v>
      </c>
      <c r="K2816" s="221"/>
      <c r="L2816" s="135" t="str">
        <f t="shared" si="162"/>
        <v>Pteropus seychellensis</v>
      </c>
      <c r="M2816" s="133">
        <f t="shared" si="163"/>
        <v>2.6599162000698504</v>
      </c>
      <c r="N2816" s="152">
        <v>457</v>
      </c>
      <c r="O2816" s="192"/>
      <c r="P2816" s="109">
        <v>153</v>
      </c>
    </row>
    <row r="2817" spans="1:16" ht="25.5">
      <c r="A2817" s="212" t="s">
        <v>2594</v>
      </c>
      <c r="B2817" s="141" t="s">
        <v>893</v>
      </c>
      <c r="C2817" s="150" t="s">
        <v>3817</v>
      </c>
      <c r="D2817" s="221"/>
      <c r="E2817" s="150"/>
      <c r="F2817" s="150"/>
      <c r="G2817" s="110" t="s">
        <v>2663</v>
      </c>
      <c r="H2817" s="150" t="s">
        <v>6203</v>
      </c>
      <c r="I2817" s="150" t="s">
        <v>6204</v>
      </c>
      <c r="J2817" s="150" t="s">
        <v>3526</v>
      </c>
      <c r="K2817" s="221"/>
      <c r="L2817" s="135" t="str">
        <f t="shared" si="162"/>
        <v>Pteropus caniceps</v>
      </c>
      <c r="M2817" s="133">
        <f t="shared" si="163"/>
        <v>2.7032913781186614</v>
      </c>
      <c r="N2817" s="152">
        <v>505</v>
      </c>
      <c r="O2817" s="192"/>
      <c r="P2817" s="109">
        <v>153</v>
      </c>
    </row>
    <row r="2818" spans="1:16">
      <c r="A2818" s="212" t="s">
        <v>2594</v>
      </c>
      <c r="B2818" s="141" t="s">
        <v>2774</v>
      </c>
      <c r="C2818" s="150" t="s">
        <v>3817</v>
      </c>
      <c r="D2818" s="221"/>
      <c r="E2818" s="150"/>
      <c r="F2818" s="150"/>
      <c r="G2818" s="110" t="s">
        <v>2663</v>
      </c>
      <c r="H2818" s="150" t="s">
        <v>6203</v>
      </c>
      <c r="I2818" s="150" t="s">
        <v>6204</v>
      </c>
      <c r="J2818" s="150" t="s">
        <v>2775</v>
      </c>
      <c r="K2818" s="221"/>
      <c r="L2818" s="135" t="str">
        <f t="shared" si="162"/>
        <v>Pteropus voeltzkowi</v>
      </c>
      <c r="M2818" s="133">
        <f t="shared" si="163"/>
        <v>2.7222224639697301</v>
      </c>
      <c r="N2818" s="152">
        <v>527.5</v>
      </c>
      <c r="O2818" s="192"/>
      <c r="P2818" s="109">
        <v>153</v>
      </c>
    </row>
    <row r="2819" spans="1:16" ht="76.5">
      <c r="A2819" s="212" t="s">
        <v>2594</v>
      </c>
      <c r="B2819" s="141" t="s">
        <v>708</v>
      </c>
      <c r="C2819" s="150" t="s">
        <v>3817</v>
      </c>
      <c r="D2819" s="221"/>
      <c r="E2819" s="150"/>
      <c r="F2819" s="150"/>
      <c r="G2819" s="110" t="s">
        <v>2663</v>
      </c>
      <c r="H2819" s="150" t="s">
        <v>6203</v>
      </c>
      <c r="I2819" s="150" t="s">
        <v>6204</v>
      </c>
      <c r="J2819" s="150" t="s">
        <v>6087</v>
      </c>
      <c r="K2819" s="221"/>
      <c r="L2819" s="135" t="str">
        <f t="shared" si="162"/>
        <v>Pteropus alecto</v>
      </c>
      <c r="M2819" s="133">
        <f t="shared" ref="M2819:M2842" si="164">LOG(N2819)</f>
        <v>2.7888751157754168</v>
      </c>
      <c r="N2819" s="157">
        <f>AVERAGE(530, 700)</f>
        <v>615</v>
      </c>
      <c r="O2819" s="192" t="s">
        <v>294</v>
      </c>
      <c r="P2819" s="109">
        <v>259</v>
      </c>
    </row>
    <row r="2820" spans="1:16">
      <c r="A2820" s="212" t="s">
        <v>2594</v>
      </c>
      <c r="B2820" s="141" t="s">
        <v>2867</v>
      </c>
      <c r="C2820" s="150" t="s">
        <v>3817</v>
      </c>
      <c r="D2820" s="221"/>
      <c r="E2820" s="150"/>
      <c r="F2820" s="150"/>
      <c r="G2820" s="110" t="s">
        <v>2663</v>
      </c>
      <c r="H2820" s="150" t="s">
        <v>6203</v>
      </c>
      <c r="I2820" s="150" t="s">
        <v>6204</v>
      </c>
      <c r="J2820" s="150" t="s">
        <v>2868</v>
      </c>
      <c r="K2820" s="221"/>
      <c r="L2820" s="135" t="str">
        <f t="shared" si="162"/>
        <v>Pteropus livingstonei</v>
      </c>
      <c r="M2820" s="133">
        <f t="shared" si="164"/>
        <v>2.8429211207599825</v>
      </c>
      <c r="N2820" s="152">
        <v>696.5</v>
      </c>
      <c r="O2820" s="192"/>
      <c r="P2820" s="109">
        <v>153</v>
      </c>
    </row>
    <row r="2821" spans="1:16" ht="38.25">
      <c r="A2821" s="212" t="s">
        <v>2594</v>
      </c>
      <c r="B2821" s="141" t="s">
        <v>940</v>
      </c>
      <c r="C2821" s="150" t="s">
        <v>3817</v>
      </c>
      <c r="D2821" s="221"/>
      <c r="E2821" s="150"/>
      <c r="F2821" s="150"/>
      <c r="G2821" s="110" t="s">
        <v>2663</v>
      </c>
      <c r="H2821" s="150" t="s">
        <v>6203</v>
      </c>
      <c r="I2821" s="150" t="s">
        <v>6204</v>
      </c>
      <c r="J2821" s="150" t="s">
        <v>715</v>
      </c>
      <c r="K2821" s="221"/>
      <c r="L2821" s="135" t="str">
        <f t="shared" ref="L2821:L2884" si="165">I2821&amp;" "&amp;J2821</f>
        <v>Pteropus chrysoproctus</v>
      </c>
      <c r="M2821" s="133">
        <f t="shared" si="164"/>
        <v>2.8512583487190755</v>
      </c>
      <c r="N2821" s="152">
        <v>710</v>
      </c>
      <c r="O2821" s="192"/>
      <c r="P2821" s="109">
        <v>153</v>
      </c>
    </row>
    <row r="2822" spans="1:16">
      <c r="A2822" s="212" t="s">
        <v>2594</v>
      </c>
      <c r="B2822" s="141" t="s">
        <v>2635</v>
      </c>
      <c r="C2822" s="150" t="s">
        <v>3817</v>
      </c>
      <c r="D2822" s="221"/>
      <c r="E2822" s="150"/>
      <c r="F2822" s="150"/>
      <c r="G2822" s="110" t="s">
        <v>2663</v>
      </c>
      <c r="H2822" s="150" t="s">
        <v>6203</v>
      </c>
      <c r="I2822" s="150" t="s">
        <v>6204</v>
      </c>
      <c r="J2822" s="150" t="s">
        <v>716</v>
      </c>
      <c r="K2822" s="221"/>
      <c r="L2822" s="135" t="str">
        <f t="shared" si="165"/>
        <v>Pteropus rayneri</v>
      </c>
      <c r="M2822" s="133">
        <f t="shared" si="164"/>
        <v>2.8600383898071935</v>
      </c>
      <c r="N2822" s="152">
        <v>724.5</v>
      </c>
      <c r="O2822" s="192"/>
      <c r="P2822" s="109">
        <v>153</v>
      </c>
    </row>
    <row r="2823" spans="1:16" ht="51">
      <c r="A2823" s="212" t="s">
        <v>2594</v>
      </c>
      <c r="B2823" s="141" t="s">
        <v>808</v>
      </c>
      <c r="C2823" s="150" t="s">
        <v>3817</v>
      </c>
      <c r="D2823" s="221"/>
      <c r="E2823" s="150"/>
      <c r="F2823" s="150"/>
      <c r="G2823" s="110" t="s">
        <v>2663</v>
      </c>
      <c r="H2823" s="150" t="s">
        <v>6203</v>
      </c>
      <c r="I2823" s="150" t="s">
        <v>6204</v>
      </c>
      <c r="J2823" s="150" t="s">
        <v>4179</v>
      </c>
      <c r="K2823" s="221"/>
      <c r="L2823" s="135" t="str">
        <f t="shared" si="165"/>
        <v>Pteropus conspicillatus</v>
      </c>
      <c r="M2823" s="133">
        <f t="shared" si="164"/>
        <v>2.8896937914441851</v>
      </c>
      <c r="N2823" s="152">
        <v>775.7</v>
      </c>
      <c r="O2823" s="192"/>
      <c r="P2823" s="109">
        <v>153</v>
      </c>
    </row>
    <row r="2824" spans="1:16" ht="51">
      <c r="A2824" s="212" t="s">
        <v>2594</v>
      </c>
      <c r="B2824" s="141" t="s">
        <v>634</v>
      </c>
      <c r="C2824" s="150" t="s">
        <v>3817</v>
      </c>
      <c r="D2824" s="221"/>
      <c r="E2824" s="150"/>
      <c r="F2824" s="150"/>
      <c r="G2824" s="110" t="s">
        <v>2663</v>
      </c>
      <c r="H2824" s="150" t="s">
        <v>6203</v>
      </c>
      <c r="I2824" s="150" t="s">
        <v>6204</v>
      </c>
      <c r="J2824" s="150" t="s">
        <v>4255</v>
      </c>
      <c r="K2824" s="221"/>
      <c r="L2824" s="135" t="str">
        <f t="shared" si="165"/>
        <v>Pteropus giganteus</v>
      </c>
      <c r="M2824" s="133">
        <f t="shared" si="164"/>
        <v>2.9053486389805219</v>
      </c>
      <c r="N2824" s="152">
        <v>804.17142857142005</v>
      </c>
      <c r="O2824" s="192"/>
      <c r="P2824" s="109">
        <v>153</v>
      </c>
    </row>
    <row r="2825" spans="1:16" ht="63.75">
      <c r="A2825" s="212" t="s">
        <v>2594</v>
      </c>
      <c r="B2825" s="141" t="s">
        <v>738</v>
      </c>
      <c r="C2825" s="150" t="s">
        <v>3817</v>
      </c>
      <c r="D2825" s="221"/>
      <c r="E2825" s="150"/>
      <c r="F2825" s="150"/>
      <c r="G2825" s="110" t="s">
        <v>2663</v>
      </c>
      <c r="H2825" s="150" t="s">
        <v>6203</v>
      </c>
      <c r="I2825" s="150" t="s">
        <v>6204</v>
      </c>
      <c r="J2825" s="150" t="s">
        <v>721</v>
      </c>
      <c r="K2825" s="221"/>
      <c r="L2825" s="135" t="str">
        <f t="shared" si="165"/>
        <v>Pteropus vampyrus</v>
      </c>
      <c r="M2825" s="133">
        <f t="shared" si="164"/>
        <v>2.9203842421783577</v>
      </c>
      <c r="N2825" s="152">
        <f>AVERAGE(565, 1100)</f>
        <v>832.5</v>
      </c>
      <c r="O2825" s="192"/>
      <c r="P2825" s="110">
        <v>257</v>
      </c>
    </row>
    <row r="2826" spans="1:16" ht="63.75">
      <c r="A2826" s="212" t="s">
        <v>2594</v>
      </c>
      <c r="B2826" s="141" t="s">
        <v>2870</v>
      </c>
      <c r="C2826" s="150" t="s">
        <v>3817</v>
      </c>
      <c r="D2826" s="221"/>
      <c r="E2826" s="150"/>
      <c r="F2826" s="150"/>
      <c r="G2826" s="110" t="s">
        <v>2663</v>
      </c>
      <c r="H2826" s="150" t="s">
        <v>6203</v>
      </c>
      <c r="I2826" s="150" t="s">
        <v>6204</v>
      </c>
      <c r="J2826" s="150" t="s">
        <v>2136</v>
      </c>
      <c r="K2826" s="221"/>
      <c r="L2826" s="135" t="str">
        <f t="shared" si="165"/>
        <v>Pteropus melanopogon</v>
      </c>
      <c r="M2826" s="133">
        <f t="shared" si="164"/>
        <v>2.9344984512435679</v>
      </c>
      <c r="N2826" s="152">
        <v>860</v>
      </c>
      <c r="O2826" s="192"/>
      <c r="P2826" s="110">
        <v>153</v>
      </c>
    </row>
    <row r="2827" spans="1:16" ht="63.75">
      <c r="A2827" s="212" t="s">
        <v>2594</v>
      </c>
      <c r="B2827" s="141" t="s">
        <v>737</v>
      </c>
      <c r="C2827" s="150" t="s">
        <v>3817</v>
      </c>
      <c r="D2827" s="221"/>
      <c r="E2827" s="150"/>
      <c r="F2827" s="150"/>
      <c r="G2827" s="110" t="s">
        <v>2663</v>
      </c>
      <c r="H2827" s="150" t="s">
        <v>6203</v>
      </c>
      <c r="I2827" s="150" t="s">
        <v>6204</v>
      </c>
      <c r="J2827" s="150" t="s">
        <v>2930</v>
      </c>
      <c r="K2827" s="221"/>
      <c r="L2827" s="135" t="str">
        <f t="shared" si="165"/>
        <v>Pteropus neohibernicus</v>
      </c>
      <c r="M2827" s="133">
        <f t="shared" si="164"/>
        <v>2.9853302244282851</v>
      </c>
      <c r="N2827" s="152">
        <v>966.78571428571001</v>
      </c>
      <c r="O2827" s="192"/>
      <c r="P2827" s="110">
        <v>153</v>
      </c>
    </row>
    <row r="2828" spans="1:16">
      <c r="A2828" s="212" t="s">
        <v>2594</v>
      </c>
      <c r="B2828" s="141" t="s">
        <v>2867</v>
      </c>
      <c r="C2828" s="150" t="s">
        <v>3817</v>
      </c>
      <c r="D2828" s="221"/>
      <c r="E2828" s="150"/>
      <c r="F2828" s="150"/>
      <c r="G2828" s="110" t="s">
        <v>2663</v>
      </c>
      <c r="H2828" s="150" t="s">
        <v>6203</v>
      </c>
      <c r="I2828" s="150" t="s">
        <v>2716</v>
      </c>
      <c r="J2828" s="150" t="s">
        <v>2018</v>
      </c>
      <c r="K2828" s="221"/>
      <c r="L2828" s="135" t="str">
        <f t="shared" si="165"/>
        <v>Rousettus obliviosus</v>
      </c>
      <c r="M2828" s="133">
        <f t="shared" si="164"/>
        <v>1.6444385894678386</v>
      </c>
      <c r="N2828" s="152">
        <v>44.1</v>
      </c>
      <c r="O2828" s="192"/>
      <c r="P2828" s="109">
        <v>153</v>
      </c>
    </row>
    <row r="2829" spans="1:16">
      <c r="A2829" s="212" t="s">
        <v>2594</v>
      </c>
      <c r="B2829" s="141" t="s">
        <v>662</v>
      </c>
      <c r="C2829" s="150" t="s">
        <v>3817</v>
      </c>
      <c r="D2829" s="221"/>
      <c r="E2829" s="150"/>
      <c r="F2829" s="150"/>
      <c r="G2829" s="110" t="s">
        <v>2663</v>
      </c>
      <c r="H2829" s="150" t="s">
        <v>6203</v>
      </c>
      <c r="I2829" s="150" t="s">
        <v>2716</v>
      </c>
      <c r="J2829" s="150" t="s">
        <v>6485</v>
      </c>
      <c r="K2829" s="221"/>
      <c r="L2829" s="135" t="str">
        <f t="shared" si="165"/>
        <v>Rousettus celebensis</v>
      </c>
      <c r="M2829" s="133">
        <f t="shared" si="164"/>
        <v>1.7505083948513462</v>
      </c>
      <c r="N2829" s="152">
        <v>56.3</v>
      </c>
      <c r="O2829" s="192"/>
      <c r="P2829" s="109">
        <v>153</v>
      </c>
    </row>
    <row r="2830" spans="1:16">
      <c r="A2830" s="212" t="s">
        <v>2594</v>
      </c>
      <c r="B2830" s="141" t="s">
        <v>2593</v>
      </c>
      <c r="C2830" s="150" t="s">
        <v>3817</v>
      </c>
      <c r="D2830" s="221"/>
      <c r="E2830" s="150"/>
      <c r="F2830" s="150"/>
      <c r="G2830" s="110" t="s">
        <v>2663</v>
      </c>
      <c r="H2830" s="150" t="s">
        <v>6203</v>
      </c>
      <c r="I2830" s="150" t="s">
        <v>2716</v>
      </c>
      <c r="J2830" s="150" t="s">
        <v>8119</v>
      </c>
      <c r="K2830" s="221"/>
      <c r="L2830" s="135" t="str">
        <f t="shared" si="165"/>
        <v>Rousettus madagascariensis</v>
      </c>
      <c r="M2830" s="133">
        <f t="shared" si="164"/>
        <v>1.7930916001765802</v>
      </c>
      <c r="N2830" s="152">
        <v>62.1</v>
      </c>
      <c r="O2830" s="192"/>
      <c r="P2830" s="109">
        <v>153</v>
      </c>
    </row>
    <row r="2831" spans="1:16" ht="38.25">
      <c r="A2831" s="212" t="s">
        <v>2594</v>
      </c>
      <c r="B2831" s="141" t="s">
        <v>2884</v>
      </c>
      <c r="C2831" s="150" t="s">
        <v>3817</v>
      </c>
      <c r="D2831" s="221"/>
      <c r="E2831" s="150"/>
      <c r="F2831" s="150"/>
      <c r="G2831" s="110" t="s">
        <v>2663</v>
      </c>
      <c r="H2831" s="150" t="s">
        <v>6203</v>
      </c>
      <c r="I2831" s="150" t="s">
        <v>2716</v>
      </c>
      <c r="J2831" s="150" t="s">
        <v>4911</v>
      </c>
      <c r="K2831" s="221"/>
      <c r="L2831" s="135" t="str">
        <f t="shared" si="165"/>
        <v>Rousettus angolensis</v>
      </c>
      <c r="M2831" s="133">
        <f t="shared" si="164"/>
        <v>1.8727388274726688</v>
      </c>
      <c r="N2831" s="152">
        <v>74.599999999999994</v>
      </c>
      <c r="O2831" s="192"/>
      <c r="P2831" s="109">
        <v>153</v>
      </c>
    </row>
    <row r="2832" spans="1:16" ht="63.75">
      <c r="A2832" s="212" t="s">
        <v>2594</v>
      </c>
      <c r="B2832" s="141" t="s">
        <v>2892</v>
      </c>
      <c r="C2832" s="150" t="s">
        <v>3817</v>
      </c>
      <c r="D2832" s="221"/>
      <c r="E2832" s="150"/>
      <c r="F2832" s="150"/>
      <c r="G2832" s="110" t="s">
        <v>2663</v>
      </c>
      <c r="H2832" s="150" t="s">
        <v>6203</v>
      </c>
      <c r="I2832" s="150" t="s">
        <v>2716</v>
      </c>
      <c r="J2832" s="150" t="s">
        <v>2948</v>
      </c>
      <c r="K2832" s="221"/>
      <c r="L2832" s="135" t="str">
        <f t="shared" si="165"/>
        <v>Rousettus amplexicaudatus</v>
      </c>
      <c r="M2832" s="133">
        <f t="shared" si="164"/>
        <v>1.9344984512435677</v>
      </c>
      <c r="N2832" s="152">
        <f>AVERAGE(97, 86, 100, 77, 82, 74)</f>
        <v>86</v>
      </c>
      <c r="O2832" s="192"/>
      <c r="P2832" s="109">
        <v>122</v>
      </c>
    </row>
    <row r="2833" spans="1:16">
      <c r="A2833" s="212" t="s">
        <v>2594</v>
      </c>
      <c r="B2833" s="141" t="s">
        <v>592</v>
      </c>
      <c r="C2833" s="150" t="s">
        <v>3817</v>
      </c>
      <c r="D2833" s="221"/>
      <c r="E2833" s="150"/>
      <c r="F2833" s="150"/>
      <c r="G2833" s="110" t="s">
        <v>2663</v>
      </c>
      <c r="H2833" s="150" t="s">
        <v>6203</v>
      </c>
      <c r="I2833" s="150" t="s">
        <v>2716</v>
      </c>
      <c r="J2833" s="150" t="s">
        <v>593</v>
      </c>
      <c r="K2833" s="221"/>
      <c r="L2833" s="135" t="str">
        <f t="shared" si="165"/>
        <v>Rousettus spinalatus</v>
      </c>
      <c r="M2833" s="133">
        <f t="shared" si="164"/>
        <v>1.9578466337081502</v>
      </c>
      <c r="N2833" s="152">
        <v>90.75</v>
      </c>
      <c r="O2833" s="192"/>
      <c r="P2833" s="109">
        <v>153</v>
      </c>
    </row>
    <row r="2834" spans="1:16" ht="51">
      <c r="A2834" s="212" t="s">
        <v>2594</v>
      </c>
      <c r="B2834" s="141" t="s">
        <v>671</v>
      </c>
      <c r="C2834" s="150" t="s">
        <v>3817</v>
      </c>
      <c r="D2834" s="221"/>
      <c r="E2834" s="150"/>
      <c r="F2834" s="150"/>
      <c r="G2834" s="110" t="s">
        <v>2663</v>
      </c>
      <c r="H2834" s="150" t="s">
        <v>6203</v>
      </c>
      <c r="I2834" s="150" t="s">
        <v>2716</v>
      </c>
      <c r="J2834" s="150" t="s">
        <v>672</v>
      </c>
      <c r="K2834" s="221"/>
      <c r="L2834" s="135" t="str">
        <f t="shared" si="165"/>
        <v>Rousettus leschenaulti</v>
      </c>
      <c r="M2834" s="133">
        <f t="shared" si="164"/>
        <v>1.9872192299080049</v>
      </c>
      <c r="N2834" s="152">
        <v>97.1</v>
      </c>
      <c r="O2834" s="192"/>
      <c r="P2834" s="109">
        <v>153</v>
      </c>
    </row>
    <row r="2835" spans="1:16" ht="63.75">
      <c r="A2835" s="212" t="s">
        <v>2594</v>
      </c>
      <c r="B2835" s="130" t="s">
        <v>682</v>
      </c>
      <c r="C2835" s="155" t="s">
        <v>3817</v>
      </c>
      <c r="D2835" s="225"/>
      <c r="E2835" s="155"/>
      <c r="F2835" s="155"/>
      <c r="G2835" s="110" t="s">
        <v>2663</v>
      </c>
      <c r="H2835" s="155" t="s">
        <v>6203</v>
      </c>
      <c r="I2835" s="155" t="s">
        <v>2716</v>
      </c>
      <c r="J2835" s="155" t="s">
        <v>1220</v>
      </c>
      <c r="K2835" s="225"/>
      <c r="L2835" s="135" t="str">
        <f t="shared" si="165"/>
        <v>Rousettus aegyptiacus</v>
      </c>
      <c r="M2835" s="133">
        <f t="shared" si="164"/>
        <v>2.1213628405633913</v>
      </c>
      <c r="N2835" s="152">
        <v>132.24</v>
      </c>
      <c r="O2835" s="192"/>
      <c r="P2835" s="109">
        <v>153</v>
      </c>
    </row>
    <row r="2836" spans="1:16" ht="25.5">
      <c r="A2836" s="212" t="s">
        <v>2594</v>
      </c>
      <c r="B2836" s="141" t="s">
        <v>830</v>
      </c>
      <c r="C2836" s="150" t="s">
        <v>3817</v>
      </c>
      <c r="D2836" s="221"/>
      <c r="E2836" s="150"/>
      <c r="F2836" s="150"/>
      <c r="G2836" s="110" t="s">
        <v>2663</v>
      </c>
      <c r="H2836" s="148" t="s">
        <v>6203</v>
      </c>
      <c r="I2836" s="150" t="s">
        <v>831</v>
      </c>
      <c r="J2836" s="150" t="s">
        <v>3397</v>
      </c>
      <c r="K2836" s="221"/>
      <c r="L2836" s="135" t="str">
        <f t="shared" si="165"/>
        <v>Scotonycteris zenkeri</v>
      </c>
      <c r="M2836" s="133">
        <f t="shared" si="164"/>
        <v>1.3185850100788252</v>
      </c>
      <c r="N2836" s="152">
        <v>20.824999999999999</v>
      </c>
      <c r="O2836" s="192"/>
      <c r="P2836" s="109">
        <v>153</v>
      </c>
    </row>
    <row r="2837" spans="1:16">
      <c r="A2837" s="212" t="s">
        <v>2594</v>
      </c>
      <c r="B2837" s="141" t="s">
        <v>2540</v>
      </c>
      <c r="C2837" s="150" t="s">
        <v>3817</v>
      </c>
      <c r="D2837" s="221"/>
      <c r="E2837" s="150"/>
      <c r="F2837" s="150"/>
      <c r="G2837" s="110" t="s">
        <v>2663</v>
      </c>
      <c r="H2837" s="150" t="s">
        <v>6203</v>
      </c>
      <c r="I2837" s="150" t="s">
        <v>2911</v>
      </c>
      <c r="J2837" s="150" t="s">
        <v>741</v>
      </c>
      <c r="K2837" s="221"/>
      <c r="L2837" s="135" t="str">
        <f t="shared" si="165"/>
        <v>Styloctenium wallacei</v>
      </c>
      <c r="M2837" s="133">
        <f t="shared" si="164"/>
        <v>2.2380461031287955</v>
      </c>
      <c r="N2837" s="152">
        <v>173</v>
      </c>
      <c r="O2837" s="192"/>
      <c r="P2837" s="109">
        <v>153</v>
      </c>
    </row>
    <row r="2838" spans="1:16" ht="114.75">
      <c r="A2838" s="212" t="s">
        <v>2594</v>
      </c>
      <c r="B2838" s="141" t="s">
        <v>752</v>
      </c>
      <c r="C2838" s="150" t="s">
        <v>3817</v>
      </c>
      <c r="D2838" s="221"/>
      <c r="E2838" s="150"/>
      <c r="F2838" s="150"/>
      <c r="G2838" s="110" t="s">
        <v>2663</v>
      </c>
      <c r="H2838" s="150" t="s">
        <v>6203</v>
      </c>
      <c r="I2838" s="150" t="s">
        <v>1727</v>
      </c>
      <c r="J2838" s="150" t="s">
        <v>3789</v>
      </c>
      <c r="K2838" s="221"/>
      <c r="L2838" s="135" t="str">
        <f t="shared" si="165"/>
        <v>Syconycteris australis</v>
      </c>
      <c r="M2838" s="133">
        <f t="shared" si="164"/>
        <v>1.2329110761968058</v>
      </c>
      <c r="N2838" s="152">
        <v>17.096652173913</v>
      </c>
      <c r="O2838" s="192"/>
      <c r="P2838" s="109">
        <v>153</v>
      </c>
    </row>
    <row r="2839" spans="1:16" ht="25.5">
      <c r="A2839" s="212" t="s">
        <v>2594</v>
      </c>
      <c r="B2839" s="141" t="s">
        <v>753</v>
      </c>
      <c r="C2839" s="150" t="s">
        <v>3817</v>
      </c>
      <c r="D2839" s="221"/>
      <c r="E2839" s="150"/>
      <c r="F2839" s="150"/>
      <c r="G2839" s="110" t="s">
        <v>2663</v>
      </c>
      <c r="H2839" s="150" t="s">
        <v>6203</v>
      </c>
      <c r="I2839" s="150" t="s">
        <v>1727</v>
      </c>
      <c r="J2839" s="150" t="s">
        <v>1311</v>
      </c>
      <c r="K2839" s="221"/>
      <c r="L2839" s="135" t="str">
        <f t="shared" si="165"/>
        <v>Syconycteris hobbit</v>
      </c>
      <c r="M2839" s="133">
        <f t="shared" si="164"/>
        <v>1.2621543391333674</v>
      </c>
      <c r="N2839" s="152">
        <v>18.287500000000001</v>
      </c>
      <c r="O2839" s="192"/>
      <c r="P2839" s="109">
        <v>153</v>
      </c>
    </row>
    <row r="2840" spans="1:16" ht="25.5">
      <c r="A2840" s="212" t="s">
        <v>2594</v>
      </c>
      <c r="B2840" s="141" t="s">
        <v>754</v>
      </c>
      <c r="C2840" s="150" t="s">
        <v>3817</v>
      </c>
      <c r="D2840" s="221"/>
      <c r="E2840" s="150"/>
      <c r="F2840" s="150"/>
      <c r="G2840" s="110" t="s">
        <v>2663</v>
      </c>
      <c r="H2840" s="150" t="s">
        <v>6203</v>
      </c>
      <c r="I2840" s="150" t="s">
        <v>1727</v>
      </c>
      <c r="J2840" s="150" t="s">
        <v>755</v>
      </c>
      <c r="K2840" s="221"/>
      <c r="L2840" s="135" t="str">
        <f t="shared" si="165"/>
        <v>Syconycteris carolinae</v>
      </c>
      <c r="M2840" s="133">
        <f t="shared" si="164"/>
        <v>1.5910646070264991</v>
      </c>
      <c r="N2840" s="152">
        <v>39</v>
      </c>
      <c r="O2840" s="192"/>
      <c r="P2840" s="109">
        <v>153</v>
      </c>
    </row>
    <row r="2841" spans="1:16" ht="38.25">
      <c r="A2841" s="212" t="s">
        <v>2594</v>
      </c>
      <c r="B2841" s="141" t="s">
        <v>756</v>
      </c>
      <c r="C2841" s="150" t="s">
        <v>3817</v>
      </c>
      <c r="D2841" s="221"/>
      <c r="E2841" s="150"/>
      <c r="F2841" s="150"/>
      <c r="G2841" s="110" t="s">
        <v>2663</v>
      </c>
      <c r="H2841" s="150" t="s">
        <v>6203</v>
      </c>
      <c r="I2841" s="150" t="s">
        <v>757</v>
      </c>
      <c r="J2841" s="150" t="s">
        <v>7358</v>
      </c>
      <c r="K2841" s="221"/>
      <c r="L2841" s="135" t="str">
        <f t="shared" si="165"/>
        <v>Thoopterus nigrescens</v>
      </c>
      <c r="M2841" s="133">
        <f t="shared" si="164"/>
        <v>1.7810369386211318</v>
      </c>
      <c r="N2841" s="152">
        <v>60.4</v>
      </c>
      <c r="O2841" s="192"/>
      <c r="P2841" s="109">
        <v>153</v>
      </c>
    </row>
    <row r="2842" spans="1:16">
      <c r="A2842" s="212" t="s">
        <v>2594</v>
      </c>
      <c r="B2842" s="141" t="s">
        <v>2635</v>
      </c>
      <c r="C2842" s="150" t="s">
        <v>3817</v>
      </c>
      <c r="D2842" s="221"/>
      <c r="E2842" s="150"/>
      <c r="F2842" s="150"/>
      <c r="G2842" s="110" t="s">
        <v>2663</v>
      </c>
      <c r="H2842" s="150" t="s">
        <v>1684</v>
      </c>
      <c r="I2842" s="150" t="s">
        <v>758</v>
      </c>
      <c r="J2842" s="150" t="s">
        <v>4907</v>
      </c>
      <c r="K2842" s="221"/>
      <c r="L2842" s="135" t="str">
        <f t="shared" si="165"/>
        <v>Anthops ornatus</v>
      </c>
      <c r="M2842" s="146">
        <f t="shared" si="164"/>
        <v>0.90308998699194354</v>
      </c>
      <c r="N2842" s="146">
        <v>8</v>
      </c>
      <c r="O2842" s="183"/>
      <c r="P2842" s="109" t="s">
        <v>7897</v>
      </c>
    </row>
    <row r="2843" spans="1:16" ht="25.5">
      <c r="A2843" s="212" t="s">
        <v>2594</v>
      </c>
      <c r="B2843" s="141" t="s">
        <v>858</v>
      </c>
      <c r="C2843" s="150" t="s">
        <v>3817</v>
      </c>
      <c r="D2843" s="221"/>
      <c r="E2843" s="150"/>
      <c r="F2843" s="150"/>
      <c r="G2843" s="110" t="s">
        <v>2663</v>
      </c>
      <c r="H2843" s="150" t="s">
        <v>1684</v>
      </c>
      <c r="I2843" s="150" t="s">
        <v>2742</v>
      </c>
      <c r="J2843" s="150" t="s">
        <v>2696</v>
      </c>
      <c r="K2843" s="221"/>
      <c r="L2843" s="135" t="str">
        <f t="shared" si="165"/>
        <v>Asellia patrizii</v>
      </c>
      <c r="M2843" s="146">
        <v>-999</v>
      </c>
      <c r="N2843" s="146">
        <v>-999</v>
      </c>
      <c r="O2843" s="183"/>
      <c r="P2843" s="109">
        <v>-999</v>
      </c>
    </row>
    <row r="2844" spans="1:16" ht="89.25">
      <c r="A2844" s="212" t="s">
        <v>2594</v>
      </c>
      <c r="B2844" s="130" t="s">
        <v>2851</v>
      </c>
      <c r="C2844" s="155" t="s">
        <v>3817</v>
      </c>
      <c r="D2844" s="225"/>
      <c r="E2844" s="155"/>
      <c r="F2844" s="155"/>
      <c r="G2844" s="110" t="s">
        <v>2663</v>
      </c>
      <c r="H2844" s="155" t="s">
        <v>1684</v>
      </c>
      <c r="I2844" s="155" t="s">
        <v>2742</v>
      </c>
      <c r="J2844" s="155" t="s">
        <v>2830</v>
      </c>
      <c r="K2844" s="225"/>
      <c r="L2844" s="135" t="str">
        <f t="shared" si="165"/>
        <v>Asellia tridens</v>
      </c>
      <c r="M2844" s="133">
        <f>LOG(N2844)</f>
        <v>1.0766404436703418</v>
      </c>
      <c r="N2844" s="152">
        <v>11.93</v>
      </c>
      <c r="O2844" s="192"/>
      <c r="P2844" s="109">
        <v>153</v>
      </c>
    </row>
    <row r="2845" spans="1:16" ht="76.5">
      <c r="A2845" s="212" t="s">
        <v>2594</v>
      </c>
      <c r="B2845" s="141" t="s">
        <v>694</v>
      </c>
      <c r="C2845" s="150" t="s">
        <v>3817</v>
      </c>
      <c r="D2845" s="221"/>
      <c r="E2845" s="150"/>
      <c r="F2845" s="150"/>
      <c r="G2845" s="110" t="s">
        <v>2663</v>
      </c>
      <c r="H2845" s="150" t="s">
        <v>1684</v>
      </c>
      <c r="I2845" s="150" t="s">
        <v>2967</v>
      </c>
      <c r="J2845" s="150" t="s">
        <v>2968</v>
      </c>
      <c r="K2845" s="221"/>
      <c r="L2845" s="135" t="str">
        <f t="shared" si="165"/>
        <v>Aselliscus tricuspidatus</v>
      </c>
      <c r="M2845" s="133">
        <f>LOG(N2845)</f>
        <v>0.61278385671973545</v>
      </c>
      <c r="N2845" s="152">
        <v>4.0999999999999996</v>
      </c>
      <c r="O2845" s="192"/>
      <c r="P2845" s="109">
        <v>153</v>
      </c>
    </row>
    <row r="2846" spans="1:16" ht="38.25">
      <c r="A2846" s="212" t="s">
        <v>2594</v>
      </c>
      <c r="B2846" s="141" t="s">
        <v>517</v>
      </c>
      <c r="C2846" s="150" t="s">
        <v>3817</v>
      </c>
      <c r="D2846" s="221"/>
      <c r="E2846" s="150"/>
      <c r="F2846" s="150"/>
      <c r="G2846" s="110" t="s">
        <v>2663</v>
      </c>
      <c r="H2846" s="150" t="s">
        <v>1684</v>
      </c>
      <c r="I2846" s="150" t="s">
        <v>2967</v>
      </c>
      <c r="J2846" s="150" t="s">
        <v>6476</v>
      </c>
      <c r="K2846" s="221"/>
      <c r="L2846" s="135" t="str">
        <f t="shared" si="165"/>
        <v>Aselliscus stoliczkanus</v>
      </c>
      <c r="M2846" s="133">
        <f>LOG(N2846)</f>
        <v>0.69019608002851374</v>
      </c>
      <c r="N2846" s="152">
        <v>4.9000000000000004</v>
      </c>
      <c r="O2846" s="192"/>
      <c r="P2846" s="109">
        <v>153</v>
      </c>
    </row>
    <row r="2847" spans="1:16">
      <c r="A2847" s="212" t="s">
        <v>2594</v>
      </c>
      <c r="B2847" s="141" t="s">
        <v>639</v>
      </c>
      <c r="C2847" s="150" t="s">
        <v>3817</v>
      </c>
      <c r="D2847" s="221"/>
      <c r="E2847" s="150"/>
      <c r="F2847" s="150"/>
      <c r="G2847" s="110" t="s">
        <v>2663</v>
      </c>
      <c r="H2847" s="150" t="s">
        <v>1684</v>
      </c>
      <c r="I2847" s="150" t="s">
        <v>2006</v>
      </c>
      <c r="J2847" s="150" t="s">
        <v>3776</v>
      </c>
      <c r="K2847" s="221"/>
      <c r="L2847" s="135" t="str">
        <f t="shared" si="165"/>
        <v>Coelops hirsutus</v>
      </c>
      <c r="M2847" s="146">
        <v>-999</v>
      </c>
      <c r="N2847" s="146">
        <v>-999</v>
      </c>
      <c r="O2847" s="183"/>
      <c r="P2847" s="109">
        <v>-999</v>
      </c>
    </row>
    <row r="2848" spans="1:16">
      <c r="A2848" s="212" t="s">
        <v>2594</v>
      </c>
      <c r="B2848" s="141" t="s">
        <v>1936</v>
      </c>
      <c r="C2848" s="150" t="s">
        <v>3817</v>
      </c>
      <c r="D2848" s="221"/>
      <c r="E2848" s="150"/>
      <c r="F2848" s="150"/>
      <c r="G2848" s="110" t="s">
        <v>2663</v>
      </c>
      <c r="H2848" s="148" t="s">
        <v>1684</v>
      </c>
      <c r="I2848" s="150" t="s">
        <v>2006</v>
      </c>
      <c r="J2848" s="150" t="s">
        <v>4542</v>
      </c>
      <c r="K2848" s="221"/>
      <c r="L2848" s="135" t="str">
        <f t="shared" si="165"/>
        <v>Coelops robinsoni</v>
      </c>
      <c r="M2848" s="133">
        <f>LOG(N2848)</f>
        <v>0.81291335664285558</v>
      </c>
      <c r="N2848" s="149">
        <v>6.5</v>
      </c>
      <c r="O2848" s="192"/>
      <c r="P2848" s="109">
        <v>153</v>
      </c>
    </row>
    <row r="2849" spans="1:16" ht="51">
      <c r="A2849" s="212" t="s">
        <v>2594</v>
      </c>
      <c r="B2849" s="141" t="s">
        <v>4434</v>
      </c>
      <c r="C2849" s="150" t="s">
        <v>3817</v>
      </c>
      <c r="D2849" s="221"/>
      <c r="E2849" s="150"/>
      <c r="F2849" s="150"/>
      <c r="G2849" s="110" t="s">
        <v>2663</v>
      </c>
      <c r="H2849" s="150" t="s">
        <v>1684</v>
      </c>
      <c r="I2849" s="150" t="s">
        <v>2006</v>
      </c>
      <c r="J2849" s="150" t="s">
        <v>4415</v>
      </c>
      <c r="K2849" s="221"/>
      <c r="L2849" s="135" t="str">
        <f t="shared" si="165"/>
        <v>Coelops frithi</v>
      </c>
      <c r="M2849" s="133">
        <f>LOG(N2849)</f>
        <v>0.86923171973097624</v>
      </c>
      <c r="N2849" s="152">
        <v>7.4</v>
      </c>
      <c r="O2849" s="192"/>
      <c r="P2849" s="109">
        <v>153</v>
      </c>
    </row>
    <row r="2850" spans="1:16">
      <c r="A2850" s="212" t="s">
        <v>2594</v>
      </c>
      <c r="B2850" s="141" t="s">
        <v>1221</v>
      </c>
      <c r="C2850" s="148" t="s">
        <v>3817</v>
      </c>
      <c r="D2850" s="223"/>
      <c r="E2850" s="148"/>
      <c r="F2850" s="148"/>
      <c r="G2850" s="109" t="s">
        <v>2663</v>
      </c>
      <c r="H2850" s="148" t="s">
        <v>1684</v>
      </c>
      <c r="I2850" s="150" t="s">
        <v>1724</v>
      </c>
      <c r="J2850" s="150" t="s">
        <v>4269</v>
      </c>
      <c r="K2850" s="221"/>
      <c r="L2850" s="135" t="str">
        <f t="shared" si="165"/>
        <v>Hipposideros breviceps</v>
      </c>
      <c r="M2850" s="146">
        <v>-999</v>
      </c>
      <c r="N2850" s="146">
        <v>-999</v>
      </c>
      <c r="O2850" s="183"/>
      <c r="P2850" s="109">
        <v>-999</v>
      </c>
    </row>
    <row r="2851" spans="1:16">
      <c r="A2851" s="212" t="s">
        <v>2594</v>
      </c>
      <c r="B2851" s="141" t="s">
        <v>586</v>
      </c>
      <c r="C2851" s="150" t="s">
        <v>3817</v>
      </c>
      <c r="D2851" s="221"/>
      <c r="E2851" s="150"/>
      <c r="F2851" s="150"/>
      <c r="G2851" s="110" t="s">
        <v>2663</v>
      </c>
      <c r="H2851" s="150" t="s">
        <v>1684</v>
      </c>
      <c r="I2851" s="150" t="s">
        <v>1724</v>
      </c>
      <c r="J2851" s="150" t="s">
        <v>5660</v>
      </c>
      <c r="K2851" s="221"/>
      <c r="L2851" s="135" t="str">
        <f t="shared" si="165"/>
        <v>Hipposideros coronatus</v>
      </c>
      <c r="M2851" s="151">
        <v>-999</v>
      </c>
      <c r="N2851" s="151">
        <v>-999</v>
      </c>
      <c r="O2851" s="183"/>
      <c r="P2851" s="109">
        <v>-999</v>
      </c>
    </row>
    <row r="2852" spans="1:16">
      <c r="A2852" s="212" t="s">
        <v>2594</v>
      </c>
      <c r="B2852" s="156" t="s">
        <v>501</v>
      </c>
      <c r="C2852" s="150" t="s">
        <v>3817</v>
      </c>
      <c r="D2852" s="221"/>
      <c r="E2852" s="150"/>
      <c r="F2852" s="150"/>
      <c r="G2852" s="110" t="s">
        <v>2663</v>
      </c>
      <c r="H2852" s="150" t="s">
        <v>1684</v>
      </c>
      <c r="I2852" s="150" t="s">
        <v>1724</v>
      </c>
      <c r="J2852" s="150" t="s">
        <v>502</v>
      </c>
      <c r="K2852" s="221"/>
      <c r="L2852" s="135" t="str">
        <f t="shared" si="165"/>
        <v>Hipposideros crumeniferus</v>
      </c>
      <c r="M2852" s="146">
        <v>-999</v>
      </c>
      <c r="N2852" s="146">
        <v>-999</v>
      </c>
      <c r="O2852" s="183"/>
      <c r="P2852" s="109">
        <v>-999</v>
      </c>
    </row>
    <row r="2853" spans="1:16" ht="25.5">
      <c r="A2853" s="212" t="s">
        <v>2594</v>
      </c>
      <c r="B2853" s="141" t="s">
        <v>676</v>
      </c>
      <c r="C2853" s="150" t="s">
        <v>3817</v>
      </c>
      <c r="D2853" s="221"/>
      <c r="E2853" s="150"/>
      <c r="F2853" s="150"/>
      <c r="G2853" s="110" t="s">
        <v>2663</v>
      </c>
      <c r="H2853" s="150" t="s">
        <v>1684</v>
      </c>
      <c r="I2853" s="150" t="s">
        <v>1724</v>
      </c>
      <c r="J2853" s="150" t="s">
        <v>677</v>
      </c>
      <c r="K2853" s="221"/>
      <c r="L2853" s="135" t="str">
        <f t="shared" si="165"/>
        <v>Hipposideros curtus</v>
      </c>
      <c r="M2853" s="146">
        <v>-999</v>
      </c>
      <c r="N2853" s="146">
        <v>-999</v>
      </c>
      <c r="O2853" s="183"/>
      <c r="P2853" s="109">
        <v>-999</v>
      </c>
    </row>
    <row r="2854" spans="1:16" ht="51">
      <c r="A2854" s="212" t="s">
        <v>2594</v>
      </c>
      <c r="B2854" s="141" t="s">
        <v>742</v>
      </c>
      <c r="C2854" s="150" t="s">
        <v>3817</v>
      </c>
      <c r="D2854" s="221"/>
      <c r="E2854" s="150"/>
      <c r="F2854" s="150"/>
      <c r="G2854" s="110" t="s">
        <v>2663</v>
      </c>
      <c r="H2854" s="150" t="s">
        <v>1684</v>
      </c>
      <c r="I2854" s="150" t="s">
        <v>1724</v>
      </c>
      <c r="J2854" s="150" t="s">
        <v>743</v>
      </c>
      <c r="K2854" s="221"/>
      <c r="L2854" s="135" t="str">
        <f t="shared" si="165"/>
        <v>Hipposideros dinops</v>
      </c>
      <c r="M2854" s="146">
        <v>-999</v>
      </c>
      <c r="N2854" s="146">
        <v>-999</v>
      </c>
      <c r="O2854" s="183"/>
      <c r="P2854" s="109">
        <v>-999</v>
      </c>
    </row>
    <row r="2855" spans="1:16">
      <c r="A2855" s="212" t="s">
        <v>2594</v>
      </c>
      <c r="B2855" s="141" t="s">
        <v>2109</v>
      </c>
      <c r="C2855" s="150" t="s">
        <v>3817</v>
      </c>
      <c r="D2855" s="221"/>
      <c r="E2855" s="150"/>
      <c r="F2855" s="150"/>
      <c r="G2855" s="110" t="s">
        <v>2663</v>
      </c>
      <c r="H2855" s="150" t="s">
        <v>1684</v>
      </c>
      <c r="I2855" s="150" t="s">
        <v>1724</v>
      </c>
      <c r="J2855" s="150" t="s">
        <v>5401</v>
      </c>
      <c r="K2855" s="221"/>
      <c r="L2855" s="135" t="str">
        <f t="shared" si="165"/>
        <v>Hipposideros doriae</v>
      </c>
      <c r="M2855" s="146">
        <v>-999</v>
      </c>
      <c r="N2855" s="146">
        <v>-999</v>
      </c>
      <c r="O2855" s="183"/>
      <c r="P2855" s="109">
        <v>-999</v>
      </c>
    </row>
    <row r="2856" spans="1:16">
      <c r="A2856" s="212" t="s">
        <v>2594</v>
      </c>
      <c r="B2856" s="141" t="s">
        <v>4922</v>
      </c>
      <c r="C2856" s="150" t="s">
        <v>3817</v>
      </c>
      <c r="D2856" s="221"/>
      <c r="E2856" s="150"/>
      <c r="F2856" s="150"/>
      <c r="G2856" s="110" t="s">
        <v>2663</v>
      </c>
      <c r="H2856" s="150" t="s">
        <v>1684</v>
      </c>
      <c r="I2856" s="150" t="s">
        <v>1724</v>
      </c>
      <c r="J2856" s="150" t="s">
        <v>680</v>
      </c>
      <c r="K2856" s="221"/>
      <c r="L2856" s="135" t="str">
        <f t="shared" si="165"/>
        <v>Hipposideros inexpectatus</v>
      </c>
      <c r="M2856" s="146">
        <v>-999</v>
      </c>
      <c r="N2856" s="146">
        <v>-999</v>
      </c>
      <c r="O2856" s="183"/>
      <c r="P2856" s="109">
        <v>-999</v>
      </c>
    </row>
    <row r="2857" spans="1:16" ht="38.25">
      <c r="A2857" s="212" t="s">
        <v>2594</v>
      </c>
      <c r="B2857" s="141" t="s">
        <v>814</v>
      </c>
      <c r="C2857" s="150" t="s">
        <v>3817</v>
      </c>
      <c r="D2857" s="221"/>
      <c r="E2857" s="150"/>
      <c r="F2857" s="150"/>
      <c r="G2857" s="110" t="s">
        <v>2663</v>
      </c>
      <c r="H2857" s="150" t="s">
        <v>1684</v>
      </c>
      <c r="I2857" s="150" t="s">
        <v>1724</v>
      </c>
      <c r="J2857" s="150" t="s">
        <v>815</v>
      </c>
      <c r="K2857" s="221"/>
      <c r="L2857" s="135" t="str">
        <f t="shared" si="165"/>
        <v>Hipposideros macrobullatus</v>
      </c>
      <c r="M2857" s="146">
        <v>-999</v>
      </c>
      <c r="N2857" s="146">
        <v>-999</v>
      </c>
      <c r="O2857" s="183"/>
      <c r="P2857" s="109">
        <v>-999</v>
      </c>
    </row>
    <row r="2858" spans="1:16">
      <c r="A2858" s="212" t="s">
        <v>2594</v>
      </c>
      <c r="B2858" s="141" t="s">
        <v>595</v>
      </c>
      <c r="C2858" s="150" t="s">
        <v>3817</v>
      </c>
      <c r="D2858" s="221"/>
      <c r="E2858" s="150"/>
      <c r="F2858" s="150"/>
      <c r="G2858" s="110" t="s">
        <v>2663</v>
      </c>
      <c r="H2858" s="150" t="s">
        <v>1684</v>
      </c>
      <c r="I2858" s="150" t="s">
        <v>1724</v>
      </c>
      <c r="J2858" s="150" t="s">
        <v>2688</v>
      </c>
      <c r="K2858" s="221"/>
      <c r="L2858" s="135" t="str">
        <f t="shared" si="165"/>
        <v>Hipposideros muscinus</v>
      </c>
      <c r="M2858" s="146">
        <v>-999</v>
      </c>
      <c r="N2858" s="146">
        <v>-999</v>
      </c>
      <c r="O2858" s="183"/>
      <c r="P2858" s="109">
        <v>-999</v>
      </c>
    </row>
    <row r="2859" spans="1:16">
      <c r="A2859" s="212" t="s">
        <v>2594</v>
      </c>
      <c r="B2859" s="141" t="s">
        <v>596</v>
      </c>
      <c r="C2859" s="150" t="s">
        <v>3817</v>
      </c>
      <c r="D2859" s="221"/>
      <c r="E2859" s="150"/>
      <c r="F2859" s="150"/>
      <c r="G2859" s="110" t="s">
        <v>2663</v>
      </c>
      <c r="H2859" s="150" t="s">
        <v>1684</v>
      </c>
      <c r="I2859" s="150" t="s">
        <v>1724</v>
      </c>
      <c r="J2859" s="150" t="s">
        <v>584</v>
      </c>
      <c r="K2859" s="221"/>
      <c r="L2859" s="135" t="str">
        <f t="shared" si="165"/>
        <v>Hipposideros nequam</v>
      </c>
      <c r="M2859" s="146">
        <v>-999</v>
      </c>
      <c r="N2859" s="146">
        <v>-999</v>
      </c>
      <c r="O2859" s="183"/>
      <c r="P2859" s="109">
        <v>-999</v>
      </c>
    </row>
    <row r="2860" spans="1:16" ht="25.5">
      <c r="A2860" s="212" t="s">
        <v>2594</v>
      </c>
      <c r="B2860" s="141" t="s">
        <v>739</v>
      </c>
      <c r="C2860" s="150" t="s">
        <v>3817</v>
      </c>
      <c r="D2860" s="221"/>
      <c r="E2860" s="150"/>
      <c r="F2860" s="150"/>
      <c r="G2860" s="110" t="s">
        <v>2663</v>
      </c>
      <c r="H2860" s="150" t="s">
        <v>1684</v>
      </c>
      <c r="I2860" s="150" t="s">
        <v>1724</v>
      </c>
      <c r="J2860" s="150" t="s">
        <v>740</v>
      </c>
      <c r="K2860" s="221"/>
      <c r="L2860" s="135" t="str">
        <f t="shared" si="165"/>
        <v>Hipposideros papua</v>
      </c>
      <c r="M2860" s="146">
        <v>-999</v>
      </c>
      <c r="N2860" s="146">
        <v>-999</v>
      </c>
      <c r="O2860" s="183"/>
      <c r="P2860" s="109">
        <v>-999</v>
      </c>
    </row>
    <row r="2861" spans="1:16">
      <c r="A2861" s="212" t="s">
        <v>2594</v>
      </c>
      <c r="B2861" s="141" t="s">
        <v>6062</v>
      </c>
      <c r="C2861" s="150" t="s">
        <v>3817</v>
      </c>
      <c r="D2861" s="221"/>
      <c r="E2861" s="150"/>
      <c r="F2861" s="150"/>
      <c r="G2861" s="110" t="s">
        <v>2663</v>
      </c>
      <c r="H2861" s="150" t="s">
        <v>1684</v>
      </c>
      <c r="I2861" s="150" t="s">
        <v>1724</v>
      </c>
      <c r="J2861" s="150" t="s">
        <v>7234</v>
      </c>
      <c r="K2861" s="221"/>
      <c r="L2861" s="135" t="str">
        <f t="shared" si="165"/>
        <v>Hipposideros pygmaeus</v>
      </c>
      <c r="M2861" s="133">
        <f t="shared" ref="M2861:M2888" si="166">LOG(N2861)</f>
        <v>0.54406804435027567</v>
      </c>
      <c r="N2861" s="152">
        <v>3.5</v>
      </c>
      <c r="O2861" s="192"/>
      <c r="P2861" s="109">
        <v>153</v>
      </c>
    </row>
    <row r="2862" spans="1:16" ht="25.5">
      <c r="A2862" s="212" t="s">
        <v>2594</v>
      </c>
      <c r="B2862" s="141" t="s">
        <v>529</v>
      </c>
      <c r="C2862" s="150" t="s">
        <v>3817</v>
      </c>
      <c r="D2862" s="221"/>
      <c r="E2862" s="150"/>
      <c r="F2862" s="150"/>
      <c r="G2862" s="110" t="s">
        <v>2663</v>
      </c>
      <c r="H2862" s="150" t="s">
        <v>1684</v>
      </c>
      <c r="I2862" s="150" t="s">
        <v>1724</v>
      </c>
      <c r="J2862" s="150" t="s">
        <v>3387</v>
      </c>
      <c r="K2862" s="221"/>
      <c r="L2862" s="135" t="str">
        <f t="shared" si="165"/>
        <v>Hipposideros sabanus</v>
      </c>
      <c r="M2862" s="133">
        <f t="shared" si="166"/>
        <v>0.70757017609793638</v>
      </c>
      <c r="N2862" s="152">
        <f>AVERAGE(4.2, 6)</f>
        <v>5.0999999999999996</v>
      </c>
      <c r="O2862" s="192"/>
      <c r="P2862" s="109">
        <v>257</v>
      </c>
    </row>
    <row r="2863" spans="1:16" ht="51">
      <c r="A2863" s="212" t="s">
        <v>2594</v>
      </c>
      <c r="B2863" s="141" t="s">
        <v>469</v>
      </c>
      <c r="C2863" s="150" t="s">
        <v>3817</v>
      </c>
      <c r="D2863" s="221"/>
      <c r="E2863" s="150"/>
      <c r="F2863" s="150"/>
      <c r="G2863" s="110" t="s">
        <v>2663</v>
      </c>
      <c r="H2863" s="150" t="s">
        <v>1684</v>
      </c>
      <c r="I2863" s="150" t="s">
        <v>1724</v>
      </c>
      <c r="J2863" s="150" t="s">
        <v>6395</v>
      </c>
      <c r="K2863" s="221"/>
      <c r="L2863" s="135" t="str">
        <f t="shared" si="165"/>
        <v>Hipposideros cineraceus</v>
      </c>
      <c r="M2863" s="133">
        <f t="shared" si="166"/>
        <v>0.7323937598229685</v>
      </c>
      <c r="N2863" s="152">
        <f>AVERAGE(3.5, 7.3)</f>
        <v>5.4</v>
      </c>
      <c r="O2863" s="192"/>
      <c r="P2863" s="109">
        <v>257</v>
      </c>
    </row>
    <row r="2864" spans="1:16" ht="89.25">
      <c r="A2864" s="212" t="s">
        <v>2594</v>
      </c>
      <c r="B2864" s="141" t="s">
        <v>714</v>
      </c>
      <c r="C2864" s="150" t="s">
        <v>3817</v>
      </c>
      <c r="D2864" s="221"/>
      <c r="E2864" s="150"/>
      <c r="F2864" s="150"/>
      <c r="G2864" s="110" t="s">
        <v>2663</v>
      </c>
      <c r="H2864" s="150" t="s">
        <v>1684</v>
      </c>
      <c r="I2864" s="150" t="s">
        <v>1724</v>
      </c>
      <c r="J2864" s="150" t="s">
        <v>5946</v>
      </c>
      <c r="K2864" s="221"/>
      <c r="L2864" s="135" t="str">
        <f t="shared" si="165"/>
        <v>Hipposideros ater</v>
      </c>
      <c r="M2864" s="133">
        <f t="shared" si="166"/>
        <v>0.75587485567249146</v>
      </c>
      <c r="N2864" s="152">
        <f>AVERAGE(5.5, 5.9)</f>
        <v>5.7</v>
      </c>
      <c r="O2864" s="192"/>
      <c r="P2864" s="109">
        <v>122</v>
      </c>
    </row>
    <row r="2865" spans="1:16" ht="25.5">
      <c r="A2865" s="212" t="s">
        <v>2594</v>
      </c>
      <c r="B2865" s="141" t="s">
        <v>678</v>
      </c>
      <c r="C2865" s="150" t="s">
        <v>3817</v>
      </c>
      <c r="D2865" s="221"/>
      <c r="E2865" s="150"/>
      <c r="F2865" s="150"/>
      <c r="G2865" s="110" t="s">
        <v>2663</v>
      </c>
      <c r="H2865" s="150" t="s">
        <v>1684</v>
      </c>
      <c r="I2865" s="150" t="s">
        <v>1724</v>
      </c>
      <c r="J2865" s="150" t="s">
        <v>679</v>
      </c>
      <c r="K2865" s="221"/>
      <c r="L2865" s="135" t="str">
        <f t="shared" si="165"/>
        <v>Hipposideros dyacorum</v>
      </c>
      <c r="M2865" s="146">
        <f t="shared" si="166"/>
        <v>0.78175537465246892</v>
      </c>
      <c r="N2865" s="146">
        <f>AVERAGE(4.5, 7.6)</f>
        <v>6.05</v>
      </c>
      <c r="O2865" s="183"/>
      <c r="P2865" s="109">
        <v>257</v>
      </c>
    </row>
    <row r="2866" spans="1:16">
      <c r="A2866" s="212" t="s">
        <v>2594</v>
      </c>
      <c r="B2866" s="141" t="s">
        <v>706</v>
      </c>
      <c r="C2866" s="150" t="s">
        <v>3817</v>
      </c>
      <c r="D2866" s="221"/>
      <c r="E2866" s="150"/>
      <c r="F2866" s="150"/>
      <c r="G2866" s="110" t="s">
        <v>2663</v>
      </c>
      <c r="H2866" s="150" t="s">
        <v>1684</v>
      </c>
      <c r="I2866" s="150" t="s">
        <v>1724</v>
      </c>
      <c r="J2866" s="150" t="s">
        <v>1328</v>
      </c>
      <c r="K2866" s="221"/>
      <c r="L2866" s="135" t="str">
        <f t="shared" si="165"/>
        <v>Hipposideros wollastoni</v>
      </c>
      <c r="M2866" s="133">
        <f t="shared" si="166"/>
        <v>0.82930377283102497</v>
      </c>
      <c r="N2866" s="152">
        <v>6.75</v>
      </c>
      <c r="O2866" s="192"/>
      <c r="P2866" s="109">
        <v>153</v>
      </c>
    </row>
    <row r="2867" spans="1:16" ht="38.25">
      <c r="A2867" s="212" t="s">
        <v>2594</v>
      </c>
      <c r="B2867" s="141" t="s">
        <v>865</v>
      </c>
      <c r="C2867" s="150" t="s">
        <v>3817</v>
      </c>
      <c r="D2867" s="221"/>
      <c r="E2867" s="150"/>
      <c r="F2867" s="150"/>
      <c r="G2867" s="110" t="s">
        <v>2663</v>
      </c>
      <c r="H2867" s="150" t="s">
        <v>1684</v>
      </c>
      <c r="I2867" s="150" t="s">
        <v>1724</v>
      </c>
      <c r="J2867" s="150" t="s">
        <v>3003</v>
      </c>
      <c r="K2867" s="221"/>
      <c r="L2867" s="135" t="str">
        <f t="shared" si="165"/>
        <v>Hipposideros galeritus</v>
      </c>
      <c r="M2867" s="133">
        <f t="shared" si="166"/>
        <v>0.86923171973097624</v>
      </c>
      <c r="N2867" s="152">
        <f>AVERAGE(6.3, 8.5)</f>
        <v>7.4</v>
      </c>
      <c r="O2867" s="192"/>
      <c r="P2867" s="109">
        <v>257</v>
      </c>
    </row>
    <row r="2868" spans="1:16" ht="51">
      <c r="A2868" s="212" t="s">
        <v>2594</v>
      </c>
      <c r="B2868" s="141" t="s">
        <v>466</v>
      </c>
      <c r="C2868" s="150" t="s">
        <v>3817</v>
      </c>
      <c r="D2868" s="221"/>
      <c r="E2868" s="150"/>
      <c r="F2868" s="150"/>
      <c r="G2868" s="110" t="s">
        <v>2663</v>
      </c>
      <c r="H2868" s="150" t="s">
        <v>1684</v>
      </c>
      <c r="I2868" s="150" t="s">
        <v>1724</v>
      </c>
      <c r="J2868" s="150" t="s">
        <v>4010</v>
      </c>
      <c r="K2868" s="221"/>
      <c r="L2868" s="135" t="str">
        <f t="shared" si="165"/>
        <v>Hipposideros bicolor</v>
      </c>
      <c r="M2868" s="133">
        <f t="shared" si="166"/>
        <v>0.88318808962241524</v>
      </c>
      <c r="N2868" s="152">
        <v>7.6416666666669997</v>
      </c>
      <c r="O2868" s="192"/>
      <c r="P2868" s="109">
        <v>153</v>
      </c>
    </row>
    <row r="2869" spans="1:16">
      <c r="A2869" s="212" t="s">
        <v>2594</v>
      </c>
      <c r="B2869" s="141" t="s">
        <v>1936</v>
      </c>
      <c r="C2869" s="148" t="s">
        <v>3817</v>
      </c>
      <c r="D2869" s="223"/>
      <c r="E2869" s="148"/>
      <c r="F2869" s="148"/>
      <c r="G2869" s="109" t="s">
        <v>2663</v>
      </c>
      <c r="H2869" s="148" t="s">
        <v>1684</v>
      </c>
      <c r="I2869" s="148" t="s">
        <v>1724</v>
      </c>
      <c r="J2869" s="148" t="s">
        <v>550</v>
      </c>
      <c r="K2869" s="223"/>
      <c r="L2869" s="135" t="str">
        <f t="shared" si="165"/>
        <v>Hipposideros ridleyi</v>
      </c>
      <c r="M2869" s="133">
        <f t="shared" si="166"/>
        <v>0.90308998699194354</v>
      </c>
      <c r="N2869" s="149">
        <f>AVERAGE(6.5, 9.5)</f>
        <v>8</v>
      </c>
      <c r="O2869" s="192"/>
      <c r="P2869" s="109">
        <v>257</v>
      </c>
    </row>
    <row r="2870" spans="1:16" ht="25.5">
      <c r="A2870" s="212" t="s">
        <v>2594</v>
      </c>
      <c r="B2870" s="141" t="s">
        <v>864</v>
      </c>
      <c r="C2870" s="150" t="s">
        <v>3817</v>
      </c>
      <c r="D2870" s="221"/>
      <c r="E2870" s="150"/>
      <c r="F2870" s="150"/>
      <c r="G2870" s="110" t="s">
        <v>2663</v>
      </c>
      <c r="H2870" s="150" t="s">
        <v>1684</v>
      </c>
      <c r="I2870" s="150" t="s">
        <v>1724</v>
      </c>
      <c r="J2870" s="150" t="s">
        <v>6528</v>
      </c>
      <c r="K2870" s="221"/>
      <c r="L2870" s="135" t="str">
        <f t="shared" si="165"/>
        <v>Hipposideros fulvus</v>
      </c>
      <c r="M2870" s="133">
        <f t="shared" si="166"/>
        <v>0.92941892571429274</v>
      </c>
      <c r="N2870" s="152">
        <v>8.5</v>
      </c>
      <c r="O2870" s="192"/>
      <c r="P2870" s="109">
        <v>153</v>
      </c>
    </row>
    <row r="2871" spans="1:16" ht="25.5">
      <c r="A2871" s="212" t="s">
        <v>2594</v>
      </c>
      <c r="B2871" s="141" t="s">
        <v>499</v>
      </c>
      <c r="C2871" s="150" t="s">
        <v>3817</v>
      </c>
      <c r="D2871" s="221"/>
      <c r="E2871" s="150"/>
      <c r="F2871" s="150"/>
      <c r="G2871" s="110" t="s">
        <v>2663</v>
      </c>
      <c r="H2871" s="150" t="s">
        <v>1684</v>
      </c>
      <c r="I2871" s="150" t="s">
        <v>1724</v>
      </c>
      <c r="J2871" s="150" t="s">
        <v>500</v>
      </c>
      <c r="K2871" s="221"/>
      <c r="L2871" s="135" t="str">
        <f t="shared" si="165"/>
        <v>Hipposideros coxi</v>
      </c>
      <c r="M2871" s="146">
        <f t="shared" si="166"/>
        <v>0.96625909376714947</v>
      </c>
      <c r="N2871" s="146">
        <f>AVERAGE(8.505, 10)</f>
        <v>9.2525000000000013</v>
      </c>
      <c r="O2871" s="183"/>
      <c r="P2871" s="109" t="s">
        <v>7807</v>
      </c>
    </row>
    <row r="2872" spans="1:16" ht="51">
      <c r="A2872" s="212" t="s">
        <v>2594</v>
      </c>
      <c r="B2872" s="141" t="s">
        <v>704</v>
      </c>
      <c r="C2872" s="150" t="s">
        <v>3817</v>
      </c>
      <c r="D2872" s="221"/>
      <c r="E2872" s="150"/>
      <c r="F2872" s="150"/>
      <c r="G2872" s="110" t="s">
        <v>2663</v>
      </c>
      <c r="H2872" s="150" t="s">
        <v>1684</v>
      </c>
      <c r="I2872" s="150" t="s">
        <v>1724</v>
      </c>
      <c r="J2872" s="150" t="s">
        <v>4846</v>
      </c>
      <c r="K2872" s="221"/>
      <c r="L2872" s="135" t="str">
        <f t="shared" si="165"/>
        <v>Hipposideros cervinus</v>
      </c>
      <c r="M2872" s="133">
        <f t="shared" si="166"/>
        <v>0.96848294855393513</v>
      </c>
      <c r="N2872" s="152">
        <v>9.3000000000000007</v>
      </c>
      <c r="O2872" s="192"/>
      <c r="P2872" s="109">
        <v>153</v>
      </c>
    </row>
    <row r="2873" spans="1:16" ht="63.75">
      <c r="A2873" s="212" t="s">
        <v>2594</v>
      </c>
      <c r="B2873" s="130" t="s">
        <v>549</v>
      </c>
      <c r="C2873" s="155" t="s">
        <v>3817</v>
      </c>
      <c r="D2873" s="225"/>
      <c r="E2873" s="155"/>
      <c r="F2873" s="155"/>
      <c r="G2873" s="110" t="s">
        <v>2663</v>
      </c>
      <c r="H2873" s="155" t="s">
        <v>1684</v>
      </c>
      <c r="I2873" s="155" t="s">
        <v>1724</v>
      </c>
      <c r="J2873" s="155" t="s">
        <v>6514</v>
      </c>
      <c r="K2873" s="225"/>
      <c r="L2873" s="135" t="str">
        <f t="shared" si="165"/>
        <v>Hipposideros caffer</v>
      </c>
      <c r="M2873" s="133">
        <f t="shared" si="166"/>
        <v>0.97543180850926292</v>
      </c>
      <c r="N2873" s="152">
        <v>9.4499999999999993</v>
      </c>
      <c r="O2873" s="192"/>
      <c r="P2873" s="109">
        <v>153</v>
      </c>
    </row>
    <row r="2874" spans="1:16">
      <c r="A2874" s="212" t="s">
        <v>2594</v>
      </c>
      <c r="B2874" s="141" t="s">
        <v>6062</v>
      </c>
      <c r="C2874" s="150" t="s">
        <v>3817</v>
      </c>
      <c r="D2874" s="221"/>
      <c r="E2874" s="150"/>
      <c r="F2874" s="150"/>
      <c r="G2874" s="110" t="s">
        <v>2663</v>
      </c>
      <c r="H2874" s="150" t="s">
        <v>1684</v>
      </c>
      <c r="I2874" s="150" t="s">
        <v>1724</v>
      </c>
      <c r="J2874" s="150" t="s">
        <v>7543</v>
      </c>
      <c r="K2874" s="221"/>
      <c r="L2874" s="135" t="str">
        <f t="shared" si="165"/>
        <v>Hipposideros obscurus</v>
      </c>
      <c r="M2874" s="133">
        <f t="shared" si="166"/>
        <v>0.97772360528884772</v>
      </c>
      <c r="N2874" s="152">
        <v>9.5</v>
      </c>
      <c r="O2874" s="192"/>
      <c r="P2874" s="109">
        <v>153</v>
      </c>
    </row>
    <row r="2875" spans="1:16" ht="51">
      <c r="A2875" s="212" t="s">
        <v>2594</v>
      </c>
      <c r="B2875" s="141" t="s">
        <v>2957</v>
      </c>
      <c r="C2875" s="150" t="s">
        <v>3817</v>
      </c>
      <c r="D2875" s="221"/>
      <c r="E2875" s="150"/>
      <c r="F2875" s="150"/>
      <c r="G2875" s="110" t="s">
        <v>2663</v>
      </c>
      <c r="H2875" s="150" t="s">
        <v>1684</v>
      </c>
      <c r="I2875" s="150" t="s">
        <v>1724</v>
      </c>
      <c r="J2875" s="150" t="s">
        <v>2958</v>
      </c>
      <c r="K2875" s="221"/>
      <c r="L2875" s="135" t="str">
        <f t="shared" si="165"/>
        <v>Hipposideros ruber</v>
      </c>
      <c r="M2875" s="133">
        <f t="shared" si="166"/>
        <v>1.0045363178513229</v>
      </c>
      <c r="N2875" s="152">
        <v>10.105</v>
      </c>
      <c r="O2875" s="192"/>
      <c r="P2875" s="109">
        <v>153</v>
      </c>
    </row>
    <row r="2876" spans="1:16">
      <c r="A2876" s="212" t="s">
        <v>2594</v>
      </c>
      <c r="B2876" s="141" t="s">
        <v>1003</v>
      </c>
      <c r="C2876" s="150" t="s">
        <v>3817</v>
      </c>
      <c r="D2876" s="221"/>
      <c r="E2876" s="150"/>
      <c r="F2876" s="150"/>
      <c r="G2876" s="110" t="s">
        <v>2663</v>
      </c>
      <c r="H2876" s="150" t="s">
        <v>1684</v>
      </c>
      <c r="I2876" s="150" t="s">
        <v>1724</v>
      </c>
      <c r="J2876" s="150" t="s">
        <v>2960</v>
      </c>
      <c r="K2876" s="221"/>
      <c r="L2876" s="135" t="str">
        <f t="shared" si="165"/>
        <v>Hipposideros speoris</v>
      </c>
      <c r="M2876" s="133">
        <f t="shared" si="166"/>
        <v>1.0182248201061812</v>
      </c>
      <c r="N2876" s="152">
        <v>10.428571428571001</v>
      </c>
      <c r="O2876" s="192"/>
      <c r="P2876" s="109">
        <v>153</v>
      </c>
    </row>
    <row r="2877" spans="1:16" ht="38.25">
      <c r="A2877" s="212" t="s">
        <v>2594</v>
      </c>
      <c r="B2877" s="141" t="s">
        <v>1182</v>
      </c>
      <c r="C2877" s="150" t="s">
        <v>3817</v>
      </c>
      <c r="D2877" s="221"/>
      <c r="E2877" s="150"/>
      <c r="F2877" s="150"/>
      <c r="G2877" s="110" t="s">
        <v>2663</v>
      </c>
      <c r="H2877" s="150" t="s">
        <v>1684</v>
      </c>
      <c r="I2877" s="150" t="s">
        <v>1724</v>
      </c>
      <c r="J2877" s="150" t="s">
        <v>2971</v>
      </c>
      <c r="K2877" s="221"/>
      <c r="L2877" s="135" t="str">
        <f t="shared" si="165"/>
        <v>Hipposideros calcaratus</v>
      </c>
      <c r="M2877" s="133">
        <f t="shared" si="166"/>
        <v>1.0549958615291415</v>
      </c>
      <c r="N2877" s="152">
        <v>11.35</v>
      </c>
      <c r="O2877" s="192"/>
      <c r="P2877" s="109">
        <v>153</v>
      </c>
    </row>
    <row r="2878" spans="1:16" ht="25.5">
      <c r="A2878" s="212" t="s">
        <v>2594</v>
      </c>
      <c r="B2878" s="141" t="s">
        <v>1183</v>
      </c>
      <c r="C2878" s="150" t="s">
        <v>3817</v>
      </c>
      <c r="D2878" s="221"/>
      <c r="E2878" s="150"/>
      <c r="F2878" s="150"/>
      <c r="G2878" s="110" t="s">
        <v>2663</v>
      </c>
      <c r="H2878" s="150" t="s">
        <v>1684</v>
      </c>
      <c r="I2878" s="150" t="s">
        <v>1724</v>
      </c>
      <c r="J2878" s="150" t="s">
        <v>1522</v>
      </c>
      <c r="K2878" s="221"/>
      <c r="L2878" s="135" t="str">
        <f t="shared" si="165"/>
        <v>Hipposideros semoni</v>
      </c>
      <c r="M2878" s="133">
        <f t="shared" si="166"/>
        <v>1.146128035678238</v>
      </c>
      <c r="N2878" s="152">
        <v>14</v>
      </c>
      <c r="O2878" s="192"/>
      <c r="P2878" s="109">
        <v>153</v>
      </c>
    </row>
    <row r="2879" spans="1:16">
      <c r="A2879" s="212" t="s">
        <v>2594</v>
      </c>
      <c r="B2879" s="141" t="s">
        <v>1184</v>
      </c>
      <c r="C2879" s="150" t="s">
        <v>3817</v>
      </c>
      <c r="D2879" s="221"/>
      <c r="E2879" s="150"/>
      <c r="F2879" s="150"/>
      <c r="G2879" s="110" t="s">
        <v>2663</v>
      </c>
      <c r="H2879" s="150" t="s">
        <v>1684</v>
      </c>
      <c r="I2879" s="150" t="s">
        <v>1724</v>
      </c>
      <c r="J2879" s="150" t="s">
        <v>6129</v>
      </c>
      <c r="K2879" s="221"/>
      <c r="L2879" s="135" t="str">
        <f t="shared" si="165"/>
        <v>Hipposideros corynophyllus</v>
      </c>
      <c r="M2879" s="133">
        <f t="shared" si="166"/>
        <v>1.1613680022349748</v>
      </c>
      <c r="N2879" s="152">
        <v>14.5</v>
      </c>
      <c r="O2879" s="192"/>
      <c r="P2879" s="109">
        <v>153</v>
      </c>
    </row>
    <row r="2880" spans="1:16" ht="25.5">
      <c r="A2880" s="212" t="s">
        <v>2594</v>
      </c>
      <c r="B2880" s="141" t="s">
        <v>4442</v>
      </c>
      <c r="C2880" s="150" t="s">
        <v>3817</v>
      </c>
      <c r="D2880" s="221"/>
      <c r="E2880" s="150"/>
      <c r="F2880" s="150"/>
      <c r="G2880" s="110" t="s">
        <v>2663</v>
      </c>
      <c r="H2880" s="150" t="s">
        <v>1684</v>
      </c>
      <c r="I2880" s="150" t="s">
        <v>1724</v>
      </c>
      <c r="J2880" s="150" t="s">
        <v>2686</v>
      </c>
      <c r="K2880" s="221"/>
      <c r="L2880" s="135" t="str">
        <f t="shared" si="165"/>
        <v>Hipposideros maggietaylorae</v>
      </c>
      <c r="M2880" s="133">
        <f t="shared" si="166"/>
        <v>1.2671717284030137</v>
      </c>
      <c r="N2880" s="152">
        <v>18.5</v>
      </c>
      <c r="O2880" s="192"/>
      <c r="P2880" s="109">
        <v>153</v>
      </c>
    </row>
    <row r="2881" spans="1:16" ht="89.25">
      <c r="A2881" s="212" t="s">
        <v>2594</v>
      </c>
      <c r="B2881" s="141" t="s">
        <v>2791</v>
      </c>
      <c r="C2881" s="150" t="s">
        <v>3817</v>
      </c>
      <c r="D2881" s="221"/>
      <c r="E2881" s="150"/>
      <c r="F2881" s="150"/>
      <c r="G2881" s="110" t="s">
        <v>2663</v>
      </c>
      <c r="H2881" s="150" t="s">
        <v>1684</v>
      </c>
      <c r="I2881" s="150" t="s">
        <v>1724</v>
      </c>
      <c r="J2881" s="150" t="s">
        <v>5823</v>
      </c>
      <c r="K2881" s="221"/>
      <c r="L2881" s="135" t="str">
        <f t="shared" si="165"/>
        <v>Hipposideros larvatus</v>
      </c>
      <c r="M2881" s="133">
        <f t="shared" si="166"/>
        <v>1.2977605110991339</v>
      </c>
      <c r="N2881" s="152">
        <v>19.850000000000001</v>
      </c>
      <c r="O2881" s="192"/>
      <c r="P2881" s="109">
        <v>153</v>
      </c>
    </row>
    <row r="2882" spans="1:16" ht="51">
      <c r="A2882" s="212" t="s">
        <v>2594</v>
      </c>
      <c r="B2882" s="141" t="s">
        <v>820</v>
      </c>
      <c r="C2882" s="150" t="s">
        <v>3817</v>
      </c>
      <c r="D2882" s="221"/>
      <c r="E2882" s="150"/>
      <c r="F2882" s="150"/>
      <c r="G2882" s="110" t="s">
        <v>2663</v>
      </c>
      <c r="H2882" s="150" t="s">
        <v>1684</v>
      </c>
      <c r="I2882" s="150" t="s">
        <v>1724</v>
      </c>
      <c r="J2882" s="150" t="s">
        <v>821</v>
      </c>
      <c r="K2882" s="221"/>
      <c r="L2882" s="135" t="str">
        <f t="shared" si="165"/>
        <v>Hipposideros turpis</v>
      </c>
      <c r="M2882" s="133">
        <f t="shared" si="166"/>
        <v>1.5230958382525679</v>
      </c>
      <c r="N2882" s="152">
        <v>33.35</v>
      </c>
      <c r="O2882" s="192"/>
      <c r="P2882" s="109">
        <v>153</v>
      </c>
    </row>
    <row r="2883" spans="1:16" ht="38.25">
      <c r="A2883" s="212" t="s">
        <v>2594</v>
      </c>
      <c r="B2883" s="141" t="s">
        <v>486</v>
      </c>
      <c r="C2883" s="150" t="s">
        <v>3817</v>
      </c>
      <c r="D2883" s="221"/>
      <c r="E2883" s="150"/>
      <c r="F2883" s="150"/>
      <c r="G2883" s="110" t="s">
        <v>2663</v>
      </c>
      <c r="H2883" s="150" t="s">
        <v>1684</v>
      </c>
      <c r="I2883" s="150" t="s">
        <v>1724</v>
      </c>
      <c r="J2883" s="150" t="s">
        <v>1950</v>
      </c>
      <c r="K2883" s="221"/>
      <c r="L2883" s="135" t="str">
        <f t="shared" si="165"/>
        <v>Hipposideros cyclops</v>
      </c>
      <c r="M2883" s="133">
        <f t="shared" si="166"/>
        <v>1.5250448070368452</v>
      </c>
      <c r="N2883" s="152">
        <v>33.5</v>
      </c>
      <c r="O2883" s="192"/>
      <c r="P2883" s="109">
        <v>153</v>
      </c>
    </row>
    <row r="2884" spans="1:16" ht="25.5">
      <c r="A2884" s="212" t="s">
        <v>2594</v>
      </c>
      <c r="B2884" s="141" t="s">
        <v>735</v>
      </c>
      <c r="C2884" s="150" t="s">
        <v>3817</v>
      </c>
      <c r="D2884" s="221"/>
      <c r="E2884" s="150"/>
      <c r="F2884" s="150"/>
      <c r="G2884" s="110" t="s">
        <v>2663</v>
      </c>
      <c r="H2884" s="150" t="s">
        <v>1684</v>
      </c>
      <c r="I2884" s="150" t="s">
        <v>1724</v>
      </c>
      <c r="J2884" s="150" t="s">
        <v>528</v>
      </c>
      <c r="K2884" s="221"/>
      <c r="L2884" s="135" t="str">
        <f t="shared" si="165"/>
        <v>Hipposideros lylei</v>
      </c>
      <c r="M2884" s="133">
        <f t="shared" si="166"/>
        <v>1.6020599913279623</v>
      </c>
      <c r="N2884" s="152">
        <v>40</v>
      </c>
      <c r="O2884" s="192"/>
      <c r="P2884" s="109">
        <v>153</v>
      </c>
    </row>
    <row r="2885" spans="1:16" ht="89.25">
      <c r="A2885" s="212" t="s">
        <v>2594</v>
      </c>
      <c r="B2885" s="141" t="s">
        <v>822</v>
      </c>
      <c r="C2885" s="150" t="s">
        <v>3817</v>
      </c>
      <c r="D2885" s="221"/>
      <c r="E2885" s="150"/>
      <c r="F2885" s="150"/>
      <c r="G2885" s="110" t="s">
        <v>2663</v>
      </c>
      <c r="H2885" s="150" t="s">
        <v>1684</v>
      </c>
      <c r="I2885" s="150" t="s">
        <v>1724</v>
      </c>
      <c r="J2885" s="150" t="s">
        <v>5519</v>
      </c>
      <c r="K2885" s="221"/>
      <c r="L2885" s="135" t="str">
        <f t="shared" ref="L2885:L2948" si="167">I2885&amp;" "&amp;J2885</f>
        <v>Hipposideros diadema</v>
      </c>
      <c r="M2885" s="133">
        <f t="shared" si="166"/>
        <v>1.6411134007807826</v>
      </c>
      <c r="N2885" s="152">
        <v>43.763636363636003</v>
      </c>
      <c r="O2885" s="192"/>
      <c r="P2885" s="109" t="s">
        <v>1839</v>
      </c>
    </row>
    <row r="2886" spans="1:16">
      <c r="A2886" s="212" t="s">
        <v>2594</v>
      </c>
      <c r="B2886" s="141" t="s">
        <v>823</v>
      </c>
      <c r="C2886" s="150" t="s">
        <v>3817</v>
      </c>
      <c r="D2886" s="221"/>
      <c r="E2886" s="150"/>
      <c r="F2886" s="150"/>
      <c r="G2886" s="110" t="s">
        <v>2663</v>
      </c>
      <c r="H2886" s="150" t="s">
        <v>1684</v>
      </c>
      <c r="I2886" s="150" t="s">
        <v>1724</v>
      </c>
      <c r="J2886" s="150" t="s">
        <v>1946</v>
      </c>
      <c r="K2886" s="221"/>
      <c r="L2886" s="135" t="str">
        <f t="shared" si="167"/>
        <v>Hipposideros lankadiva</v>
      </c>
      <c r="M2886" s="133">
        <f t="shared" si="166"/>
        <v>1.7193312869837267</v>
      </c>
      <c r="N2886" s="152">
        <v>52.4</v>
      </c>
      <c r="O2886" s="192"/>
      <c r="P2886" s="109">
        <v>153</v>
      </c>
    </row>
    <row r="2887" spans="1:16" ht="51">
      <c r="A2887" s="212" t="s">
        <v>2594</v>
      </c>
      <c r="B2887" s="141" t="s">
        <v>441</v>
      </c>
      <c r="C2887" s="150" t="s">
        <v>3817</v>
      </c>
      <c r="D2887" s="221"/>
      <c r="E2887" s="150"/>
      <c r="F2887" s="150"/>
      <c r="G2887" s="110" t="s">
        <v>2663</v>
      </c>
      <c r="H2887" s="150" t="s">
        <v>1684</v>
      </c>
      <c r="I2887" s="150" t="s">
        <v>1724</v>
      </c>
      <c r="J2887" s="150" t="s">
        <v>442</v>
      </c>
      <c r="K2887" s="221"/>
      <c r="L2887" s="135" t="str">
        <f t="shared" si="167"/>
        <v>Hipposideros armiger</v>
      </c>
      <c r="M2887" s="133">
        <f t="shared" si="166"/>
        <v>1.7242758696007889</v>
      </c>
      <c r="N2887" s="152">
        <v>53</v>
      </c>
      <c r="O2887" s="192"/>
      <c r="P2887" s="109">
        <v>153</v>
      </c>
    </row>
    <row r="2888" spans="1:16" ht="89.25">
      <c r="A2888" s="212" t="s">
        <v>2594</v>
      </c>
      <c r="B2888" s="141" t="s">
        <v>683</v>
      </c>
      <c r="C2888" s="150" t="s">
        <v>3817</v>
      </c>
      <c r="D2888" s="221"/>
      <c r="E2888" s="150"/>
      <c r="F2888" s="150"/>
      <c r="G2888" s="110" t="s">
        <v>2663</v>
      </c>
      <c r="H2888" s="150" t="s">
        <v>1684</v>
      </c>
      <c r="I2888" s="150" t="s">
        <v>1724</v>
      </c>
      <c r="J2888" s="150" t="s">
        <v>2377</v>
      </c>
      <c r="K2888" s="221"/>
      <c r="L2888" s="135" t="str">
        <f t="shared" si="167"/>
        <v>Hipposideros commersoni</v>
      </c>
      <c r="M2888" s="133">
        <f t="shared" si="166"/>
        <v>1.9960338127823982</v>
      </c>
      <c r="N2888" s="152">
        <v>99.090909090908994</v>
      </c>
      <c r="O2888" s="192"/>
      <c r="P2888" s="110">
        <v>153</v>
      </c>
    </row>
    <row r="2889" spans="1:16" ht="25.5">
      <c r="A2889" s="212" t="s">
        <v>2594</v>
      </c>
      <c r="B2889" s="141" t="s">
        <v>939</v>
      </c>
      <c r="C2889" s="150" t="s">
        <v>3817</v>
      </c>
      <c r="D2889" s="221"/>
      <c r="E2889" s="150"/>
      <c r="F2889" s="150"/>
      <c r="G2889" s="110" t="s">
        <v>2663</v>
      </c>
      <c r="H2889" s="150" t="s">
        <v>1684</v>
      </c>
      <c r="I2889" s="150" t="s">
        <v>1332</v>
      </c>
      <c r="J2889" s="150" t="s">
        <v>429</v>
      </c>
      <c r="K2889" s="221"/>
      <c r="L2889" s="135" t="str">
        <f t="shared" si="167"/>
        <v>Rhinolophus anderseni</v>
      </c>
      <c r="M2889" s="146">
        <v>-999</v>
      </c>
      <c r="N2889" s="146">
        <v>-999</v>
      </c>
      <c r="O2889" s="183"/>
      <c r="P2889" s="109">
        <v>-999</v>
      </c>
    </row>
    <row r="2890" spans="1:16">
      <c r="A2890" s="212" t="s">
        <v>2594</v>
      </c>
      <c r="B2890" s="141" t="s">
        <v>998</v>
      </c>
      <c r="C2890" s="150" t="s">
        <v>3817</v>
      </c>
      <c r="D2890" s="221"/>
      <c r="E2890" s="150"/>
      <c r="F2890" s="150"/>
      <c r="G2890" s="110" t="s">
        <v>2663</v>
      </c>
      <c r="H2890" s="150" t="s">
        <v>1684</v>
      </c>
      <c r="I2890" s="150" t="s">
        <v>1332</v>
      </c>
      <c r="J2890" s="150" t="s">
        <v>999</v>
      </c>
      <c r="K2890" s="221"/>
      <c r="L2890" s="135" t="str">
        <f t="shared" si="167"/>
        <v>Rhinolophus canuti</v>
      </c>
      <c r="M2890" s="146">
        <v>-999</v>
      </c>
      <c r="N2890" s="146">
        <v>-999</v>
      </c>
      <c r="O2890" s="183"/>
      <c r="P2890" s="109">
        <v>-999</v>
      </c>
    </row>
    <row r="2891" spans="1:16" ht="38.25">
      <c r="A2891" s="212" t="s">
        <v>2594</v>
      </c>
      <c r="B2891" s="141" t="s">
        <v>1000</v>
      </c>
      <c r="C2891" s="150" t="s">
        <v>3817</v>
      </c>
      <c r="D2891" s="221"/>
      <c r="E2891" s="150"/>
      <c r="F2891" s="150"/>
      <c r="G2891" s="110" t="s">
        <v>2663</v>
      </c>
      <c r="H2891" s="150" t="s">
        <v>1684</v>
      </c>
      <c r="I2891" s="150" t="s">
        <v>1332</v>
      </c>
      <c r="J2891" s="150" t="s">
        <v>6485</v>
      </c>
      <c r="K2891" s="221"/>
      <c r="L2891" s="135" t="str">
        <f t="shared" si="167"/>
        <v>Rhinolophus celebensis</v>
      </c>
      <c r="M2891" s="146">
        <v>-999</v>
      </c>
      <c r="N2891" s="146">
        <v>-999</v>
      </c>
      <c r="O2891" s="183"/>
      <c r="P2891" s="109">
        <v>-999</v>
      </c>
    </row>
    <row r="2892" spans="1:16">
      <c r="A2892" s="212" t="s">
        <v>2594</v>
      </c>
      <c r="B2892" s="141" t="s">
        <v>2916</v>
      </c>
      <c r="C2892" s="150" t="s">
        <v>3817</v>
      </c>
      <c r="D2892" s="221"/>
      <c r="E2892" s="150"/>
      <c r="F2892" s="150"/>
      <c r="G2892" s="110" t="s">
        <v>2663</v>
      </c>
      <c r="H2892" s="150" t="s">
        <v>1684</v>
      </c>
      <c r="I2892" s="150" t="s">
        <v>1332</v>
      </c>
      <c r="J2892" s="150" t="s">
        <v>2917</v>
      </c>
      <c r="K2892" s="221"/>
      <c r="L2892" s="135" t="str">
        <f t="shared" si="167"/>
        <v>Rhinolophus cognatus</v>
      </c>
      <c r="M2892" s="146">
        <v>-999</v>
      </c>
      <c r="N2892" s="146">
        <v>-999</v>
      </c>
      <c r="O2892" s="183"/>
      <c r="P2892" s="109">
        <v>-999</v>
      </c>
    </row>
    <row r="2893" spans="1:16">
      <c r="A2893" s="212" t="s">
        <v>2594</v>
      </c>
      <c r="B2893" s="141" t="s">
        <v>2823</v>
      </c>
      <c r="C2893" s="150" t="s">
        <v>3817</v>
      </c>
      <c r="D2893" s="221"/>
      <c r="E2893" s="150"/>
      <c r="F2893" s="150"/>
      <c r="G2893" s="110" t="s">
        <v>2663</v>
      </c>
      <c r="H2893" s="150" t="s">
        <v>1684</v>
      </c>
      <c r="I2893" s="150" t="s">
        <v>1332</v>
      </c>
      <c r="J2893" s="150" t="s">
        <v>2922</v>
      </c>
      <c r="K2893" s="221"/>
      <c r="L2893" s="135" t="str">
        <f t="shared" si="167"/>
        <v>Rhinolophus imaizumii</v>
      </c>
      <c r="M2893" s="146">
        <v>-999</v>
      </c>
      <c r="N2893" s="146">
        <v>-999</v>
      </c>
      <c r="O2893" s="183"/>
      <c r="P2893" s="109">
        <v>-999</v>
      </c>
    </row>
    <row r="2894" spans="1:16" ht="63.75">
      <c r="A2894" s="212" t="s">
        <v>2594</v>
      </c>
      <c r="B2894" s="141" t="s">
        <v>790</v>
      </c>
      <c r="C2894" s="150" t="s">
        <v>3817</v>
      </c>
      <c r="D2894" s="221"/>
      <c r="E2894" s="150"/>
      <c r="F2894" s="150"/>
      <c r="G2894" s="110" t="s">
        <v>2663</v>
      </c>
      <c r="H2894" s="150" t="s">
        <v>1684</v>
      </c>
      <c r="I2894" s="150" t="s">
        <v>1332</v>
      </c>
      <c r="J2894" s="150" t="s">
        <v>791</v>
      </c>
      <c r="K2894" s="221"/>
      <c r="L2894" s="135" t="str">
        <f t="shared" si="167"/>
        <v>Rhinolophus keyensis</v>
      </c>
      <c r="M2894" s="146">
        <v>-999</v>
      </c>
      <c r="N2894" s="146">
        <v>-999</v>
      </c>
      <c r="O2894" s="183"/>
      <c r="P2894" s="109">
        <v>-999</v>
      </c>
    </row>
    <row r="2895" spans="1:16" ht="25.5">
      <c r="A2895" s="212" t="s">
        <v>2594</v>
      </c>
      <c r="B2895" s="141" t="s">
        <v>2848</v>
      </c>
      <c r="C2895" s="150" t="s">
        <v>3817</v>
      </c>
      <c r="D2895" s="221"/>
      <c r="E2895" s="150"/>
      <c r="F2895" s="150"/>
      <c r="G2895" s="110" t="s">
        <v>2663</v>
      </c>
      <c r="H2895" s="150" t="s">
        <v>1684</v>
      </c>
      <c r="I2895" s="150" t="s">
        <v>1332</v>
      </c>
      <c r="J2895" s="150" t="s">
        <v>2854</v>
      </c>
      <c r="K2895" s="221"/>
      <c r="L2895" s="135" t="str">
        <f t="shared" si="167"/>
        <v>Rhinolophus nereis</v>
      </c>
      <c r="M2895" s="146">
        <v>-999</v>
      </c>
      <c r="N2895" s="146">
        <v>-999</v>
      </c>
      <c r="O2895" s="183"/>
      <c r="P2895" s="109">
        <v>-999</v>
      </c>
    </row>
    <row r="2896" spans="1:16">
      <c r="A2896" s="212" t="s">
        <v>2594</v>
      </c>
      <c r="B2896" s="141" t="s">
        <v>6062</v>
      </c>
      <c r="C2896" s="150" t="s">
        <v>3817</v>
      </c>
      <c r="D2896" s="221"/>
      <c r="E2896" s="150"/>
      <c r="F2896" s="150"/>
      <c r="G2896" s="110" t="s">
        <v>2663</v>
      </c>
      <c r="H2896" s="150" t="s">
        <v>1684</v>
      </c>
      <c r="I2896" s="150" t="s">
        <v>1332</v>
      </c>
      <c r="J2896" s="150" t="s">
        <v>2824</v>
      </c>
      <c r="K2896" s="221"/>
      <c r="L2896" s="135" t="str">
        <f t="shared" si="167"/>
        <v>Rhinolophus subrufus</v>
      </c>
      <c r="M2896" s="146">
        <v>-999</v>
      </c>
      <c r="N2896" s="146">
        <v>-999</v>
      </c>
      <c r="O2896" s="183"/>
      <c r="P2896" s="109">
        <v>-999</v>
      </c>
    </row>
    <row r="2897" spans="1:22" ht="63.75">
      <c r="A2897" s="212" t="s">
        <v>2594</v>
      </c>
      <c r="B2897" s="141" t="s">
        <v>970</v>
      </c>
      <c r="C2897" s="150" t="s">
        <v>3817</v>
      </c>
      <c r="D2897" s="221"/>
      <c r="E2897" s="150"/>
      <c r="F2897" s="150"/>
      <c r="G2897" s="110" t="s">
        <v>2663</v>
      </c>
      <c r="H2897" s="150" t="s">
        <v>1684</v>
      </c>
      <c r="I2897" s="150" t="s">
        <v>1332</v>
      </c>
      <c r="J2897" s="150" t="s">
        <v>971</v>
      </c>
      <c r="K2897" s="221"/>
      <c r="L2897" s="135" t="str">
        <f t="shared" si="167"/>
        <v>Rhinolophus hipposideros</v>
      </c>
      <c r="M2897" s="133">
        <f t="shared" ref="M2897:M2926" si="168">LOG(N2897)</f>
        <v>0.67294997295450032</v>
      </c>
      <c r="N2897" s="152">
        <v>4.7092307692309996</v>
      </c>
      <c r="O2897" s="192"/>
      <c r="P2897" s="109">
        <v>153</v>
      </c>
    </row>
    <row r="2898" spans="1:22" ht="63.75">
      <c r="A2898" s="212" t="s">
        <v>2594</v>
      </c>
      <c r="B2898" s="141" t="s">
        <v>675</v>
      </c>
      <c r="C2898" s="150" t="s">
        <v>3817</v>
      </c>
      <c r="D2898" s="221"/>
      <c r="E2898" s="150"/>
      <c r="F2898" s="150"/>
      <c r="G2898" s="110" t="s">
        <v>2663</v>
      </c>
      <c r="H2898" s="150" t="s">
        <v>1684</v>
      </c>
      <c r="I2898" s="150" t="s">
        <v>1332</v>
      </c>
      <c r="J2898" s="150" t="s">
        <v>4473</v>
      </c>
      <c r="K2898" s="221"/>
      <c r="L2898" s="135" t="str">
        <f t="shared" si="167"/>
        <v>Rhinolophus pusillus</v>
      </c>
      <c r="M2898" s="133">
        <f t="shared" si="168"/>
        <v>0.71180722904119109</v>
      </c>
      <c r="N2898" s="152">
        <v>5.15</v>
      </c>
      <c r="O2898" s="192"/>
      <c r="P2898" s="109">
        <v>153</v>
      </c>
    </row>
    <row r="2899" spans="1:22" ht="63.75">
      <c r="A2899" s="212" t="s">
        <v>2594</v>
      </c>
      <c r="B2899" s="141" t="s">
        <v>2914</v>
      </c>
      <c r="C2899" s="150" t="s">
        <v>3817</v>
      </c>
      <c r="D2899" s="221"/>
      <c r="E2899" s="150"/>
      <c r="F2899" s="150"/>
      <c r="G2899" s="110" t="s">
        <v>2663</v>
      </c>
      <c r="H2899" s="150" t="s">
        <v>1684</v>
      </c>
      <c r="I2899" s="150" t="s">
        <v>1332</v>
      </c>
      <c r="J2899" s="150" t="s">
        <v>2175</v>
      </c>
      <c r="K2899" s="221"/>
      <c r="L2899" s="135" t="str">
        <f t="shared" si="167"/>
        <v>Rhinolophus lepidus</v>
      </c>
      <c r="M2899" s="133">
        <f t="shared" si="168"/>
        <v>0.75587485567249146</v>
      </c>
      <c r="N2899" s="152">
        <v>5.7</v>
      </c>
      <c r="O2899" s="192"/>
      <c r="P2899" s="109">
        <v>153</v>
      </c>
    </row>
    <row r="2900" spans="1:22">
      <c r="A2900" s="212" t="s">
        <v>2594</v>
      </c>
      <c r="B2900" s="141" t="s">
        <v>6062</v>
      </c>
      <c r="C2900" s="150" t="s">
        <v>3817</v>
      </c>
      <c r="D2900" s="221"/>
      <c r="E2900" s="150"/>
      <c r="F2900" s="150"/>
      <c r="G2900" s="110" t="s">
        <v>2663</v>
      </c>
      <c r="H2900" s="150" t="s">
        <v>1684</v>
      </c>
      <c r="I2900" s="150" t="s">
        <v>1332</v>
      </c>
      <c r="J2900" s="150" t="s">
        <v>2915</v>
      </c>
      <c r="K2900" s="221"/>
      <c r="L2900" s="135" t="str">
        <f t="shared" si="167"/>
        <v>Rhinolophus virgo</v>
      </c>
      <c r="M2900" s="133">
        <f t="shared" si="168"/>
        <v>0.77815125038364363</v>
      </c>
      <c r="N2900" s="152">
        <v>6</v>
      </c>
      <c r="O2900" s="192"/>
      <c r="P2900" s="109">
        <v>153</v>
      </c>
    </row>
    <row r="2901" spans="1:22" ht="38.25">
      <c r="A2901" s="212" t="s">
        <v>2594</v>
      </c>
      <c r="B2901" s="141" t="s">
        <v>2904</v>
      </c>
      <c r="C2901" s="150" t="s">
        <v>3817</v>
      </c>
      <c r="D2901" s="221"/>
      <c r="E2901" s="150"/>
      <c r="F2901" s="150"/>
      <c r="G2901" s="110" t="s">
        <v>2663</v>
      </c>
      <c r="H2901" s="150" t="s">
        <v>1684</v>
      </c>
      <c r="I2901" s="150" t="s">
        <v>1332</v>
      </c>
      <c r="J2901" s="150" t="s">
        <v>4141</v>
      </c>
      <c r="K2901" s="221"/>
      <c r="L2901" s="135" t="str">
        <f t="shared" si="167"/>
        <v>Rhinolophus macrotis</v>
      </c>
      <c r="M2901" s="133">
        <f t="shared" si="168"/>
        <v>0.7888751157754168</v>
      </c>
      <c r="N2901" s="152">
        <v>6.15</v>
      </c>
      <c r="O2901" s="192"/>
      <c r="P2901" s="109">
        <v>153</v>
      </c>
    </row>
    <row r="2902" spans="1:22" ht="38.25">
      <c r="A2902" s="212" t="s">
        <v>2594</v>
      </c>
      <c r="B2902" s="141" t="s">
        <v>2906</v>
      </c>
      <c r="C2902" s="150" t="s">
        <v>3817</v>
      </c>
      <c r="D2902" s="221"/>
      <c r="E2902" s="150"/>
      <c r="F2902" s="150"/>
      <c r="G2902" s="110" t="s">
        <v>2663</v>
      </c>
      <c r="H2902" s="150" t="s">
        <v>1684</v>
      </c>
      <c r="I2902" s="150" t="s">
        <v>1332</v>
      </c>
      <c r="J2902" s="150" t="s">
        <v>7544</v>
      </c>
      <c r="K2902" s="221"/>
      <c r="L2902" s="135" t="str">
        <f t="shared" si="167"/>
        <v>Rhinolophus simplex</v>
      </c>
      <c r="M2902" s="133">
        <f t="shared" si="168"/>
        <v>0.79239168949825389</v>
      </c>
      <c r="N2902" s="152">
        <v>6.2</v>
      </c>
      <c r="O2902" s="192"/>
      <c r="P2902" s="109">
        <v>153</v>
      </c>
    </row>
    <row r="2903" spans="1:22" ht="25.5">
      <c r="A2903" s="212" t="s">
        <v>2594</v>
      </c>
      <c r="B2903" s="141" t="s">
        <v>2825</v>
      </c>
      <c r="C2903" s="150" t="s">
        <v>3817</v>
      </c>
      <c r="D2903" s="221"/>
      <c r="E2903" s="150"/>
      <c r="F2903" s="150"/>
      <c r="G2903" s="110" t="s">
        <v>2663</v>
      </c>
      <c r="H2903" s="150" t="s">
        <v>1684</v>
      </c>
      <c r="I2903" s="150" t="s">
        <v>1332</v>
      </c>
      <c r="J2903" s="150" t="s">
        <v>2826</v>
      </c>
      <c r="K2903" s="221"/>
      <c r="L2903" s="135" t="str">
        <f t="shared" si="167"/>
        <v>Rhinolophus swinnyi</v>
      </c>
      <c r="M2903" s="133">
        <f t="shared" si="168"/>
        <v>0.85278486868054781</v>
      </c>
      <c r="N2903" s="152">
        <v>7.125</v>
      </c>
      <c r="O2903" s="192"/>
      <c r="P2903" s="109">
        <v>153</v>
      </c>
      <c r="U2903" s="61"/>
      <c r="V2903" s="61"/>
    </row>
    <row r="2904" spans="1:22" ht="25.5">
      <c r="A2904" s="212" t="s">
        <v>2594</v>
      </c>
      <c r="B2904" s="141" t="s">
        <v>2702</v>
      </c>
      <c r="C2904" s="150" t="s">
        <v>3817</v>
      </c>
      <c r="D2904" s="221"/>
      <c r="E2904" s="150"/>
      <c r="F2904" s="150"/>
      <c r="G2904" s="110" t="s">
        <v>2663</v>
      </c>
      <c r="H2904" s="150" t="s">
        <v>1684</v>
      </c>
      <c r="I2904" s="150" t="s">
        <v>1332</v>
      </c>
      <c r="J2904" s="150" t="s">
        <v>2703</v>
      </c>
      <c r="K2904" s="221"/>
      <c r="L2904" s="135" t="str">
        <f t="shared" si="167"/>
        <v>Rhinolophus cornutus</v>
      </c>
      <c r="M2904" s="133">
        <f t="shared" si="168"/>
        <v>0.85733249643126852</v>
      </c>
      <c r="N2904" s="152">
        <v>7.2</v>
      </c>
      <c r="O2904" s="192"/>
      <c r="P2904" s="109">
        <v>153</v>
      </c>
    </row>
    <row r="2905" spans="1:22" ht="76.5">
      <c r="A2905" s="212" t="s">
        <v>2594</v>
      </c>
      <c r="B2905" s="141" t="s">
        <v>926</v>
      </c>
      <c r="C2905" s="150" t="s">
        <v>3817</v>
      </c>
      <c r="D2905" s="221"/>
      <c r="E2905" s="150"/>
      <c r="F2905" s="150"/>
      <c r="G2905" s="110" t="s">
        <v>2663</v>
      </c>
      <c r="H2905" s="150" t="s">
        <v>1684</v>
      </c>
      <c r="I2905" s="150" t="s">
        <v>1332</v>
      </c>
      <c r="J2905" s="150" t="s">
        <v>927</v>
      </c>
      <c r="K2905" s="221"/>
      <c r="L2905" s="135" t="str">
        <f t="shared" si="167"/>
        <v>Rhinolophus borneensis</v>
      </c>
      <c r="M2905" s="146">
        <f t="shared" si="168"/>
        <v>0.89762709129044149</v>
      </c>
      <c r="N2905" s="146">
        <f>AVERAGE(6.4, 9.4)</f>
        <v>7.9</v>
      </c>
      <c r="O2905" s="183"/>
      <c r="P2905" s="109">
        <v>257</v>
      </c>
    </row>
    <row r="2906" spans="1:22" ht="38.25">
      <c r="A2906" s="212" t="s">
        <v>2594</v>
      </c>
      <c r="B2906" s="141" t="s">
        <v>779</v>
      </c>
      <c r="C2906" s="150" t="s">
        <v>3817</v>
      </c>
      <c r="D2906" s="221"/>
      <c r="E2906" s="150"/>
      <c r="F2906" s="150"/>
      <c r="G2906" s="110" t="s">
        <v>2663</v>
      </c>
      <c r="H2906" s="150" t="s">
        <v>1684</v>
      </c>
      <c r="I2906" s="150" t="s">
        <v>1332</v>
      </c>
      <c r="J2906" s="150" t="s">
        <v>780</v>
      </c>
      <c r="K2906" s="221"/>
      <c r="L2906" s="135" t="str">
        <f t="shared" si="167"/>
        <v>Rhinolophus stheno</v>
      </c>
      <c r="M2906" s="133">
        <f t="shared" si="168"/>
        <v>0.89762709129044149</v>
      </c>
      <c r="N2906" s="152">
        <v>7.9</v>
      </c>
      <c r="O2906" s="192"/>
      <c r="P2906" s="109">
        <v>153</v>
      </c>
    </row>
    <row r="2907" spans="1:22" ht="76.5">
      <c r="A2907" s="212" t="s">
        <v>2594</v>
      </c>
      <c r="B2907" s="141" t="s">
        <v>540</v>
      </c>
      <c r="C2907" s="150" t="s">
        <v>3817</v>
      </c>
      <c r="D2907" s="221"/>
      <c r="E2907" s="150"/>
      <c r="F2907" s="150"/>
      <c r="G2907" s="110" t="s">
        <v>2663</v>
      </c>
      <c r="H2907" s="150" t="s">
        <v>1684</v>
      </c>
      <c r="I2907" s="150" t="s">
        <v>1332</v>
      </c>
      <c r="J2907" s="150" t="s">
        <v>541</v>
      </c>
      <c r="K2907" s="221"/>
      <c r="L2907" s="135" t="str">
        <f t="shared" si="167"/>
        <v>Rhinolophus euryale</v>
      </c>
      <c r="M2907" s="133">
        <f t="shared" si="168"/>
        <v>0.91115760873997664</v>
      </c>
      <c r="N2907" s="152">
        <v>8.15</v>
      </c>
      <c r="O2907" s="192"/>
      <c r="P2907" s="109">
        <v>153</v>
      </c>
    </row>
    <row r="2908" spans="1:22" ht="25.5">
      <c r="A2908" s="212" t="s">
        <v>2594</v>
      </c>
      <c r="B2908" s="141" t="s">
        <v>460</v>
      </c>
      <c r="C2908" s="150" t="s">
        <v>3817</v>
      </c>
      <c r="D2908" s="221"/>
      <c r="E2908" s="150"/>
      <c r="F2908" s="150"/>
      <c r="G2908" s="110" t="s">
        <v>2663</v>
      </c>
      <c r="H2908" s="150" t="s">
        <v>1684</v>
      </c>
      <c r="I2908" s="150" t="s">
        <v>1332</v>
      </c>
      <c r="J2908" s="150" t="s">
        <v>4542</v>
      </c>
      <c r="K2908" s="221"/>
      <c r="L2908" s="135" t="str">
        <f t="shared" si="167"/>
        <v>Rhinolophus robinsoni</v>
      </c>
      <c r="M2908" s="133">
        <f t="shared" si="168"/>
        <v>0.92941892571429274</v>
      </c>
      <c r="N2908" s="152">
        <v>8.5</v>
      </c>
      <c r="O2908" s="192"/>
      <c r="P2908" s="109">
        <v>153</v>
      </c>
    </row>
    <row r="2909" spans="1:22" ht="38.25">
      <c r="A2909" s="212" t="s">
        <v>2594</v>
      </c>
      <c r="B2909" s="141" t="s">
        <v>461</v>
      </c>
      <c r="C2909" s="150" t="s">
        <v>3817</v>
      </c>
      <c r="D2909" s="221"/>
      <c r="E2909" s="150"/>
      <c r="F2909" s="150"/>
      <c r="G2909" s="110" t="s">
        <v>2663</v>
      </c>
      <c r="H2909" s="150" t="s">
        <v>1684</v>
      </c>
      <c r="I2909" s="150" t="s">
        <v>1332</v>
      </c>
      <c r="J2909" s="150" t="s">
        <v>5303</v>
      </c>
      <c r="K2909" s="221"/>
      <c r="L2909" s="135" t="str">
        <f t="shared" si="167"/>
        <v>Rhinolophus arcuatus</v>
      </c>
      <c r="M2909" s="133">
        <f t="shared" si="168"/>
        <v>0.94200805302231327</v>
      </c>
      <c r="N2909" s="152">
        <v>8.75</v>
      </c>
      <c r="O2909" s="192"/>
      <c r="P2909" s="109">
        <v>153</v>
      </c>
    </row>
    <row r="2910" spans="1:22">
      <c r="A2910" s="212" t="s">
        <v>2594</v>
      </c>
      <c r="B2910" s="141" t="s">
        <v>1936</v>
      </c>
      <c r="C2910" s="150" t="s">
        <v>3817</v>
      </c>
      <c r="D2910" s="221"/>
      <c r="E2910" s="150"/>
      <c r="F2910" s="150"/>
      <c r="G2910" s="110" t="s">
        <v>2663</v>
      </c>
      <c r="H2910" s="150" t="s">
        <v>1684</v>
      </c>
      <c r="I2910" s="150" t="s">
        <v>1332</v>
      </c>
      <c r="J2910" s="150" t="s">
        <v>551</v>
      </c>
      <c r="K2910" s="221"/>
      <c r="L2910" s="135" t="str">
        <f t="shared" si="167"/>
        <v>Rhinolophus sedulus</v>
      </c>
      <c r="M2910" s="133">
        <f t="shared" si="168"/>
        <v>0.94200805302231327</v>
      </c>
      <c r="N2910" s="152">
        <v>8.75</v>
      </c>
      <c r="O2910" s="192"/>
      <c r="P2910" s="109">
        <v>153</v>
      </c>
    </row>
    <row r="2911" spans="1:22" ht="51">
      <c r="A2911" s="212" t="s">
        <v>2594</v>
      </c>
      <c r="B2911" s="141" t="s">
        <v>467</v>
      </c>
      <c r="C2911" s="150" t="s">
        <v>3817</v>
      </c>
      <c r="D2911" s="221"/>
      <c r="E2911" s="150"/>
      <c r="F2911" s="150"/>
      <c r="G2911" s="110" t="s">
        <v>2663</v>
      </c>
      <c r="H2911" s="150" t="s">
        <v>1684</v>
      </c>
      <c r="I2911" s="150" t="s">
        <v>1332</v>
      </c>
      <c r="J2911" s="150" t="s">
        <v>468</v>
      </c>
      <c r="K2911" s="221"/>
      <c r="L2911" s="135" t="str">
        <f t="shared" si="167"/>
        <v>Rhinolophus landeri</v>
      </c>
      <c r="M2911" s="133">
        <f t="shared" si="168"/>
        <v>0.94743372188705077</v>
      </c>
      <c r="N2911" s="152">
        <v>8.86</v>
      </c>
      <c r="O2911" s="192"/>
      <c r="P2911" s="109">
        <v>153</v>
      </c>
    </row>
    <row r="2912" spans="1:22" ht="76.5">
      <c r="A2912" s="212" t="s">
        <v>2594</v>
      </c>
      <c r="B2912" s="141" t="s">
        <v>177</v>
      </c>
      <c r="C2912" s="150" t="s">
        <v>3817</v>
      </c>
      <c r="D2912" s="221"/>
      <c r="E2912" s="150"/>
      <c r="F2912" s="150"/>
      <c r="G2912" s="110" t="s">
        <v>2663</v>
      </c>
      <c r="H2912" s="150" t="s">
        <v>1684</v>
      </c>
      <c r="I2912" s="150" t="s">
        <v>1332</v>
      </c>
      <c r="J2912" s="150" t="s">
        <v>6253</v>
      </c>
      <c r="K2912" s="221"/>
      <c r="L2912" s="135" t="str">
        <f t="shared" si="167"/>
        <v>Rhinolophus philippinensis</v>
      </c>
      <c r="M2912" s="133">
        <f t="shared" si="168"/>
        <v>1</v>
      </c>
      <c r="N2912" s="152">
        <f>AVERAGE(7, 13)</f>
        <v>10</v>
      </c>
      <c r="O2912" s="192"/>
      <c r="P2912" s="109">
        <v>257</v>
      </c>
    </row>
    <row r="2913" spans="1:16" ht="114.75">
      <c r="A2913" s="212" t="s">
        <v>2594</v>
      </c>
      <c r="B2913" s="141" t="s">
        <v>1098</v>
      </c>
      <c r="C2913" s="150" t="s">
        <v>3817</v>
      </c>
      <c r="D2913" s="221"/>
      <c r="E2913" s="150"/>
      <c r="F2913" s="150"/>
      <c r="G2913" s="110" t="s">
        <v>2663</v>
      </c>
      <c r="H2913" s="150" t="s">
        <v>1684</v>
      </c>
      <c r="I2913" s="150" t="s">
        <v>1332</v>
      </c>
      <c r="J2913" s="150" t="s">
        <v>1377</v>
      </c>
      <c r="K2913" s="221"/>
      <c r="L2913" s="135" t="str">
        <f t="shared" si="167"/>
        <v>Rhinolophus megaphyllus</v>
      </c>
      <c r="M2913" s="133">
        <f t="shared" si="168"/>
        <v>1.002705893375925</v>
      </c>
      <c r="N2913" s="152">
        <v>10.0625</v>
      </c>
      <c r="O2913" s="192"/>
      <c r="P2913" s="109">
        <v>153</v>
      </c>
    </row>
    <row r="2914" spans="1:16" ht="25.5">
      <c r="A2914" s="212" t="s">
        <v>2594</v>
      </c>
      <c r="B2914" s="141" t="s">
        <v>2886</v>
      </c>
      <c r="C2914" s="150" t="s">
        <v>3817</v>
      </c>
      <c r="D2914" s="221"/>
      <c r="E2914" s="150"/>
      <c r="F2914" s="150"/>
      <c r="G2914" s="110" t="s">
        <v>2663</v>
      </c>
      <c r="H2914" s="150" t="s">
        <v>1684</v>
      </c>
      <c r="I2914" s="150" t="s">
        <v>1332</v>
      </c>
      <c r="J2914" s="150" t="s">
        <v>2887</v>
      </c>
      <c r="K2914" s="221"/>
      <c r="L2914" s="135" t="str">
        <f t="shared" si="167"/>
        <v>Rhinolophus rouxi</v>
      </c>
      <c r="M2914" s="133">
        <f t="shared" si="168"/>
        <v>1.0713910016213852</v>
      </c>
      <c r="N2914" s="152">
        <v>11.786666666666999</v>
      </c>
      <c r="O2914" s="192"/>
      <c r="P2914" s="109">
        <v>153</v>
      </c>
    </row>
    <row r="2915" spans="1:16" ht="25.5">
      <c r="A2915" s="212" t="s">
        <v>2594</v>
      </c>
      <c r="B2915" s="141" t="s">
        <v>921</v>
      </c>
      <c r="C2915" s="150" t="s">
        <v>3817</v>
      </c>
      <c r="D2915" s="221"/>
      <c r="E2915" s="150"/>
      <c r="F2915" s="150"/>
      <c r="G2915" s="110" t="s">
        <v>2663</v>
      </c>
      <c r="H2915" s="150" t="s">
        <v>1684</v>
      </c>
      <c r="I2915" s="150" t="s">
        <v>1332</v>
      </c>
      <c r="J2915" s="150" t="s">
        <v>2918</v>
      </c>
      <c r="K2915" s="221"/>
      <c r="L2915" s="135" t="str">
        <f t="shared" si="167"/>
        <v>Rhinolophus creaghi</v>
      </c>
      <c r="M2915" s="146">
        <f t="shared" si="168"/>
        <v>1.0791812460476249</v>
      </c>
      <c r="N2915" s="146">
        <f>AVERAGE(10.5, 13.5)</f>
        <v>12</v>
      </c>
      <c r="O2915" s="183"/>
      <c r="P2915" s="109">
        <v>257</v>
      </c>
    </row>
    <row r="2916" spans="1:16" ht="102">
      <c r="A2916" s="212" t="s">
        <v>2594</v>
      </c>
      <c r="B2916" s="141" t="s">
        <v>1092</v>
      </c>
      <c r="C2916" s="150" t="s">
        <v>3817</v>
      </c>
      <c r="D2916" s="221"/>
      <c r="E2916" s="150"/>
      <c r="F2916" s="150"/>
      <c r="G2916" s="110" t="s">
        <v>2663</v>
      </c>
      <c r="H2916" s="150" t="s">
        <v>1684</v>
      </c>
      <c r="I2916" s="150" t="s">
        <v>1332</v>
      </c>
      <c r="J2916" s="150" t="s">
        <v>1093</v>
      </c>
      <c r="K2916" s="221"/>
      <c r="L2916" s="135" t="str">
        <f t="shared" si="167"/>
        <v>Rhinolophus mehelyi</v>
      </c>
      <c r="M2916" s="133">
        <f t="shared" si="168"/>
        <v>1.0910804693473208</v>
      </c>
      <c r="N2916" s="152">
        <v>12.333333333333</v>
      </c>
      <c r="O2916" s="192"/>
      <c r="P2916" s="109">
        <v>153</v>
      </c>
    </row>
    <row r="2917" spans="1:16" ht="89.25">
      <c r="A2917" s="212" t="s">
        <v>2594</v>
      </c>
      <c r="B2917" s="141" t="s">
        <v>901</v>
      </c>
      <c r="C2917" s="150" t="s">
        <v>3817</v>
      </c>
      <c r="D2917" s="221"/>
      <c r="E2917" s="150"/>
      <c r="F2917" s="150"/>
      <c r="G2917" s="110" t="s">
        <v>2663</v>
      </c>
      <c r="H2917" s="150" t="s">
        <v>1684</v>
      </c>
      <c r="I2917" s="150" t="s">
        <v>1332</v>
      </c>
      <c r="J2917" s="150" t="s">
        <v>980</v>
      </c>
      <c r="K2917" s="221"/>
      <c r="L2917" s="135" t="str">
        <f t="shared" si="167"/>
        <v>Rhinolophus acuminatus</v>
      </c>
      <c r="M2917" s="133">
        <f t="shared" si="168"/>
        <v>1.0969100130080565</v>
      </c>
      <c r="N2917" s="152">
        <f>AVERAGE(11, 14)</f>
        <v>12.5</v>
      </c>
      <c r="O2917" s="192"/>
      <c r="P2917" s="109">
        <v>257</v>
      </c>
    </row>
    <row r="2918" spans="1:16" ht="63.75">
      <c r="A2918" s="212" t="s">
        <v>2594</v>
      </c>
      <c r="B2918" s="141" t="s">
        <v>2865</v>
      </c>
      <c r="C2918" s="150" t="s">
        <v>3817</v>
      </c>
      <c r="D2918" s="221"/>
      <c r="E2918" s="150"/>
      <c r="F2918" s="150"/>
      <c r="G2918" s="110" t="s">
        <v>2663</v>
      </c>
      <c r="H2918" s="150" t="s">
        <v>1684</v>
      </c>
      <c r="I2918" s="150" t="s">
        <v>1332</v>
      </c>
      <c r="J2918" s="150" t="s">
        <v>7453</v>
      </c>
      <c r="K2918" s="221"/>
      <c r="L2918" s="135" t="str">
        <f t="shared" si="167"/>
        <v>Rhinolophus affinis</v>
      </c>
      <c r="M2918" s="133">
        <f t="shared" si="168"/>
        <v>1.1222158782728267</v>
      </c>
      <c r="N2918" s="152">
        <f>AVERAGE(12.5, 14)</f>
        <v>13.25</v>
      </c>
      <c r="O2918" s="192"/>
      <c r="P2918" s="109">
        <v>257</v>
      </c>
    </row>
    <row r="2919" spans="1:16">
      <c r="A2919" s="212" t="s">
        <v>2594</v>
      </c>
      <c r="B2919" s="141" t="s">
        <v>4932</v>
      </c>
      <c r="C2919" s="150" t="s">
        <v>3817</v>
      </c>
      <c r="D2919" s="221"/>
      <c r="E2919" s="150"/>
      <c r="F2919" s="150"/>
      <c r="G2919" s="110" t="s">
        <v>2663</v>
      </c>
      <c r="H2919" s="150" t="s">
        <v>1684</v>
      </c>
      <c r="I2919" s="150" t="s">
        <v>1332</v>
      </c>
      <c r="J2919" s="150" t="s">
        <v>2861</v>
      </c>
      <c r="K2919" s="221"/>
      <c r="L2919" s="135" t="str">
        <f t="shared" si="167"/>
        <v>Rhinolophus inops</v>
      </c>
      <c r="M2919" s="133">
        <f t="shared" si="168"/>
        <v>1.1303337684950061</v>
      </c>
      <c r="N2919" s="152">
        <v>13.5</v>
      </c>
      <c r="O2919" s="192"/>
      <c r="P2919" s="109">
        <v>153</v>
      </c>
    </row>
    <row r="2920" spans="1:16" ht="76.5">
      <c r="A2920" s="212" t="s">
        <v>2594</v>
      </c>
      <c r="B2920" s="141" t="s">
        <v>732</v>
      </c>
      <c r="C2920" s="150" t="s">
        <v>3817</v>
      </c>
      <c r="D2920" s="221"/>
      <c r="E2920" s="150"/>
      <c r="F2920" s="150"/>
      <c r="G2920" s="110" t="s">
        <v>2663</v>
      </c>
      <c r="H2920" s="150" t="s">
        <v>1684</v>
      </c>
      <c r="I2920" s="150" t="s">
        <v>1332</v>
      </c>
      <c r="J2920" s="150" t="s">
        <v>733</v>
      </c>
      <c r="K2920" s="221"/>
      <c r="L2920" s="135" t="str">
        <f t="shared" si="167"/>
        <v>Rhinolophus trifoliatus</v>
      </c>
      <c r="M2920" s="133">
        <f t="shared" si="168"/>
        <v>1.153814864344529</v>
      </c>
      <c r="N2920" s="152">
        <f>AVERAGE(10.5, 18)</f>
        <v>14.25</v>
      </c>
      <c r="O2920" s="192"/>
      <c r="P2920" s="109">
        <v>257</v>
      </c>
    </row>
    <row r="2921" spans="1:16" ht="89.25">
      <c r="A2921" s="212" t="s">
        <v>2594</v>
      </c>
      <c r="B2921" s="141" t="s">
        <v>2767</v>
      </c>
      <c r="C2921" s="150" t="s">
        <v>3817</v>
      </c>
      <c r="D2921" s="221"/>
      <c r="E2921" s="150"/>
      <c r="F2921" s="150"/>
      <c r="G2921" s="110" t="s">
        <v>2663</v>
      </c>
      <c r="H2921" s="150" t="s">
        <v>1684</v>
      </c>
      <c r="I2921" s="150" t="s">
        <v>1332</v>
      </c>
      <c r="J2921" s="150" t="s">
        <v>1375</v>
      </c>
      <c r="K2921" s="221"/>
      <c r="L2921" s="135" t="str">
        <f t="shared" si="167"/>
        <v>Rhinolophus euryotis</v>
      </c>
      <c r="M2921" s="133">
        <f t="shared" si="168"/>
        <v>1.1553360374650619</v>
      </c>
      <c r="N2921" s="152">
        <v>14.3</v>
      </c>
      <c r="O2921" s="192"/>
      <c r="P2921" s="109">
        <v>153</v>
      </c>
    </row>
    <row r="2922" spans="1:16" ht="38.25">
      <c r="A2922" s="212" t="s">
        <v>2594</v>
      </c>
      <c r="B2922" s="141" t="s">
        <v>587</v>
      </c>
      <c r="C2922" s="150" t="s">
        <v>3817</v>
      </c>
      <c r="D2922" s="221"/>
      <c r="E2922" s="150"/>
      <c r="F2922" s="150"/>
      <c r="G2922" s="110" t="s">
        <v>2663</v>
      </c>
      <c r="H2922" s="150" t="s">
        <v>1684</v>
      </c>
      <c r="I2922" s="150" t="s">
        <v>1332</v>
      </c>
      <c r="J2922" s="150" t="s">
        <v>494</v>
      </c>
      <c r="K2922" s="221"/>
      <c r="L2922" s="135" t="str">
        <f t="shared" si="167"/>
        <v>Rhinolophus alcyone</v>
      </c>
      <c r="M2922" s="133">
        <f t="shared" si="168"/>
        <v>1.2730012720637376</v>
      </c>
      <c r="N2922" s="152">
        <v>18.75</v>
      </c>
      <c r="O2922" s="192"/>
      <c r="P2922" s="109">
        <v>153</v>
      </c>
    </row>
    <row r="2923" spans="1:16" ht="51">
      <c r="A2923" s="212" t="s">
        <v>2594</v>
      </c>
      <c r="B2923" s="141" t="s">
        <v>3021</v>
      </c>
      <c r="C2923" s="150" t="s">
        <v>3817</v>
      </c>
      <c r="D2923" s="221"/>
      <c r="E2923" s="150"/>
      <c r="F2923" s="150"/>
      <c r="G2923" s="110" t="s">
        <v>2663</v>
      </c>
      <c r="H2923" s="150" t="s">
        <v>1684</v>
      </c>
      <c r="I2923" s="150" t="s">
        <v>1332</v>
      </c>
      <c r="J2923" s="150" t="s">
        <v>3022</v>
      </c>
      <c r="K2923" s="221"/>
      <c r="L2923" s="135" t="str">
        <f t="shared" si="167"/>
        <v>Rhinolophus eloquens</v>
      </c>
      <c r="M2923" s="133">
        <f t="shared" si="168"/>
        <v>1.2798949800116382</v>
      </c>
      <c r="N2923" s="152">
        <v>19.05</v>
      </c>
      <c r="O2923" s="192"/>
      <c r="P2923" s="109">
        <v>153</v>
      </c>
    </row>
    <row r="2924" spans="1:16" ht="89.25">
      <c r="A2924" s="212" t="s">
        <v>2594</v>
      </c>
      <c r="B2924" s="141" t="s">
        <v>1317</v>
      </c>
      <c r="C2924" s="150" t="s">
        <v>3817</v>
      </c>
      <c r="D2924" s="221"/>
      <c r="E2924" s="150"/>
      <c r="F2924" s="150"/>
      <c r="G2924" s="110" t="s">
        <v>2663</v>
      </c>
      <c r="H2924" s="150" t="s">
        <v>1684</v>
      </c>
      <c r="I2924" s="150" t="s">
        <v>1332</v>
      </c>
      <c r="J2924" s="150" t="s">
        <v>1020</v>
      </c>
      <c r="K2924" s="221"/>
      <c r="L2924" s="135" t="str">
        <f t="shared" si="167"/>
        <v>Rhinolophus ferrumequinum</v>
      </c>
      <c r="M2924" s="133">
        <f t="shared" si="168"/>
        <v>1.3234730964355814</v>
      </c>
      <c r="N2924" s="152">
        <v>21.060714285713999</v>
      </c>
      <c r="O2924" s="192"/>
      <c r="P2924" s="109">
        <v>153</v>
      </c>
    </row>
    <row r="2925" spans="1:16">
      <c r="A2925" s="212" t="s">
        <v>2594</v>
      </c>
      <c r="B2925" s="141" t="s">
        <v>6062</v>
      </c>
      <c r="C2925" s="150" t="s">
        <v>3817</v>
      </c>
      <c r="D2925" s="221"/>
      <c r="E2925" s="150"/>
      <c r="F2925" s="150"/>
      <c r="G2925" s="110" t="s">
        <v>2663</v>
      </c>
      <c r="H2925" s="150" t="s">
        <v>1684</v>
      </c>
      <c r="I2925" s="150" t="s">
        <v>1332</v>
      </c>
      <c r="J2925" s="150" t="s">
        <v>2329</v>
      </c>
      <c r="K2925" s="221"/>
      <c r="L2925" s="135" t="str">
        <f t="shared" si="167"/>
        <v>Rhinolophus rufus</v>
      </c>
      <c r="M2925" s="133">
        <f t="shared" si="168"/>
        <v>1.4771212547196624</v>
      </c>
      <c r="N2925" s="152">
        <v>30</v>
      </c>
      <c r="O2925" s="192"/>
      <c r="P2925" s="109">
        <v>153</v>
      </c>
    </row>
    <row r="2926" spans="1:16" ht="76.5">
      <c r="A2926" s="212" t="s">
        <v>2594</v>
      </c>
      <c r="B2926" s="141" t="s">
        <v>2981</v>
      </c>
      <c r="C2926" s="150" t="s">
        <v>3817</v>
      </c>
      <c r="D2926" s="221"/>
      <c r="E2926" s="150"/>
      <c r="F2926" s="150"/>
      <c r="G2926" s="110" t="s">
        <v>2663</v>
      </c>
      <c r="H2926" s="150" t="s">
        <v>1684</v>
      </c>
      <c r="I2926" s="150" t="s">
        <v>1332</v>
      </c>
      <c r="J2926" s="150" t="s">
        <v>972</v>
      </c>
      <c r="K2926" s="221"/>
      <c r="L2926" s="135" t="str">
        <f t="shared" si="167"/>
        <v>Rhinolophus luctus</v>
      </c>
      <c r="M2926" s="133">
        <f t="shared" si="168"/>
        <v>1.5185139398778875</v>
      </c>
      <c r="N2926" s="152">
        <f>AVERAGE(29, 37)</f>
        <v>33</v>
      </c>
      <c r="O2926" s="192"/>
      <c r="P2926" s="109">
        <v>257</v>
      </c>
    </row>
    <row r="2927" spans="1:16" ht="25.5">
      <c r="A2927" s="212" t="s">
        <v>2594</v>
      </c>
      <c r="B2927" s="141" t="s">
        <v>631</v>
      </c>
      <c r="C2927" s="150" t="s">
        <v>3817</v>
      </c>
      <c r="D2927" s="221"/>
      <c r="E2927" s="150"/>
      <c r="F2927" s="150"/>
      <c r="G2927" s="110" t="s">
        <v>2663</v>
      </c>
      <c r="H2927" s="150" t="s">
        <v>1684</v>
      </c>
      <c r="I2927" s="150" t="s">
        <v>5807</v>
      </c>
      <c r="J2927" s="150" t="s">
        <v>2664</v>
      </c>
      <c r="K2927" s="221"/>
      <c r="L2927" s="135" t="str">
        <f t="shared" si="167"/>
        <v>Triaenops furculus</v>
      </c>
      <c r="M2927" s="146">
        <v>-999</v>
      </c>
      <c r="N2927" s="146">
        <v>-999</v>
      </c>
      <c r="O2927" s="183"/>
      <c r="P2927" s="109">
        <v>-999</v>
      </c>
    </row>
    <row r="2928" spans="1:16" ht="51">
      <c r="A2928" s="212" t="s">
        <v>2594</v>
      </c>
      <c r="B2928" s="141" t="s">
        <v>2700</v>
      </c>
      <c r="C2928" s="150" t="s">
        <v>3817</v>
      </c>
      <c r="D2928" s="221"/>
      <c r="E2928" s="150"/>
      <c r="F2928" s="150"/>
      <c r="G2928" s="110" t="s">
        <v>2663</v>
      </c>
      <c r="H2928" s="150" t="s">
        <v>2926</v>
      </c>
      <c r="I2928" s="150" t="s">
        <v>2697</v>
      </c>
      <c r="J2928" s="150" t="s">
        <v>2701</v>
      </c>
      <c r="K2928" s="221"/>
      <c r="L2928" s="135" t="str">
        <f t="shared" si="167"/>
        <v>Rhinopoma hardwickei</v>
      </c>
      <c r="M2928" s="133">
        <f t="shared" ref="M2928:M2938" si="169">LOG(N2928)</f>
        <v>1.1528995963937476</v>
      </c>
      <c r="N2928" s="152">
        <v>14.22</v>
      </c>
      <c r="O2928" s="192"/>
      <c r="P2928" s="109">
        <v>153</v>
      </c>
    </row>
    <row r="2929" spans="1:16" ht="25.5">
      <c r="A2929" s="212" t="s">
        <v>2594</v>
      </c>
      <c r="B2929" s="141" t="s">
        <v>849</v>
      </c>
      <c r="C2929" s="150" t="s">
        <v>3817</v>
      </c>
      <c r="D2929" s="221"/>
      <c r="E2929" s="150"/>
      <c r="F2929" s="150"/>
      <c r="G2929" s="110" t="s">
        <v>2663</v>
      </c>
      <c r="H2929" s="148" t="s">
        <v>2926</v>
      </c>
      <c r="I2929" s="150" t="s">
        <v>2697</v>
      </c>
      <c r="J2929" s="150" t="s">
        <v>874</v>
      </c>
      <c r="K2929" s="221"/>
      <c r="L2929" s="135" t="str">
        <f t="shared" si="167"/>
        <v>Rhinopoma microphyllum</v>
      </c>
      <c r="M2929" s="133">
        <f t="shared" si="169"/>
        <v>1.4451174896936825</v>
      </c>
      <c r="N2929" s="152">
        <v>27.868749999999999</v>
      </c>
      <c r="O2929" s="192"/>
      <c r="P2929" s="109">
        <v>153</v>
      </c>
    </row>
    <row r="2930" spans="1:16" ht="51">
      <c r="A2930" s="212" t="s">
        <v>2594</v>
      </c>
      <c r="B2930" s="141" t="s">
        <v>840</v>
      </c>
      <c r="C2930" s="150" t="s">
        <v>3817</v>
      </c>
      <c r="D2930" s="221"/>
      <c r="E2930" s="150"/>
      <c r="F2930" s="150"/>
      <c r="G2930" s="110" t="s">
        <v>2663</v>
      </c>
      <c r="H2930" s="150" t="s">
        <v>6205</v>
      </c>
      <c r="I2930" s="150" t="s">
        <v>2853</v>
      </c>
      <c r="J2930" s="150" t="s">
        <v>5379</v>
      </c>
      <c r="K2930" s="221"/>
      <c r="L2930" s="135" t="str">
        <f t="shared" si="167"/>
        <v>Antrozous pallidus</v>
      </c>
      <c r="M2930" s="133">
        <f t="shared" si="169"/>
        <v>1.3180633349627615</v>
      </c>
      <c r="N2930" s="152">
        <v>20.8</v>
      </c>
      <c r="O2930" s="192"/>
      <c r="P2930" s="109">
        <v>153</v>
      </c>
    </row>
    <row r="2931" spans="1:16" ht="51">
      <c r="A2931" s="212" t="s">
        <v>2594</v>
      </c>
      <c r="B2931" s="141" t="s">
        <v>2850</v>
      </c>
      <c r="C2931" s="150" t="s">
        <v>3817</v>
      </c>
      <c r="D2931" s="221"/>
      <c r="E2931" s="150"/>
      <c r="F2931" s="150"/>
      <c r="G2931" s="110" t="s">
        <v>2663</v>
      </c>
      <c r="H2931" s="150" t="s">
        <v>6205</v>
      </c>
      <c r="I2931" s="150" t="s">
        <v>2853</v>
      </c>
      <c r="J2931" s="150" t="s">
        <v>835</v>
      </c>
      <c r="K2931" s="221"/>
      <c r="L2931" s="135" t="str">
        <f t="shared" si="167"/>
        <v>Antrozous dubiaquercus</v>
      </c>
      <c r="M2931" s="133">
        <f t="shared" si="169"/>
        <v>1.3603093443420586</v>
      </c>
      <c r="N2931" s="152">
        <v>22.925000000000001</v>
      </c>
      <c r="O2931" s="192"/>
      <c r="P2931" s="109" t="s">
        <v>1676</v>
      </c>
    </row>
    <row r="2932" spans="1:16" ht="76.5">
      <c r="A2932" s="212" t="s">
        <v>2594</v>
      </c>
      <c r="B2932" s="141" t="s">
        <v>973</v>
      </c>
      <c r="C2932" s="150" t="s">
        <v>3817</v>
      </c>
      <c r="D2932" s="221"/>
      <c r="E2932" s="150"/>
      <c r="F2932" s="150"/>
      <c r="G2932" s="110" t="s">
        <v>2663</v>
      </c>
      <c r="H2932" s="150" t="s">
        <v>6205</v>
      </c>
      <c r="I2932" s="150" t="s">
        <v>1149</v>
      </c>
      <c r="J2932" s="150" t="s">
        <v>1150</v>
      </c>
      <c r="K2932" s="221"/>
      <c r="L2932" s="135" t="str">
        <f t="shared" si="167"/>
        <v>Barbastella barbastellus</v>
      </c>
      <c r="M2932" s="133">
        <f t="shared" si="169"/>
        <v>0.90463827555478105</v>
      </c>
      <c r="N2932" s="152">
        <v>8.0285714285710004</v>
      </c>
      <c r="O2932" s="192"/>
      <c r="P2932" s="109">
        <v>153</v>
      </c>
    </row>
    <row r="2933" spans="1:16" ht="76.5">
      <c r="A2933" s="212" t="s">
        <v>2594</v>
      </c>
      <c r="B2933" s="141" t="s">
        <v>1367</v>
      </c>
      <c r="C2933" s="150" t="s">
        <v>3817</v>
      </c>
      <c r="D2933" s="221"/>
      <c r="E2933" s="150"/>
      <c r="F2933" s="150"/>
      <c r="G2933" s="110" t="s">
        <v>2663</v>
      </c>
      <c r="H2933" s="150" t="s">
        <v>6205</v>
      </c>
      <c r="I2933" s="150" t="s">
        <v>1149</v>
      </c>
      <c r="J2933" s="150" t="s">
        <v>1368</v>
      </c>
      <c r="K2933" s="221"/>
      <c r="L2933" s="135" t="str">
        <f t="shared" si="167"/>
        <v>Barbastella leucomelas</v>
      </c>
      <c r="M2933" s="133">
        <f t="shared" si="169"/>
        <v>1.1775364999298621</v>
      </c>
      <c r="N2933" s="152">
        <v>15.05</v>
      </c>
      <c r="O2933" s="192"/>
      <c r="P2933" s="109">
        <v>153</v>
      </c>
    </row>
    <row r="2934" spans="1:16">
      <c r="A2934" s="212" t="s">
        <v>2594</v>
      </c>
      <c r="B2934" s="141" t="s">
        <v>2889</v>
      </c>
      <c r="C2934" s="150" t="s">
        <v>3817</v>
      </c>
      <c r="D2934" s="221"/>
      <c r="E2934" s="150"/>
      <c r="F2934" s="150"/>
      <c r="G2934" s="110" t="s">
        <v>2663</v>
      </c>
      <c r="H2934" s="150" t="s">
        <v>6205</v>
      </c>
      <c r="I2934" s="150" t="s">
        <v>1342</v>
      </c>
      <c r="J2934" s="150" t="s">
        <v>4392</v>
      </c>
      <c r="K2934" s="221"/>
      <c r="L2934" s="135" t="str">
        <f t="shared" si="167"/>
        <v>Chalinolobus poensis</v>
      </c>
      <c r="M2934" s="133">
        <f t="shared" si="169"/>
        <v>0.84818911699139865</v>
      </c>
      <c r="N2934" s="152">
        <v>7.05</v>
      </c>
      <c r="O2934" s="192"/>
      <c r="P2934" s="109">
        <v>153</v>
      </c>
    </row>
    <row r="2935" spans="1:16" ht="25.5">
      <c r="A2935" s="212" t="s">
        <v>2594</v>
      </c>
      <c r="B2935" s="141" t="s">
        <v>2768</v>
      </c>
      <c r="C2935" s="150" t="s">
        <v>3817</v>
      </c>
      <c r="D2935" s="221"/>
      <c r="E2935" s="150"/>
      <c r="F2935" s="150"/>
      <c r="G2935" s="110" t="s">
        <v>2663</v>
      </c>
      <c r="H2935" s="150" t="s">
        <v>6205</v>
      </c>
      <c r="I2935" s="150" t="s">
        <v>1342</v>
      </c>
      <c r="J2935" s="150" t="s">
        <v>5749</v>
      </c>
      <c r="K2935" s="221"/>
      <c r="L2935" s="135" t="str">
        <f t="shared" si="167"/>
        <v>Chalinolobus tuberculatus</v>
      </c>
      <c r="M2935" s="133">
        <f t="shared" si="169"/>
        <v>0.92941892571429274</v>
      </c>
      <c r="N2935" s="146">
        <f>AVERAGE(7, 10)</f>
        <v>8.5</v>
      </c>
      <c r="O2935" s="183"/>
      <c r="P2935" s="109">
        <v>166</v>
      </c>
    </row>
    <row r="2936" spans="1:16" ht="25.5">
      <c r="A2936" s="212" t="s">
        <v>2594</v>
      </c>
      <c r="B2936" s="141" t="s">
        <v>2890</v>
      </c>
      <c r="C2936" s="150" t="s">
        <v>3817</v>
      </c>
      <c r="D2936" s="221"/>
      <c r="E2936" s="150"/>
      <c r="F2936" s="150"/>
      <c r="G2936" s="110" t="s">
        <v>2663</v>
      </c>
      <c r="H2936" s="150" t="s">
        <v>6205</v>
      </c>
      <c r="I2936" s="150" t="s">
        <v>1342</v>
      </c>
      <c r="J2936" s="150" t="s">
        <v>3716</v>
      </c>
      <c r="K2936" s="221"/>
      <c r="L2936" s="135" t="str">
        <f t="shared" si="167"/>
        <v>Chalinolobus morio</v>
      </c>
      <c r="M2936" s="133">
        <f t="shared" si="169"/>
        <v>0.94283449377011197</v>
      </c>
      <c r="N2936" s="152">
        <v>8.7666666666669997</v>
      </c>
      <c r="O2936" s="192"/>
      <c r="P2936" s="109">
        <v>153</v>
      </c>
    </row>
    <row r="2937" spans="1:16" ht="38.25">
      <c r="A2937" s="212" t="s">
        <v>2594</v>
      </c>
      <c r="B2937" s="141" t="s">
        <v>953</v>
      </c>
      <c r="C2937" s="150" t="s">
        <v>3817</v>
      </c>
      <c r="D2937" s="221"/>
      <c r="E2937" s="150"/>
      <c r="F2937" s="150"/>
      <c r="G2937" s="110" t="s">
        <v>2663</v>
      </c>
      <c r="H2937" s="150" t="s">
        <v>6205</v>
      </c>
      <c r="I2937" s="150" t="s">
        <v>1342</v>
      </c>
      <c r="J2937" s="150" t="s">
        <v>1343</v>
      </c>
      <c r="K2937" s="221"/>
      <c r="L2937" s="135" t="str">
        <f t="shared" si="167"/>
        <v>Chalinolobus nigrogriseus</v>
      </c>
      <c r="M2937" s="133">
        <f t="shared" si="169"/>
        <v>0.94448267215016868</v>
      </c>
      <c r="N2937" s="152">
        <v>8.8000000000000007</v>
      </c>
      <c r="O2937" s="192"/>
      <c r="P2937" s="109">
        <v>153</v>
      </c>
    </row>
    <row r="2938" spans="1:16" ht="63.75">
      <c r="A2938" s="212" t="s">
        <v>2594</v>
      </c>
      <c r="B2938" s="141" t="s">
        <v>588</v>
      </c>
      <c r="C2938" s="150" t="s">
        <v>3817</v>
      </c>
      <c r="D2938" s="221"/>
      <c r="E2938" s="150"/>
      <c r="F2938" s="150"/>
      <c r="G2938" s="110" t="s">
        <v>2663</v>
      </c>
      <c r="H2938" s="150" t="s">
        <v>6205</v>
      </c>
      <c r="I2938" s="150" t="s">
        <v>1342</v>
      </c>
      <c r="J2938" s="150" t="s">
        <v>6742</v>
      </c>
      <c r="K2938" s="221"/>
      <c r="L2938" s="135" t="str">
        <f t="shared" si="167"/>
        <v>Chalinolobus gouldii</v>
      </c>
      <c r="M2938" s="133">
        <f t="shared" si="169"/>
        <v>1.1603684747928582</v>
      </c>
      <c r="N2938" s="152">
        <v>14.466666666667001</v>
      </c>
      <c r="O2938" s="192"/>
      <c r="P2938" s="109">
        <v>153</v>
      </c>
    </row>
    <row r="2939" spans="1:16" ht="25.5">
      <c r="A2939" s="212" t="s">
        <v>2594</v>
      </c>
      <c r="B2939" s="141" t="s">
        <v>632</v>
      </c>
      <c r="C2939" s="150" t="s">
        <v>3817</v>
      </c>
      <c r="D2939" s="221"/>
      <c r="E2939" s="150"/>
      <c r="F2939" s="150"/>
      <c r="G2939" s="110" t="s">
        <v>2663</v>
      </c>
      <c r="H2939" s="150" t="s">
        <v>6205</v>
      </c>
      <c r="I2939" s="150" t="s">
        <v>6273</v>
      </c>
      <c r="J2939" s="150" t="s">
        <v>633</v>
      </c>
      <c r="K2939" s="221"/>
      <c r="L2939" s="135" t="str">
        <f t="shared" si="167"/>
        <v>Eptesicus guadeloupensis</v>
      </c>
      <c r="M2939" s="146">
        <v>-999</v>
      </c>
      <c r="N2939" s="146">
        <v>-999</v>
      </c>
      <c r="O2939" s="183"/>
      <c r="P2939" s="109">
        <v>-999</v>
      </c>
    </row>
    <row r="2940" spans="1:16" ht="25.5">
      <c r="A2940" s="212" t="s">
        <v>2594</v>
      </c>
      <c r="B2940" s="141" t="s">
        <v>859</v>
      </c>
      <c r="C2940" s="150" t="s">
        <v>3817</v>
      </c>
      <c r="D2940" s="221"/>
      <c r="E2940" s="150"/>
      <c r="F2940" s="150"/>
      <c r="G2940" s="110" t="s">
        <v>2663</v>
      </c>
      <c r="H2940" s="150" t="s">
        <v>6205</v>
      </c>
      <c r="I2940" s="150" t="s">
        <v>6273</v>
      </c>
      <c r="J2940" s="150" t="s">
        <v>775</v>
      </c>
      <c r="K2940" s="221"/>
      <c r="L2940" s="135" t="str">
        <f t="shared" si="167"/>
        <v>Eptesicus innoxius</v>
      </c>
      <c r="M2940" s="146">
        <v>-999</v>
      </c>
      <c r="N2940" s="146">
        <v>-999</v>
      </c>
      <c r="O2940" s="183"/>
      <c r="P2940" s="109">
        <v>-999</v>
      </c>
    </row>
    <row r="2941" spans="1:16" ht="51">
      <c r="A2941" s="212" t="s">
        <v>2594</v>
      </c>
      <c r="B2941" s="141" t="s">
        <v>2640</v>
      </c>
      <c r="C2941" s="150" t="s">
        <v>3817</v>
      </c>
      <c r="D2941" s="221"/>
      <c r="E2941" s="150"/>
      <c r="F2941" s="150"/>
      <c r="G2941" s="110" t="s">
        <v>2663</v>
      </c>
      <c r="H2941" s="150" t="s">
        <v>6205</v>
      </c>
      <c r="I2941" s="150" t="s">
        <v>6273</v>
      </c>
      <c r="J2941" s="150" t="s">
        <v>4104</v>
      </c>
      <c r="K2941" s="221"/>
      <c r="L2941" s="135" t="str">
        <f t="shared" si="167"/>
        <v>Eptesicus somalicus</v>
      </c>
      <c r="M2941" s="133">
        <f t="shared" ref="M2941:M2948" si="170">LOG(N2941)</f>
        <v>0.57978359661681012</v>
      </c>
      <c r="N2941" s="152">
        <v>3.8</v>
      </c>
      <c r="O2941" s="192"/>
      <c r="P2941" s="109">
        <v>153</v>
      </c>
    </row>
    <row r="2942" spans="1:16" ht="25.5">
      <c r="A2942" s="212" t="s">
        <v>2594</v>
      </c>
      <c r="B2942" s="141" t="s">
        <v>913</v>
      </c>
      <c r="C2942" s="150" t="s">
        <v>3817</v>
      </c>
      <c r="D2942" s="221"/>
      <c r="E2942" s="150"/>
      <c r="F2942" s="150"/>
      <c r="G2942" s="110" t="s">
        <v>2663</v>
      </c>
      <c r="H2942" s="150" t="s">
        <v>6205</v>
      </c>
      <c r="I2942" s="150" t="s">
        <v>6273</v>
      </c>
      <c r="J2942" s="150" t="s">
        <v>908</v>
      </c>
      <c r="K2942" s="221"/>
      <c r="L2942" s="135" t="str">
        <f t="shared" si="167"/>
        <v>Eptesicus vulturnus</v>
      </c>
      <c r="M2942" s="133">
        <f t="shared" si="170"/>
        <v>0.58149454229089925</v>
      </c>
      <c r="N2942" s="152">
        <v>3.8149999999999999</v>
      </c>
      <c r="O2942" s="192"/>
      <c r="P2942" s="109">
        <v>153</v>
      </c>
    </row>
    <row r="2943" spans="1:16" ht="25.5">
      <c r="A2943" s="212" t="s">
        <v>2594</v>
      </c>
      <c r="B2943" s="141" t="s">
        <v>2871</v>
      </c>
      <c r="C2943" s="150" t="s">
        <v>3817</v>
      </c>
      <c r="D2943" s="221"/>
      <c r="E2943" s="150"/>
      <c r="F2943" s="150"/>
      <c r="G2943" s="110" t="s">
        <v>2663</v>
      </c>
      <c r="H2943" s="150" t="s">
        <v>6205</v>
      </c>
      <c r="I2943" s="150" t="s">
        <v>6273</v>
      </c>
      <c r="J2943" s="150" t="s">
        <v>3545</v>
      </c>
      <c r="K2943" s="221"/>
      <c r="L2943" s="135" t="str">
        <f t="shared" si="167"/>
        <v>Eptesicus regulus</v>
      </c>
      <c r="M2943" s="133">
        <f t="shared" si="170"/>
        <v>0.7103994661167724</v>
      </c>
      <c r="N2943" s="152">
        <v>5.1333333333329998</v>
      </c>
      <c r="O2943" s="192"/>
      <c r="P2943" s="109">
        <v>153</v>
      </c>
    </row>
    <row r="2944" spans="1:16" ht="38.25">
      <c r="A2944" s="212" t="s">
        <v>2594</v>
      </c>
      <c r="B2944" s="141" t="s">
        <v>2874</v>
      </c>
      <c r="C2944" s="150" t="s">
        <v>3817</v>
      </c>
      <c r="D2944" s="221"/>
      <c r="E2944" s="150"/>
      <c r="F2944" s="150"/>
      <c r="G2944" s="110" t="s">
        <v>2663</v>
      </c>
      <c r="H2944" s="150" t="s">
        <v>6205</v>
      </c>
      <c r="I2944" s="150" t="s">
        <v>6273</v>
      </c>
      <c r="J2944" s="150" t="s">
        <v>4259</v>
      </c>
      <c r="K2944" s="221"/>
      <c r="L2944" s="135" t="str">
        <f t="shared" si="167"/>
        <v>Eptesicus capensis</v>
      </c>
      <c r="M2944" s="133">
        <f t="shared" si="170"/>
        <v>0.77573177626025502</v>
      </c>
      <c r="N2944" s="152">
        <v>5.9666666666669999</v>
      </c>
      <c r="O2944" s="192"/>
      <c r="P2944" s="109">
        <v>153</v>
      </c>
    </row>
    <row r="2945" spans="1:16" ht="38.25">
      <c r="A2945" s="212" t="s">
        <v>2594</v>
      </c>
      <c r="B2945" s="141" t="s">
        <v>824</v>
      </c>
      <c r="C2945" s="150" t="s">
        <v>3817</v>
      </c>
      <c r="D2945" s="221"/>
      <c r="E2945" s="150"/>
      <c r="F2945" s="150"/>
      <c r="G2945" s="110" t="s">
        <v>2663</v>
      </c>
      <c r="H2945" s="150" t="s">
        <v>6205</v>
      </c>
      <c r="I2945" s="150" t="s">
        <v>6273</v>
      </c>
      <c r="J2945" s="150" t="s">
        <v>1951</v>
      </c>
      <c r="K2945" s="221"/>
      <c r="L2945" s="135" t="str">
        <f t="shared" si="167"/>
        <v>Eptesicus sagittula</v>
      </c>
      <c r="M2945" s="133">
        <f t="shared" si="170"/>
        <v>0.80955971463526777</v>
      </c>
      <c r="N2945" s="152">
        <v>6.45</v>
      </c>
      <c r="O2945" s="192"/>
      <c r="P2945" s="109">
        <v>153</v>
      </c>
    </row>
    <row r="2946" spans="1:16" ht="127.5">
      <c r="A2946" s="212" t="s">
        <v>2594</v>
      </c>
      <c r="B2946" s="141" t="s">
        <v>802</v>
      </c>
      <c r="C2946" s="150" t="s">
        <v>3817</v>
      </c>
      <c r="D2946" s="221"/>
      <c r="E2946" s="150"/>
      <c r="F2946" s="150"/>
      <c r="G2946" s="110" t="s">
        <v>2663</v>
      </c>
      <c r="H2946" s="150" t="s">
        <v>6205</v>
      </c>
      <c r="I2946" s="150" t="s">
        <v>6273</v>
      </c>
      <c r="J2946" s="150" t="s">
        <v>803</v>
      </c>
      <c r="K2946" s="221"/>
      <c r="L2946" s="135" t="str">
        <f t="shared" si="167"/>
        <v>Eptesicus nilssoni</v>
      </c>
      <c r="M2946" s="133">
        <f t="shared" si="170"/>
        <v>1.0180760636457951</v>
      </c>
      <c r="N2946" s="152">
        <v>10.425000000000001</v>
      </c>
      <c r="O2946" s="192"/>
      <c r="P2946" s="109">
        <v>153</v>
      </c>
    </row>
    <row r="2947" spans="1:16" ht="76.5">
      <c r="A2947" s="212" t="s">
        <v>2594</v>
      </c>
      <c r="B2947" s="141" t="s">
        <v>993</v>
      </c>
      <c r="C2947" s="150" t="s">
        <v>3817</v>
      </c>
      <c r="D2947" s="221"/>
      <c r="E2947" s="150"/>
      <c r="F2947" s="150"/>
      <c r="G2947" s="110" t="s">
        <v>2663</v>
      </c>
      <c r="H2947" s="150" t="s">
        <v>6205</v>
      </c>
      <c r="I2947" s="150" t="s">
        <v>6273</v>
      </c>
      <c r="J2947" s="150" t="s">
        <v>4847</v>
      </c>
      <c r="K2947" s="221"/>
      <c r="L2947" s="135" t="str">
        <f t="shared" si="167"/>
        <v>Eptesicus fuscus</v>
      </c>
      <c r="M2947" s="133">
        <f t="shared" si="170"/>
        <v>1.2164423949044796</v>
      </c>
      <c r="N2947" s="152">
        <v>16.460476190476001</v>
      </c>
      <c r="O2947" s="192"/>
      <c r="P2947" s="109">
        <v>153</v>
      </c>
    </row>
    <row r="2948" spans="1:16" ht="102">
      <c r="A2948" s="212" t="s">
        <v>2594</v>
      </c>
      <c r="B2948" s="141" t="s">
        <v>943</v>
      </c>
      <c r="C2948" s="150" t="s">
        <v>3817</v>
      </c>
      <c r="D2948" s="221"/>
      <c r="E2948" s="150"/>
      <c r="F2948" s="150"/>
      <c r="G2948" s="110" t="s">
        <v>2663</v>
      </c>
      <c r="H2948" s="150" t="s">
        <v>6205</v>
      </c>
      <c r="I2948" s="150" t="s">
        <v>6273</v>
      </c>
      <c r="J2948" s="150" t="s">
        <v>944</v>
      </c>
      <c r="K2948" s="221"/>
      <c r="L2948" s="135" t="str">
        <f t="shared" si="167"/>
        <v>Eptesicus serotinus</v>
      </c>
      <c r="M2948" s="133">
        <f t="shared" si="170"/>
        <v>1.3590445615568982</v>
      </c>
      <c r="N2948" s="152">
        <v>22.858333333333</v>
      </c>
      <c r="O2948" s="192"/>
      <c r="P2948" s="109">
        <v>153</v>
      </c>
    </row>
    <row r="2949" spans="1:16">
      <c r="A2949" s="212" t="s">
        <v>2594</v>
      </c>
      <c r="B2949" s="141" t="s">
        <v>2538</v>
      </c>
      <c r="C2949" s="150" t="s">
        <v>3817</v>
      </c>
      <c r="D2949" s="221"/>
      <c r="E2949" s="150"/>
      <c r="F2949" s="150"/>
      <c r="G2949" s="110" t="s">
        <v>2663</v>
      </c>
      <c r="H2949" s="150" t="s">
        <v>6205</v>
      </c>
      <c r="I2949" s="150" t="s">
        <v>770</v>
      </c>
      <c r="J2949" s="150" t="s">
        <v>778</v>
      </c>
      <c r="K2949" s="221"/>
      <c r="L2949" s="135" t="str">
        <f t="shared" ref="L2949:L3012" si="171">I2949&amp;" "&amp;J2949</f>
        <v>Glischropus javanus</v>
      </c>
      <c r="M2949" s="146">
        <v>-999</v>
      </c>
      <c r="N2949" s="146">
        <v>-999</v>
      </c>
      <c r="O2949" s="183"/>
      <c r="P2949" s="109">
        <v>-999</v>
      </c>
    </row>
    <row r="2950" spans="1:16" ht="51">
      <c r="A2950" s="212" t="s">
        <v>2594</v>
      </c>
      <c r="B2950" s="141" t="s">
        <v>769</v>
      </c>
      <c r="C2950" s="150" t="s">
        <v>3817</v>
      </c>
      <c r="D2950" s="221"/>
      <c r="E2950" s="150"/>
      <c r="F2950" s="150"/>
      <c r="G2950" s="110" t="s">
        <v>2663</v>
      </c>
      <c r="H2950" s="150" t="s">
        <v>6205</v>
      </c>
      <c r="I2950" s="150" t="s">
        <v>770</v>
      </c>
      <c r="J2950" s="150" t="s">
        <v>771</v>
      </c>
      <c r="K2950" s="221"/>
      <c r="L2950" s="135" t="str">
        <f t="shared" si="171"/>
        <v>Glischropus tylopus</v>
      </c>
      <c r="M2950" s="133">
        <f>LOG(N2950)</f>
        <v>0.63848925695463732</v>
      </c>
      <c r="N2950" s="152">
        <f>AVERAGE(3.2, 5.5)</f>
        <v>4.3499999999999996</v>
      </c>
      <c r="O2950" s="192"/>
      <c r="P2950" s="109">
        <v>257</v>
      </c>
    </row>
    <row r="2951" spans="1:16" ht="51">
      <c r="A2951" s="212" t="s">
        <v>2594</v>
      </c>
      <c r="B2951" s="141" t="s">
        <v>772</v>
      </c>
      <c r="C2951" s="150" t="s">
        <v>3817</v>
      </c>
      <c r="D2951" s="221"/>
      <c r="E2951" s="150"/>
      <c r="F2951" s="150"/>
      <c r="G2951" s="110" t="s">
        <v>2663</v>
      </c>
      <c r="H2951" s="150" t="s">
        <v>6205</v>
      </c>
      <c r="I2951" s="150" t="s">
        <v>773</v>
      </c>
      <c r="J2951" s="150" t="s">
        <v>850</v>
      </c>
      <c r="K2951" s="221"/>
      <c r="L2951" s="135" t="str">
        <f t="shared" si="171"/>
        <v>Harpiocephalus harpia</v>
      </c>
      <c r="M2951" s="133">
        <f>LOG(N2951)</f>
        <v>1.2787536009528289</v>
      </c>
      <c r="N2951" s="152">
        <v>19</v>
      </c>
      <c r="O2951" s="192"/>
      <c r="P2951" s="109">
        <v>122</v>
      </c>
    </row>
    <row r="2952" spans="1:16">
      <c r="A2952" s="212" t="s">
        <v>2594</v>
      </c>
      <c r="B2952" s="141" t="s">
        <v>1166</v>
      </c>
      <c r="C2952" s="150" t="s">
        <v>3817</v>
      </c>
      <c r="D2952" s="221"/>
      <c r="E2952" s="150"/>
      <c r="F2952" s="150"/>
      <c r="G2952" s="110" t="s">
        <v>2663</v>
      </c>
      <c r="H2952" s="150" t="s">
        <v>6205</v>
      </c>
      <c r="I2952" s="150" t="s">
        <v>625</v>
      </c>
      <c r="J2952" s="150" t="s">
        <v>5401</v>
      </c>
      <c r="K2952" s="221"/>
      <c r="L2952" s="135" t="str">
        <f t="shared" si="171"/>
        <v>Hesperoptenus doriae</v>
      </c>
      <c r="M2952" s="146">
        <v>-999</v>
      </c>
      <c r="N2952" s="146">
        <v>-999</v>
      </c>
      <c r="O2952" s="183"/>
      <c r="P2952" s="109">
        <v>-999</v>
      </c>
    </row>
    <row r="2953" spans="1:16">
      <c r="A2953" s="212" t="s">
        <v>2594</v>
      </c>
      <c r="B2953" s="141" t="s">
        <v>2540</v>
      </c>
      <c r="C2953" s="150" t="s">
        <v>3817</v>
      </c>
      <c r="D2953" s="221"/>
      <c r="E2953" s="150"/>
      <c r="F2953" s="150"/>
      <c r="G2953" s="110" t="s">
        <v>2663</v>
      </c>
      <c r="H2953" s="150" t="s">
        <v>6205</v>
      </c>
      <c r="I2953" s="150" t="s">
        <v>625</v>
      </c>
      <c r="J2953" s="150" t="s">
        <v>1167</v>
      </c>
      <c r="K2953" s="221"/>
      <c r="L2953" s="135" t="str">
        <f t="shared" si="171"/>
        <v>Hesperoptenus gaskelli</v>
      </c>
      <c r="M2953" s="146">
        <v>-999</v>
      </c>
      <c r="N2953" s="146">
        <v>-999</v>
      </c>
      <c r="O2953" s="183"/>
      <c r="P2953" s="109">
        <v>-999</v>
      </c>
    </row>
    <row r="2954" spans="1:16">
      <c r="A2954" s="212" t="s">
        <v>2594</v>
      </c>
      <c r="B2954" s="141" t="s">
        <v>2847</v>
      </c>
      <c r="C2954" s="150" t="s">
        <v>3817</v>
      </c>
      <c r="D2954" s="221"/>
      <c r="E2954" s="150"/>
      <c r="F2954" s="150"/>
      <c r="G2954" s="110" t="s">
        <v>2663</v>
      </c>
      <c r="H2954" s="150" t="s">
        <v>6205</v>
      </c>
      <c r="I2954" s="150" t="s">
        <v>625</v>
      </c>
      <c r="J2954" s="150" t="s">
        <v>1062</v>
      </c>
      <c r="K2954" s="221"/>
      <c r="L2954" s="135" t="str">
        <f t="shared" si="171"/>
        <v>Hesperoptenus tomesi</v>
      </c>
      <c r="M2954" s="146">
        <v>-999</v>
      </c>
      <c r="N2954" s="146">
        <v>-999</v>
      </c>
      <c r="O2954" s="183"/>
      <c r="P2954" s="109">
        <v>-999</v>
      </c>
    </row>
    <row r="2955" spans="1:16" ht="25.5">
      <c r="A2955" s="212" t="s">
        <v>2594</v>
      </c>
      <c r="B2955" s="141" t="s">
        <v>624</v>
      </c>
      <c r="C2955" s="150" t="s">
        <v>3817</v>
      </c>
      <c r="D2955" s="221"/>
      <c r="E2955" s="150"/>
      <c r="F2955" s="150"/>
      <c r="G2955" s="110" t="s">
        <v>2663</v>
      </c>
      <c r="H2955" s="150" t="s">
        <v>6205</v>
      </c>
      <c r="I2955" s="150" t="s">
        <v>625</v>
      </c>
      <c r="J2955" s="150" t="s">
        <v>6452</v>
      </c>
      <c r="K2955" s="221"/>
      <c r="L2955" s="135" t="str">
        <f t="shared" si="171"/>
        <v>Hesperoptenus blanfordi</v>
      </c>
      <c r="M2955" s="133">
        <f>LOG(N2955)</f>
        <v>0.79588001734407521</v>
      </c>
      <c r="N2955" s="152">
        <f>AVERAGE(6.1, 6.4)</f>
        <v>6.25</v>
      </c>
      <c r="O2955" s="192"/>
      <c r="P2955" s="109">
        <v>257</v>
      </c>
    </row>
    <row r="2956" spans="1:16" ht="51">
      <c r="A2956" s="212" t="s">
        <v>2594</v>
      </c>
      <c r="B2956" s="141" t="s">
        <v>938</v>
      </c>
      <c r="C2956" s="150" t="s">
        <v>3817</v>
      </c>
      <c r="D2956" s="221"/>
      <c r="E2956" s="150"/>
      <c r="F2956" s="150"/>
      <c r="G2956" s="110" t="s">
        <v>2663</v>
      </c>
      <c r="H2956" s="150" t="s">
        <v>6205</v>
      </c>
      <c r="I2956" s="150" t="s">
        <v>625</v>
      </c>
      <c r="J2956" s="150" t="s">
        <v>871</v>
      </c>
      <c r="K2956" s="221"/>
      <c r="L2956" s="135" t="str">
        <f t="shared" si="171"/>
        <v>Hesperoptenus tickelli</v>
      </c>
      <c r="M2956" s="133">
        <f>LOG(N2956)</f>
        <v>1.2121876044039579</v>
      </c>
      <c r="N2956" s="152">
        <v>16.3</v>
      </c>
      <c r="O2956" s="192"/>
      <c r="P2956" s="109">
        <v>153</v>
      </c>
    </row>
    <row r="2957" spans="1:16" ht="38.25">
      <c r="A2957" s="212" t="s">
        <v>2594</v>
      </c>
      <c r="B2957" s="141" t="s">
        <v>673</v>
      </c>
      <c r="C2957" s="150" t="s">
        <v>3817</v>
      </c>
      <c r="D2957" s="221"/>
      <c r="E2957" s="150"/>
      <c r="F2957" s="150"/>
      <c r="G2957" s="110" t="s">
        <v>2663</v>
      </c>
      <c r="H2957" s="148" t="s">
        <v>6205</v>
      </c>
      <c r="I2957" s="150" t="s">
        <v>1138</v>
      </c>
      <c r="J2957" s="150" t="s">
        <v>674</v>
      </c>
      <c r="K2957" s="221"/>
      <c r="L2957" s="135" t="str">
        <f t="shared" si="171"/>
        <v>Kerivoula agnella</v>
      </c>
      <c r="M2957" s="146">
        <v>-999</v>
      </c>
      <c r="N2957" s="146">
        <v>-999</v>
      </c>
      <c r="O2957" s="183"/>
      <c r="P2957" s="109">
        <v>-999</v>
      </c>
    </row>
    <row r="2958" spans="1:16" ht="25.5">
      <c r="A2958" s="212" t="s">
        <v>2594</v>
      </c>
      <c r="B2958" s="141" t="s">
        <v>903</v>
      </c>
      <c r="C2958" s="150" t="s">
        <v>3817</v>
      </c>
      <c r="D2958" s="221"/>
      <c r="E2958" s="150"/>
      <c r="F2958" s="150"/>
      <c r="G2958" s="110" t="s">
        <v>2663</v>
      </c>
      <c r="H2958" s="150" t="s">
        <v>6205</v>
      </c>
      <c r="I2958" s="150" t="s">
        <v>1138</v>
      </c>
      <c r="J2958" s="150" t="s">
        <v>666</v>
      </c>
      <c r="K2958" s="221"/>
      <c r="L2958" s="135" t="str">
        <f t="shared" si="171"/>
        <v>Kerivoula myrella</v>
      </c>
      <c r="M2958" s="146">
        <v>-999</v>
      </c>
      <c r="N2958" s="146">
        <v>-999</v>
      </c>
      <c r="O2958" s="183"/>
      <c r="P2958" s="109">
        <v>-999</v>
      </c>
    </row>
    <row r="2959" spans="1:16" ht="25.5">
      <c r="A2959" s="212" t="s">
        <v>2594</v>
      </c>
      <c r="B2959" s="141" t="s">
        <v>838</v>
      </c>
      <c r="C2959" s="150" t="s">
        <v>3817</v>
      </c>
      <c r="D2959" s="221"/>
      <c r="E2959" s="150"/>
      <c r="F2959" s="150"/>
      <c r="G2959" s="110" t="s">
        <v>2663</v>
      </c>
      <c r="H2959" s="150" t="s">
        <v>6205</v>
      </c>
      <c r="I2959" s="150" t="s">
        <v>1138</v>
      </c>
      <c r="J2959" s="150" t="s">
        <v>5124</v>
      </c>
      <c r="K2959" s="221"/>
      <c r="L2959" s="135" t="str">
        <f t="shared" si="171"/>
        <v>Kerivoula minuta</v>
      </c>
      <c r="M2959" s="133">
        <f t="shared" ref="M2959:M2977" si="172">LOG(N2959)</f>
        <v>0.32221929473391919</v>
      </c>
      <c r="N2959" s="152">
        <f>AVERAGE(1.9, 2.3)</f>
        <v>2.0999999999999996</v>
      </c>
      <c r="O2959" s="192"/>
      <c r="P2959" s="109">
        <v>257</v>
      </c>
    </row>
    <row r="2960" spans="1:16">
      <c r="A2960" s="212" t="s">
        <v>2594</v>
      </c>
      <c r="B2960" s="141" t="s">
        <v>902</v>
      </c>
      <c r="C2960" s="150" t="s">
        <v>3817</v>
      </c>
      <c r="D2960" s="221"/>
      <c r="E2960" s="150"/>
      <c r="F2960" s="150"/>
      <c r="G2960" s="110" t="s">
        <v>2663</v>
      </c>
      <c r="H2960" s="150" t="s">
        <v>6205</v>
      </c>
      <c r="I2960" s="150" t="s">
        <v>1138</v>
      </c>
      <c r="J2960" s="150" t="s">
        <v>514</v>
      </c>
      <c r="K2960" s="221"/>
      <c r="L2960" s="135" t="str">
        <f t="shared" si="171"/>
        <v>Kerivoula intermedia</v>
      </c>
      <c r="M2960" s="146">
        <f t="shared" si="172"/>
        <v>0.5502283530550941</v>
      </c>
      <c r="N2960" s="146">
        <f>AVERAGE(2.6, 4.5)</f>
        <v>3.55</v>
      </c>
      <c r="O2960" s="183"/>
      <c r="P2960" s="109">
        <v>257</v>
      </c>
    </row>
    <row r="2961" spans="1:16" ht="25.5">
      <c r="A2961" s="212" t="s">
        <v>2594</v>
      </c>
      <c r="B2961" s="141" t="s">
        <v>2891</v>
      </c>
      <c r="C2961" s="150" t="s">
        <v>3817</v>
      </c>
      <c r="D2961" s="221"/>
      <c r="E2961" s="150"/>
      <c r="F2961" s="150"/>
      <c r="G2961" s="110" t="s">
        <v>2663</v>
      </c>
      <c r="H2961" s="150" t="s">
        <v>6205</v>
      </c>
      <c r="I2961" s="150" t="s">
        <v>1138</v>
      </c>
      <c r="J2961" s="150" t="s">
        <v>3013</v>
      </c>
      <c r="K2961" s="221"/>
      <c r="L2961" s="135" t="str">
        <f t="shared" si="171"/>
        <v>Kerivoula atrox</v>
      </c>
      <c r="M2961" s="133">
        <f t="shared" si="172"/>
        <v>0.57978359661681012</v>
      </c>
      <c r="N2961" s="152">
        <f>AVERAGE(2.6, 5)</f>
        <v>3.8</v>
      </c>
      <c r="O2961" s="192"/>
      <c r="P2961" s="109">
        <v>257</v>
      </c>
    </row>
    <row r="2962" spans="1:16" ht="25.5">
      <c r="A2962" s="212" t="s">
        <v>2594</v>
      </c>
      <c r="B2962" s="141" t="s">
        <v>1384</v>
      </c>
      <c r="C2962" s="150" t="s">
        <v>3817</v>
      </c>
      <c r="D2962" s="221"/>
      <c r="E2962" s="150"/>
      <c r="F2962" s="150"/>
      <c r="G2962" s="110" t="s">
        <v>2663</v>
      </c>
      <c r="H2962" s="150" t="s">
        <v>6205</v>
      </c>
      <c r="I2962" s="150" t="s">
        <v>1138</v>
      </c>
      <c r="J2962" s="150" t="s">
        <v>2852</v>
      </c>
      <c r="K2962" s="221"/>
      <c r="L2962" s="135" t="str">
        <f t="shared" si="171"/>
        <v>Kerivoula pellucida</v>
      </c>
      <c r="M2962" s="133">
        <f t="shared" si="172"/>
        <v>0.61804809671209271</v>
      </c>
      <c r="N2962" s="152">
        <f>AVERAGE(3.5, 4.8)</f>
        <v>4.1500000000000004</v>
      </c>
      <c r="O2962" s="192"/>
      <c r="P2962" s="109">
        <v>257</v>
      </c>
    </row>
    <row r="2963" spans="1:16" ht="102">
      <c r="A2963" s="212" t="s">
        <v>2594</v>
      </c>
      <c r="B2963" s="141" t="s">
        <v>916</v>
      </c>
      <c r="C2963" s="150" t="s">
        <v>3817</v>
      </c>
      <c r="D2963" s="221"/>
      <c r="E2963" s="150"/>
      <c r="F2963" s="150"/>
      <c r="G2963" s="110" t="s">
        <v>2663</v>
      </c>
      <c r="H2963" s="150" t="s">
        <v>6205</v>
      </c>
      <c r="I2963" s="150" t="s">
        <v>1138</v>
      </c>
      <c r="J2963" s="150" t="s">
        <v>2701</v>
      </c>
      <c r="K2963" s="221"/>
      <c r="L2963" s="135" t="str">
        <f t="shared" si="171"/>
        <v>Kerivoula hardwickei</v>
      </c>
      <c r="M2963" s="133">
        <f t="shared" si="172"/>
        <v>0.62838893005031149</v>
      </c>
      <c r="N2963" s="152">
        <f>AVERAGE(4, 4.5)</f>
        <v>4.25</v>
      </c>
      <c r="O2963" s="192"/>
      <c r="P2963" s="109">
        <v>122</v>
      </c>
    </row>
    <row r="2964" spans="1:16" ht="63.75">
      <c r="A2964" s="212" t="s">
        <v>2594</v>
      </c>
      <c r="B2964" s="141" t="s">
        <v>1033</v>
      </c>
      <c r="C2964" s="150" t="s">
        <v>3817</v>
      </c>
      <c r="D2964" s="221"/>
      <c r="E2964" s="150"/>
      <c r="F2964" s="150"/>
      <c r="G2964" s="110" t="s">
        <v>2663</v>
      </c>
      <c r="H2964" s="150" t="s">
        <v>6205</v>
      </c>
      <c r="I2964" s="150" t="s">
        <v>1138</v>
      </c>
      <c r="J2964" s="150" t="s">
        <v>5451</v>
      </c>
      <c r="K2964" s="221"/>
      <c r="L2964" s="135" t="str">
        <f t="shared" si="171"/>
        <v>Kerivoula picta</v>
      </c>
      <c r="M2964" s="133">
        <f t="shared" si="172"/>
        <v>0.65321251377534373</v>
      </c>
      <c r="N2964" s="152">
        <v>4.5</v>
      </c>
      <c r="O2964" s="192"/>
      <c r="P2964" s="109">
        <v>153</v>
      </c>
    </row>
    <row r="2965" spans="1:16" ht="25.5">
      <c r="A2965" s="212" t="s">
        <v>2594</v>
      </c>
      <c r="B2965" s="141" t="s">
        <v>832</v>
      </c>
      <c r="C2965" s="150" t="s">
        <v>3817</v>
      </c>
      <c r="D2965" s="221"/>
      <c r="E2965" s="150"/>
      <c r="F2965" s="150"/>
      <c r="G2965" s="110" t="s">
        <v>2663</v>
      </c>
      <c r="H2965" s="150" t="s">
        <v>6205</v>
      </c>
      <c r="I2965" s="150" t="s">
        <v>1138</v>
      </c>
      <c r="J2965" s="150" t="s">
        <v>5495</v>
      </c>
      <c r="K2965" s="221"/>
      <c r="L2965" s="135" t="str">
        <f t="shared" si="171"/>
        <v>Kerivoula whiteheadi</v>
      </c>
      <c r="M2965" s="133">
        <f t="shared" si="172"/>
        <v>0.66275783168157409</v>
      </c>
      <c r="N2965" s="152">
        <f>AVERAGE(3, 6.2)</f>
        <v>4.5999999999999996</v>
      </c>
      <c r="O2965" s="192"/>
      <c r="P2965" s="109">
        <v>257</v>
      </c>
    </row>
    <row r="2966" spans="1:16" ht="51">
      <c r="A2966" s="212" t="s">
        <v>2594</v>
      </c>
      <c r="B2966" s="141" t="s">
        <v>2849</v>
      </c>
      <c r="C2966" s="150" t="s">
        <v>3817</v>
      </c>
      <c r="D2966" s="221"/>
      <c r="E2966" s="150"/>
      <c r="F2966" s="150"/>
      <c r="G2966" s="110" t="s">
        <v>2663</v>
      </c>
      <c r="H2966" s="150" t="s">
        <v>6205</v>
      </c>
      <c r="I2966" s="150" t="s">
        <v>1138</v>
      </c>
      <c r="J2966" s="150" t="s">
        <v>2020</v>
      </c>
      <c r="K2966" s="221"/>
      <c r="L2966" s="135" t="str">
        <f t="shared" si="171"/>
        <v>Kerivoula jagori</v>
      </c>
      <c r="M2966" s="133">
        <f t="shared" si="172"/>
        <v>0.66745295288995399</v>
      </c>
      <c r="N2966" s="152">
        <v>4.6500000000000004</v>
      </c>
      <c r="O2966" s="192"/>
      <c r="P2966" s="109">
        <v>153</v>
      </c>
    </row>
    <row r="2967" spans="1:16">
      <c r="A2967" s="212" t="s">
        <v>2594</v>
      </c>
      <c r="B2967" s="141" t="s">
        <v>1184</v>
      </c>
      <c r="C2967" s="150" t="s">
        <v>3817</v>
      </c>
      <c r="D2967" s="221"/>
      <c r="E2967" s="150"/>
      <c r="F2967" s="150"/>
      <c r="G2967" s="110" t="s">
        <v>2663</v>
      </c>
      <c r="H2967" s="150" t="s">
        <v>6205</v>
      </c>
      <c r="I2967" s="150" t="s">
        <v>1138</v>
      </c>
      <c r="J2967" s="150" t="s">
        <v>1622</v>
      </c>
      <c r="K2967" s="221"/>
      <c r="L2967" s="135" t="str">
        <f t="shared" si="171"/>
        <v>Kerivoula muscina</v>
      </c>
      <c r="M2967" s="133">
        <f t="shared" si="172"/>
        <v>0.71180722904119109</v>
      </c>
      <c r="N2967" s="152">
        <v>5.15</v>
      </c>
      <c r="O2967" s="192"/>
      <c r="P2967" s="109">
        <v>153</v>
      </c>
    </row>
    <row r="2968" spans="1:16" ht="25.5">
      <c r="A2968" s="212" t="s">
        <v>2594</v>
      </c>
      <c r="B2968" s="141" t="s">
        <v>1318</v>
      </c>
      <c r="C2968" s="150" t="s">
        <v>3817</v>
      </c>
      <c r="D2968" s="221"/>
      <c r="E2968" s="150"/>
      <c r="F2968" s="150"/>
      <c r="G2968" s="110" t="s">
        <v>2663</v>
      </c>
      <c r="H2968" s="148" t="s">
        <v>6205</v>
      </c>
      <c r="I2968" s="150" t="s">
        <v>1138</v>
      </c>
      <c r="J2968" s="150" t="s">
        <v>1319</v>
      </c>
      <c r="K2968" s="221"/>
      <c r="L2968" s="135" t="str">
        <f t="shared" si="171"/>
        <v>Kerivoula flora</v>
      </c>
      <c r="M2968" s="133">
        <f t="shared" si="172"/>
        <v>0.77451696572854956</v>
      </c>
      <c r="N2968" s="152">
        <v>5.95</v>
      </c>
      <c r="O2968" s="192"/>
      <c r="P2968" s="109">
        <v>153</v>
      </c>
    </row>
    <row r="2969" spans="1:16" ht="38.25">
      <c r="A2969" s="212" t="s">
        <v>2594</v>
      </c>
      <c r="B2969" s="141" t="s">
        <v>2832</v>
      </c>
      <c r="C2969" s="150" t="s">
        <v>3817</v>
      </c>
      <c r="D2969" s="221"/>
      <c r="E2969" s="150"/>
      <c r="F2969" s="150"/>
      <c r="G2969" s="110" t="s">
        <v>2663</v>
      </c>
      <c r="H2969" s="150" t="s">
        <v>6205</v>
      </c>
      <c r="I2969" s="150" t="s">
        <v>1138</v>
      </c>
      <c r="J2969" s="150" t="s">
        <v>5532</v>
      </c>
      <c r="K2969" s="221"/>
      <c r="L2969" s="135" t="str">
        <f t="shared" si="171"/>
        <v>Kerivoula papuensis</v>
      </c>
      <c r="M2969" s="133">
        <f t="shared" si="172"/>
        <v>0.79239168949825389</v>
      </c>
      <c r="N2969" s="152">
        <v>6.2</v>
      </c>
      <c r="O2969" s="192"/>
      <c r="P2969" s="109">
        <v>153</v>
      </c>
    </row>
    <row r="2970" spans="1:16" ht="38.25">
      <c r="A2970" s="212" t="s">
        <v>2594</v>
      </c>
      <c r="B2970" s="141" t="s">
        <v>905</v>
      </c>
      <c r="C2970" s="150" t="s">
        <v>3817</v>
      </c>
      <c r="D2970" s="221"/>
      <c r="E2970" s="150"/>
      <c r="F2970" s="150"/>
      <c r="G2970" s="110" t="s">
        <v>2663</v>
      </c>
      <c r="H2970" s="150" t="s">
        <v>6205</v>
      </c>
      <c r="I2970" s="150" t="s">
        <v>1138</v>
      </c>
      <c r="J2970" s="150" t="s">
        <v>906</v>
      </c>
      <c r="K2970" s="221"/>
      <c r="L2970" s="135" t="str">
        <f t="shared" si="171"/>
        <v>Kerivoula papillosa</v>
      </c>
      <c r="M2970" s="133">
        <f t="shared" si="172"/>
        <v>0.97772360528884772</v>
      </c>
      <c r="N2970" s="152">
        <f>AVERAGE(6, 13)</f>
        <v>9.5</v>
      </c>
      <c r="O2970" s="192"/>
      <c r="P2970" s="109">
        <v>257</v>
      </c>
    </row>
    <row r="2971" spans="1:16" ht="51">
      <c r="A2971" s="212" t="s">
        <v>2594</v>
      </c>
      <c r="B2971" s="141" t="s">
        <v>888</v>
      </c>
      <c r="C2971" s="150" t="s">
        <v>3817</v>
      </c>
      <c r="D2971" s="221"/>
      <c r="E2971" s="150"/>
      <c r="F2971" s="150"/>
      <c r="G2971" s="110" t="s">
        <v>2663</v>
      </c>
      <c r="H2971" s="150" t="s">
        <v>6205</v>
      </c>
      <c r="I2971" s="150" t="s">
        <v>889</v>
      </c>
      <c r="J2971" s="150" t="s">
        <v>133</v>
      </c>
      <c r="K2971" s="221"/>
      <c r="L2971" s="135" t="str">
        <f t="shared" si="171"/>
        <v>Lasionycteris noctivagans</v>
      </c>
      <c r="M2971" s="133">
        <f t="shared" si="172"/>
        <v>1.0193759583064697</v>
      </c>
      <c r="N2971" s="152">
        <v>10.456250000000001</v>
      </c>
      <c r="O2971" s="192"/>
      <c r="P2971" s="109">
        <v>153</v>
      </c>
    </row>
    <row r="2972" spans="1:16" ht="51">
      <c r="A2972" s="212" t="s">
        <v>2594</v>
      </c>
      <c r="B2972" s="141" t="s">
        <v>1017</v>
      </c>
      <c r="C2972" s="150" t="s">
        <v>3817</v>
      </c>
      <c r="D2972" s="221"/>
      <c r="E2972" s="150"/>
      <c r="F2972" s="150"/>
      <c r="G2972" s="110" t="s">
        <v>2663</v>
      </c>
      <c r="H2972" s="148" t="s">
        <v>6205</v>
      </c>
      <c r="I2972" s="150" t="s">
        <v>1018</v>
      </c>
      <c r="J2972" s="150" t="s">
        <v>1019</v>
      </c>
      <c r="K2972" s="221"/>
      <c r="L2972" s="135" t="str">
        <f t="shared" si="171"/>
        <v>Lasiurus seminolus</v>
      </c>
      <c r="M2972" s="133">
        <f t="shared" si="172"/>
        <v>0.99508649650573289</v>
      </c>
      <c r="N2972" s="152">
        <v>9.8874999999999993</v>
      </c>
      <c r="O2972" s="192"/>
      <c r="P2972" s="109">
        <v>153</v>
      </c>
    </row>
    <row r="2973" spans="1:16" ht="89.25">
      <c r="A2973" s="212" t="s">
        <v>2594</v>
      </c>
      <c r="B2973" s="141" t="s">
        <v>1115</v>
      </c>
      <c r="C2973" s="150" t="s">
        <v>3817</v>
      </c>
      <c r="D2973" s="221"/>
      <c r="E2973" s="150"/>
      <c r="F2973" s="150"/>
      <c r="G2973" s="110" t="s">
        <v>2663</v>
      </c>
      <c r="H2973" s="150" t="s">
        <v>6205</v>
      </c>
      <c r="I2973" s="150" t="s">
        <v>1018</v>
      </c>
      <c r="J2973" s="150" t="s">
        <v>4627</v>
      </c>
      <c r="K2973" s="221"/>
      <c r="L2973" s="135" t="str">
        <f t="shared" si="171"/>
        <v>Lasiurus borealis</v>
      </c>
      <c r="M2973" s="133">
        <f t="shared" si="172"/>
        <v>1.0309031768392987</v>
      </c>
      <c r="N2973" s="152">
        <v>10.737500000000001</v>
      </c>
      <c r="O2973" s="192"/>
      <c r="P2973" s="109">
        <v>153</v>
      </c>
    </row>
    <row r="2974" spans="1:16" ht="51">
      <c r="A2974" s="212" t="s">
        <v>2594</v>
      </c>
      <c r="B2974" s="141" t="s">
        <v>891</v>
      </c>
      <c r="C2974" s="150" t="s">
        <v>3817</v>
      </c>
      <c r="D2974" s="221"/>
      <c r="E2974" s="150"/>
      <c r="F2974" s="150"/>
      <c r="G2974" s="110" t="s">
        <v>2663</v>
      </c>
      <c r="H2974" s="150" t="s">
        <v>6205</v>
      </c>
      <c r="I2974" s="150" t="s">
        <v>1018</v>
      </c>
      <c r="J2974" s="150" t="s">
        <v>4877</v>
      </c>
      <c r="K2974" s="221"/>
      <c r="L2974" s="135" t="str">
        <f t="shared" si="171"/>
        <v>Lasiurus ega</v>
      </c>
      <c r="M2974" s="133">
        <f t="shared" si="172"/>
        <v>1.1205739312058498</v>
      </c>
      <c r="N2974" s="152">
        <v>13.2</v>
      </c>
      <c r="O2974" s="192"/>
      <c r="P2974" s="109">
        <v>153</v>
      </c>
    </row>
    <row r="2975" spans="1:16" ht="51">
      <c r="A2975" s="212" t="s">
        <v>2594</v>
      </c>
      <c r="B2975" s="141" t="s">
        <v>945</v>
      </c>
      <c r="C2975" s="150" t="s">
        <v>3817</v>
      </c>
      <c r="D2975" s="221"/>
      <c r="E2975" s="150"/>
      <c r="F2975" s="150"/>
      <c r="G2975" s="110" t="s">
        <v>2663</v>
      </c>
      <c r="H2975" s="150" t="s">
        <v>6205</v>
      </c>
      <c r="I2975" s="150" t="s">
        <v>1018</v>
      </c>
      <c r="J2975" s="150" t="s">
        <v>3587</v>
      </c>
      <c r="K2975" s="221"/>
      <c r="L2975" s="135" t="str">
        <f t="shared" si="171"/>
        <v>Lasiurus intermedius</v>
      </c>
      <c r="M2975" s="133">
        <f t="shared" si="172"/>
        <v>1.3621996388688864</v>
      </c>
      <c r="N2975" s="152">
        <v>23.024999999999999</v>
      </c>
      <c r="O2975" s="192"/>
      <c r="P2975" s="109">
        <v>153</v>
      </c>
    </row>
    <row r="2976" spans="1:16" ht="127.5">
      <c r="A2976" s="212" t="s">
        <v>2594</v>
      </c>
      <c r="B2976" s="141" t="s">
        <v>957</v>
      </c>
      <c r="C2976" s="150" t="s">
        <v>3817</v>
      </c>
      <c r="D2976" s="221"/>
      <c r="E2976" s="150"/>
      <c r="F2976" s="150"/>
      <c r="G2976" s="110" t="s">
        <v>2663</v>
      </c>
      <c r="H2976" s="148" t="s">
        <v>6205</v>
      </c>
      <c r="I2976" s="150" t="s">
        <v>1018</v>
      </c>
      <c r="J2976" s="150" t="s">
        <v>4485</v>
      </c>
      <c r="K2976" s="221"/>
      <c r="L2976" s="135" t="str">
        <f t="shared" si="171"/>
        <v>Lasiurus cinereus</v>
      </c>
      <c r="M2976" s="133">
        <f t="shared" si="172"/>
        <v>1.4027456770809181</v>
      </c>
      <c r="N2976" s="152">
        <v>25.278172727272999</v>
      </c>
      <c r="O2976" s="192"/>
      <c r="P2976" s="109">
        <v>153</v>
      </c>
    </row>
    <row r="2977" spans="1:16" ht="38.25">
      <c r="A2977" s="212" t="s">
        <v>2594</v>
      </c>
      <c r="B2977" s="141" t="s">
        <v>1204</v>
      </c>
      <c r="C2977" s="150" t="s">
        <v>3817</v>
      </c>
      <c r="D2977" s="221"/>
      <c r="E2977" s="150"/>
      <c r="F2977" s="150"/>
      <c r="G2977" s="110" t="s">
        <v>2663</v>
      </c>
      <c r="H2977" s="150" t="s">
        <v>6205</v>
      </c>
      <c r="I2977" s="150" t="s">
        <v>1205</v>
      </c>
      <c r="J2977" s="150" t="s">
        <v>2979</v>
      </c>
      <c r="K2977" s="221"/>
      <c r="L2977" s="135" t="str">
        <f t="shared" si="171"/>
        <v>Mimetillus moloneyi</v>
      </c>
      <c r="M2977" s="133">
        <f t="shared" si="172"/>
        <v>0.94448267215016868</v>
      </c>
      <c r="N2977" s="152">
        <v>8.8000000000000007</v>
      </c>
      <c r="O2977" s="192"/>
      <c r="P2977" s="109">
        <v>153</v>
      </c>
    </row>
    <row r="2978" spans="1:16" ht="25.5">
      <c r="A2978" s="212" t="s">
        <v>2594</v>
      </c>
      <c r="B2978" s="141" t="s">
        <v>934</v>
      </c>
      <c r="C2978" s="150" t="s">
        <v>3817</v>
      </c>
      <c r="D2978" s="221"/>
      <c r="E2978" s="150"/>
      <c r="F2978" s="150"/>
      <c r="G2978" s="110" t="s">
        <v>2663</v>
      </c>
      <c r="H2978" s="150" t="s">
        <v>6205</v>
      </c>
      <c r="I2978" s="150" t="s">
        <v>2729</v>
      </c>
      <c r="J2978" s="150" t="s">
        <v>935</v>
      </c>
      <c r="K2978" s="221"/>
      <c r="L2978" s="135" t="str">
        <f t="shared" si="171"/>
        <v>Miniopterus robustior</v>
      </c>
      <c r="M2978" s="146">
        <v>-999</v>
      </c>
      <c r="N2978" s="146">
        <v>-999</v>
      </c>
      <c r="O2978" s="183"/>
      <c r="P2978" s="110">
        <v>-999</v>
      </c>
    </row>
    <row r="2979" spans="1:16" ht="51">
      <c r="A2979" s="212" t="s">
        <v>2594</v>
      </c>
      <c r="B2979" s="141" t="s">
        <v>2770</v>
      </c>
      <c r="C2979" s="150" t="s">
        <v>3817</v>
      </c>
      <c r="D2979" s="221"/>
      <c r="E2979" s="150"/>
      <c r="F2979" s="150"/>
      <c r="G2979" s="110" t="s">
        <v>2663</v>
      </c>
      <c r="H2979" s="150" t="s">
        <v>6205</v>
      </c>
      <c r="I2979" s="150" t="s">
        <v>2729</v>
      </c>
      <c r="J2979" s="150" t="s">
        <v>3789</v>
      </c>
      <c r="K2979" s="221"/>
      <c r="L2979" s="135" t="str">
        <f t="shared" si="171"/>
        <v>Miniopterus australis</v>
      </c>
      <c r="M2979" s="133">
        <f t="shared" ref="M2979:M2985" si="173">LOG(N2979)</f>
        <v>0.69897000433601886</v>
      </c>
      <c r="N2979" s="152">
        <f>AVERAGE(4, 7, 4, 5)</f>
        <v>5</v>
      </c>
      <c r="O2979" s="192"/>
      <c r="P2979" s="109" t="s">
        <v>1838</v>
      </c>
    </row>
    <row r="2980" spans="1:16" ht="51">
      <c r="A2980" s="212" t="s">
        <v>2594</v>
      </c>
      <c r="B2980" s="141" t="s">
        <v>2769</v>
      </c>
      <c r="C2980" s="150" t="s">
        <v>3817</v>
      </c>
      <c r="D2980" s="221"/>
      <c r="E2980" s="150"/>
      <c r="F2980" s="150"/>
      <c r="G2980" s="110" t="s">
        <v>2663</v>
      </c>
      <c r="H2980" s="150" t="s">
        <v>6205</v>
      </c>
      <c r="I2980" s="150" t="s">
        <v>2729</v>
      </c>
      <c r="J2980" s="150" t="s">
        <v>3078</v>
      </c>
      <c r="K2980" s="221"/>
      <c r="L2980" s="135" t="str">
        <f t="shared" si="171"/>
        <v>Miniopterus minor</v>
      </c>
      <c r="M2980" s="133">
        <f t="shared" si="173"/>
        <v>0.84561474975026663</v>
      </c>
      <c r="N2980" s="152">
        <v>7.0083333333329998</v>
      </c>
      <c r="O2980" s="192"/>
      <c r="P2980" s="109">
        <v>153</v>
      </c>
    </row>
    <row r="2981" spans="1:16" ht="51">
      <c r="A2981" s="212" t="s">
        <v>2594</v>
      </c>
      <c r="B2981" s="141" t="s">
        <v>933</v>
      </c>
      <c r="C2981" s="150" t="s">
        <v>3817</v>
      </c>
      <c r="D2981" s="221"/>
      <c r="E2981" s="150"/>
      <c r="F2981" s="150"/>
      <c r="G2981" s="110" t="s">
        <v>2663</v>
      </c>
      <c r="H2981" s="150" t="s">
        <v>6205</v>
      </c>
      <c r="I2981" s="150" t="s">
        <v>2729</v>
      </c>
      <c r="J2981" s="150" t="s">
        <v>4473</v>
      </c>
      <c r="K2981" s="221"/>
      <c r="L2981" s="135" t="str">
        <f t="shared" si="171"/>
        <v>Miniopterus pusillus</v>
      </c>
      <c r="M2981" s="133">
        <f t="shared" si="173"/>
        <v>0.93512923491568223</v>
      </c>
      <c r="N2981" s="152">
        <v>8.6125000000000007</v>
      </c>
      <c r="O2981" s="192"/>
      <c r="P2981" s="109">
        <v>153</v>
      </c>
    </row>
    <row r="2982" spans="1:16" ht="127.5">
      <c r="A2982" s="212" t="s">
        <v>2594</v>
      </c>
      <c r="B2982" s="141" t="s">
        <v>1004</v>
      </c>
      <c r="C2982" s="150" t="s">
        <v>3817</v>
      </c>
      <c r="D2982" s="221"/>
      <c r="E2982" s="150"/>
      <c r="F2982" s="150"/>
      <c r="G2982" s="110" t="s">
        <v>2663</v>
      </c>
      <c r="H2982" s="150" t="s">
        <v>6205</v>
      </c>
      <c r="I2982" s="150" t="s">
        <v>2729</v>
      </c>
      <c r="J2982" s="150" t="s">
        <v>1005</v>
      </c>
      <c r="K2982" s="221"/>
      <c r="L2982" s="135" t="str">
        <f t="shared" si="171"/>
        <v>Miniopterus schreibersi</v>
      </c>
      <c r="M2982" s="133">
        <f t="shared" si="173"/>
        <v>1</v>
      </c>
      <c r="N2982" s="152">
        <v>10</v>
      </c>
      <c r="O2982" s="192"/>
      <c r="P2982" s="109">
        <v>122</v>
      </c>
    </row>
    <row r="2983" spans="1:16" ht="63.75">
      <c r="A2983" s="212" t="s">
        <v>2594</v>
      </c>
      <c r="B2983" s="141" t="s">
        <v>629</v>
      </c>
      <c r="C2983" s="150" t="s">
        <v>3817</v>
      </c>
      <c r="D2983" s="221"/>
      <c r="E2983" s="150"/>
      <c r="F2983" s="150"/>
      <c r="G2983" s="110" t="s">
        <v>2663</v>
      </c>
      <c r="H2983" s="150" t="s">
        <v>6205</v>
      </c>
      <c r="I2983" s="150" t="s">
        <v>2729</v>
      </c>
      <c r="J2983" s="150" t="s">
        <v>4847</v>
      </c>
      <c r="K2983" s="221"/>
      <c r="L2983" s="135" t="str">
        <f t="shared" si="171"/>
        <v>Miniopterus fuscus</v>
      </c>
      <c r="M2983" s="133">
        <f t="shared" si="173"/>
        <v>1.0307346169761551</v>
      </c>
      <c r="N2983" s="152">
        <v>10.733333333333</v>
      </c>
      <c r="O2983" s="192"/>
      <c r="P2983" s="109">
        <v>153</v>
      </c>
    </row>
    <row r="2984" spans="1:16" ht="38.25">
      <c r="A2984" s="212" t="s">
        <v>2594</v>
      </c>
      <c r="B2984" s="141" t="s">
        <v>1101</v>
      </c>
      <c r="C2984" s="150" t="s">
        <v>3817</v>
      </c>
      <c r="D2984" s="221"/>
      <c r="E2984" s="150"/>
      <c r="F2984" s="150"/>
      <c r="G2984" s="110" t="s">
        <v>2663</v>
      </c>
      <c r="H2984" s="150" t="s">
        <v>6205</v>
      </c>
      <c r="I2984" s="150" t="s">
        <v>2729</v>
      </c>
      <c r="J2984" s="150" t="s">
        <v>1591</v>
      </c>
      <c r="K2984" s="221"/>
      <c r="L2984" s="135" t="str">
        <f t="shared" si="171"/>
        <v>Miniopterus magnater</v>
      </c>
      <c r="M2984" s="133">
        <f t="shared" si="173"/>
        <v>1.1481911962420217</v>
      </c>
      <c r="N2984" s="152">
        <v>14.066666666667</v>
      </c>
      <c r="O2984" s="192"/>
      <c r="P2984" s="110">
        <v>153</v>
      </c>
    </row>
    <row r="2985" spans="1:16" ht="51">
      <c r="A2985" s="212" t="s">
        <v>2594</v>
      </c>
      <c r="B2985" s="141" t="s">
        <v>2879</v>
      </c>
      <c r="C2985" s="150" t="s">
        <v>3817</v>
      </c>
      <c r="D2985" s="221"/>
      <c r="E2985" s="150"/>
      <c r="F2985" s="150"/>
      <c r="G2985" s="110" t="s">
        <v>2663</v>
      </c>
      <c r="H2985" s="150" t="s">
        <v>6205</v>
      </c>
      <c r="I2985" s="150" t="s">
        <v>2729</v>
      </c>
      <c r="J2985" s="150" t="s">
        <v>774</v>
      </c>
      <c r="K2985" s="221"/>
      <c r="L2985" s="135" t="str">
        <f t="shared" si="171"/>
        <v>Miniopterus tristis</v>
      </c>
      <c r="M2985" s="133">
        <f t="shared" si="173"/>
        <v>1.1972805581256194</v>
      </c>
      <c r="N2985" s="152">
        <v>15.75</v>
      </c>
      <c r="O2985" s="192"/>
      <c r="P2985" s="110">
        <v>153</v>
      </c>
    </row>
    <row r="2986" spans="1:16" ht="25.5">
      <c r="A2986" s="212" t="s">
        <v>2594</v>
      </c>
      <c r="B2986" s="141" t="s">
        <v>1387</v>
      </c>
      <c r="C2986" s="150" t="s">
        <v>3817</v>
      </c>
      <c r="D2986" s="221"/>
      <c r="E2986" s="150"/>
      <c r="F2986" s="150"/>
      <c r="G2986" s="110" t="s">
        <v>2663</v>
      </c>
      <c r="H2986" s="150" t="s">
        <v>6205</v>
      </c>
      <c r="I2986" s="150" t="s">
        <v>1485</v>
      </c>
      <c r="J2986" s="150" t="s">
        <v>1388</v>
      </c>
      <c r="K2986" s="221"/>
      <c r="L2986" s="135" t="str">
        <f t="shared" si="171"/>
        <v>Murina silvatica</v>
      </c>
      <c r="M2986" s="146">
        <v>-999</v>
      </c>
      <c r="N2986" s="146">
        <v>-999</v>
      </c>
      <c r="O2986" s="183"/>
      <c r="P2986" s="110">
        <v>-999</v>
      </c>
    </row>
    <row r="2987" spans="1:16" ht="38.25">
      <c r="A2987" s="212" t="s">
        <v>2594</v>
      </c>
      <c r="B2987" s="141" t="s">
        <v>1389</v>
      </c>
      <c r="C2987" s="148" t="s">
        <v>3817</v>
      </c>
      <c r="D2987" s="223"/>
      <c r="E2987" s="148"/>
      <c r="F2987" s="148"/>
      <c r="G2987" s="109" t="s">
        <v>2663</v>
      </c>
      <c r="H2987" s="150" t="s">
        <v>6205</v>
      </c>
      <c r="I2987" s="148" t="s">
        <v>1485</v>
      </c>
      <c r="J2987" s="148" t="s">
        <v>1390</v>
      </c>
      <c r="K2987" s="223"/>
      <c r="L2987" s="135" t="str">
        <f t="shared" si="171"/>
        <v>Murina tenebrosa</v>
      </c>
      <c r="M2987" s="146">
        <v>-999</v>
      </c>
      <c r="N2987" s="151">
        <v>-999</v>
      </c>
      <c r="O2987" s="183"/>
      <c r="P2987" s="110">
        <v>-999</v>
      </c>
    </row>
    <row r="2988" spans="1:16" ht="38.25">
      <c r="A2988" s="212" t="s">
        <v>2594</v>
      </c>
      <c r="B2988" s="141" t="s">
        <v>2920</v>
      </c>
      <c r="C2988" s="150" t="s">
        <v>3817</v>
      </c>
      <c r="D2988" s="221"/>
      <c r="E2988" s="150"/>
      <c r="F2988" s="150"/>
      <c r="G2988" s="110" t="s">
        <v>2663</v>
      </c>
      <c r="H2988" s="150" t="s">
        <v>6205</v>
      </c>
      <c r="I2988" s="150" t="s">
        <v>1485</v>
      </c>
      <c r="J2988" s="150" t="s">
        <v>2921</v>
      </c>
      <c r="K2988" s="221"/>
      <c r="L2988" s="135" t="str">
        <f t="shared" si="171"/>
        <v>Murina ussuriensis</v>
      </c>
      <c r="M2988" s="146">
        <v>-999</v>
      </c>
      <c r="N2988" s="146">
        <v>-999</v>
      </c>
      <c r="O2988" s="183"/>
      <c r="P2988" s="110">
        <v>-999</v>
      </c>
    </row>
    <row r="2989" spans="1:16" ht="38.25">
      <c r="A2989" s="212" t="s">
        <v>2594</v>
      </c>
      <c r="B2989" s="141" t="s">
        <v>2980</v>
      </c>
      <c r="C2989" s="150" t="s">
        <v>3817</v>
      </c>
      <c r="D2989" s="221"/>
      <c r="E2989" s="150"/>
      <c r="F2989" s="150"/>
      <c r="G2989" s="110" t="s">
        <v>2663</v>
      </c>
      <c r="H2989" s="150" t="s">
        <v>6205</v>
      </c>
      <c r="I2989" s="150" t="s">
        <v>1485</v>
      </c>
      <c r="J2989" s="150" t="s">
        <v>1148</v>
      </c>
      <c r="K2989" s="221"/>
      <c r="L2989" s="135" t="str">
        <f t="shared" si="171"/>
        <v>Murina suilla</v>
      </c>
      <c r="M2989" s="133">
        <f t="shared" ref="M2989:M2994" si="174">LOG(N2989)</f>
        <v>0.51188336097887432</v>
      </c>
      <c r="N2989" s="152">
        <f>AVERAGE(3, 3.5)</f>
        <v>3.25</v>
      </c>
      <c r="O2989" s="192"/>
      <c r="P2989" s="110">
        <v>257</v>
      </c>
    </row>
    <row r="2990" spans="1:16" ht="38.25">
      <c r="A2990" s="212" t="s">
        <v>2594</v>
      </c>
      <c r="B2990" s="141" t="s">
        <v>1072</v>
      </c>
      <c r="C2990" s="150" t="s">
        <v>3817</v>
      </c>
      <c r="D2990" s="221"/>
      <c r="E2990" s="150"/>
      <c r="F2990" s="150"/>
      <c r="G2990" s="110" t="s">
        <v>2663</v>
      </c>
      <c r="H2990" s="150" t="s">
        <v>6205</v>
      </c>
      <c r="I2990" s="150" t="s">
        <v>1485</v>
      </c>
      <c r="J2990" s="150" t="s">
        <v>1486</v>
      </c>
      <c r="K2990" s="221"/>
      <c r="L2990" s="135" t="str">
        <f t="shared" si="171"/>
        <v>Murina florium</v>
      </c>
      <c r="M2990" s="133">
        <f t="shared" si="174"/>
        <v>0.62838893005031149</v>
      </c>
      <c r="N2990" s="152">
        <v>4.25</v>
      </c>
      <c r="O2990" s="192"/>
      <c r="P2990" s="110">
        <v>153</v>
      </c>
    </row>
    <row r="2991" spans="1:16">
      <c r="A2991" s="212" t="s">
        <v>2594</v>
      </c>
      <c r="B2991" s="141" t="s">
        <v>2109</v>
      </c>
      <c r="C2991" s="150" t="s">
        <v>3817</v>
      </c>
      <c r="D2991" s="221"/>
      <c r="E2991" s="150"/>
      <c r="F2991" s="150"/>
      <c r="G2991" s="110" t="s">
        <v>2663</v>
      </c>
      <c r="H2991" s="150" t="s">
        <v>6205</v>
      </c>
      <c r="I2991" s="150" t="s">
        <v>1485</v>
      </c>
      <c r="J2991" s="150" t="s">
        <v>843</v>
      </c>
      <c r="K2991" s="221"/>
      <c r="L2991" s="135" t="str">
        <f t="shared" si="171"/>
        <v>Murina rozendaali</v>
      </c>
      <c r="M2991" s="146">
        <f t="shared" si="174"/>
        <v>0.65801139665711239</v>
      </c>
      <c r="N2991" s="151">
        <f>AVERAGE(4.3, 4.8)</f>
        <v>4.55</v>
      </c>
      <c r="O2991" s="183"/>
      <c r="P2991" s="110">
        <v>257</v>
      </c>
    </row>
    <row r="2992" spans="1:16">
      <c r="A2992" s="212" t="s">
        <v>2594</v>
      </c>
      <c r="B2992" s="141" t="s">
        <v>915</v>
      </c>
      <c r="C2992" s="150" t="s">
        <v>3817</v>
      </c>
      <c r="D2992" s="221"/>
      <c r="E2992" s="150"/>
      <c r="F2992" s="150"/>
      <c r="G2992" s="110" t="s">
        <v>2663</v>
      </c>
      <c r="H2992" s="150" t="s">
        <v>6205</v>
      </c>
      <c r="I2992" s="150" t="s">
        <v>1485</v>
      </c>
      <c r="J2992" s="150" t="s">
        <v>1258</v>
      </c>
      <c r="K2992" s="221"/>
      <c r="L2992" s="135" t="str">
        <f t="shared" si="171"/>
        <v>Murina aenea</v>
      </c>
      <c r="M2992" s="133">
        <f t="shared" si="174"/>
        <v>0.86033800657099369</v>
      </c>
      <c r="N2992" s="152">
        <f>AVERAGE(6, 8.5)</f>
        <v>7.25</v>
      </c>
      <c r="O2992" s="192"/>
      <c r="P2992" s="110">
        <v>257</v>
      </c>
    </row>
    <row r="2993" spans="1:22" ht="140.25">
      <c r="A2993" s="212" t="s">
        <v>2594</v>
      </c>
      <c r="B2993" s="141" t="s">
        <v>920</v>
      </c>
      <c r="C2993" s="150" t="s">
        <v>3817</v>
      </c>
      <c r="D2993" s="221"/>
      <c r="E2993" s="150"/>
      <c r="F2993" s="150"/>
      <c r="G2993" s="110" t="s">
        <v>2663</v>
      </c>
      <c r="H2993" s="150" t="s">
        <v>6205</v>
      </c>
      <c r="I2993" s="150" t="s">
        <v>1485</v>
      </c>
      <c r="J2993" s="150" t="s">
        <v>4045</v>
      </c>
      <c r="K2993" s="221"/>
      <c r="L2993" s="135" t="str">
        <f t="shared" si="171"/>
        <v>Murina leucogaster</v>
      </c>
      <c r="M2993" s="133">
        <f t="shared" si="174"/>
        <v>0.87794695162918823</v>
      </c>
      <c r="N2993" s="152">
        <v>7.55</v>
      </c>
      <c r="O2993" s="192"/>
      <c r="P2993" s="110">
        <v>153</v>
      </c>
    </row>
    <row r="2994" spans="1:22" ht="76.5">
      <c r="A2994" s="212" t="s">
        <v>2594</v>
      </c>
      <c r="B2994" s="141" t="s">
        <v>194</v>
      </c>
      <c r="C2994" s="150" t="s">
        <v>3817</v>
      </c>
      <c r="D2994" s="221"/>
      <c r="E2994" s="150"/>
      <c r="F2994" s="150"/>
      <c r="G2994" s="110" t="s">
        <v>2663</v>
      </c>
      <c r="H2994" s="148" t="s">
        <v>6205</v>
      </c>
      <c r="I2994" s="150" t="s">
        <v>1485</v>
      </c>
      <c r="J2994" s="150" t="s">
        <v>2303</v>
      </c>
      <c r="K2994" s="221"/>
      <c r="L2994" s="135" t="str">
        <f t="shared" si="171"/>
        <v>Murina cyclotis</v>
      </c>
      <c r="M2994" s="133">
        <f t="shared" si="174"/>
        <v>0.97772360528884772</v>
      </c>
      <c r="N2994" s="157">
        <f>AVERAGE(6.5, 12, 10)</f>
        <v>9.5</v>
      </c>
      <c r="P2994" s="110" t="s">
        <v>1838</v>
      </c>
    </row>
    <row r="2995" spans="1:22" ht="25.5">
      <c r="A2995" s="212" t="s">
        <v>2594</v>
      </c>
      <c r="B2995" s="141" t="s">
        <v>795</v>
      </c>
      <c r="C2995" s="150" t="s">
        <v>3817</v>
      </c>
      <c r="D2995" s="221"/>
      <c r="E2995" s="150"/>
      <c r="F2995" s="150"/>
      <c r="G2995" s="110" t="s">
        <v>2663</v>
      </c>
      <c r="H2995" s="150" t="s">
        <v>6205</v>
      </c>
      <c r="I2995" s="150" t="s">
        <v>6206</v>
      </c>
      <c r="J2995" s="150" t="s">
        <v>796</v>
      </c>
      <c r="K2995" s="221"/>
      <c r="L2995" s="135" t="str">
        <f t="shared" si="171"/>
        <v>Myotis bombinus</v>
      </c>
      <c r="M2995" s="146">
        <v>-999</v>
      </c>
      <c r="N2995" s="146">
        <v>-999</v>
      </c>
      <c r="O2995" s="183"/>
      <c r="P2995" s="110">
        <v>-999</v>
      </c>
    </row>
    <row r="2996" spans="1:22">
      <c r="A2996" s="212" t="s">
        <v>2594</v>
      </c>
      <c r="B2996" s="141" t="s">
        <v>1084</v>
      </c>
      <c r="C2996" s="150" t="s">
        <v>3817</v>
      </c>
      <c r="D2996" s="221"/>
      <c r="E2996" s="150"/>
      <c r="F2996" s="150"/>
      <c r="G2996" s="110" t="s">
        <v>2663</v>
      </c>
      <c r="H2996" s="150" t="s">
        <v>6205</v>
      </c>
      <c r="I2996" s="150" t="s">
        <v>6206</v>
      </c>
      <c r="J2996" s="150" t="s">
        <v>1088</v>
      </c>
      <c r="K2996" s="221"/>
      <c r="L2996" s="135" t="str">
        <f t="shared" si="171"/>
        <v>Myotis dominicensis</v>
      </c>
      <c r="M2996" s="146">
        <v>-999</v>
      </c>
      <c r="N2996" s="146">
        <v>-999</v>
      </c>
      <c r="O2996" s="183"/>
      <c r="P2996" s="110">
        <v>-999</v>
      </c>
    </row>
    <row r="2997" spans="1:22">
      <c r="A2997" s="212" t="s">
        <v>2594</v>
      </c>
      <c r="B2997" s="141" t="s">
        <v>1089</v>
      </c>
      <c r="C2997" s="150" t="s">
        <v>3817</v>
      </c>
      <c r="D2997" s="221"/>
      <c r="E2997" s="150"/>
      <c r="F2997" s="150"/>
      <c r="G2997" s="110" t="s">
        <v>2663</v>
      </c>
      <c r="H2997" s="150" t="s">
        <v>6205</v>
      </c>
      <c r="I2997" s="150" t="s">
        <v>6206</v>
      </c>
      <c r="J2997" s="150" t="s">
        <v>1010</v>
      </c>
      <c r="K2997" s="221"/>
      <c r="L2997" s="135" t="str">
        <f t="shared" si="171"/>
        <v>Myotis findleyi</v>
      </c>
      <c r="M2997" s="146">
        <v>-999</v>
      </c>
      <c r="N2997" s="146">
        <v>-999</v>
      </c>
      <c r="O2997" s="183"/>
      <c r="P2997" s="110">
        <v>-999</v>
      </c>
    </row>
    <row r="2998" spans="1:22">
      <c r="A2998" s="212" t="s">
        <v>2594</v>
      </c>
      <c r="B2998" s="141" t="s">
        <v>2593</v>
      </c>
      <c r="C2998" s="150" t="s">
        <v>3817</v>
      </c>
      <c r="D2998" s="221"/>
      <c r="E2998" s="150"/>
      <c r="F2998" s="150"/>
      <c r="G2998" s="110" t="s">
        <v>2663</v>
      </c>
      <c r="H2998" s="150" t="s">
        <v>6205</v>
      </c>
      <c r="I2998" s="150" t="s">
        <v>6206</v>
      </c>
      <c r="J2998" s="150" t="s">
        <v>6207</v>
      </c>
      <c r="K2998" s="221"/>
      <c r="L2998" s="135" t="str">
        <f t="shared" si="171"/>
        <v>Myotis goudoti</v>
      </c>
      <c r="M2998" s="146">
        <v>-999</v>
      </c>
      <c r="N2998" s="146">
        <v>-999</v>
      </c>
      <c r="O2998" s="183"/>
      <c r="P2998" s="110">
        <v>-999</v>
      </c>
    </row>
    <row r="2999" spans="1:22">
      <c r="A2999" s="212" t="s">
        <v>2594</v>
      </c>
      <c r="B2999" s="141" t="s">
        <v>1090</v>
      </c>
      <c r="C2999" s="150" t="s">
        <v>3817</v>
      </c>
      <c r="D2999" s="221"/>
      <c r="E2999" s="150"/>
      <c r="F2999" s="150"/>
      <c r="G2999" s="110" t="s">
        <v>2663</v>
      </c>
      <c r="H2999" s="150" t="s">
        <v>6205</v>
      </c>
      <c r="I2999" s="150" t="s">
        <v>6206</v>
      </c>
      <c r="J2999" s="150" t="s">
        <v>6073</v>
      </c>
      <c r="K2999" s="221"/>
      <c r="L2999" s="135" t="str">
        <f t="shared" si="171"/>
        <v>Myotis hosonoi</v>
      </c>
      <c r="M2999" s="146">
        <v>-999</v>
      </c>
      <c r="N2999" s="146">
        <v>-999</v>
      </c>
      <c r="O2999" s="183"/>
      <c r="P2999" s="110">
        <v>-999</v>
      </c>
    </row>
    <row r="3000" spans="1:22" ht="76.5">
      <c r="A3000" s="212" t="s">
        <v>2594</v>
      </c>
      <c r="B3000" s="141" t="s">
        <v>225</v>
      </c>
      <c r="C3000" s="150" t="s">
        <v>3817</v>
      </c>
      <c r="D3000" s="221"/>
      <c r="E3000" s="150"/>
      <c r="F3000" s="150"/>
      <c r="G3000" s="110" t="s">
        <v>2663</v>
      </c>
      <c r="H3000" s="150" t="s">
        <v>6205</v>
      </c>
      <c r="I3000" s="150" t="s">
        <v>6206</v>
      </c>
      <c r="J3000" s="150" t="s">
        <v>226</v>
      </c>
      <c r="K3000" s="221"/>
      <c r="L3000" s="135" t="str">
        <f t="shared" si="171"/>
        <v>Myotis ikonnikovi</v>
      </c>
      <c r="M3000" s="146">
        <v>-999</v>
      </c>
      <c r="N3000" s="146">
        <v>-999</v>
      </c>
      <c r="O3000" s="183"/>
      <c r="P3000" s="110">
        <v>-999</v>
      </c>
    </row>
    <row r="3001" spans="1:22">
      <c r="A3001" s="212" t="s">
        <v>2594</v>
      </c>
      <c r="B3001" s="141" t="s">
        <v>227</v>
      </c>
      <c r="C3001" s="150" t="s">
        <v>3817</v>
      </c>
      <c r="D3001" s="221"/>
      <c r="E3001" s="150"/>
      <c r="F3001" s="150"/>
      <c r="G3001" s="110" t="s">
        <v>2663</v>
      </c>
      <c r="H3001" s="150" t="s">
        <v>6205</v>
      </c>
      <c r="I3001" s="150" t="s">
        <v>6206</v>
      </c>
      <c r="J3001" s="150" t="s">
        <v>228</v>
      </c>
      <c r="K3001" s="221"/>
      <c r="L3001" s="135" t="str">
        <f t="shared" si="171"/>
        <v>Myotis insularum</v>
      </c>
      <c r="M3001" s="146">
        <v>-999</v>
      </c>
      <c r="N3001" s="146">
        <v>-999</v>
      </c>
      <c r="O3001" s="183"/>
      <c r="P3001" s="110">
        <v>-999</v>
      </c>
    </row>
    <row r="3002" spans="1:22" ht="25.5">
      <c r="A3002" s="212" t="s">
        <v>2594</v>
      </c>
      <c r="B3002" s="141" t="s">
        <v>962</v>
      </c>
      <c r="C3002" s="150" t="s">
        <v>3817</v>
      </c>
      <c r="D3002" s="221"/>
      <c r="E3002" s="150"/>
      <c r="F3002" s="150"/>
      <c r="G3002" s="110" t="s">
        <v>2663</v>
      </c>
      <c r="H3002" s="150" t="s">
        <v>6205</v>
      </c>
      <c r="I3002" s="150" t="s">
        <v>6206</v>
      </c>
      <c r="J3002" s="150" t="s">
        <v>1035</v>
      </c>
      <c r="K3002" s="221"/>
      <c r="L3002" s="135" t="str">
        <f t="shared" si="171"/>
        <v>Myotis martiniquensis</v>
      </c>
      <c r="M3002" s="146">
        <v>-999</v>
      </c>
      <c r="N3002" s="146">
        <v>-999</v>
      </c>
      <c r="O3002" s="183"/>
      <c r="P3002" s="110">
        <v>-999</v>
      </c>
    </row>
    <row r="3003" spans="1:22">
      <c r="A3003" s="212" t="s">
        <v>2594</v>
      </c>
      <c r="B3003" s="141" t="s">
        <v>1058</v>
      </c>
      <c r="C3003" s="150" t="s">
        <v>3817</v>
      </c>
      <c r="D3003" s="221"/>
      <c r="E3003" s="150"/>
      <c r="F3003" s="150"/>
      <c r="G3003" s="110" t="s">
        <v>2663</v>
      </c>
      <c r="H3003" s="150" t="s">
        <v>6205</v>
      </c>
      <c r="I3003" s="150" t="s">
        <v>6206</v>
      </c>
      <c r="J3003" s="150" t="s">
        <v>1059</v>
      </c>
      <c r="K3003" s="221"/>
      <c r="L3003" s="135" t="str">
        <f t="shared" si="171"/>
        <v>Myotis oreias</v>
      </c>
      <c r="M3003" s="146">
        <v>-999</v>
      </c>
      <c r="N3003" s="146">
        <v>-999</v>
      </c>
      <c r="O3003" s="183"/>
      <c r="P3003" s="110">
        <v>-999</v>
      </c>
    </row>
    <row r="3004" spans="1:22">
      <c r="A3004" s="212" t="s">
        <v>2594</v>
      </c>
      <c r="B3004" s="141" t="s">
        <v>1090</v>
      </c>
      <c r="C3004" s="150" t="s">
        <v>3817</v>
      </c>
      <c r="D3004" s="221"/>
      <c r="E3004" s="150"/>
      <c r="F3004" s="150"/>
      <c r="G3004" s="110" t="s">
        <v>2663</v>
      </c>
      <c r="H3004" s="150" t="s">
        <v>6205</v>
      </c>
      <c r="I3004" s="150" t="s">
        <v>6206</v>
      </c>
      <c r="J3004" s="150" t="s">
        <v>1159</v>
      </c>
      <c r="K3004" s="221"/>
      <c r="L3004" s="135" t="str">
        <f t="shared" si="171"/>
        <v>Myotis ozensis</v>
      </c>
      <c r="M3004" s="146">
        <v>-999</v>
      </c>
      <c r="N3004" s="146">
        <v>-999</v>
      </c>
      <c r="O3004" s="183"/>
      <c r="P3004" s="110">
        <v>-999</v>
      </c>
    </row>
    <row r="3005" spans="1:22" ht="25.5">
      <c r="A3005" s="212" t="s">
        <v>2594</v>
      </c>
      <c r="B3005" s="141" t="s">
        <v>961</v>
      </c>
      <c r="C3005" s="150" t="s">
        <v>3817</v>
      </c>
      <c r="D3005" s="221"/>
      <c r="E3005" s="150"/>
      <c r="F3005" s="150"/>
      <c r="G3005" s="110" t="s">
        <v>2663</v>
      </c>
      <c r="H3005" s="150" t="s">
        <v>6205</v>
      </c>
      <c r="I3005" s="150" t="s">
        <v>6206</v>
      </c>
      <c r="J3005" s="150" t="s">
        <v>5224</v>
      </c>
      <c r="K3005" s="221"/>
      <c r="L3005" s="135" t="str">
        <f t="shared" si="171"/>
        <v>Myotis pruinosus</v>
      </c>
      <c r="M3005" s="146">
        <v>-999</v>
      </c>
      <c r="N3005" s="146">
        <v>-999</v>
      </c>
      <c r="O3005" s="183"/>
      <c r="P3005" s="110">
        <v>-999</v>
      </c>
    </row>
    <row r="3006" spans="1:22" ht="38.25">
      <c r="A3006" s="212" t="s">
        <v>2594</v>
      </c>
      <c r="B3006" s="141" t="s">
        <v>1050</v>
      </c>
      <c r="C3006" s="150" t="s">
        <v>3817</v>
      </c>
      <c r="D3006" s="221"/>
      <c r="E3006" s="150"/>
      <c r="F3006" s="150"/>
      <c r="G3006" s="110" t="s">
        <v>2663</v>
      </c>
      <c r="H3006" s="150" t="s">
        <v>6205</v>
      </c>
      <c r="I3006" s="150" t="s">
        <v>6206</v>
      </c>
      <c r="J3006" s="150" t="s">
        <v>1051</v>
      </c>
      <c r="K3006" s="221"/>
      <c r="L3006" s="135" t="str">
        <f t="shared" si="171"/>
        <v>Myotis ricketti</v>
      </c>
      <c r="M3006" s="146">
        <v>-999</v>
      </c>
      <c r="N3006" s="146">
        <v>-999</v>
      </c>
      <c r="O3006" s="183"/>
      <c r="P3006" s="110">
        <v>-999</v>
      </c>
    </row>
    <row r="3007" spans="1:22">
      <c r="A3007" s="212" t="s">
        <v>2594</v>
      </c>
      <c r="B3007" s="141" t="s">
        <v>956</v>
      </c>
      <c r="C3007" s="150" t="s">
        <v>3817</v>
      </c>
      <c r="D3007" s="221"/>
      <c r="E3007" s="150"/>
      <c r="F3007" s="150"/>
      <c r="G3007" s="110" t="s">
        <v>2663</v>
      </c>
      <c r="H3007" s="150" t="s">
        <v>6205</v>
      </c>
      <c r="I3007" s="150" t="s">
        <v>6206</v>
      </c>
      <c r="J3007" s="150" t="s">
        <v>883</v>
      </c>
      <c r="K3007" s="221"/>
      <c r="L3007" s="135" t="str">
        <f t="shared" si="171"/>
        <v>Myotis stalkeri</v>
      </c>
      <c r="M3007" s="146">
        <v>-999</v>
      </c>
      <c r="N3007" s="146">
        <v>-999</v>
      </c>
      <c r="O3007" s="183"/>
      <c r="P3007" s="110">
        <v>-999</v>
      </c>
      <c r="U3007" s="61"/>
      <c r="V3007" s="61"/>
    </row>
    <row r="3008" spans="1:22">
      <c r="A3008" s="212" t="s">
        <v>2594</v>
      </c>
      <c r="B3008" s="141" t="s">
        <v>1055</v>
      </c>
      <c r="C3008" s="150" t="s">
        <v>3817</v>
      </c>
      <c r="D3008" s="221"/>
      <c r="E3008" s="150"/>
      <c r="F3008" s="150"/>
      <c r="G3008" s="110" t="s">
        <v>2663</v>
      </c>
      <c r="H3008" s="150" t="s">
        <v>6205</v>
      </c>
      <c r="I3008" s="150" t="s">
        <v>6206</v>
      </c>
      <c r="J3008" s="150" t="s">
        <v>1316</v>
      </c>
      <c r="K3008" s="221"/>
      <c r="L3008" s="135" t="str">
        <f t="shared" si="171"/>
        <v>Myotis yesoensis</v>
      </c>
      <c r="M3008" s="146">
        <v>-999</v>
      </c>
      <c r="N3008" s="146">
        <v>-999</v>
      </c>
      <c r="O3008" s="183"/>
      <c r="P3008" s="110">
        <v>-999</v>
      </c>
    </row>
    <row r="3009" spans="1:16" ht="38.25">
      <c r="A3009" s="212" t="s">
        <v>2594</v>
      </c>
      <c r="B3009" s="141" t="s">
        <v>897</v>
      </c>
      <c r="C3009" s="150" t="s">
        <v>3817</v>
      </c>
      <c r="D3009" s="221"/>
      <c r="E3009" s="150"/>
      <c r="F3009" s="150"/>
      <c r="G3009" s="110" t="s">
        <v>2663</v>
      </c>
      <c r="H3009" s="150" t="s">
        <v>6205</v>
      </c>
      <c r="I3009" s="150" t="s">
        <v>6206</v>
      </c>
      <c r="J3009" s="150" t="s">
        <v>2846</v>
      </c>
      <c r="K3009" s="221"/>
      <c r="L3009" s="135" t="str">
        <f t="shared" si="171"/>
        <v>Myotis siligorensis</v>
      </c>
      <c r="M3009" s="133">
        <f t="shared" ref="M3009:M3031" si="175">LOG(N3009)</f>
        <v>0.38916608436453248</v>
      </c>
      <c r="N3009" s="152">
        <f>AVERAGE(2.3, 2.6)</f>
        <v>2.4500000000000002</v>
      </c>
      <c r="O3009" s="192"/>
      <c r="P3009" s="110">
        <v>257</v>
      </c>
    </row>
    <row r="3010" spans="1:16" ht="38.25">
      <c r="A3010" s="212" t="s">
        <v>2594</v>
      </c>
      <c r="B3010" s="141" t="s">
        <v>3057</v>
      </c>
      <c r="C3010" s="150" t="s">
        <v>3817</v>
      </c>
      <c r="D3010" s="221"/>
      <c r="E3010" s="150"/>
      <c r="F3010" s="150"/>
      <c r="G3010" s="110" t="s">
        <v>2663</v>
      </c>
      <c r="H3010" s="150" t="s">
        <v>6205</v>
      </c>
      <c r="I3010" s="150" t="s">
        <v>6206</v>
      </c>
      <c r="J3010" s="150" t="s">
        <v>3058</v>
      </c>
      <c r="K3010" s="221"/>
      <c r="L3010" s="135" t="str">
        <f t="shared" si="171"/>
        <v>Myotis nesopolus</v>
      </c>
      <c r="M3010" s="133">
        <f t="shared" si="175"/>
        <v>0.54406804435027567</v>
      </c>
      <c r="N3010" s="152">
        <v>3.5</v>
      </c>
      <c r="O3010" s="192"/>
      <c r="P3010" s="110">
        <v>153</v>
      </c>
    </row>
    <row r="3011" spans="1:16" ht="25.5">
      <c r="A3011" s="212" t="s">
        <v>2594</v>
      </c>
      <c r="B3011" s="141" t="s">
        <v>1145</v>
      </c>
      <c r="C3011" s="150" t="s">
        <v>3817</v>
      </c>
      <c r="D3011" s="221"/>
      <c r="E3011" s="150"/>
      <c r="F3011" s="150"/>
      <c r="G3011" s="110" t="s">
        <v>2663</v>
      </c>
      <c r="H3011" s="150" t="s">
        <v>6205</v>
      </c>
      <c r="I3011" s="150" t="s">
        <v>6206</v>
      </c>
      <c r="J3011" s="150" t="s">
        <v>2833</v>
      </c>
      <c r="K3011" s="221"/>
      <c r="L3011" s="135" t="str">
        <f t="shared" si="171"/>
        <v>Myotis muricola</v>
      </c>
      <c r="M3011" s="133">
        <f t="shared" si="175"/>
        <v>0.57054293988189753</v>
      </c>
      <c r="N3011" s="152">
        <f>AVERAGE(3.8, 3.5, 3.5, 4, 3.8)</f>
        <v>3.72</v>
      </c>
      <c r="O3011" s="192"/>
      <c r="P3011" s="110">
        <v>122</v>
      </c>
    </row>
    <row r="3012" spans="1:16" ht="63.75">
      <c r="A3012" s="212" t="s">
        <v>2594</v>
      </c>
      <c r="B3012" s="141" t="s">
        <v>1136</v>
      </c>
      <c r="C3012" s="150" t="s">
        <v>3817</v>
      </c>
      <c r="D3012" s="221"/>
      <c r="E3012" s="150"/>
      <c r="F3012" s="150"/>
      <c r="G3012" s="110" t="s">
        <v>2663</v>
      </c>
      <c r="H3012" s="150" t="s">
        <v>6205</v>
      </c>
      <c r="I3012" s="150" t="s">
        <v>6206</v>
      </c>
      <c r="J3012" s="150" t="s">
        <v>4128</v>
      </c>
      <c r="K3012" s="221"/>
      <c r="L3012" s="135" t="str">
        <f t="shared" si="171"/>
        <v>Myotis nigricans</v>
      </c>
      <c r="M3012" s="133">
        <f t="shared" si="175"/>
        <v>0.6273658565927327</v>
      </c>
      <c r="N3012" s="152">
        <v>4.24</v>
      </c>
      <c r="O3012" s="192"/>
      <c r="P3012" s="110">
        <v>153</v>
      </c>
    </row>
    <row r="3013" spans="1:16" ht="51">
      <c r="A3013" s="212" t="s">
        <v>2594</v>
      </c>
      <c r="B3013" s="141" t="s">
        <v>3019</v>
      </c>
      <c r="C3013" s="150" t="s">
        <v>3817</v>
      </c>
      <c r="D3013" s="221"/>
      <c r="E3013" s="150"/>
      <c r="F3013" s="150"/>
      <c r="G3013" s="110" t="s">
        <v>2663</v>
      </c>
      <c r="H3013" s="150" t="s">
        <v>6205</v>
      </c>
      <c r="I3013" s="150" t="s">
        <v>6206</v>
      </c>
      <c r="J3013" s="150" t="s">
        <v>5738</v>
      </c>
      <c r="K3013" s="221"/>
      <c r="L3013" s="135" t="str">
        <f t="shared" ref="L3013:L3076" si="176">I3013&amp;" "&amp;J3013</f>
        <v>Myotis mystacinus</v>
      </c>
      <c r="M3013" s="133">
        <f t="shared" si="175"/>
        <v>0.69788290869480463</v>
      </c>
      <c r="N3013" s="152">
        <v>4.9874999999999998</v>
      </c>
      <c r="O3013" s="192"/>
      <c r="P3013" s="110">
        <v>153</v>
      </c>
    </row>
    <row r="3014" spans="1:16" ht="25.5">
      <c r="A3014" s="212" t="s">
        <v>2594</v>
      </c>
      <c r="B3014" s="141" t="s">
        <v>3059</v>
      </c>
      <c r="C3014" s="150" t="s">
        <v>3817</v>
      </c>
      <c r="D3014" s="221"/>
      <c r="E3014" s="150"/>
      <c r="F3014" s="150"/>
      <c r="G3014" s="110" t="s">
        <v>2663</v>
      </c>
      <c r="H3014" s="150" t="s">
        <v>6205</v>
      </c>
      <c r="I3014" s="150" t="s">
        <v>6206</v>
      </c>
      <c r="J3014" s="150" t="s">
        <v>550</v>
      </c>
      <c r="K3014" s="221"/>
      <c r="L3014" s="135" t="str">
        <f t="shared" si="176"/>
        <v>Myotis ridleyi</v>
      </c>
      <c r="M3014" s="133">
        <f t="shared" si="175"/>
        <v>0.69897000433601886</v>
      </c>
      <c r="N3014" s="149">
        <v>5</v>
      </c>
      <c r="O3014" s="192"/>
      <c r="P3014" s="110">
        <v>257</v>
      </c>
    </row>
    <row r="3015" spans="1:16" ht="102">
      <c r="A3015" s="212" t="s">
        <v>2594</v>
      </c>
      <c r="B3015" s="141" t="s">
        <v>1012</v>
      </c>
      <c r="C3015" s="150" t="s">
        <v>3817</v>
      </c>
      <c r="D3015" s="221"/>
      <c r="E3015" s="150"/>
      <c r="F3015" s="150"/>
      <c r="G3015" s="110" t="s">
        <v>2663</v>
      </c>
      <c r="H3015" s="150" t="s">
        <v>6205</v>
      </c>
      <c r="I3015" s="150" t="s">
        <v>6206</v>
      </c>
      <c r="J3015" s="150" t="s">
        <v>5500</v>
      </c>
      <c r="K3015" s="221"/>
      <c r="L3015" s="135" t="str">
        <f t="shared" si="176"/>
        <v>Myotis brandti</v>
      </c>
      <c r="M3015" s="133">
        <f t="shared" si="175"/>
        <v>0.72427586960078905</v>
      </c>
      <c r="N3015" s="152">
        <v>5.3</v>
      </c>
      <c r="O3015" s="192"/>
      <c r="P3015" s="110">
        <v>153</v>
      </c>
    </row>
    <row r="3016" spans="1:16" ht="25.5">
      <c r="A3016" s="212" t="s">
        <v>2594</v>
      </c>
      <c r="B3016" s="141" t="s">
        <v>964</v>
      </c>
      <c r="C3016" s="150" t="s">
        <v>3817</v>
      </c>
      <c r="D3016" s="221"/>
      <c r="E3016" s="150"/>
      <c r="F3016" s="150"/>
      <c r="G3016" s="110" t="s">
        <v>2663</v>
      </c>
      <c r="H3016" s="150" t="s">
        <v>6205</v>
      </c>
      <c r="I3016" s="150" t="s">
        <v>6206</v>
      </c>
      <c r="J3016" s="150" t="s">
        <v>1025</v>
      </c>
      <c r="K3016" s="221"/>
      <c r="L3016" s="135" t="str">
        <f t="shared" si="176"/>
        <v>Myotis riparius</v>
      </c>
      <c r="M3016" s="133">
        <f t="shared" si="175"/>
        <v>0.74429298312267622</v>
      </c>
      <c r="N3016" s="152">
        <v>5.55</v>
      </c>
      <c r="O3016" s="192"/>
      <c r="P3016" s="110">
        <v>153</v>
      </c>
    </row>
    <row r="3017" spans="1:16" ht="76.5">
      <c r="A3017" s="212" t="s">
        <v>2594</v>
      </c>
      <c r="B3017" s="141" t="s">
        <v>948</v>
      </c>
      <c r="C3017" s="150" t="s">
        <v>3817</v>
      </c>
      <c r="D3017" s="221"/>
      <c r="E3017" s="150"/>
      <c r="F3017" s="150"/>
      <c r="G3017" s="110" t="s">
        <v>2663</v>
      </c>
      <c r="H3017" s="150" t="s">
        <v>6205</v>
      </c>
      <c r="I3017" s="150" t="s">
        <v>6206</v>
      </c>
      <c r="J3017" s="150" t="s">
        <v>949</v>
      </c>
      <c r="K3017" s="221"/>
      <c r="L3017" s="135" t="str">
        <f t="shared" si="176"/>
        <v>Myotis keenii</v>
      </c>
      <c r="M3017" s="133">
        <f t="shared" si="175"/>
        <v>0.79703659454404052</v>
      </c>
      <c r="N3017" s="152">
        <v>6.2666666666669997</v>
      </c>
      <c r="O3017" s="192"/>
      <c r="P3017" s="110">
        <v>153</v>
      </c>
    </row>
    <row r="3018" spans="1:16" ht="76.5">
      <c r="A3018" s="212" t="s">
        <v>2594</v>
      </c>
      <c r="B3018" s="141" t="s">
        <v>890</v>
      </c>
      <c r="C3018" s="150" t="s">
        <v>3817</v>
      </c>
      <c r="D3018" s="221"/>
      <c r="E3018" s="150"/>
      <c r="F3018" s="150"/>
      <c r="G3018" s="110" t="s">
        <v>2663</v>
      </c>
      <c r="H3018" s="150" t="s">
        <v>6205</v>
      </c>
      <c r="I3018" s="150" t="s">
        <v>6206</v>
      </c>
      <c r="J3018" s="150" t="s">
        <v>5919</v>
      </c>
      <c r="K3018" s="221"/>
      <c r="L3018" s="135" t="str">
        <f t="shared" si="176"/>
        <v>Myotis horsfieldii</v>
      </c>
      <c r="M3018" s="133">
        <f t="shared" si="175"/>
        <v>0.81291335664285558</v>
      </c>
      <c r="N3018" s="152">
        <f>AVERAGE(5, 8)</f>
        <v>6.5</v>
      </c>
      <c r="O3018" s="192"/>
      <c r="P3018" s="110">
        <v>257</v>
      </c>
    </row>
    <row r="3019" spans="1:16" ht="89.25">
      <c r="A3019" s="212" t="s">
        <v>2594</v>
      </c>
      <c r="B3019" s="141" t="s">
        <v>2885</v>
      </c>
      <c r="C3019" s="150" t="s">
        <v>3817</v>
      </c>
      <c r="D3019" s="221"/>
      <c r="E3019" s="150"/>
      <c r="F3019" s="150"/>
      <c r="G3019" s="110" t="s">
        <v>2663</v>
      </c>
      <c r="H3019" s="150" t="s">
        <v>6205</v>
      </c>
      <c r="I3019" s="150" t="s">
        <v>6206</v>
      </c>
      <c r="J3019" s="150" t="s">
        <v>3585</v>
      </c>
      <c r="K3019" s="221"/>
      <c r="L3019" s="135" t="str">
        <f t="shared" si="176"/>
        <v>Myotis formosus</v>
      </c>
      <c r="M3019" s="133">
        <f t="shared" si="175"/>
        <v>0.84509804001425681</v>
      </c>
      <c r="N3019" s="152">
        <v>7</v>
      </c>
      <c r="O3019" s="192"/>
      <c r="P3019" s="110">
        <v>153</v>
      </c>
    </row>
    <row r="3020" spans="1:16" ht="51">
      <c r="A3020" s="212" t="s">
        <v>2594</v>
      </c>
      <c r="B3020" s="141" t="s">
        <v>951</v>
      </c>
      <c r="C3020" s="150" t="s">
        <v>3817</v>
      </c>
      <c r="D3020" s="221"/>
      <c r="E3020" s="150"/>
      <c r="F3020" s="150"/>
      <c r="G3020" s="110" t="s">
        <v>2663</v>
      </c>
      <c r="H3020" s="150" t="s">
        <v>6205</v>
      </c>
      <c r="I3020" s="150" t="s">
        <v>6206</v>
      </c>
      <c r="J3020" s="150" t="s">
        <v>952</v>
      </c>
      <c r="K3020" s="221"/>
      <c r="L3020" s="135" t="str">
        <f t="shared" si="176"/>
        <v>Myotis macrodactylus</v>
      </c>
      <c r="M3020" s="133">
        <f t="shared" si="175"/>
        <v>0.85733249643126852</v>
      </c>
      <c r="N3020" s="152">
        <v>7.2</v>
      </c>
      <c r="O3020" s="192"/>
      <c r="P3020" s="110">
        <v>153</v>
      </c>
    </row>
    <row r="3021" spans="1:16" ht="102">
      <c r="A3021" s="212" t="s">
        <v>2594</v>
      </c>
      <c r="B3021" s="141" t="s">
        <v>881</v>
      </c>
      <c r="C3021" s="150" t="s">
        <v>3817</v>
      </c>
      <c r="D3021" s="221"/>
      <c r="E3021" s="150"/>
      <c r="F3021" s="150"/>
      <c r="G3021" s="110" t="s">
        <v>2663</v>
      </c>
      <c r="H3021" s="150" t="s">
        <v>6205</v>
      </c>
      <c r="I3021" s="150" t="s">
        <v>6206</v>
      </c>
      <c r="J3021" s="150" t="s">
        <v>882</v>
      </c>
      <c r="K3021" s="221"/>
      <c r="L3021" s="135" t="str">
        <f t="shared" si="176"/>
        <v>Myotis daubentoni</v>
      </c>
      <c r="M3021" s="133">
        <f t="shared" si="175"/>
        <v>0.86949560842307416</v>
      </c>
      <c r="N3021" s="152">
        <v>7.4044977999999997</v>
      </c>
      <c r="O3021" s="192"/>
      <c r="P3021" s="110">
        <v>153</v>
      </c>
    </row>
    <row r="3022" spans="1:16" ht="51">
      <c r="A3022" s="212" t="s">
        <v>2594</v>
      </c>
      <c r="B3022" s="141" t="s">
        <v>1214</v>
      </c>
      <c r="C3022" s="150" t="s">
        <v>3817</v>
      </c>
      <c r="D3022" s="221"/>
      <c r="E3022" s="150"/>
      <c r="F3022" s="150"/>
      <c r="G3022" s="110" t="s">
        <v>2663</v>
      </c>
      <c r="H3022" s="150" t="s">
        <v>6205</v>
      </c>
      <c r="I3022" s="150" t="s">
        <v>6206</v>
      </c>
      <c r="J3022" s="150" t="s">
        <v>1215</v>
      </c>
      <c r="K3022" s="221"/>
      <c r="L3022" s="135" t="str">
        <f t="shared" si="176"/>
        <v>Myotis capaccinii</v>
      </c>
      <c r="M3022" s="133">
        <f t="shared" si="175"/>
        <v>0.87157293554587878</v>
      </c>
      <c r="N3022" s="152">
        <v>7.44</v>
      </c>
      <c r="O3022" s="192"/>
      <c r="P3022" s="110">
        <v>153</v>
      </c>
    </row>
    <row r="3023" spans="1:16" ht="63.75">
      <c r="A3023" s="212" t="s">
        <v>2594</v>
      </c>
      <c r="B3023" s="141" t="s">
        <v>3016</v>
      </c>
      <c r="C3023" s="150" t="s">
        <v>3817</v>
      </c>
      <c r="D3023" s="221"/>
      <c r="E3023" s="150"/>
      <c r="F3023" s="150"/>
      <c r="G3023" s="110" t="s">
        <v>2663</v>
      </c>
      <c r="H3023" s="150" t="s">
        <v>6205</v>
      </c>
      <c r="I3023" s="150" t="s">
        <v>6206</v>
      </c>
      <c r="J3023" s="150" t="s">
        <v>6527</v>
      </c>
      <c r="K3023" s="221"/>
      <c r="L3023" s="135" t="str">
        <f t="shared" si="176"/>
        <v>Myotis frater</v>
      </c>
      <c r="M3023" s="133">
        <f t="shared" si="175"/>
        <v>0.87794695162918823</v>
      </c>
      <c r="N3023" s="152">
        <v>7.55</v>
      </c>
      <c r="O3023" s="192"/>
      <c r="P3023" s="110">
        <v>153</v>
      </c>
    </row>
    <row r="3024" spans="1:16" ht="51">
      <c r="A3024" s="212" t="s">
        <v>2594</v>
      </c>
      <c r="B3024" s="141" t="s">
        <v>3055</v>
      </c>
      <c r="C3024" s="150" t="s">
        <v>3817</v>
      </c>
      <c r="D3024" s="221"/>
      <c r="E3024" s="150"/>
      <c r="F3024" s="150"/>
      <c r="G3024" s="110" t="s">
        <v>2663</v>
      </c>
      <c r="H3024" s="150" t="s">
        <v>6205</v>
      </c>
      <c r="I3024" s="150" t="s">
        <v>6206</v>
      </c>
      <c r="J3024" s="150" t="s">
        <v>3056</v>
      </c>
      <c r="K3024" s="221"/>
      <c r="L3024" s="135" t="str">
        <f t="shared" si="176"/>
        <v>Myotis montivagus</v>
      </c>
      <c r="M3024" s="133">
        <f t="shared" si="175"/>
        <v>0.91907809237607396</v>
      </c>
      <c r="N3024" s="152">
        <v>8.3000000000000007</v>
      </c>
      <c r="O3024" s="192"/>
      <c r="P3024" s="110">
        <v>153</v>
      </c>
    </row>
    <row r="3025" spans="1:16" ht="63.75">
      <c r="A3025" s="212" t="s">
        <v>2594</v>
      </c>
      <c r="B3025" s="141" t="s">
        <v>1278</v>
      </c>
      <c r="C3025" s="150" t="s">
        <v>3817</v>
      </c>
      <c r="D3025" s="221"/>
      <c r="E3025" s="150"/>
      <c r="F3025" s="150"/>
      <c r="G3025" s="110" t="s">
        <v>2663</v>
      </c>
      <c r="H3025" s="150" t="s">
        <v>6205</v>
      </c>
      <c r="I3025" s="150" t="s">
        <v>6206</v>
      </c>
      <c r="J3025" s="150" t="s">
        <v>1279</v>
      </c>
      <c r="K3025" s="221"/>
      <c r="L3025" s="135" t="str">
        <f t="shared" si="176"/>
        <v>Myotis hasseltii</v>
      </c>
      <c r="M3025" s="133">
        <f t="shared" si="175"/>
        <v>0.94200805302231327</v>
      </c>
      <c r="N3025" s="152">
        <v>8.75</v>
      </c>
      <c r="O3025" s="192"/>
      <c r="P3025" s="110">
        <v>153</v>
      </c>
    </row>
    <row r="3026" spans="1:16" ht="25.5">
      <c r="A3026" s="212" t="s">
        <v>2594</v>
      </c>
      <c r="B3026" s="141" t="s">
        <v>1164</v>
      </c>
      <c r="C3026" s="150" t="s">
        <v>3817</v>
      </c>
      <c r="D3026" s="221"/>
      <c r="E3026" s="150"/>
      <c r="F3026" s="150"/>
      <c r="G3026" s="110" t="s">
        <v>2663</v>
      </c>
      <c r="H3026" s="150" t="s">
        <v>6205</v>
      </c>
      <c r="I3026" s="150" t="s">
        <v>6206</v>
      </c>
      <c r="J3026" s="150" t="s">
        <v>1165</v>
      </c>
      <c r="K3026" s="221"/>
      <c r="L3026" s="135" t="str">
        <f t="shared" si="176"/>
        <v>Myotis velifer</v>
      </c>
      <c r="M3026" s="133">
        <f t="shared" si="175"/>
        <v>1.0041332104167602</v>
      </c>
      <c r="N3026" s="152">
        <v>10.095625</v>
      </c>
      <c r="O3026" s="192"/>
      <c r="P3026" s="110">
        <v>153</v>
      </c>
    </row>
    <row r="3027" spans="1:16" ht="89.25">
      <c r="A3027" s="212" t="s">
        <v>2594</v>
      </c>
      <c r="B3027" s="141" t="s">
        <v>1177</v>
      </c>
      <c r="C3027" s="150" t="s">
        <v>3817</v>
      </c>
      <c r="D3027" s="221"/>
      <c r="E3027" s="150"/>
      <c r="F3027" s="150"/>
      <c r="G3027" s="110" t="s">
        <v>2663</v>
      </c>
      <c r="H3027" s="150" t="s">
        <v>6205</v>
      </c>
      <c r="I3027" s="150" t="s">
        <v>6206</v>
      </c>
      <c r="J3027" s="150" t="s">
        <v>6266</v>
      </c>
      <c r="K3027" s="221"/>
      <c r="L3027" s="135" t="str">
        <f t="shared" si="176"/>
        <v>Myotis adversus</v>
      </c>
      <c r="M3027" s="133">
        <f t="shared" si="175"/>
        <v>1.0233553608264458</v>
      </c>
      <c r="N3027" s="152">
        <v>10.5525</v>
      </c>
      <c r="O3027" s="192"/>
      <c r="P3027" s="110">
        <v>153</v>
      </c>
    </row>
    <row r="3028" spans="1:16">
      <c r="A3028" s="212" t="s">
        <v>2594</v>
      </c>
      <c r="B3028" s="141" t="s">
        <v>1267</v>
      </c>
      <c r="C3028" s="150" t="s">
        <v>3817</v>
      </c>
      <c r="D3028" s="221"/>
      <c r="E3028" s="150"/>
      <c r="F3028" s="150"/>
      <c r="G3028" s="110" t="s">
        <v>2663</v>
      </c>
      <c r="H3028" s="150" t="s">
        <v>6205</v>
      </c>
      <c r="I3028" s="150" t="s">
        <v>6206</v>
      </c>
      <c r="J3028" s="150" t="s">
        <v>1268</v>
      </c>
      <c r="K3028" s="221"/>
      <c r="L3028" s="135" t="str">
        <f t="shared" si="176"/>
        <v>Myotis macrotarsus</v>
      </c>
      <c r="M3028" s="133">
        <f t="shared" si="175"/>
        <v>1.0969100130080565</v>
      </c>
      <c r="N3028" s="152">
        <v>12.5</v>
      </c>
      <c r="O3028" s="192"/>
      <c r="P3028" s="110">
        <v>153</v>
      </c>
    </row>
    <row r="3029" spans="1:16" ht="63.75">
      <c r="A3029" s="212" t="s">
        <v>2594</v>
      </c>
      <c r="B3029" s="141" t="s">
        <v>2940</v>
      </c>
      <c r="C3029" s="150" t="s">
        <v>3817</v>
      </c>
      <c r="D3029" s="221"/>
      <c r="E3029" s="150"/>
      <c r="F3029" s="150"/>
      <c r="G3029" s="110" t="s">
        <v>2663</v>
      </c>
      <c r="H3029" s="150" t="s">
        <v>6205</v>
      </c>
      <c r="I3029" s="150" t="s">
        <v>6206</v>
      </c>
      <c r="J3029" s="150" t="s">
        <v>2941</v>
      </c>
      <c r="K3029" s="221"/>
      <c r="L3029" s="135" t="str">
        <f t="shared" si="176"/>
        <v>Myotis myotis</v>
      </c>
      <c r="M3029" s="133">
        <f t="shared" si="175"/>
        <v>1.3942181263802043</v>
      </c>
      <c r="N3029" s="152">
        <v>24.786666666666999</v>
      </c>
      <c r="O3029" s="192"/>
      <c r="P3029" s="110">
        <v>153</v>
      </c>
    </row>
    <row r="3030" spans="1:16" ht="38.25">
      <c r="A3030" s="212" t="s">
        <v>2594</v>
      </c>
      <c r="B3030" s="141" t="s">
        <v>1371</v>
      </c>
      <c r="C3030" s="150" t="s">
        <v>3817</v>
      </c>
      <c r="D3030" s="221"/>
      <c r="E3030" s="150"/>
      <c r="F3030" s="150"/>
      <c r="G3030" s="110" t="s">
        <v>2663</v>
      </c>
      <c r="H3030" s="148" t="s">
        <v>6205</v>
      </c>
      <c r="I3030" s="150" t="s">
        <v>6206</v>
      </c>
      <c r="J3030" s="150" t="s">
        <v>1262</v>
      </c>
      <c r="K3030" s="221"/>
      <c r="L3030" s="135" t="str">
        <f t="shared" si="176"/>
        <v>Myotis vivesi</v>
      </c>
      <c r="M3030" s="133">
        <f t="shared" si="175"/>
        <v>1.3979400086720377</v>
      </c>
      <c r="N3030" s="152">
        <v>25</v>
      </c>
      <c r="O3030" s="192"/>
      <c r="P3030" s="110">
        <v>153</v>
      </c>
    </row>
    <row r="3031" spans="1:16" ht="38.25">
      <c r="A3031" s="212" t="s">
        <v>2594</v>
      </c>
      <c r="B3031" s="141" t="s">
        <v>1086</v>
      </c>
      <c r="C3031" s="150" t="s">
        <v>3817</v>
      </c>
      <c r="D3031" s="221"/>
      <c r="E3031" s="150"/>
      <c r="F3031" s="150"/>
      <c r="G3031" s="110" t="s">
        <v>2663</v>
      </c>
      <c r="H3031" s="150" t="s">
        <v>6205</v>
      </c>
      <c r="I3031" s="150" t="s">
        <v>6206</v>
      </c>
      <c r="J3031" s="150" t="s">
        <v>4036</v>
      </c>
      <c r="K3031" s="221"/>
      <c r="L3031" s="135" t="str">
        <f t="shared" si="176"/>
        <v>Myotis chinensis</v>
      </c>
      <c r="M3031" s="133">
        <f t="shared" si="175"/>
        <v>1.6232492903979006</v>
      </c>
      <c r="N3031" s="146">
        <v>42</v>
      </c>
      <c r="O3031" s="183"/>
      <c r="P3031" s="110">
        <v>60</v>
      </c>
    </row>
    <row r="3032" spans="1:16" ht="38.25">
      <c r="A3032" s="212" t="s">
        <v>2594</v>
      </c>
      <c r="B3032" s="141" t="s">
        <v>931</v>
      </c>
      <c r="C3032" s="150" t="s">
        <v>3817</v>
      </c>
      <c r="D3032" s="221"/>
      <c r="E3032" s="150"/>
      <c r="F3032" s="150"/>
      <c r="G3032" s="110" t="s">
        <v>2663</v>
      </c>
      <c r="H3032" s="150" t="s">
        <v>6205</v>
      </c>
      <c r="I3032" s="150" t="s">
        <v>983</v>
      </c>
      <c r="J3032" s="150" t="s">
        <v>932</v>
      </c>
      <c r="K3032" s="221"/>
      <c r="L3032" s="135" t="str">
        <f t="shared" si="176"/>
        <v>Nyctalus aviator</v>
      </c>
      <c r="M3032" s="146">
        <v>-999</v>
      </c>
      <c r="N3032" s="146">
        <v>-999</v>
      </c>
      <c r="O3032" s="183"/>
      <c r="P3032" s="110">
        <v>-999</v>
      </c>
    </row>
    <row r="3033" spans="1:16">
      <c r="A3033" s="212" t="s">
        <v>2594</v>
      </c>
      <c r="B3033" s="141" t="s">
        <v>1099</v>
      </c>
      <c r="C3033" s="150" t="s">
        <v>3817</v>
      </c>
      <c r="D3033" s="221"/>
      <c r="E3033" s="150"/>
      <c r="F3033" s="150"/>
      <c r="G3033" s="110" t="s">
        <v>2663</v>
      </c>
      <c r="H3033" s="150" t="s">
        <v>6205</v>
      </c>
      <c r="I3033" s="150" t="s">
        <v>983</v>
      </c>
      <c r="J3033" s="150" t="s">
        <v>1100</v>
      </c>
      <c r="K3033" s="221"/>
      <c r="L3033" s="135" t="str">
        <f t="shared" si="176"/>
        <v>Nyctalus azoreum</v>
      </c>
      <c r="M3033" s="146">
        <v>-999</v>
      </c>
      <c r="N3033" s="146">
        <v>-999</v>
      </c>
      <c r="O3033" s="183"/>
      <c r="P3033" s="110">
        <v>-999</v>
      </c>
    </row>
    <row r="3034" spans="1:16" ht="25.5">
      <c r="A3034" s="212" t="s">
        <v>2594</v>
      </c>
      <c r="B3034" s="141" t="s">
        <v>982</v>
      </c>
      <c r="C3034" s="150" t="s">
        <v>3817</v>
      </c>
      <c r="D3034" s="221"/>
      <c r="E3034" s="150"/>
      <c r="F3034" s="150"/>
      <c r="G3034" s="110" t="s">
        <v>2663</v>
      </c>
      <c r="H3034" s="150" t="s">
        <v>6205</v>
      </c>
      <c r="I3034" s="150" t="s">
        <v>983</v>
      </c>
      <c r="J3034" s="150" t="s">
        <v>1054</v>
      </c>
      <c r="K3034" s="221"/>
      <c r="L3034" s="135" t="str">
        <f t="shared" si="176"/>
        <v>Nyctalus leisleri</v>
      </c>
      <c r="M3034" s="133">
        <f>LOG(N3034)</f>
        <v>1.1231980750319988</v>
      </c>
      <c r="N3034" s="152">
        <v>13.28</v>
      </c>
      <c r="O3034" s="192"/>
      <c r="P3034" s="110">
        <v>153</v>
      </c>
    </row>
    <row r="3035" spans="1:16" ht="114.75">
      <c r="A3035" s="212" t="s">
        <v>2594</v>
      </c>
      <c r="B3035" s="141" t="s">
        <v>1048</v>
      </c>
      <c r="C3035" s="150" t="s">
        <v>3817</v>
      </c>
      <c r="D3035" s="221"/>
      <c r="E3035" s="150"/>
      <c r="F3035" s="150"/>
      <c r="G3035" s="110" t="s">
        <v>2663</v>
      </c>
      <c r="H3035" s="150" t="s">
        <v>6205</v>
      </c>
      <c r="I3035" s="150" t="s">
        <v>983</v>
      </c>
      <c r="J3035" s="150" t="s">
        <v>1049</v>
      </c>
      <c r="K3035" s="221"/>
      <c r="L3035" s="135" t="str">
        <f t="shared" si="176"/>
        <v>Nyctalus noctula</v>
      </c>
      <c r="M3035" s="133">
        <f>LOG(N3035)</f>
        <v>1.4471580313422192</v>
      </c>
      <c r="N3035" s="152">
        <v>28</v>
      </c>
      <c r="O3035" s="192"/>
      <c r="P3035" s="110">
        <v>153</v>
      </c>
    </row>
    <row r="3036" spans="1:16" ht="51">
      <c r="A3036" s="212" t="s">
        <v>2594</v>
      </c>
      <c r="B3036" s="141" t="s">
        <v>1039</v>
      </c>
      <c r="C3036" s="148" t="s">
        <v>3817</v>
      </c>
      <c r="D3036" s="223"/>
      <c r="E3036" s="148"/>
      <c r="F3036" s="148"/>
      <c r="G3036" s="109" t="s">
        <v>2663</v>
      </c>
      <c r="H3036" s="150" t="s">
        <v>6205</v>
      </c>
      <c r="I3036" s="148" t="s">
        <v>2902</v>
      </c>
      <c r="J3036" s="148" t="s">
        <v>4300</v>
      </c>
      <c r="K3036" s="223"/>
      <c r="L3036" s="135" t="str">
        <f t="shared" si="176"/>
        <v>Nycticeius sanborni</v>
      </c>
      <c r="M3036" s="133">
        <f>LOG(N3036)</f>
        <v>0.90489578785518787</v>
      </c>
      <c r="N3036" s="149">
        <v>8.0333333333329993</v>
      </c>
      <c r="O3036" s="192"/>
      <c r="P3036" s="110">
        <v>153</v>
      </c>
    </row>
    <row r="3037" spans="1:16" ht="63.75">
      <c r="A3037" s="212" t="s">
        <v>2594</v>
      </c>
      <c r="B3037" s="141" t="s">
        <v>1070</v>
      </c>
      <c r="C3037" s="150" t="s">
        <v>3817</v>
      </c>
      <c r="D3037" s="221"/>
      <c r="E3037" s="150"/>
      <c r="F3037" s="150"/>
      <c r="G3037" s="110" t="s">
        <v>2663</v>
      </c>
      <c r="H3037" s="150" t="s">
        <v>6205</v>
      </c>
      <c r="I3037" s="150" t="s">
        <v>2902</v>
      </c>
      <c r="J3037" s="150" t="s">
        <v>1071</v>
      </c>
      <c r="K3037" s="221"/>
      <c r="L3037" s="135" t="str">
        <f t="shared" si="176"/>
        <v>Nycticeius humeralis</v>
      </c>
      <c r="M3037" s="133">
        <f>LOG(N3037)</f>
        <v>0.95369067393697171</v>
      </c>
      <c r="N3037" s="152">
        <v>8.9885714285709994</v>
      </c>
      <c r="O3037" s="192"/>
      <c r="P3037" s="110">
        <v>153</v>
      </c>
    </row>
    <row r="3038" spans="1:16">
      <c r="A3038" s="212" t="s">
        <v>2594</v>
      </c>
      <c r="B3038" s="141" t="s">
        <v>1120</v>
      </c>
      <c r="C3038" s="150" t="s">
        <v>3817</v>
      </c>
      <c r="D3038" s="221"/>
      <c r="E3038" s="150"/>
      <c r="F3038" s="150"/>
      <c r="G3038" s="110" t="s">
        <v>2663</v>
      </c>
      <c r="H3038" s="150" t="s">
        <v>6205</v>
      </c>
      <c r="I3038" s="150" t="s">
        <v>3104</v>
      </c>
      <c r="J3038" s="150" t="s">
        <v>1121</v>
      </c>
      <c r="K3038" s="221"/>
      <c r="L3038" s="135" t="str">
        <f t="shared" si="176"/>
        <v>Nyctophilus heran</v>
      </c>
      <c r="M3038" s="146">
        <v>-999</v>
      </c>
      <c r="N3038" s="146">
        <v>-999</v>
      </c>
      <c r="O3038" s="183"/>
      <c r="P3038" s="110">
        <v>-999</v>
      </c>
    </row>
    <row r="3039" spans="1:16">
      <c r="A3039" s="212" t="s">
        <v>2594</v>
      </c>
      <c r="B3039" s="141" t="s">
        <v>595</v>
      </c>
      <c r="C3039" s="150" t="s">
        <v>3817</v>
      </c>
      <c r="D3039" s="221"/>
      <c r="E3039" s="150"/>
      <c r="F3039" s="150"/>
      <c r="G3039" s="110" t="s">
        <v>2663</v>
      </c>
      <c r="H3039" s="150" t="s">
        <v>6205</v>
      </c>
      <c r="I3039" s="150" t="s">
        <v>3104</v>
      </c>
      <c r="J3039" s="150" t="s">
        <v>1995</v>
      </c>
      <c r="K3039" s="221"/>
      <c r="L3039" s="135" t="str">
        <f t="shared" si="176"/>
        <v>Nyctophilus microdon</v>
      </c>
      <c r="M3039" s="146">
        <v>-999</v>
      </c>
      <c r="N3039" s="146">
        <v>-999</v>
      </c>
      <c r="O3039" s="183"/>
      <c r="P3039" s="110">
        <v>-999</v>
      </c>
    </row>
    <row r="3040" spans="1:16">
      <c r="A3040" s="212" t="s">
        <v>2594</v>
      </c>
      <c r="B3040" s="141" t="s">
        <v>2163</v>
      </c>
      <c r="C3040" s="150" t="s">
        <v>3817</v>
      </c>
      <c r="D3040" s="221"/>
      <c r="E3040" s="150"/>
      <c r="F3040" s="150"/>
      <c r="G3040" s="110" t="s">
        <v>2663</v>
      </c>
      <c r="H3040" s="150" t="s">
        <v>6205</v>
      </c>
      <c r="I3040" s="150" t="s">
        <v>3104</v>
      </c>
      <c r="J3040" s="150" t="s">
        <v>2311</v>
      </c>
      <c r="K3040" s="221"/>
      <c r="L3040" s="135" t="str">
        <f t="shared" si="176"/>
        <v>Nyctophilus microtis</v>
      </c>
      <c r="M3040" s="133">
        <f>LOG(N3040)</f>
        <v>0.85125834871907524</v>
      </c>
      <c r="N3040" s="152">
        <v>7.1</v>
      </c>
      <c r="O3040" s="192"/>
      <c r="P3040" s="110">
        <v>153</v>
      </c>
    </row>
    <row r="3041" spans="1:16" ht="25.5">
      <c r="A3041" s="212" t="s">
        <v>2594</v>
      </c>
      <c r="B3041" s="141" t="s">
        <v>162</v>
      </c>
      <c r="C3041" s="150" t="s">
        <v>3817</v>
      </c>
      <c r="D3041" s="221"/>
      <c r="E3041" s="150"/>
      <c r="F3041" s="150"/>
      <c r="G3041" s="110" t="s">
        <v>2663</v>
      </c>
      <c r="H3041" s="150" t="s">
        <v>6205</v>
      </c>
      <c r="I3041" s="150" t="s">
        <v>3104</v>
      </c>
      <c r="J3041" s="150" t="s">
        <v>3777</v>
      </c>
      <c r="K3041" s="221"/>
      <c r="L3041" s="135" t="str">
        <f t="shared" si="176"/>
        <v>Nyctophilus geoffroyi</v>
      </c>
      <c r="M3041" s="133">
        <f>LOG(N3041)</f>
        <v>0.86226392760701887</v>
      </c>
      <c r="N3041" s="152">
        <v>7.2822222222219999</v>
      </c>
      <c r="O3041" s="192"/>
      <c r="P3041" s="110">
        <v>153</v>
      </c>
    </row>
    <row r="3042" spans="1:16" ht="63.75">
      <c r="A3042" s="212" t="s">
        <v>2594</v>
      </c>
      <c r="B3042" s="141" t="s">
        <v>1336</v>
      </c>
      <c r="C3042" s="150" t="s">
        <v>3817</v>
      </c>
      <c r="D3042" s="221"/>
      <c r="E3042" s="150"/>
      <c r="F3042" s="150"/>
      <c r="G3042" s="110" t="s">
        <v>2663</v>
      </c>
      <c r="H3042" s="150" t="s">
        <v>6205</v>
      </c>
      <c r="I3042" s="150" t="s">
        <v>3104</v>
      </c>
      <c r="J3042" s="150" t="s">
        <v>1337</v>
      </c>
      <c r="K3042" s="221"/>
      <c r="L3042" s="135" t="str">
        <f t="shared" si="176"/>
        <v>Nyctophilus gouldi</v>
      </c>
      <c r="M3042" s="133">
        <f>LOG(N3042)</f>
        <v>1</v>
      </c>
      <c r="N3042" s="152">
        <v>10</v>
      </c>
      <c r="O3042" s="192"/>
      <c r="P3042" s="110">
        <v>153</v>
      </c>
    </row>
    <row r="3043" spans="1:16" ht="38.25">
      <c r="A3043" s="212" t="s">
        <v>2594</v>
      </c>
      <c r="B3043" s="141" t="s">
        <v>1117</v>
      </c>
      <c r="C3043" s="150" t="s">
        <v>3817</v>
      </c>
      <c r="D3043" s="221"/>
      <c r="E3043" s="150"/>
      <c r="F3043" s="150"/>
      <c r="G3043" s="110" t="s">
        <v>2663</v>
      </c>
      <c r="H3043" s="150" t="s">
        <v>6205</v>
      </c>
      <c r="I3043" s="150" t="s">
        <v>3104</v>
      </c>
      <c r="J3043" s="150" t="s">
        <v>6297</v>
      </c>
      <c r="K3043" s="221"/>
      <c r="L3043" s="135" t="str">
        <f t="shared" si="176"/>
        <v>Nyctophilus timoriensis</v>
      </c>
      <c r="M3043" s="133">
        <f>LOG(N3043)</f>
        <v>1.0691128513871209</v>
      </c>
      <c r="N3043" s="152">
        <v>11.725</v>
      </c>
      <c r="O3043" s="189"/>
      <c r="P3043" s="110">
        <v>153</v>
      </c>
    </row>
    <row r="3044" spans="1:16">
      <c r="A3044" s="212" t="s">
        <v>2594</v>
      </c>
      <c r="B3044" s="141" t="s">
        <v>595</v>
      </c>
      <c r="C3044" s="150" t="s">
        <v>3817</v>
      </c>
      <c r="D3044" s="221"/>
      <c r="E3044" s="150"/>
      <c r="F3044" s="150"/>
      <c r="G3044" s="110" t="s">
        <v>2663</v>
      </c>
      <c r="H3044" s="150" t="s">
        <v>6205</v>
      </c>
      <c r="I3044" s="150" t="s">
        <v>6130</v>
      </c>
      <c r="J3044" s="150" t="s">
        <v>3134</v>
      </c>
      <c r="K3044" s="221"/>
      <c r="L3044" s="135" t="str">
        <f t="shared" si="176"/>
        <v>Pharotis imogene</v>
      </c>
      <c r="M3044" s="146">
        <v>-999</v>
      </c>
      <c r="N3044" s="146">
        <v>-999</v>
      </c>
      <c r="O3044" s="183"/>
      <c r="P3044" s="110">
        <v>-999</v>
      </c>
    </row>
    <row r="3045" spans="1:16" ht="76.5">
      <c r="A3045" s="212" t="s">
        <v>2594</v>
      </c>
      <c r="B3045" s="141" t="s">
        <v>129</v>
      </c>
      <c r="C3045" s="150" t="s">
        <v>3817</v>
      </c>
      <c r="D3045" s="221"/>
      <c r="E3045" s="150"/>
      <c r="F3045" s="150"/>
      <c r="G3045" s="110" t="s">
        <v>2663</v>
      </c>
      <c r="H3045" s="150" t="s">
        <v>6205</v>
      </c>
      <c r="I3045" s="150" t="s">
        <v>3148</v>
      </c>
      <c r="J3045" s="150" t="s">
        <v>2705</v>
      </c>
      <c r="K3045" s="221"/>
      <c r="L3045" s="135" t="str">
        <f t="shared" si="176"/>
        <v>Philetor brachypterus</v>
      </c>
      <c r="M3045" s="133">
        <f>LOG(N3045)</f>
        <v>1.011429461780782</v>
      </c>
      <c r="N3045" s="152">
        <f>AVERAGE(8, 13, 9.8)</f>
        <v>10.266666666666667</v>
      </c>
      <c r="O3045" s="192"/>
      <c r="P3045" s="110" t="s">
        <v>1838</v>
      </c>
    </row>
    <row r="3046" spans="1:16">
      <c r="A3046" s="212" t="s">
        <v>2594</v>
      </c>
      <c r="B3046" s="141" t="s">
        <v>1090</v>
      </c>
      <c r="C3046" s="150" t="s">
        <v>3817</v>
      </c>
      <c r="D3046" s="221"/>
      <c r="E3046" s="150"/>
      <c r="F3046" s="150"/>
      <c r="G3046" s="110" t="s">
        <v>2663</v>
      </c>
      <c r="H3046" s="150" t="s">
        <v>6205</v>
      </c>
      <c r="I3046" s="150" t="s">
        <v>2710</v>
      </c>
      <c r="J3046" s="150" t="s">
        <v>179</v>
      </c>
      <c r="K3046" s="221"/>
      <c r="L3046" s="135" t="str">
        <f t="shared" si="176"/>
        <v>Pipistrellus endoi</v>
      </c>
      <c r="M3046" s="146">
        <v>-999</v>
      </c>
      <c r="N3046" s="146">
        <v>-999</v>
      </c>
      <c r="O3046" s="183"/>
      <c r="P3046" s="110">
        <v>-999</v>
      </c>
    </row>
    <row r="3047" spans="1:16">
      <c r="A3047" s="212" t="s">
        <v>2594</v>
      </c>
      <c r="B3047" s="141" t="s">
        <v>2109</v>
      </c>
      <c r="C3047" s="150" t="s">
        <v>3817</v>
      </c>
      <c r="D3047" s="221"/>
      <c r="E3047" s="150"/>
      <c r="F3047" s="150"/>
      <c r="G3047" s="110" t="s">
        <v>2663</v>
      </c>
      <c r="H3047" s="150" t="s">
        <v>6205</v>
      </c>
      <c r="I3047" s="150" t="s">
        <v>2710</v>
      </c>
      <c r="J3047" s="150" t="s">
        <v>182</v>
      </c>
      <c r="K3047" s="221"/>
      <c r="L3047" s="135" t="str">
        <f t="shared" si="176"/>
        <v>Pipistrellus kitcheneri</v>
      </c>
      <c r="M3047" s="146">
        <v>-999</v>
      </c>
      <c r="N3047" s="146">
        <v>-999</v>
      </c>
      <c r="O3047" s="183"/>
      <c r="P3047" s="110">
        <v>-999</v>
      </c>
    </row>
    <row r="3048" spans="1:16" ht="38.25">
      <c r="A3048" s="215" t="s">
        <v>2594</v>
      </c>
      <c r="B3048" s="141" t="s">
        <v>1052</v>
      </c>
      <c r="C3048" s="150" t="s">
        <v>3817</v>
      </c>
      <c r="D3048" s="221"/>
      <c r="E3048" s="150"/>
      <c r="F3048" s="150"/>
      <c r="G3048" s="110" t="s">
        <v>2663</v>
      </c>
      <c r="H3048" s="150" t="s">
        <v>6205</v>
      </c>
      <c r="I3048" s="150" t="s">
        <v>2710</v>
      </c>
      <c r="J3048" s="150" t="s">
        <v>4141</v>
      </c>
      <c r="K3048" s="221"/>
      <c r="L3048" s="135" t="str">
        <f t="shared" si="176"/>
        <v>Pipistrellus macrotis</v>
      </c>
      <c r="M3048" s="146">
        <v>-999</v>
      </c>
      <c r="N3048" s="146">
        <v>-999</v>
      </c>
      <c r="O3048" s="183"/>
      <c r="P3048" s="110">
        <v>-999</v>
      </c>
    </row>
    <row r="3049" spans="1:16" ht="25.5">
      <c r="A3049" s="215" t="s">
        <v>2594</v>
      </c>
      <c r="B3049" s="141" t="s">
        <v>239</v>
      </c>
      <c r="C3049" s="150" t="s">
        <v>3817</v>
      </c>
      <c r="D3049" s="221"/>
      <c r="E3049" s="150"/>
      <c r="F3049" s="150"/>
      <c r="G3049" s="110" t="s">
        <v>2663</v>
      </c>
      <c r="H3049" s="150" t="s">
        <v>6205</v>
      </c>
      <c r="I3049" s="150" t="s">
        <v>2710</v>
      </c>
      <c r="J3049" s="150" t="s">
        <v>240</v>
      </c>
      <c r="K3049" s="221"/>
      <c r="L3049" s="135" t="str">
        <f t="shared" si="176"/>
        <v>Pipistrellus maderensis</v>
      </c>
      <c r="M3049" s="146">
        <v>-999</v>
      </c>
      <c r="N3049" s="146">
        <v>-999</v>
      </c>
      <c r="O3049" s="183"/>
      <c r="P3049" s="110">
        <v>-999</v>
      </c>
    </row>
    <row r="3050" spans="1:16">
      <c r="A3050" s="215" t="s">
        <v>2594</v>
      </c>
      <c r="B3050" s="141" t="s">
        <v>241</v>
      </c>
      <c r="C3050" s="150" t="s">
        <v>3817</v>
      </c>
      <c r="D3050" s="221"/>
      <c r="E3050" s="150"/>
      <c r="F3050" s="150"/>
      <c r="G3050" s="110" t="s">
        <v>2663</v>
      </c>
      <c r="H3050" s="150" t="s">
        <v>6205</v>
      </c>
      <c r="I3050" s="150" t="s">
        <v>2710</v>
      </c>
      <c r="J3050" s="150" t="s">
        <v>6014</v>
      </c>
      <c r="K3050" s="221"/>
      <c r="L3050" s="135" t="str">
        <f t="shared" si="176"/>
        <v>Pipistrellus minahassae</v>
      </c>
      <c r="M3050" s="146">
        <v>-999</v>
      </c>
      <c r="N3050" s="146">
        <v>-999</v>
      </c>
      <c r="O3050" s="183"/>
      <c r="P3050" s="110">
        <v>-999</v>
      </c>
    </row>
    <row r="3051" spans="1:16" ht="25.5">
      <c r="A3051" s="215" t="s">
        <v>2594</v>
      </c>
      <c r="B3051" s="141" t="s">
        <v>242</v>
      </c>
      <c r="C3051" s="150" t="s">
        <v>3817</v>
      </c>
      <c r="D3051" s="221"/>
      <c r="E3051" s="150"/>
      <c r="F3051" s="150"/>
      <c r="G3051" s="110" t="s">
        <v>2663</v>
      </c>
      <c r="H3051" s="150" t="s">
        <v>6205</v>
      </c>
      <c r="I3051" s="150" t="s">
        <v>2710</v>
      </c>
      <c r="J3051" s="150" t="s">
        <v>6743</v>
      </c>
      <c r="K3051" s="221"/>
      <c r="L3051" s="135" t="str">
        <f t="shared" si="176"/>
        <v>Pipistrellus mordax</v>
      </c>
      <c r="M3051" s="146">
        <v>-999</v>
      </c>
      <c r="N3051" s="146">
        <v>-999</v>
      </c>
      <c r="O3051" s="183"/>
      <c r="P3051" s="110">
        <v>-999</v>
      </c>
    </row>
    <row r="3052" spans="1:16" ht="25.5">
      <c r="A3052" s="212" t="s">
        <v>2594</v>
      </c>
      <c r="B3052" s="141" t="s">
        <v>130</v>
      </c>
      <c r="C3052" s="150" t="s">
        <v>3817</v>
      </c>
      <c r="D3052" s="221"/>
      <c r="E3052" s="150"/>
      <c r="F3052" s="150"/>
      <c r="G3052" s="110" t="s">
        <v>2663</v>
      </c>
      <c r="H3052" s="150" t="s">
        <v>6205</v>
      </c>
      <c r="I3052" s="150" t="s">
        <v>2710</v>
      </c>
      <c r="J3052" s="150" t="s">
        <v>4601</v>
      </c>
      <c r="K3052" s="221"/>
      <c r="L3052" s="135" t="str">
        <f t="shared" si="176"/>
        <v>Pipistrellus nanulus</v>
      </c>
      <c r="M3052" s="133">
        <f t="shared" ref="M3052:M3057" si="177">LOG(N3052)</f>
        <v>0.3979400086720376</v>
      </c>
      <c r="N3052" s="152">
        <v>2.5</v>
      </c>
      <c r="O3052" s="192"/>
      <c r="P3052" s="110">
        <v>153</v>
      </c>
    </row>
    <row r="3053" spans="1:16" ht="38.25">
      <c r="A3053" s="212" t="s">
        <v>2594</v>
      </c>
      <c r="B3053" s="141" t="s">
        <v>844</v>
      </c>
      <c r="C3053" s="150" t="s">
        <v>3817</v>
      </c>
      <c r="D3053" s="221"/>
      <c r="E3053" s="150"/>
      <c r="F3053" s="150"/>
      <c r="G3053" s="110" t="s">
        <v>2663</v>
      </c>
      <c r="H3053" s="150" t="s">
        <v>6205</v>
      </c>
      <c r="I3053" s="150" t="s">
        <v>2710</v>
      </c>
      <c r="J3053" s="150" t="s">
        <v>924</v>
      </c>
      <c r="K3053" s="221"/>
      <c r="L3053" s="135" t="str">
        <f t="shared" si="176"/>
        <v>Pipistrellus bodenheimeri</v>
      </c>
      <c r="M3053" s="133">
        <f t="shared" si="177"/>
        <v>0.43136376415898736</v>
      </c>
      <c r="N3053" s="152">
        <v>2.7</v>
      </c>
      <c r="O3053" s="192"/>
      <c r="P3053" s="110">
        <v>153</v>
      </c>
    </row>
    <row r="3054" spans="1:16" ht="51">
      <c r="A3054" s="215" t="s">
        <v>2594</v>
      </c>
      <c r="B3054" s="141" t="s">
        <v>2956</v>
      </c>
      <c r="C3054" s="150" t="s">
        <v>3817</v>
      </c>
      <c r="D3054" s="221"/>
      <c r="E3054" s="150"/>
      <c r="F3054" s="150"/>
      <c r="G3054" s="110" t="s">
        <v>2663</v>
      </c>
      <c r="H3054" s="148" t="s">
        <v>6205</v>
      </c>
      <c r="I3054" s="150" t="s">
        <v>2710</v>
      </c>
      <c r="J3054" s="150" t="s">
        <v>2177</v>
      </c>
      <c r="K3054" s="221"/>
      <c r="L3054" s="135" t="str">
        <f t="shared" si="176"/>
        <v>Pipistrellus nanus</v>
      </c>
      <c r="M3054" s="133">
        <f t="shared" si="177"/>
        <v>0.58954343390600705</v>
      </c>
      <c r="N3054" s="152">
        <v>3.886363636364</v>
      </c>
      <c r="O3054" s="192"/>
      <c r="P3054" s="110">
        <v>153</v>
      </c>
    </row>
    <row r="3055" spans="1:16" ht="63.75">
      <c r="A3055" s="212" t="s">
        <v>2594</v>
      </c>
      <c r="B3055" s="141" t="s">
        <v>2954</v>
      </c>
      <c r="C3055" s="150" t="s">
        <v>3817</v>
      </c>
      <c r="D3055" s="221"/>
      <c r="E3055" s="150"/>
      <c r="F3055" s="150"/>
      <c r="G3055" s="110" t="s">
        <v>2663</v>
      </c>
      <c r="H3055" s="150" t="s">
        <v>6205</v>
      </c>
      <c r="I3055" s="150" t="s">
        <v>2710</v>
      </c>
      <c r="J3055" s="150" t="s">
        <v>2955</v>
      </c>
      <c r="K3055" s="221"/>
      <c r="L3055" s="135" t="str">
        <f t="shared" si="176"/>
        <v>Pipistrellus coromandra</v>
      </c>
      <c r="M3055" s="133">
        <f t="shared" si="177"/>
        <v>0.66275783168157409</v>
      </c>
      <c r="N3055" s="152">
        <v>4.5999999999999996</v>
      </c>
      <c r="O3055" s="192"/>
      <c r="P3055" s="110">
        <v>153</v>
      </c>
    </row>
    <row r="3056" spans="1:16" ht="89.25">
      <c r="A3056" s="212" t="s">
        <v>2594</v>
      </c>
      <c r="B3056" s="141" t="s">
        <v>266</v>
      </c>
      <c r="C3056" s="150" t="s">
        <v>3817</v>
      </c>
      <c r="D3056" s="221"/>
      <c r="E3056" s="150"/>
      <c r="F3056" s="150"/>
      <c r="G3056" s="110" t="s">
        <v>2663</v>
      </c>
      <c r="H3056" s="150" t="s">
        <v>6205</v>
      </c>
      <c r="I3056" s="150" t="s">
        <v>2710</v>
      </c>
      <c r="J3056" s="150" t="s">
        <v>5266</v>
      </c>
      <c r="K3056" s="221"/>
      <c r="L3056" s="135" t="str">
        <f t="shared" si="176"/>
        <v>Pipistrellus tenuis</v>
      </c>
      <c r="M3056" s="133">
        <f t="shared" si="177"/>
        <v>0.67209785793571752</v>
      </c>
      <c r="N3056" s="152">
        <v>4.7</v>
      </c>
      <c r="O3056" s="192"/>
      <c r="P3056" s="110">
        <v>153</v>
      </c>
    </row>
    <row r="3057" spans="1:16" ht="76.5">
      <c r="A3057" s="212" t="s">
        <v>2594</v>
      </c>
      <c r="B3057" s="141" t="s">
        <v>206</v>
      </c>
      <c r="C3057" s="150" t="s">
        <v>3817</v>
      </c>
      <c r="D3057" s="221"/>
      <c r="E3057" s="150"/>
      <c r="F3057" s="150"/>
      <c r="G3057" s="110" t="s">
        <v>2663</v>
      </c>
      <c r="H3057" s="150" t="s">
        <v>6205</v>
      </c>
      <c r="I3057" s="150" t="s">
        <v>2710</v>
      </c>
      <c r="J3057" s="150" t="s">
        <v>7469</v>
      </c>
      <c r="K3057" s="221"/>
      <c r="L3057" s="135" t="str">
        <f t="shared" si="176"/>
        <v>Pipistrellus javanicus</v>
      </c>
      <c r="M3057" s="133">
        <f t="shared" si="177"/>
        <v>0.72378393696532939</v>
      </c>
      <c r="N3057" s="152">
        <v>5.2939999999999996</v>
      </c>
      <c r="O3057" s="192"/>
      <c r="P3057" s="110">
        <v>153</v>
      </c>
    </row>
    <row r="3058" spans="1:16">
      <c r="A3058" s="212" t="s">
        <v>2594</v>
      </c>
      <c r="B3058" s="141" t="s">
        <v>2109</v>
      </c>
      <c r="C3058" s="148" t="s">
        <v>3817</v>
      </c>
      <c r="D3058" s="223"/>
      <c r="E3058" s="148"/>
      <c r="F3058" s="148"/>
      <c r="G3058" s="109" t="s">
        <v>2663</v>
      </c>
      <c r="H3058" s="148" t="s">
        <v>6205</v>
      </c>
      <c r="I3058" s="148" t="s">
        <v>2710</v>
      </c>
      <c r="J3058" s="148" t="s">
        <v>178</v>
      </c>
      <c r="K3058" s="223"/>
      <c r="L3058" s="135" t="str">
        <f t="shared" si="176"/>
        <v>Pipistrellus cuprosus</v>
      </c>
      <c r="M3058" s="146">
        <f>-LOG(N3058)</f>
        <v>-0.73639650227664233</v>
      </c>
      <c r="N3058" s="151">
        <f>AVERAGE(5.3, 5.6)</f>
        <v>5.4499999999999993</v>
      </c>
      <c r="O3058" s="183"/>
      <c r="P3058" s="110">
        <v>257</v>
      </c>
    </row>
    <row r="3059" spans="1:16" ht="51">
      <c r="A3059" s="212" t="s">
        <v>2594</v>
      </c>
      <c r="B3059" s="141" t="s">
        <v>1081</v>
      </c>
      <c r="C3059" s="150" t="s">
        <v>3817</v>
      </c>
      <c r="D3059" s="221"/>
      <c r="E3059" s="150"/>
      <c r="F3059" s="150"/>
      <c r="G3059" s="110" t="s">
        <v>2663</v>
      </c>
      <c r="H3059" s="150" t="s">
        <v>6205</v>
      </c>
      <c r="I3059" s="150" t="s">
        <v>2710</v>
      </c>
      <c r="J3059" s="150" t="s">
        <v>1082</v>
      </c>
      <c r="K3059" s="221"/>
      <c r="L3059" s="135" t="str">
        <f t="shared" si="176"/>
        <v>Pipistrellus pulveratus</v>
      </c>
      <c r="M3059" s="133">
        <f t="shared" ref="M3059:M3070" si="178">LOG(N3059)</f>
        <v>0.74390155048517881</v>
      </c>
      <c r="N3059" s="152">
        <v>5.5449999999999999</v>
      </c>
      <c r="O3059" s="192"/>
      <c r="P3059" s="110">
        <v>153</v>
      </c>
    </row>
    <row r="3060" spans="1:16" ht="38.25">
      <c r="A3060" s="212" t="s">
        <v>2594</v>
      </c>
      <c r="B3060" s="141" t="s">
        <v>1129</v>
      </c>
      <c r="C3060" s="150" t="s">
        <v>3817</v>
      </c>
      <c r="D3060" s="221"/>
      <c r="E3060" s="150"/>
      <c r="F3060" s="150"/>
      <c r="G3060" s="110" t="s">
        <v>2663</v>
      </c>
      <c r="H3060" s="150" t="s">
        <v>6205</v>
      </c>
      <c r="I3060" s="150" t="s">
        <v>2710</v>
      </c>
      <c r="J3060" s="150" t="s">
        <v>1130</v>
      </c>
      <c r="K3060" s="221"/>
      <c r="L3060" s="135" t="str">
        <f t="shared" si="176"/>
        <v>Pipistrellus imbricatus</v>
      </c>
      <c r="M3060" s="133">
        <f t="shared" si="178"/>
        <v>0.75204844781943858</v>
      </c>
      <c r="N3060" s="152">
        <v>5.65</v>
      </c>
      <c r="O3060" s="192"/>
      <c r="P3060" s="110">
        <v>153</v>
      </c>
    </row>
    <row r="3061" spans="1:16" ht="102">
      <c r="A3061" s="212" t="s">
        <v>2594</v>
      </c>
      <c r="B3061" s="141" t="s">
        <v>1872</v>
      </c>
      <c r="C3061" s="150" t="s">
        <v>3817</v>
      </c>
      <c r="D3061" s="221"/>
      <c r="E3061" s="150"/>
      <c r="F3061" s="150"/>
      <c r="G3061" s="110" t="s">
        <v>2663</v>
      </c>
      <c r="H3061" s="150" t="s">
        <v>6205</v>
      </c>
      <c r="I3061" s="150" t="s">
        <v>2710</v>
      </c>
      <c r="J3061" s="150" t="s">
        <v>1707</v>
      </c>
      <c r="K3061" s="221"/>
      <c r="L3061" s="135" t="str">
        <f t="shared" si="176"/>
        <v>Pipistrellus pipistrellus</v>
      </c>
      <c r="M3061" s="133">
        <f t="shared" si="178"/>
        <v>0.75506456007526668</v>
      </c>
      <c r="N3061" s="152">
        <v>5.6893750000000001</v>
      </c>
      <c r="O3061" s="192"/>
      <c r="P3061" s="110">
        <v>153</v>
      </c>
    </row>
    <row r="3062" spans="1:16" ht="63.75">
      <c r="A3062" s="215" t="s">
        <v>2594</v>
      </c>
      <c r="B3062" s="141" t="s">
        <v>1161</v>
      </c>
      <c r="C3062" s="150" t="s">
        <v>3817</v>
      </c>
      <c r="D3062" s="221"/>
      <c r="E3062" s="150"/>
      <c r="F3062" s="150"/>
      <c r="G3062" s="110" t="s">
        <v>2663</v>
      </c>
      <c r="H3062" s="150" t="s">
        <v>6205</v>
      </c>
      <c r="I3062" s="150" t="s">
        <v>2710</v>
      </c>
      <c r="J3062" s="150" t="s">
        <v>4646</v>
      </c>
      <c r="K3062" s="221"/>
      <c r="L3062" s="135" t="str">
        <f t="shared" si="176"/>
        <v>Pipistrellus kuhlii</v>
      </c>
      <c r="M3062" s="133">
        <f t="shared" si="178"/>
        <v>0.77341901586724249</v>
      </c>
      <c r="N3062" s="152">
        <v>5.9349766666669996</v>
      </c>
      <c r="O3062" s="192"/>
      <c r="P3062" s="110">
        <v>153</v>
      </c>
    </row>
    <row r="3063" spans="1:16" ht="114.75">
      <c r="A3063" s="212" t="s">
        <v>2594</v>
      </c>
      <c r="B3063" s="141" t="s">
        <v>190</v>
      </c>
      <c r="C3063" s="150" t="s">
        <v>3817</v>
      </c>
      <c r="D3063" s="221"/>
      <c r="E3063" s="150"/>
      <c r="F3063" s="150"/>
      <c r="G3063" s="110" t="s">
        <v>2663</v>
      </c>
      <c r="H3063" s="150" t="s">
        <v>6205</v>
      </c>
      <c r="I3063" s="150" t="s">
        <v>2710</v>
      </c>
      <c r="J3063" s="150" t="s">
        <v>5683</v>
      </c>
      <c r="K3063" s="221"/>
      <c r="L3063" s="135" t="str">
        <f t="shared" si="176"/>
        <v>Pipistrellus savii</v>
      </c>
      <c r="M3063" s="133">
        <f t="shared" si="178"/>
        <v>0.80311555489002706</v>
      </c>
      <c r="N3063" s="152">
        <v>6.3550000000000004</v>
      </c>
      <c r="O3063" s="192"/>
      <c r="P3063" s="110">
        <v>153</v>
      </c>
    </row>
    <row r="3064" spans="1:16" ht="38.25">
      <c r="A3064" s="212" t="s">
        <v>2594</v>
      </c>
      <c r="B3064" s="141" t="s">
        <v>1208</v>
      </c>
      <c r="C3064" s="150" t="s">
        <v>3817</v>
      </c>
      <c r="D3064" s="221"/>
      <c r="E3064" s="150"/>
      <c r="F3064" s="150"/>
      <c r="G3064" s="110" t="s">
        <v>2663</v>
      </c>
      <c r="H3064" s="150" t="s">
        <v>6205</v>
      </c>
      <c r="I3064" s="150" t="s">
        <v>2710</v>
      </c>
      <c r="J3064" s="150" t="s">
        <v>5697</v>
      </c>
      <c r="K3064" s="221"/>
      <c r="L3064" s="135" t="str">
        <f t="shared" si="176"/>
        <v>Pipistrellus petersi</v>
      </c>
      <c r="M3064" s="146">
        <f t="shared" si="178"/>
        <v>0.81291335664285558</v>
      </c>
      <c r="N3064" s="146">
        <v>6.5</v>
      </c>
      <c r="O3064" s="183"/>
      <c r="P3064" s="110">
        <v>257</v>
      </c>
    </row>
    <row r="3065" spans="1:16" ht="25.5">
      <c r="A3065" s="212" t="s">
        <v>2594</v>
      </c>
      <c r="B3065" s="141" t="s">
        <v>255</v>
      </c>
      <c r="C3065" s="150" t="s">
        <v>3817</v>
      </c>
      <c r="D3065" s="221"/>
      <c r="E3065" s="150"/>
      <c r="F3065" s="150"/>
      <c r="G3065" s="110" t="s">
        <v>2663</v>
      </c>
      <c r="H3065" s="150" t="s">
        <v>6205</v>
      </c>
      <c r="I3065" s="150" t="s">
        <v>2710</v>
      </c>
      <c r="J3065" s="150" t="s">
        <v>256</v>
      </c>
      <c r="K3065" s="221"/>
      <c r="L3065" s="135" t="str">
        <f t="shared" si="176"/>
        <v>Pipistrellus dormeri</v>
      </c>
      <c r="M3065" s="133">
        <f t="shared" si="178"/>
        <v>0.83674596564951209</v>
      </c>
      <c r="N3065" s="152">
        <v>6.8666666666670002</v>
      </c>
      <c r="O3065" s="192"/>
      <c r="P3065" s="110">
        <v>153</v>
      </c>
    </row>
    <row r="3066" spans="1:16" ht="51">
      <c r="A3066" s="212" t="s">
        <v>2594</v>
      </c>
      <c r="B3066" s="141" t="s">
        <v>1222</v>
      </c>
      <c r="C3066" s="150" t="s">
        <v>3817</v>
      </c>
      <c r="D3066" s="221"/>
      <c r="E3066" s="150"/>
      <c r="F3066" s="150"/>
      <c r="G3066" s="110" t="s">
        <v>2663</v>
      </c>
      <c r="H3066" s="150" t="s">
        <v>6205</v>
      </c>
      <c r="I3066" s="150" t="s">
        <v>2710</v>
      </c>
      <c r="J3066" s="150" t="s">
        <v>4675</v>
      </c>
      <c r="K3066" s="221"/>
      <c r="L3066" s="135" t="str">
        <f t="shared" si="176"/>
        <v>Pipistrellus rueppelli</v>
      </c>
      <c r="M3066" s="133">
        <f t="shared" si="178"/>
        <v>0.83989684632847006</v>
      </c>
      <c r="N3066" s="152">
        <v>6.916666666667</v>
      </c>
      <c r="O3066" s="192"/>
      <c r="P3066" s="110">
        <v>153</v>
      </c>
    </row>
    <row r="3067" spans="1:16" ht="38.25">
      <c r="A3067" s="212" t="s">
        <v>2594</v>
      </c>
      <c r="B3067" s="141" t="s">
        <v>1027</v>
      </c>
      <c r="C3067" s="150" t="s">
        <v>3817</v>
      </c>
      <c r="D3067" s="221"/>
      <c r="E3067" s="150"/>
      <c r="F3067" s="150"/>
      <c r="G3067" s="110" t="s">
        <v>2663</v>
      </c>
      <c r="H3067" s="150" t="s">
        <v>6205</v>
      </c>
      <c r="I3067" s="150" t="s">
        <v>2710</v>
      </c>
      <c r="J3067" s="150" t="s">
        <v>1028</v>
      </c>
      <c r="K3067" s="221"/>
      <c r="L3067" s="135" t="str">
        <f t="shared" si="176"/>
        <v>Pipistrellus nathusii</v>
      </c>
      <c r="M3067" s="133">
        <f t="shared" si="178"/>
        <v>0.86381834731839591</v>
      </c>
      <c r="N3067" s="152">
        <v>7.3083333333329996</v>
      </c>
      <c r="O3067" s="192"/>
      <c r="P3067" s="110">
        <v>153</v>
      </c>
    </row>
    <row r="3068" spans="1:16" ht="51">
      <c r="A3068" s="212" t="s">
        <v>2594</v>
      </c>
      <c r="B3068" s="141" t="s">
        <v>804</v>
      </c>
      <c r="C3068" s="150" t="s">
        <v>3817</v>
      </c>
      <c r="D3068" s="221"/>
      <c r="E3068" s="150"/>
      <c r="F3068" s="150"/>
      <c r="G3068" s="110" t="s">
        <v>2663</v>
      </c>
      <c r="H3068" s="150" t="s">
        <v>6205</v>
      </c>
      <c r="I3068" s="150" t="s">
        <v>2710</v>
      </c>
      <c r="J3068" s="150" t="s">
        <v>805</v>
      </c>
      <c r="K3068" s="221"/>
      <c r="L3068" s="135" t="str">
        <f t="shared" si="176"/>
        <v>Pipistrellus ceylonicus</v>
      </c>
      <c r="M3068" s="133">
        <f t="shared" si="178"/>
        <v>0.92363253317704841</v>
      </c>
      <c r="N3068" s="152">
        <v>8.3874999999999993</v>
      </c>
      <c r="O3068" s="192"/>
      <c r="P3068" s="110">
        <v>153</v>
      </c>
    </row>
    <row r="3069" spans="1:16" ht="25.5">
      <c r="A3069" s="212" t="s">
        <v>2594</v>
      </c>
      <c r="B3069" s="141" t="s">
        <v>801</v>
      </c>
      <c r="C3069" s="150" t="s">
        <v>3817</v>
      </c>
      <c r="D3069" s="221"/>
      <c r="E3069" s="150"/>
      <c r="F3069" s="150"/>
      <c r="G3069" s="110" t="s">
        <v>2663</v>
      </c>
      <c r="H3069" s="150" t="s">
        <v>6205</v>
      </c>
      <c r="I3069" s="150" t="s">
        <v>2710</v>
      </c>
      <c r="J3069" s="150" t="s">
        <v>3014</v>
      </c>
      <c r="K3069" s="221"/>
      <c r="L3069" s="135" t="str">
        <f t="shared" si="176"/>
        <v>Pipistrellus circumdatus</v>
      </c>
      <c r="M3069" s="133">
        <f t="shared" si="178"/>
        <v>1.0170333392987803</v>
      </c>
      <c r="N3069" s="152">
        <v>10.4</v>
      </c>
      <c r="O3069" s="192"/>
      <c r="P3069" s="110">
        <v>153</v>
      </c>
    </row>
    <row r="3070" spans="1:16" ht="38.25">
      <c r="A3070" s="212" t="s">
        <v>2594</v>
      </c>
      <c r="B3070" s="141" t="s">
        <v>1047</v>
      </c>
      <c r="C3070" s="150" t="s">
        <v>3817</v>
      </c>
      <c r="D3070" s="221"/>
      <c r="E3070" s="150"/>
      <c r="F3070" s="150"/>
      <c r="G3070" s="110" t="s">
        <v>2663</v>
      </c>
      <c r="H3070" s="150" t="s">
        <v>6205</v>
      </c>
      <c r="I3070" s="150" t="s">
        <v>2710</v>
      </c>
      <c r="J3070" s="150" t="s">
        <v>246</v>
      </c>
      <c r="K3070" s="221"/>
      <c r="L3070" s="135" t="str">
        <f t="shared" si="176"/>
        <v>Pipistrellus stenopterus</v>
      </c>
      <c r="M3070" s="133">
        <f t="shared" si="178"/>
        <v>1.1818435879447726</v>
      </c>
      <c r="N3070" s="152">
        <v>15.2</v>
      </c>
      <c r="O3070" s="192"/>
      <c r="P3070" s="110">
        <v>153</v>
      </c>
    </row>
    <row r="3071" spans="1:16">
      <c r="A3071" s="212" t="s">
        <v>2594</v>
      </c>
      <c r="B3071" s="141" t="s">
        <v>1942</v>
      </c>
      <c r="C3071" s="150" t="s">
        <v>3817</v>
      </c>
      <c r="D3071" s="221"/>
      <c r="E3071" s="150"/>
      <c r="F3071" s="150"/>
      <c r="G3071" s="110" t="s">
        <v>2663</v>
      </c>
      <c r="H3071" s="150" t="s">
        <v>6205</v>
      </c>
      <c r="I3071" s="150" t="s">
        <v>221</v>
      </c>
      <c r="J3071" s="150" t="s">
        <v>1652</v>
      </c>
      <c r="K3071" s="221"/>
      <c r="L3071" s="135" t="str">
        <f t="shared" si="176"/>
        <v>Plecotus taivanus</v>
      </c>
      <c r="M3071" s="146">
        <v>-999</v>
      </c>
      <c r="N3071" s="146">
        <v>-999</v>
      </c>
      <c r="O3071" s="183"/>
      <c r="P3071" s="110">
        <v>-999</v>
      </c>
    </row>
    <row r="3072" spans="1:16">
      <c r="A3072" s="212" t="s">
        <v>2594</v>
      </c>
      <c r="B3072" s="141" t="s">
        <v>172</v>
      </c>
      <c r="C3072" s="150" t="s">
        <v>3817</v>
      </c>
      <c r="D3072" s="221"/>
      <c r="E3072" s="150"/>
      <c r="F3072" s="150"/>
      <c r="G3072" s="110" t="s">
        <v>2663</v>
      </c>
      <c r="H3072" s="150" t="s">
        <v>6205</v>
      </c>
      <c r="I3072" s="150" t="s">
        <v>221</v>
      </c>
      <c r="J3072" s="150" t="s">
        <v>173</v>
      </c>
      <c r="K3072" s="221"/>
      <c r="L3072" s="135" t="str">
        <f t="shared" si="176"/>
        <v>Plecotus teneriffae</v>
      </c>
      <c r="M3072" s="146">
        <v>-999</v>
      </c>
      <c r="N3072" s="146">
        <v>-999</v>
      </c>
      <c r="O3072" s="183"/>
      <c r="P3072" s="110">
        <v>-999</v>
      </c>
    </row>
    <row r="3073" spans="1:18" ht="51">
      <c r="A3073" s="212" t="s">
        <v>2594</v>
      </c>
      <c r="B3073" s="141" t="s">
        <v>220</v>
      </c>
      <c r="C3073" s="150" t="s">
        <v>3817</v>
      </c>
      <c r="D3073" s="221"/>
      <c r="E3073" s="150"/>
      <c r="F3073" s="150"/>
      <c r="G3073" s="110" t="s">
        <v>2663</v>
      </c>
      <c r="H3073" s="150" t="s">
        <v>6205</v>
      </c>
      <c r="I3073" s="150" t="s">
        <v>221</v>
      </c>
      <c r="J3073" s="150" t="s">
        <v>222</v>
      </c>
      <c r="K3073" s="221"/>
      <c r="L3073" s="135" t="str">
        <f t="shared" si="176"/>
        <v>Plecotus austriacus</v>
      </c>
      <c r="M3073" s="133">
        <f>LOG(N3073)</f>
        <v>0.86356076452624253</v>
      </c>
      <c r="N3073" s="152">
        <v>7.3040000000000003</v>
      </c>
      <c r="O3073" s="192"/>
      <c r="P3073" s="110">
        <v>153</v>
      </c>
    </row>
    <row r="3074" spans="1:18" ht="38.25">
      <c r="A3074" s="212" t="s">
        <v>2594</v>
      </c>
      <c r="B3074" s="141" t="s">
        <v>1107</v>
      </c>
      <c r="C3074" s="150" t="s">
        <v>3817</v>
      </c>
      <c r="D3074" s="221"/>
      <c r="E3074" s="150"/>
      <c r="F3074" s="150"/>
      <c r="G3074" s="110" t="s">
        <v>2663</v>
      </c>
      <c r="H3074" s="150" t="s">
        <v>6205</v>
      </c>
      <c r="I3074" s="150" t="s">
        <v>221</v>
      </c>
      <c r="J3074" s="150" t="s">
        <v>7385</v>
      </c>
      <c r="K3074" s="221"/>
      <c r="L3074" s="135" t="str">
        <f t="shared" si="176"/>
        <v>Plecotus auritus</v>
      </c>
      <c r="M3074" s="133">
        <f>LOG(N3074)</f>
        <v>0.89392020586921617</v>
      </c>
      <c r="N3074" s="152">
        <v>7.8328571428569997</v>
      </c>
      <c r="O3074" s="192"/>
      <c r="P3074" s="110">
        <v>153</v>
      </c>
    </row>
    <row r="3075" spans="1:18" ht="25.5">
      <c r="A3075" s="212" t="s">
        <v>2594</v>
      </c>
      <c r="B3075" s="141" t="s">
        <v>216</v>
      </c>
      <c r="C3075" s="150" t="s">
        <v>3817</v>
      </c>
      <c r="D3075" s="221"/>
      <c r="E3075" s="150"/>
      <c r="F3075" s="150"/>
      <c r="G3075" s="110" t="s">
        <v>2663</v>
      </c>
      <c r="H3075" s="150" t="s">
        <v>6205</v>
      </c>
      <c r="I3075" s="150" t="s">
        <v>1074</v>
      </c>
      <c r="J3075" s="150" t="s">
        <v>1075</v>
      </c>
      <c r="K3075" s="221"/>
      <c r="L3075" s="135" t="str">
        <f t="shared" si="176"/>
        <v>Rhogeesa minutilla</v>
      </c>
      <c r="M3075" s="133">
        <f>LOG(N3075)</f>
        <v>0.56229286445647475</v>
      </c>
      <c r="N3075" s="152">
        <v>3.65</v>
      </c>
      <c r="O3075" s="192"/>
      <c r="P3075" s="110">
        <v>153</v>
      </c>
    </row>
    <row r="3076" spans="1:18" ht="38.25">
      <c r="A3076" s="212" t="s">
        <v>2594</v>
      </c>
      <c r="B3076" s="141" t="s">
        <v>1105</v>
      </c>
      <c r="C3076" s="150" t="s">
        <v>3817</v>
      </c>
      <c r="D3076" s="221"/>
      <c r="E3076" s="150"/>
      <c r="F3076" s="150"/>
      <c r="G3076" s="110" t="s">
        <v>2663</v>
      </c>
      <c r="H3076" s="150" t="s">
        <v>6205</v>
      </c>
      <c r="I3076" s="150" t="s">
        <v>1074</v>
      </c>
      <c r="J3076" s="150" t="s">
        <v>7431</v>
      </c>
      <c r="K3076" s="221"/>
      <c r="L3076" s="135" t="str">
        <f t="shared" si="176"/>
        <v>Rhogeesa parvula</v>
      </c>
      <c r="M3076" s="133">
        <f>LOG(N3076)</f>
        <v>0.63848925695463732</v>
      </c>
      <c r="N3076" s="152">
        <v>4.3499999999999996</v>
      </c>
      <c r="O3076" s="192"/>
      <c r="P3076" s="110">
        <v>153</v>
      </c>
    </row>
    <row r="3077" spans="1:18" ht="38.25">
      <c r="A3077" s="212" t="s">
        <v>2594</v>
      </c>
      <c r="B3077" s="141" t="s">
        <v>215</v>
      </c>
      <c r="C3077" s="150" t="s">
        <v>3817</v>
      </c>
      <c r="D3077" s="221"/>
      <c r="E3077" s="150"/>
      <c r="F3077" s="150"/>
      <c r="G3077" s="110" t="s">
        <v>2663</v>
      </c>
      <c r="H3077" s="150" t="s">
        <v>6205</v>
      </c>
      <c r="I3077" s="150" t="s">
        <v>1074</v>
      </c>
      <c r="J3077" s="150" t="s">
        <v>1091</v>
      </c>
      <c r="K3077" s="221"/>
      <c r="L3077" s="135" t="str">
        <f t="shared" ref="L3077:L3140" si="179">I3077&amp;" "&amp;J3077</f>
        <v>Rhogeesa tumida</v>
      </c>
      <c r="M3077" s="133">
        <f>LOG(N3077)</f>
        <v>0.64836001098093166</v>
      </c>
      <c r="N3077" s="152">
        <v>4.45</v>
      </c>
      <c r="O3077" s="192"/>
      <c r="P3077" s="110">
        <v>153</v>
      </c>
    </row>
    <row r="3078" spans="1:18">
      <c r="A3078" s="212" t="s">
        <v>2594</v>
      </c>
      <c r="B3078" s="141" t="s">
        <v>241</v>
      </c>
      <c r="C3078" s="150" t="s">
        <v>3817</v>
      </c>
      <c r="D3078" s="221"/>
      <c r="E3078" s="150"/>
      <c r="F3078" s="150"/>
      <c r="G3078" s="110" t="s">
        <v>2663</v>
      </c>
      <c r="H3078" s="150" t="s">
        <v>6205</v>
      </c>
      <c r="I3078" s="150" t="s">
        <v>6276</v>
      </c>
      <c r="J3078" s="150" t="s">
        <v>6485</v>
      </c>
      <c r="K3078" s="221"/>
      <c r="L3078" s="135" t="str">
        <f t="shared" si="179"/>
        <v>Scotophilus celebensis</v>
      </c>
      <c r="M3078" s="146">
        <v>-999</v>
      </c>
      <c r="N3078" s="146">
        <v>-999</v>
      </c>
      <c r="O3078" s="183"/>
      <c r="P3078" s="110">
        <v>-999</v>
      </c>
    </row>
    <row r="3079" spans="1:18">
      <c r="A3079" s="212" t="s">
        <v>2594</v>
      </c>
      <c r="B3079" s="141" t="s">
        <v>608</v>
      </c>
      <c r="C3079" s="150" t="s">
        <v>3817</v>
      </c>
      <c r="D3079" s="221"/>
      <c r="E3079" s="150"/>
      <c r="F3079" s="150"/>
      <c r="G3079" s="110" t="s">
        <v>2663</v>
      </c>
      <c r="H3079" s="150" t="s">
        <v>6205</v>
      </c>
      <c r="I3079" s="150" t="s">
        <v>6276</v>
      </c>
      <c r="J3079" s="150" t="s">
        <v>7099</v>
      </c>
      <c r="K3079" s="221"/>
      <c r="L3079" s="135" t="str">
        <f t="shared" si="179"/>
        <v>Scotophilus robustus</v>
      </c>
      <c r="M3079" s="146">
        <v>-999</v>
      </c>
      <c r="N3079" s="146">
        <v>-999</v>
      </c>
      <c r="O3079" s="183"/>
      <c r="P3079" s="110">
        <v>-999</v>
      </c>
    </row>
    <row r="3080" spans="1:18" ht="25.5">
      <c r="A3080" s="212" t="s">
        <v>2594</v>
      </c>
      <c r="B3080" s="141" t="s">
        <v>991</v>
      </c>
      <c r="C3080" s="150" t="s">
        <v>3817</v>
      </c>
      <c r="D3080" s="221"/>
      <c r="E3080" s="150"/>
      <c r="F3080" s="150"/>
      <c r="G3080" s="110" t="s">
        <v>2663</v>
      </c>
      <c r="H3080" s="150" t="s">
        <v>6205</v>
      </c>
      <c r="I3080" s="150" t="s">
        <v>6276</v>
      </c>
      <c r="J3080" s="150" t="s">
        <v>6278</v>
      </c>
      <c r="K3080" s="221"/>
      <c r="L3080" s="135" t="str">
        <f t="shared" si="179"/>
        <v>Scotophilus borbonicus</v>
      </c>
      <c r="M3080" s="133">
        <f t="shared" ref="M3080:M3090" si="180">LOG(N3080)</f>
        <v>1.255272505103306</v>
      </c>
      <c r="N3080" s="152">
        <v>18</v>
      </c>
      <c r="O3080" s="192"/>
      <c r="P3080" s="110">
        <v>153</v>
      </c>
    </row>
    <row r="3081" spans="1:18" ht="51">
      <c r="A3081" s="212" t="s">
        <v>2594</v>
      </c>
      <c r="B3081" s="141" t="s">
        <v>132</v>
      </c>
      <c r="C3081" s="150" t="s">
        <v>3817</v>
      </c>
      <c r="D3081" s="221"/>
      <c r="E3081" s="150"/>
      <c r="F3081" s="150"/>
      <c r="G3081" s="110" t="s">
        <v>2663</v>
      </c>
      <c r="H3081" s="150" t="s">
        <v>6205</v>
      </c>
      <c r="I3081" s="150" t="s">
        <v>6276</v>
      </c>
      <c r="J3081" s="150" t="s">
        <v>4646</v>
      </c>
      <c r="K3081" s="221"/>
      <c r="L3081" s="135" t="str">
        <f t="shared" si="179"/>
        <v>Scotophilus kuhlii</v>
      </c>
      <c r="M3081" s="133">
        <f t="shared" si="180"/>
        <v>1.2671717284030137</v>
      </c>
      <c r="N3081" s="152">
        <f>AVERAGE(19, 20, 17, 18)</f>
        <v>18.5</v>
      </c>
      <c r="O3081" s="192"/>
      <c r="P3081" s="110">
        <v>122</v>
      </c>
    </row>
    <row r="3082" spans="1:18" ht="38.25">
      <c r="A3082" s="212" t="s">
        <v>2594</v>
      </c>
      <c r="B3082" s="141" t="s">
        <v>1127</v>
      </c>
      <c r="C3082" s="150" t="s">
        <v>3817</v>
      </c>
      <c r="D3082" s="221"/>
      <c r="E3082" s="150"/>
      <c r="F3082" s="150"/>
      <c r="G3082" s="110" t="s">
        <v>2663</v>
      </c>
      <c r="H3082" s="150" t="s">
        <v>6205</v>
      </c>
      <c r="I3082" s="150" t="s">
        <v>6276</v>
      </c>
      <c r="J3082" s="150" t="s">
        <v>209</v>
      </c>
      <c r="K3082" s="221"/>
      <c r="L3082" s="135" t="str">
        <f t="shared" si="179"/>
        <v>Scotophilus heathi</v>
      </c>
      <c r="M3082" s="133">
        <f t="shared" si="180"/>
        <v>1.5385737338068557</v>
      </c>
      <c r="N3082" s="152">
        <v>34.56</v>
      </c>
      <c r="O3082" s="192"/>
      <c r="P3082" s="110">
        <v>153</v>
      </c>
    </row>
    <row r="3083" spans="1:18" ht="51">
      <c r="A3083" s="212" t="s">
        <v>2594</v>
      </c>
      <c r="B3083" s="141" t="s">
        <v>156</v>
      </c>
      <c r="C3083" s="150" t="s">
        <v>3817</v>
      </c>
      <c r="D3083" s="221"/>
      <c r="E3083" s="150"/>
      <c r="F3083" s="150"/>
      <c r="G3083" s="110" t="s">
        <v>2663</v>
      </c>
      <c r="H3083" s="150" t="s">
        <v>6205</v>
      </c>
      <c r="I3083" s="150" t="s">
        <v>157</v>
      </c>
      <c r="J3083" s="150" t="s">
        <v>158</v>
      </c>
      <c r="K3083" s="221"/>
      <c r="L3083" s="135" t="str">
        <f t="shared" si="179"/>
        <v>Tylonycteris pachypus</v>
      </c>
      <c r="M3083" s="133">
        <f t="shared" si="180"/>
        <v>0.55388302664387434</v>
      </c>
      <c r="N3083" s="152">
        <v>3.58</v>
      </c>
      <c r="O3083" s="192"/>
      <c r="P3083" s="110">
        <v>153</v>
      </c>
    </row>
    <row r="3084" spans="1:18">
      <c r="A3084" s="212" t="s">
        <v>2594</v>
      </c>
      <c r="B3084" s="141" t="s">
        <v>7806</v>
      </c>
      <c r="C3084" s="150" t="s">
        <v>3817</v>
      </c>
      <c r="D3084" s="221"/>
      <c r="E3084" s="150"/>
      <c r="F3084" s="150"/>
      <c r="G3084" s="110" t="s">
        <v>2663</v>
      </c>
      <c r="H3084" s="150" t="s">
        <v>6205</v>
      </c>
      <c r="I3084" s="150" t="s">
        <v>157</v>
      </c>
      <c r="J3084" s="150" t="s">
        <v>159</v>
      </c>
      <c r="K3084" s="221"/>
      <c r="L3084" s="135" t="str">
        <f t="shared" si="179"/>
        <v>Tylonycteris robustula</v>
      </c>
      <c r="M3084" s="133">
        <f t="shared" si="180"/>
        <v>0.87506126339170009</v>
      </c>
      <c r="N3084" s="152">
        <f>AVERAGE(6.5, 8.5)</f>
        <v>7.5</v>
      </c>
      <c r="O3084" s="192"/>
      <c r="P3084" s="110">
        <v>257</v>
      </c>
    </row>
    <row r="3085" spans="1:18" ht="38.25">
      <c r="A3085" s="212" t="s">
        <v>2594</v>
      </c>
      <c r="B3085" s="141" t="s">
        <v>1154</v>
      </c>
      <c r="C3085" s="150" t="s">
        <v>3817</v>
      </c>
      <c r="D3085" s="221"/>
      <c r="E3085" s="150"/>
      <c r="F3085" s="150"/>
      <c r="G3085" s="110" t="s">
        <v>2663</v>
      </c>
      <c r="H3085" s="150" t="s">
        <v>6205</v>
      </c>
      <c r="I3085" s="150" t="s">
        <v>1155</v>
      </c>
      <c r="J3085" s="150" t="s">
        <v>4557</v>
      </c>
      <c r="K3085" s="221"/>
      <c r="L3085" s="135" t="str">
        <f t="shared" si="179"/>
        <v>Vespertilio murinus</v>
      </c>
      <c r="M3085" s="133">
        <f t="shared" si="180"/>
        <v>1.271841606536499</v>
      </c>
      <c r="N3085" s="152">
        <v>18.7</v>
      </c>
      <c r="O3085" s="192"/>
      <c r="P3085" s="110">
        <v>153</v>
      </c>
    </row>
    <row r="3086" spans="1:18" ht="38.25">
      <c r="A3086" s="212" t="s">
        <v>2594</v>
      </c>
      <c r="B3086" s="141" t="s">
        <v>1057</v>
      </c>
      <c r="C3086" s="150" t="s">
        <v>3817</v>
      </c>
      <c r="D3086" s="221"/>
      <c r="E3086" s="150"/>
      <c r="F3086" s="150"/>
      <c r="G3086" s="110" t="s">
        <v>2663</v>
      </c>
      <c r="H3086" s="150" t="s">
        <v>6205</v>
      </c>
      <c r="I3086" s="150" t="s">
        <v>1155</v>
      </c>
      <c r="J3086" s="150" t="s">
        <v>4668</v>
      </c>
      <c r="K3086" s="221"/>
      <c r="L3086" s="135" t="str">
        <f t="shared" si="179"/>
        <v>Vespertilio superans</v>
      </c>
      <c r="M3086" s="133">
        <f t="shared" si="180"/>
        <v>1.3887227004751754</v>
      </c>
      <c r="N3086" s="152">
        <v>24.475000000000001</v>
      </c>
      <c r="O3086" s="192"/>
      <c r="P3086" s="110">
        <v>153</v>
      </c>
    </row>
    <row r="3087" spans="1:18" ht="51">
      <c r="A3087" s="214" t="s">
        <v>2594</v>
      </c>
      <c r="B3087" s="141" t="s">
        <v>2170</v>
      </c>
      <c r="C3087" s="118" t="s">
        <v>5092</v>
      </c>
      <c r="D3087" s="141"/>
      <c r="E3087" s="118"/>
      <c r="F3087" s="118"/>
      <c r="G3087" s="134" t="s">
        <v>3423</v>
      </c>
      <c r="H3087" s="118" t="s">
        <v>3475</v>
      </c>
      <c r="I3087" s="118" t="s">
        <v>5112</v>
      </c>
      <c r="J3087" s="118" t="s">
        <v>6359</v>
      </c>
      <c r="K3087" s="141"/>
      <c r="L3087" s="135" t="str">
        <f t="shared" si="179"/>
        <v>Thylacinus sp.</v>
      </c>
      <c r="M3087" s="133">
        <f t="shared" si="180"/>
        <v>4.4771212547196626</v>
      </c>
      <c r="N3087" s="133">
        <v>30000</v>
      </c>
      <c r="O3087" s="179" t="s">
        <v>2570</v>
      </c>
      <c r="P3087" s="109">
        <v>151</v>
      </c>
      <c r="Q3087" s="82"/>
    </row>
    <row r="3088" spans="1:18" ht="89.25">
      <c r="A3088" s="213" t="s">
        <v>2594</v>
      </c>
      <c r="B3088" s="141" t="s">
        <v>2170</v>
      </c>
      <c r="C3088" s="118" t="s">
        <v>3817</v>
      </c>
      <c r="D3088" s="141"/>
      <c r="E3088" s="118"/>
      <c r="F3088" s="118"/>
      <c r="G3088" s="118" t="s">
        <v>3423</v>
      </c>
      <c r="H3088" s="118" t="s">
        <v>3424</v>
      </c>
      <c r="I3088" s="118" t="s">
        <v>7489</v>
      </c>
      <c r="J3088" s="118" t="s">
        <v>5385</v>
      </c>
      <c r="K3088" s="141"/>
      <c r="L3088" s="135" t="str">
        <f t="shared" si="179"/>
        <v>Antechinus wilhelmina</v>
      </c>
      <c r="M3088" s="133">
        <f t="shared" si="180"/>
        <v>1.5990092398233435</v>
      </c>
      <c r="N3088" s="133">
        <v>39.72</v>
      </c>
      <c r="O3088" s="179" t="s">
        <v>6995</v>
      </c>
      <c r="P3088" s="108">
        <v>151</v>
      </c>
      <c r="Q3088" s="85" t="s">
        <v>6987</v>
      </c>
      <c r="R3088" s="79" t="s">
        <v>1878</v>
      </c>
    </row>
    <row r="3089" spans="1:19" ht="38.25">
      <c r="A3089" s="213" t="s">
        <v>2594</v>
      </c>
      <c r="B3089" s="141" t="s">
        <v>2170</v>
      </c>
      <c r="C3089" s="118" t="s">
        <v>3817</v>
      </c>
      <c r="D3089" s="141"/>
      <c r="E3089" s="118"/>
      <c r="F3089" s="118"/>
      <c r="G3089" s="118" t="s">
        <v>3423</v>
      </c>
      <c r="H3089" s="118" t="s">
        <v>3424</v>
      </c>
      <c r="I3089" s="118" t="s">
        <v>7489</v>
      </c>
      <c r="J3089" s="118" t="s">
        <v>3607</v>
      </c>
      <c r="K3089" s="141"/>
      <c r="L3089" s="135" t="str">
        <f t="shared" si="179"/>
        <v>Antechinus melanurus</v>
      </c>
      <c r="M3089" s="133">
        <f t="shared" si="180"/>
        <v>1.6794278966121188</v>
      </c>
      <c r="N3089" s="133">
        <v>47.8</v>
      </c>
      <c r="O3089" s="179" t="s">
        <v>6865</v>
      </c>
      <c r="P3089" s="108">
        <v>151</v>
      </c>
      <c r="Q3089" s="85"/>
    </row>
    <row r="3090" spans="1:19" ht="76.5">
      <c r="A3090" s="213" t="s">
        <v>2594</v>
      </c>
      <c r="B3090" s="141" t="s">
        <v>2170</v>
      </c>
      <c r="C3090" s="118" t="s">
        <v>3817</v>
      </c>
      <c r="D3090" s="141"/>
      <c r="E3090" s="118"/>
      <c r="F3090" s="118"/>
      <c r="G3090" s="118" t="s">
        <v>3423</v>
      </c>
      <c r="H3090" s="118" t="s">
        <v>3424</v>
      </c>
      <c r="I3090" s="118" t="s">
        <v>7489</v>
      </c>
      <c r="J3090" s="118" t="s">
        <v>7088</v>
      </c>
      <c r="K3090" s="141"/>
      <c r="L3090" s="135" t="str">
        <f t="shared" si="179"/>
        <v>Antechinus naso</v>
      </c>
      <c r="M3090" s="133">
        <f t="shared" si="180"/>
        <v>1.6848453616444126</v>
      </c>
      <c r="N3090" s="133">
        <f>AVERAGE(42.8,54)</f>
        <v>48.4</v>
      </c>
      <c r="O3090" s="179" t="s">
        <v>6995</v>
      </c>
      <c r="P3090" s="108">
        <v>151</v>
      </c>
      <c r="Q3090" s="85" t="s">
        <v>6987</v>
      </c>
      <c r="R3090" s="79" t="s">
        <v>7569</v>
      </c>
    </row>
    <row r="3091" spans="1:19" ht="76.5">
      <c r="A3091" s="213" t="s">
        <v>2594</v>
      </c>
      <c r="B3091" s="141" t="s">
        <v>2170</v>
      </c>
      <c r="C3091" s="118" t="s">
        <v>3817</v>
      </c>
      <c r="D3091" s="141"/>
      <c r="E3091" s="118"/>
      <c r="F3091" s="118"/>
      <c r="G3091" s="118" t="s">
        <v>3423</v>
      </c>
      <c r="H3091" s="118" t="s">
        <v>3424</v>
      </c>
      <c r="I3091" s="118" t="s">
        <v>4389</v>
      </c>
      <c r="J3091" s="118" t="s">
        <v>5308</v>
      </c>
      <c r="K3091" s="141"/>
      <c r="L3091" s="135" t="str">
        <f t="shared" si="179"/>
        <v>Dasyurus spartacus</v>
      </c>
      <c r="M3091" s="133">
        <v>-999</v>
      </c>
      <c r="N3091" s="133">
        <v>-999</v>
      </c>
      <c r="O3091" s="179" t="s">
        <v>4963</v>
      </c>
      <c r="P3091" s="108">
        <v>151</v>
      </c>
      <c r="Q3091" s="85" t="s">
        <v>7076</v>
      </c>
    </row>
    <row r="3092" spans="1:19" ht="38.25">
      <c r="A3092" s="213" t="s">
        <v>2594</v>
      </c>
      <c r="B3092" s="141" t="s">
        <v>2170</v>
      </c>
      <c r="C3092" s="118" t="s">
        <v>3817</v>
      </c>
      <c r="D3092" s="141"/>
      <c r="E3092" s="118"/>
      <c r="F3092" s="118"/>
      <c r="G3092" s="118" t="s">
        <v>3423</v>
      </c>
      <c r="H3092" s="118" t="s">
        <v>3424</v>
      </c>
      <c r="I3092" s="118" t="s">
        <v>4389</v>
      </c>
      <c r="J3092" s="118" t="s">
        <v>5307</v>
      </c>
      <c r="K3092" s="141"/>
      <c r="L3092" s="135" t="str">
        <f t="shared" si="179"/>
        <v>Dasyurus albopunctatus</v>
      </c>
      <c r="M3092" s="133">
        <f t="shared" ref="M3092:M3106" si="181">LOG(N3092)</f>
        <v>2.8041394323353503</v>
      </c>
      <c r="N3092" s="133">
        <v>637</v>
      </c>
      <c r="O3092" s="179" t="s">
        <v>8062</v>
      </c>
      <c r="P3092" s="108">
        <v>151</v>
      </c>
      <c r="Q3092" s="85" t="s">
        <v>6988</v>
      </c>
      <c r="R3092" s="79" t="s">
        <v>7074</v>
      </c>
    </row>
    <row r="3093" spans="1:19" ht="89.25">
      <c r="A3093" s="213" t="s">
        <v>2594</v>
      </c>
      <c r="B3093" s="141" t="s">
        <v>2170</v>
      </c>
      <c r="C3093" s="118" t="s">
        <v>3817</v>
      </c>
      <c r="D3093" s="141"/>
      <c r="E3093" s="118"/>
      <c r="F3093" s="118"/>
      <c r="G3093" s="118" t="s">
        <v>3423</v>
      </c>
      <c r="H3093" s="118" t="s">
        <v>3424</v>
      </c>
      <c r="I3093" s="118" t="s">
        <v>5668</v>
      </c>
      <c r="J3093" s="118" t="s">
        <v>4178</v>
      </c>
      <c r="K3093" s="141"/>
      <c r="L3093" s="135" t="str">
        <f t="shared" si="179"/>
        <v>Murexia rothschildi</v>
      </c>
      <c r="M3093" s="133">
        <f t="shared" si="181"/>
        <v>1.6409780573583321</v>
      </c>
      <c r="N3093" s="133">
        <f>AVERAGE(28.5, 59)</f>
        <v>43.75</v>
      </c>
      <c r="O3093" s="179" t="s">
        <v>5128</v>
      </c>
      <c r="P3093" s="108">
        <v>151</v>
      </c>
      <c r="Q3093" s="85" t="s">
        <v>5127</v>
      </c>
    </row>
    <row r="3094" spans="1:19" ht="48" customHeight="1">
      <c r="A3094" s="213" t="s">
        <v>2594</v>
      </c>
      <c r="B3094" s="141" t="s">
        <v>2600</v>
      </c>
      <c r="C3094" s="118" t="s">
        <v>3817</v>
      </c>
      <c r="D3094" s="141"/>
      <c r="E3094" s="118"/>
      <c r="F3094" s="118"/>
      <c r="G3094" s="118" t="s">
        <v>3423</v>
      </c>
      <c r="H3094" s="118" t="s">
        <v>3424</v>
      </c>
      <c r="I3094" s="118" t="s">
        <v>5668</v>
      </c>
      <c r="J3094" s="118" t="s">
        <v>7486</v>
      </c>
      <c r="K3094" s="141"/>
      <c r="L3094" s="135" t="str">
        <f t="shared" si="179"/>
        <v>Murexia longicaudata</v>
      </c>
      <c r="M3094" s="133">
        <f t="shared" si="181"/>
        <v>2.1445742076096161</v>
      </c>
      <c r="N3094" s="133">
        <f>AVERAGE(1000*0.211, 1000*0.068)</f>
        <v>139.5</v>
      </c>
      <c r="O3094" s="179" t="s">
        <v>3356</v>
      </c>
      <c r="P3094" s="108">
        <v>60</v>
      </c>
      <c r="Q3094" s="80"/>
      <c r="R3094" s="89"/>
      <c r="S3094" s="85" t="s">
        <v>4878</v>
      </c>
    </row>
    <row r="3095" spans="1:19">
      <c r="A3095" s="213" t="s">
        <v>2594</v>
      </c>
      <c r="B3095" s="141" t="s">
        <v>1725</v>
      </c>
      <c r="C3095" s="118" t="s">
        <v>3817</v>
      </c>
      <c r="D3095" s="141"/>
      <c r="E3095" s="118"/>
      <c r="F3095" s="118"/>
      <c r="G3095" s="118" t="s">
        <v>3423</v>
      </c>
      <c r="H3095" s="118" t="s">
        <v>3424</v>
      </c>
      <c r="I3095" s="118" t="s">
        <v>5668</v>
      </c>
      <c r="J3095" s="118" t="s">
        <v>7486</v>
      </c>
      <c r="K3095" s="141"/>
      <c r="L3095" s="135" t="str">
        <f t="shared" si="179"/>
        <v>Murexia longicaudata</v>
      </c>
      <c r="M3095" s="133">
        <f t="shared" si="181"/>
        <v>2.6374897295125108</v>
      </c>
      <c r="N3095" s="133">
        <v>434</v>
      </c>
      <c r="O3095" s="179" t="s">
        <v>3356</v>
      </c>
      <c r="P3095" s="108">
        <v>110</v>
      </c>
      <c r="Q3095" s="80" t="s">
        <v>1512</v>
      </c>
    </row>
    <row r="3096" spans="1:19">
      <c r="A3096" s="213" t="s">
        <v>2594</v>
      </c>
      <c r="B3096" s="141" t="s">
        <v>2170</v>
      </c>
      <c r="C3096" s="118" t="s">
        <v>3817</v>
      </c>
      <c r="D3096" s="141"/>
      <c r="E3096" s="118"/>
      <c r="F3096" s="118"/>
      <c r="G3096" s="118" t="s">
        <v>3423</v>
      </c>
      <c r="H3096" s="118" t="s">
        <v>3424</v>
      </c>
      <c r="I3096" s="118" t="s">
        <v>5668</v>
      </c>
      <c r="J3096" s="118" t="s">
        <v>7486</v>
      </c>
      <c r="K3096" s="141"/>
      <c r="L3096" s="135" t="str">
        <f t="shared" si="179"/>
        <v>Murexia longicaudata</v>
      </c>
      <c r="M3096" s="133">
        <f t="shared" si="181"/>
        <v>2.6374897295125108</v>
      </c>
      <c r="N3096" s="133">
        <v>434</v>
      </c>
      <c r="O3096" s="179" t="s">
        <v>3356</v>
      </c>
      <c r="P3096" s="118">
        <v>110</v>
      </c>
      <c r="Q3096" s="80" t="s">
        <v>1512</v>
      </c>
    </row>
    <row r="3097" spans="1:19">
      <c r="A3097" s="213" t="s">
        <v>2594</v>
      </c>
      <c r="B3097" s="141" t="s">
        <v>2600</v>
      </c>
      <c r="C3097" s="118" t="s">
        <v>3817</v>
      </c>
      <c r="D3097" s="141"/>
      <c r="E3097" s="118"/>
      <c r="F3097" s="118"/>
      <c r="G3097" s="118" t="s">
        <v>3423</v>
      </c>
      <c r="H3097" s="118" t="s">
        <v>3424</v>
      </c>
      <c r="I3097" s="118" t="s">
        <v>5669</v>
      </c>
      <c r="J3097" s="118" t="s">
        <v>5639</v>
      </c>
      <c r="K3097" s="141"/>
      <c r="L3097" s="135" t="str">
        <f t="shared" si="179"/>
        <v>Myoictis melas</v>
      </c>
      <c r="M3097" s="133">
        <f t="shared" si="181"/>
        <v>2.3010299956639813</v>
      </c>
      <c r="N3097" s="133">
        <v>200</v>
      </c>
      <c r="O3097" s="179" t="s">
        <v>3356</v>
      </c>
      <c r="P3097" s="108">
        <v>110</v>
      </c>
      <c r="Q3097" s="80"/>
    </row>
    <row r="3098" spans="1:19" ht="38.25">
      <c r="A3098" s="213" t="s">
        <v>2594</v>
      </c>
      <c r="B3098" s="141" t="s">
        <v>1413</v>
      </c>
      <c r="C3098" s="118" t="s">
        <v>3817</v>
      </c>
      <c r="D3098" s="141"/>
      <c r="E3098" s="118"/>
      <c r="F3098" s="118"/>
      <c r="G3098" s="118" t="s">
        <v>3423</v>
      </c>
      <c r="H3098" s="118" t="s">
        <v>3424</v>
      </c>
      <c r="I3098" s="118" t="s">
        <v>5669</v>
      </c>
      <c r="J3098" s="118" t="s">
        <v>5639</v>
      </c>
      <c r="K3098" s="141"/>
      <c r="L3098" s="135" t="str">
        <f t="shared" si="179"/>
        <v>Myoictis melas</v>
      </c>
      <c r="M3098" s="133">
        <f t="shared" si="181"/>
        <v>2.3010299956639813</v>
      </c>
      <c r="N3098" s="133">
        <v>200</v>
      </c>
      <c r="O3098" s="179" t="s">
        <v>3356</v>
      </c>
      <c r="P3098" s="108">
        <v>110</v>
      </c>
      <c r="Q3098" s="80" t="s">
        <v>1298</v>
      </c>
    </row>
    <row r="3099" spans="1:19" ht="25.5">
      <c r="A3099" s="213" t="s">
        <v>2594</v>
      </c>
      <c r="B3099" s="141" t="s">
        <v>2170</v>
      </c>
      <c r="C3099" s="118" t="s">
        <v>3817</v>
      </c>
      <c r="D3099" s="141"/>
      <c r="E3099" s="118"/>
      <c r="F3099" s="118"/>
      <c r="G3099" s="118" t="s">
        <v>3423</v>
      </c>
      <c r="H3099" s="118" t="s">
        <v>3424</v>
      </c>
      <c r="I3099" s="118" t="s">
        <v>5669</v>
      </c>
      <c r="J3099" s="118" t="s">
        <v>5639</v>
      </c>
      <c r="K3099" s="141"/>
      <c r="L3099" s="135" t="str">
        <f t="shared" si="179"/>
        <v>Myoictis melas</v>
      </c>
      <c r="M3099" s="133">
        <f t="shared" si="181"/>
        <v>2.3010299956639813</v>
      </c>
      <c r="N3099" s="133">
        <v>200</v>
      </c>
      <c r="O3099" s="179" t="s">
        <v>5129</v>
      </c>
      <c r="P3099" s="108">
        <v>151</v>
      </c>
      <c r="Q3099" s="85"/>
    </row>
    <row r="3100" spans="1:19" ht="25.5">
      <c r="A3100" s="213" t="s">
        <v>2594</v>
      </c>
      <c r="B3100" s="141" t="s">
        <v>2170</v>
      </c>
      <c r="C3100" s="118" t="s">
        <v>3817</v>
      </c>
      <c r="D3100" s="141"/>
      <c r="E3100" s="118"/>
      <c r="F3100" s="118"/>
      <c r="G3100" s="118" t="s">
        <v>3423</v>
      </c>
      <c r="H3100" s="118" t="s">
        <v>3424</v>
      </c>
      <c r="I3100" s="118" t="s">
        <v>5670</v>
      </c>
      <c r="J3100" s="118" t="s">
        <v>5671</v>
      </c>
      <c r="K3100" s="141"/>
      <c r="L3100" s="135" t="str">
        <f t="shared" si="179"/>
        <v>Neophascogale lorentzi</v>
      </c>
      <c r="M3100" s="133">
        <f t="shared" si="181"/>
        <v>2.3263358609287512</v>
      </c>
      <c r="N3100" s="133">
        <v>212</v>
      </c>
      <c r="O3100" s="179" t="s">
        <v>5019</v>
      </c>
      <c r="P3100" s="108">
        <v>151</v>
      </c>
      <c r="Q3100" s="85"/>
    </row>
    <row r="3101" spans="1:19" ht="25.5">
      <c r="A3101" s="213" t="s">
        <v>2594</v>
      </c>
      <c r="B3101" s="141" t="s">
        <v>2170</v>
      </c>
      <c r="C3101" s="118" t="s">
        <v>3817</v>
      </c>
      <c r="D3101" s="141"/>
      <c r="E3101" s="118"/>
      <c r="F3101" s="118"/>
      <c r="G3101" s="118" t="s">
        <v>3423</v>
      </c>
      <c r="H3101" s="118" t="s">
        <v>3424</v>
      </c>
      <c r="I3101" s="118" t="s">
        <v>5400</v>
      </c>
      <c r="J3101" s="118" t="s">
        <v>3630</v>
      </c>
      <c r="K3101" s="141"/>
      <c r="L3101" s="135" t="str">
        <f t="shared" si="179"/>
        <v>Phascolosorex dorsalis</v>
      </c>
      <c r="M3101" s="133">
        <f t="shared" si="181"/>
        <v>2.1414497734004674</v>
      </c>
      <c r="N3101" s="133">
        <v>138.5</v>
      </c>
      <c r="O3101" s="179" t="s">
        <v>8307</v>
      </c>
      <c r="P3101" s="108">
        <v>151</v>
      </c>
      <c r="Q3101" s="85"/>
    </row>
    <row r="3102" spans="1:19" ht="191.25">
      <c r="A3102" s="213" t="s">
        <v>2594</v>
      </c>
      <c r="B3102" s="141" t="s">
        <v>2170</v>
      </c>
      <c r="C3102" s="118" t="s">
        <v>3817</v>
      </c>
      <c r="D3102" s="141"/>
      <c r="E3102" s="118"/>
      <c r="F3102" s="118"/>
      <c r="G3102" s="118" t="s">
        <v>3423</v>
      </c>
      <c r="H3102" s="118" t="s">
        <v>3424</v>
      </c>
      <c r="I3102" s="118" t="s">
        <v>5400</v>
      </c>
      <c r="J3102" s="118" t="s">
        <v>5401</v>
      </c>
      <c r="K3102" s="141"/>
      <c r="L3102" s="135" t="str">
        <f t="shared" si="179"/>
        <v>Phascolosorex doriae</v>
      </c>
      <c r="M3102" s="133">
        <f t="shared" si="181"/>
        <v>2.2260995985690735</v>
      </c>
      <c r="N3102" s="133">
        <v>168.30600000000001</v>
      </c>
      <c r="O3102" s="179" t="s">
        <v>6882</v>
      </c>
      <c r="P3102" s="108">
        <v>151</v>
      </c>
      <c r="Q3102" s="90" t="s">
        <v>6987</v>
      </c>
      <c r="R3102" s="79" t="s">
        <v>259</v>
      </c>
    </row>
    <row r="3103" spans="1:19" ht="51">
      <c r="A3103" s="213" t="s">
        <v>2594</v>
      </c>
      <c r="B3103" s="141" t="s">
        <v>2170</v>
      </c>
      <c r="C3103" s="118" t="s">
        <v>3817</v>
      </c>
      <c r="D3103" s="141"/>
      <c r="E3103" s="118"/>
      <c r="F3103" s="118"/>
      <c r="G3103" s="118" t="s">
        <v>3423</v>
      </c>
      <c r="H3103" s="118" t="s">
        <v>3424</v>
      </c>
      <c r="I3103" s="118" t="s">
        <v>4058</v>
      </c>
      <c r="J3103" s="118" t="s">
        <v>5182</v>
      </c>
      <c r="K3103" s="141"/>
      <c r="L3103" s="135" t="str">
        <f t="shared" si="179"/>
        <v>Planigale novaeguineae</v>
      </c>
      <c r="M3103" s="133">
        <f t="shared" si="181"/>
        <v>1.173186268412274</v>
      </c>
      <c r="N3103" s="133">
        <v>14.9</v>
      </c>
      <c r="O3103" s="179" t="s">
        <v>7791</v>
      </c>
      <c r="P3103" s="108">
        <v>151</v>
      </c>
      <c r="Q3103" s="85" t="s">
        <v>4979</v>
      </c>
    </row>
    <row r="3104" spans="1:19" ht="102">
      <c r="A3104" s="213" t="s">
        <v>2594</v>
      </c>
      <c r="B3104" s="141" t="s">
        <v>2170</v>
      </c>
      <c r="C3104" s="118" t="s">
        <v>3817</v>
      </c>
      <c r="D3104" s="141"/>
      <c r="E3104" s="118"/>
      <c r="F3104" s="118"/>
      <c r="G3104" s="118" t="s">
        <v>3423</v>
      </c>
      <c r="H3104" s="118" t="s">
        <v>3424</v>
      </c>
      <c r="I3104" s="118" t="s">
        <v>4118</v>
      </c>
      <c r="J3104" s="118" t="s">
        <v>7148</v>
      </c>
      <c r="K3104" s="141"/>
      <c r="L3104" s="135" t="str">
        <f t="shared" si="179"/>
        <v>Sminthopsis archeri</v>
      </c>
      <c r="M3104" s="133">
        <f t="shared" si="181"/>
        <v>1.2041199826559248</v>
      </c>
      <c r="N3104" s="133">
        <v>16</v>
      </c>
      <c r="O3104" s="179" t="s">
        <v>7020</v>
      </c>
      <c r="P3104" s="108">
        <v>151</v>
      </c>
      <c r="Q3104" s="85" t="s">
        <v>7021</v>
      </c>
    </row>
    <row r="3105" spans="1:18" ht="89.25">
      <c r="A3105" s="213" t="s">
        <v>2594</v>
      </c>
      <c r="B3105" s="141" t="s">
        <v>2170</v>
      </c>
      <c r="C3105" s="118" t="s">
        <v>3817</v>
      </c>
      <c r="D3105" s="141"/>
      <c r="E3105" s="118"/>
      <c r="F3105" s="118"/>
      <c r="G3105" s="118" t="s">
        <v>3423</v>
      </c>
      <c r="H3105" s="118" t="s">
        <v>3424</v>
      </c>
      <c r="I3105" s="118" t="s">
        <v>4118</v>
      </c>
      <c r="J3105" s="118" t="s">
        <v>4096</v>
      </c>
      <c r="K3105" s="141"/>
      <c r="L3105" s="135" t="str">
        <f t="shared" si="179"/>
        <v>Sminthopsis virginiae</v>
      </c>
      <c r="M3105" s="133">
        <f t="shared" si="181"/>
        <v>1.5471591213274176</v>
      </c>
      <c r="N3105" s="133">
        <v>35.25</v>
      </c>
      <c r="O3105" s="179" t="s">
        <v>7017</v>
      </c>
      <c r="P3105" s="108">
        <v>151</v>
      </c>
      <c r="Q3105" s="85" t="s">
        <v>7021</v>
      </c>
    </row>
    <row r="3106" spans="1:18">
      <c r="A3106" s="213" t="s">
        <v>2594</v>
      </c>
      <c r="B3106" s="130" t="s">
        <v>2109</v>
      </c>
      <c r="C3106" s="118" t="s">
        <v>3817</v>
      </c>
      <c r="D3106" s="141"/>
      <c r="E3106" s="118"/>
      <c r="F3106" s="118"/>
      <c r="G3106" s="118" t="s">
        <v>3539</v>
      </c>
      <c r="H3106" s="118" t="s">
        <v>3540</v>
      </c>
      <c r="I3106" s="118" t="s">
        <v>6004</v>
      </c>
      <c r="J3106" s="118" t="s">
        <v>3089</v>
      </c>
      <c r="K3106" s="141"/>
      <c r="L3106" s="135" t="str">
        <f t="shared" si="179"/>
        <v>Cynocephalus variegatus</v>
      </c>
      <c r="M3106" s="133">
        <f t="shared" si="181"/>
        <v>3.0107238653917729</v>
      </c>
      <c r="N3106" s="133">
        <f>AVERAGE(925, 1300, 850)</f>
        <v>1025</v>
      </c>
      <c r="O3106" s="179"/>
      <c r="P3106" s="108" t="s">
        <v>1414</v>
      </c>
      <c r="Q3106" s="80"/>
    </row>
    <row r="3107" spans="1:18">
      <c r="A3107" s="213" t="s">
        <v>2594</v>
      </c>
      <c r="B3107" s="141" t="s">
        <v>5804</v>
      </c>
      <c r="C3107" s="118" t="s">
        <v>3817</v>
      </c>
      <c r="D3107" s="141"/>
      <c r="E3107" s="118"/>
      <c r="F3107" s="118"/>
      <c r="G3107" s="118" t="s">
        <v>4370</v>
      </c>
      <c r="H3107" s="118" t="s">
        <v>4371</v>
      </c>
      <c r="I3107" s="118" t="s">
        <v>2211</v>
      </c>
      <c r="J3107" s="118" t="s">
        <v>6822</v>
      </c>
      <c r="K3107" s="141"/>
      <c r="L3107" s="135" t="str">
        <f t="shared" si="179"/>
        <v>Monodelphis maraxina</v>
      </c>
      <c r="M3107" s="133">
        <v>-999</v>
      </c>
      <c r="N3107" s="133">
        <v>-999</v>
      </c>
      <c r="O3107" s="179" t="s">
        <v>6641</v>
      </c>
      <c r="P3107" s="108">
        <v>-999</v>
      </c>
      <c r="Q3107" s="80" t="s">
        <v>6988</v>
      </c>
    </row>
    <row r="3108" spans="1:18" ht="24" customHeight="1">
      <c r="A3108" s="287" t="s">
        <v>2594</v>
      </c>
      <c r="B3108" s="141" t="s">
        <v>2170</v>
      </c>
      <c r="C3108" s="110" t="s">
        <v>5092</v>
      </c>
      <c r="D3108" s="145"/>
      <c r="E3108" s="110"/>
      <c r="F3108" s="110"/>
      <c r="G3108" s="110" t="s">
        <v>2079</v>
      </c>
      <c r="H3108" s="110" t="s">
        <v>1789</v>
      </c>
      <c r="I3108" s="118" t="s">
        <v>1790</v>
      </c>
      <c r="J3108" s="118" t="s">
        <v>1695</v>
      </c>
      <c r="K3108" s="141"/>
      <c r="L3108" s="135" t="str">
        <f t="shared" si="179"/>
        <v>Hulitherium thomasettii</v>
      </c>
      <c r="M3108" s="133">
        <f t="shared" ref="M3108:M3141" si="182">LOG(N3108)</f>
        <v>5.1383026981662816</v>
      </c>
      <c r="N3108" s="133">
        <v>137500</v>
      </c>
      <c r="O3108" s="179" t="s">
        <v>2571</v>
      </c>
      <c r="P3108" s="109">
        <v>151</v>
      </c>
      <c r="Q3108" s="82"/>
      <c r="R3108" s="89"/>
    </row>
    <row r="3109" spans="1:18" ht="51">
      <c r="A3109" s="287" t="s">
        <v>2594</v>
      </c>
      <c r="B3109" s="141" t="s">
        <v>2170</v>
      </c>
      <c r="C3109" s="110" t="s">
        <v>5092</v>
      </c>
      <c r="D3109" s="145"/>
      <c r="E3109" s="110"/>
      <c r="F3109" s="110"/>
      <c r="G3109" s="110" t="s">
        <v>2079</v>
      </c>
      <c r="H3109" s="110" t="s">
        <v>1789</v>
      </c>
      <c r="I3109" s="118" t="s">
        <v>1696</v>
      </c>
      <c r="J3109" s="118" t="s">
        <v>1697</v>
      </c>
      <c r="K3109" s="141"/>
      <c r="L3109" s="135" t="str">
        <f t="shared" si="179"/>
        <v>Kolopsis watutense</v>
      </c>
      <c r="M3109" s="133">
        <f t="shared" si="182"/>
        <v>5.4771212547196626</v>
      </c>
      <c r="N3109" s="133">
        <v>300000</v>
      </c>
      <c r="O3109" s="179" t="s">
        <v>1373</v>
      </c>
      <c r="P3109" s="109">
        <v>151</v>
      </c>
      <c r="Q3109" s="82"/>
    </row>
    <row r="3110" spans="1:18" ht="38.25">
      <c r="A3110" s="287" t="s">
        <v>2594</v>
      </c>
      <c r="B3110" s="141" t="s">
        <v>2170</v>
      </c>
      <c r="C3110" s="110" t="s">
        <v>5092</v>
      </c>
      <c r="D3110" s="145"/>
      <c r="E3110" s="110"/>
      <c r="F3110" s="110"/>
      <c r="G3110" s="110" t="s">
        <v>2079</v>
      </c>
      <c r="H3110" s="110" t="s">
        <v>1789</v>
      </c>
      <c r="I3110" s="118" t="s">
        <v>1575</v>
      </c>
      <c r="J3110" s="118" t="s">
        <v>1351</v>
      </c>
      <c r="K3110" s="141"/>
      <c r="L3110" s="135" t="str">
        <f t="shared" si="179"/>
        <v>Maokopia ronaldi</v>
      </c>
      <c r="M3110" s="133">
        <f t="shared" si="182"/>
        <v>5</v>
      </c>
      <c r="N3110" s="133">
        <v>100000</v>
      </c>
      <c r="O3110" s="179" t="s">
        <v>1470</v>
      </c>
      <c r="P3110" s="109">
        <v>151</v>
      </c>
      <c r="Q3110" s="82"/>
    </row>
    <row r="3111" spans="1:18" ht="25.5">
      <c r="A3111" s="287" t="s">
        <v>2594</v>
      </c>
      <c r="B3111" s="141" t="s">
        <v>2170</v>
      </c>
      <c r="C3111" s="110" t="s">
        <v>5092</v>
      </c>
      <c r="D3111" s="145"/>
      <c r="E3111" s="110"/>
      <c r="F3111" s="110"/>
      <c r="G3111" s="110" t="s">
        <v>2079</v>
      </c>
      <c r="H3111" s="110" t="s">
        <v>7333</v>
      </c>
      <c r="I3111" s="118" t="s">
        <v>4986</v>
      </c>
      <c r="J3111" s="118" t="s">
        <v>6160</v>
      </c>
      <c r="K3111" s="141"/>
      <c r="L3111" s="135" t="str">
        <f t="shared" si="179"/>
        <v>Dendrolagus noibano</v>
      </c>
      <c r="M3111" s="133">
        <f t="shared" si="182"/>
        <v>4.3010299956639813</v>
      </c>
      <c r="N3111" s="133">
        <v>20000</v>
      </c>
      <c r="O3111" s="179" t="s">
        <v>1698</v>
      </c>
      <c r="P3111" s="109">
        <v>151</v>
      </c>
      <c r="Q3111" s="82"/>
    </row>
    <row r="3112" spans="1:18" ht="25.5">
      <c r="A3112" s="214" t="s">
        <v>2594</v>
      </c>
      <c r="B3112" s="141" t="s">
        <v>2170</v>
      </c>
      <c r="C3112" s="118" t="s">
        <v>5092</v>
      </c>
      <c r="D3112" s="141"/>
      <c r="E3112" s="118"/>
      <c r="F3112" s="118"/>
      <c r="G3112" s="118" t="s">
        <v>2079</v>
      </c>
      <c r="H3112" s="118" t="s">
        <v>7333</v>
      </c>
      <c r="I3112" s="118" t="s">
        <v>2090</v>
      </c>
      <c r="J3112" s="118" t="s">
        <v>6159</v>
      </c>
      <c r="K3112" s="141"/>
      <c r="L3112" s="135" t="str">
        <f t="shared" si="179"/>
        <v>Protemnodon nombe</v>
      </c>
      <c r="M3112" s="133">
        <f t="shared" si="182"/>
        <v>4.4771212547196626</v>
      </c>
      <c r="N3112" s="133">
        <v>30000</v>
      </c>
      <c r="O3112" s="179" t="s">
        <v>1229</v>
      </c>
      <c r="P3112" s="109">
        <v>151</v>
      </c>
      <c r="Q3112" s="82"/>
    </row>
    <row r="3113" spans="1:18" ht="38.25">
      <c r="A3113" s="214" t="s">
        <v>2594</v>
      </c>
      <c r="B3113" s="141" t="s">
        <v>2170</v>
      </c>
      <c r="C3113" s="118" t="s">
        <v>5092</v>
      </c>
      <c r="D3113" s="141"/>
      <c r="E3113" s="118"/>
      <c r="F3113" s="118"/>
      <c r="G3113" s="118" t="s">
        <v>2079</v>
      </c>
      <c r="H3113" s="118" t="s">
        <v>7333</v>
      </c>
      <c r="I3113" s="118" t="s">
        <v>2090</v>
      </c>
      <c r="J3113" s="118" t="s">
        <v>6360</v>
      </c>
      <c r="K3113" s="141"/>
      <c r="L3113" s="135" t="str">
        <f t="shared" si="179"/>
        <v>Protemnodon tumbuna</v>
      </c>
      <c r="M3113" s="133">
        <f t="shared" si="182"/>
        <v>4.6989700043360187</v>
      </c>
      <c r="N3113" s="133">
        <v>50000</v>
      </c>
      <c r="O3113" s="179" t="s">
        <v>1573</v>
      </c>
      <c r="P3113" s="109">
        <v>151</v>
      </c>
      <c r="Q3113" s="82"/>
    </row>
    <row r="3114" spans="1:18" ht="51">
      <c r="A3114" s="287" t="s">
        <v>2594</v>
      </c>
      <c r="B3114" s="141" t="s">
        <v>2170</v>
      </c>
      <c r="C3114" s="110" t="s">
        <v>5092</v>
      </c>
      <c r="D3114" s="145"/>
      <c r="E3114" s="110"/>
      <c r="F3114" s="110"/>
      <c r="G3114" s="110" t="s">
        <v>2079</v>
      </c>
      <c r="H3114" s="110" t="s">
        <v>7333</v>
      </c>
      <c r="I3114" s="118" t="s">
        <v>2090</v>
      </c>
      <c r="J3114" s="118" t="s">
        <v>1230</v>
      </c>
      <c r="K3114" s="141"/>
      <c r="L3114" s="135" t="str">
        <f t="shared" si="179"/>
        <v>Protemnodon hopei</v>
      </c>
      <c r="M3114" s="133">
        <f t="shared" si="182"/>
        <v>4.8692317197309762</v>
      </c>
      <c r="N3114" s="133">
        <v>74000</v>
      </c>
      <c r="O3114" s="179" t="s">
        <v>6371</v>
      </c>
      <c r="P3114" s="109">
        <v>151</v>
      </c>
      <c r="Q3114" s="82"/>
    </row>
    <row r="3115" spans="1:18" ht="38.25">
      <c r="A3115" s="287" t="s">
        <v>2594</v>
      </c>
      <c r="B3115" s="141" t="s">
        <v>2170</v>
      </c>
      <c r="C3115" s="110" t="s">
        <v>5092</v>
      </c>
      <c r="D3115" s="145"/>
      <c r="E3115" s="110"/>
      <c r="F3115" s="110"/>
      <c r="G3115" s="110" t="s">
        <v>2079</v>
      </c>
      <c r="H3115" s="110" t="s">
        <v>7333</v>
      </c>
      <c r="I3115" s="118" t="s">
        <v>7540</v>
      </c>
      <c r="J3115" s="118" t="s">
        <v>1699</v>
      </c>
      <c r="K3115" s="141"/>
      <c r="L3115" s="135" t="str">
        <f t="shared" si="179"/>
        <v>Thylogale christenseni</v>
      </c>
      <c r="M3115" s="133">
        <f t="shared" si="182"/>
        <v>3.2604291755779347</v>
      </c>
      <c r="N3115" s="146">
        <f>AVERAGE(1750, 1893)</f>
        <v>1821.5</v>
      </c>
      <c r="O3115" s="179" t="s">
        <v>1792</v>
      </c>
      <c r="P3115" s="109">
        <v>151</v>
      </c>
      <c r="Q3115" s="82"/>
    </row>
    <row r="3116" spans="1:18" ht="25.5">
      <c r="A3116" s="287" t="s">
        <v>2594</v>
      </c>
      <c r="B3116" s="141" t="s">
        <v>2170</v>
      </c>
      <c r="C3116" s="110" t="s">
        <v>5092</v>
      </c>
      <c r="D3116" s="145"/>
      <c r="E3116" s="110"/>
      <c r="F3116" s="110"/>
      <c r="G3116" s="110" t="s">
        <v>2079</v>
      </c>
      <c r="H3116" s="110" t="s">
        <v>7333</v>
      </c>
      <c r="I3116" s="118" t="s">
        <v>7540</v>
      </c>
      <c r="J3116" s="118" t="s">
        <v>6359</v>
      </c>
      <c r="K3116" s="141"/>
      <c r="L3116" s="135" t="str">
        <f t="shared" si="179"/>
        <v>Thylogale sp.</v>
      </c>
      <c r="M3116" s="133">
        <f t="shared" si="182"/>
        <v>3.7386220279179425</v>
      </c>
      <c r="N3116" s="133">
        <f>AVERAGE(6618, 4338)</f>
        <v>5478</v>
      </c>
      <c r="O3116" s="179" t="s">
        <v>1141</v>
      </c>
      <c r="P3116" s="109">
        <v>151</v>
      </c>
      <c r="Q3116" s="82"/>
    </row>
    <row r="3117" spans="1:18" ht="25.5">
      <c r="A3117" s="213" t="s">
        <v>2594</v>
      </c>
      <c r="B3117" s="141" t="s">
        <v>2170</v>
      </c>
      <c r="C3117" s="118" t="s">
        <v>3817</v>
      </c>
      <c r="D3117" s="141"/>
      <c r="E3117" s="118"/>
      <c r="F3117" s="118"/>
      <c r="G3117" s="118" t="s">
        <v>2079</v>
      </c>
      <c r="H3117" s="118" t="s">
        <v>3474</v>
      </c>
      <c r="I3117" s="118" t="s">
        <v>5482</v>
      </c>
      <c r="J3117" s="118" t="s">
        <v>5249</v>
      </c>
      <c r="K3117" s="141"/>
      <c r="L3117" s="135" t="str">
        <f t="shared" si="179"/>
        <v>Distoechurus pennatus</v>
      </c>
      <c r="M3117" s="133">
        <f t="shared" si="182"/>
        <v>1.6444385894678386</v>
      </c>
      <c r="N3117" s="133">
        <f>AVERAGE(39.1, 49.1)</f>
        <v>44.1</v>
      </c>
      <c r="O3117" s="179" t="s">
        <v>5130</v>
      </c>
      <c r="P3117" s="108">
        <v>151</v>
      </c>
      <c r="Q3117" s="85"/>
    </row>
    <row r="3118" spans="1:18" ht="25.5">
      <c r="A3118" s="212" t="s">
        <v>2594</v>
      </c>
      <c r="B3118" s="141" t="s">
        <v>2170</v>
      </c>
      <c r="C3118" s="109" t="s">
        <v>3817</v>
      </c>
      <c r="D3118" s="163"/>
      <c r="E3118" s="109"/>
      <c r="F3118" s="109"/>
      <c r="G3118" s="109" t="s">
        <v>2079</v>
      </c>
      <c r="H3118" s="109" t="s">
        <v>4842</v>
      </c>
      <c r="I3118" s="109" t="s">
        <v>2174</v>
      </c>
      <c r="J3118" s="109" t="s">
        <v>2178</v>
      </c>
      <c r="K3118" s="163"/>
      <c r="L3118" s="135" t="str">
        <f t="shared" si="179"/>
        <v>Cercartetus caudatus</v>
      </c>
      <c r="M3118" s="133">
        <f t="shared" si="182"/>
        <v>1.3010299956639813</v>
      </c>
      <c r="N3118" s="151">
        <f>AVERAGE(19.8, 20.2)</f>
        <v>20</v>
      </c>
      <c r="O3118" s="189" t="s">
        <v>7419</v>
      </c>
      <c r="P3118" s="115">
        <v>151</v>
      </c>
      <c r="Q3118" s="82"/>
    </row>
    <row r="3119" spans="1:18" ht="63.75">
      <c r="A3119" s="212" t="s">
        <v>2594</v>
      </c>
      <c r="B3119" s="141" t="s">
        <v>2170</v>
      </c>
      <c r="C3119" s="110" t="s">
        <v>3817</v>
      </c>
      <c r="D3119" s="145"/>
      <c r="E3119" s="110"/>
      <c r="F3119" s="110"/>
      <c r="G3119" s="110" t="s">
        <v>2079</v>
      </c>
      <c r="H3119" s="109" t="s">
        <v>7333</v>
      </c>
      <c r="I3119" s="110" t="s">
        <v>4986</v>
      </c>
      <c r="J3119" s="110" t="s">
        <v>6317</v>
      </c>
      <c r="K3119" s="145"/>
      <c r="L3119" s="135" t="str">
        <f t="shared" si="179"/>
        <v>Dendrolagus matschiei</v>
      </c>
      <c r="M3119" s="133">
        <f t="shared" si="182"/>
        <v>3.842609239610562</v>
      </c>
      <c r="N3119" s="146">
        <v>6960</v>
      </c>
      <c r="O3119" s="189" t="s">
        <v>6736</v>
      </c>
      <c r="P3119" s="115">
        <v>-999</v>
      </c>
      <c r="Q3119" s="82" t="s">
        <v>5327</v>
      </c>
    </row>
    <row r="3120" spans="1:18" ht="51">
      <c r="A3120" s="212" t="s">
        <v>2594</v>
      </c>
      <c r="B3120" s="141" t="s">
        <v>2170</v>
      </c>
      <c r="C3120" s="110" t="s">
        <v>3817</v>
      </c>
      <c r="D3120" s="145"/>
      <c r="E3120" s="110"/>
      <c r="F3120" s="110"/>
      <c r="G3120" s="110" t="s">
        <v>2079</v>
      </c>
      <c r="H3120" s="109" t="s">
        <v>7333</v>
      </c>
      <c r="I3120" s="110" t="s">
        <v>4986</v>
      </c>
      <c r="J3120" s="110" t="s">
        <v>5314</v>
      </c>
      <c r="K3120" s="145"/>
      <c r="L3120" s="135" t="str">
        <f t="shared" si="179"/>
        <v>Dendrolagus goodfellowi</v>
      </c>
      <c r="M3120" s="133">
        <f t="shared" si="182"/>
        <v>3.9044450410769098</v>
      </c>
      <c r="N3120" s="146">
        <f>AVERAGE(7900, 8150)</f>
        <v>8025</v>
      </c>
      <c r="O3120" s="179" t="s">
        <v>6773</v>
      </c>
      <c r="P3120" s="115">
        <v>151</v>
      </c>
      <c r="Q3120" s="94" t="s">
        <v>6640</v>
      </c>
      <c r="R3120" s="79" t="s">
        <v>5741</v>
      </c>
    </row>
    <row r="3121" spans="1:19" ht="25.5">
      <c r="A3121" s="213" t="s">
        <v>2594</v>
      </c>
      <c r="B3121" s="141" t="s">
        <v>2170</v>
      </c>
      <c r="C3121" s="118" t="s">
        <v>3817</v>
      </c>
      <c r="D3121" s="141"/>
      <c r="E3121" s="118"/>
      <c r="F3121" s="118"/>
      <c r="G3121" s="118" t="s">
        <v>2079</v>
      </c>
      <c r="H3121" s="118" t="s">
        <v>7333</v>
      </c>
      <c r="I3121" s="118" t="s">
        <v>4986</v>
      </c>
      <c r="J3121" s="118" t="s">
        <v>7388</v>
      </c>
      <c r="K3121" s="141"/>
      <c r="L3121" s="135" t="str">
        <f t="shared" si="179"/>
        <v>Dendrolagus spp.</v>
      </c>
      <c r="M3121" s="133">
        <f t="shared" si="182"/>
        <v>3.9420080530223132</v>
      </c>
      <c r="N3121" s="133">
        <v>8750</v>
      </c>
      <c r="O3121" s="179" t="s">
        <v>6878</v>
      </c>
      <c r="P3121" s="108">
        <v>151</v>
      </c>
      <c r="Q3121" s="85"/>
    </row>
    <row r="3122" spans="1:19">
      <c r="A3122" s="213" t="s">
        <v>2594</v>
      </c>
      <c r="B3122" s="141" t="s">
        <v>2170</v>
      </c>
      <c r="C3122" s="118" t="s">
        <v>3817</v>
      </c>
      <c r="D3122" s="141"/>
      <c r="E3122" s="118"/>
      <c r="F3122" s="118"/>
      <c r="G3122" s="118" t="s">
        <v>2079</v>
      </c>
      <c r="H3122" s="118" t="s">
        <v>7333</v>
      </c>
      <c r="I3122" s="118" t="s">
        <v>4986</v>
      </c>
      <c r="J3122" s="118" t="s">
        <v>4078</v>
      </c>
      <c r="K3122" s="141"/>
      <c r="L3122" s="135" t="str">
        <f t="shared" si="179"/>
        <v>Dendrolagus spadix</v>
      </c>
      <c r="M3122" s="133">
        <f t="shared" si="182"/>
        <v>3.9590413923210934</v>
      </c>
      <c r="N3122" s="133">
        <v>9100</v>
      </c>
      <c r="O3122" s="179" t="s">
        <v>7530</v>
      </c>
      <c r="P3122" s="108">
        <v>151</v>
      </c>
      <c r="Q3122" s="85"/>
    </row>
    <row r="3123" spans="1:19" ht="63.75">
      <c r="A3123" s="213" t="s">
        <v>2594</v>
      </c>
      <c r="B3123" s="141" t="s">
        <v>2170</v>
      </c>
      <c r="C3123" s="118" t="s">
        <v>3817</v>
      </c>
      <c r="D3123" s="141"/>
      <c r="E3123" s="118"/>
      <c r="F3123" s="118"/>
      <c r="G3123" s="118" t="s">
        <v>2079</v>
      </c>
      <c r="H3123" s="118" t="s">
        <v>7333</v>
      </c>
      <c r="I3123" s="118" t="s">
        <v>4986</v>
      </c>
      <c r="J3123" s="118" t="s">
        <v>5822</v>
      </c>
      <c r="K3123" s="141"/>
      <c r="L3123" s="135" t="str">
        <f t="shared" si="179"/>
        <v>Dendrolagus dorianus</v>
      </c>
      <c r="M3123" s="133">
        <f t="shared" si="182"/>
        <v>3.9814108401658883</v>
      </c>
      <c r="N3123" s="133">
        <f>AVERAGE(10366, 8796)</f>
        <v>9581</v>
      </c>
      <c r="O3123" s="179" t="s">
        <v>6773</v>
      </c>
      <c r="P3123" s="108">
        <v>151</v>
      </c>
      <c r="Q3123" s="94" t="s">
        <v>6988</v>
      </c>
      <c r="R3123" s="79" t="s">
        <v>4945</v>
      </c>
    </row>
    <row r="3124" spans="1:19" ht="60" customHeight="1">
      <c r="A3124" s="213" t="s">
        <v>2594</v>
      </c>
      <c r="B3124" s="141" t="s">
        <v>2170</v>
      </c>
      <c r="C3124" s="118" t="s">
        <v>3817</v>
      </c>
      <c r="D3124" s="141"/>
      <c r="E3124" s="118"/>
      <c r="F3124" s="118"/>
      <c r="G3124" s="118" t="s">
        <v>2079</v>
      </c>
      <c r="H3124" s="118" t="s">
        <v>7333</v>
      </c>
      <c r="I3124" s="118" t="s">
        <v>4986</v>
      </c>
      <c r="J3124" s="118" t="s">
        <v>5860</v>
      </c>
      <c r="K3124" s="141"/>
      <c r="L3124" s="135" t="str">
        <f t="shared" si="179"/>
        <v>Dendrolagus scottae</v>
      </c>
      <c r="M3124" s="133">
        <f t="shared" si="182"/>
        <v>4.01598810538413</v>
      </c>
      <c r="N3124" s="133">
        <f>AVERAGE(11500, 9250)</f>
        <v>10375</v>
      </c>
      <c r="O3124" s="179" t="s">
        <v>7529</v>
      </c>
      <c r="P3124" s="108">
        <v>151</v>
      </c>
      <c r="Q3124" s="85"/>
      <c r="R3124" s="89"/>
    </row>
    <row r="3125" spans="1:19">
      <c r="A3125" s="213" t="s">
        <v>2594</v>
      </c>
      <c r="B3125" s="141" t="s">
        <v>1290</v>
      </c>
      <c r="C3125" s="118" t="s">
        <v>3817</v>
      </c>
      <c r="D3125" s="141"/>
      <c r="E3125" s="118"/>
      <c r="F3125" s="118"/>
      <c r="G3125" s="118" t="s">
        <v>2079</v>
      </c>
      <c r="H3125" s="118" t="s">
        <v>7333</v>
      </c>
      <c r="I3125" s="118" t="s">
        <v>4986</v>
      </c>
      <c r="J3125" s="118" t="s">
        <v>4649</v>
      </c>
      <c r="K3125" s="141"/>
      <c r="L3125" s="135" t="str">
        <f t="shared" si="179"/>
        <v>Dendrolagus inustus</v>
      </c>
      <c r="M3125" s="133">
        <f t="shared" si="182"/>
        <v>4.1012313867906993</v>
      </c>
      <c r="N3125" s="133">
        <f>(14000+11250)/2</f>
        <v>12625</v>
      </c>
      <c r="O3125" s="179" t="s">
        <v>6773</v>
      </c>
      <c r="P3125" s="108">
        <v>110</v>
      </c>
      <c r="Q3125" s="80" t="s">
        <v>6987</v>
      </c>
    </row>
    <row r="3126" spans="1:19">
      <c r="A3126" s="213" t="s">
        <v>2594</v>
      </c>
      <c r="B3126" s="141" t="s">
        <v>2170</v>
      </c>
      <c r="C3126" s="118" t="s">
        <v>3817</v>
      </c>
      <c r="D3126" s="141"/>
      <c r="E3126" s="118"/>
      <c r="F3126" s="118"/>
      <c r="G3126" s="118" t="s">
        <v>2079</v>
      </c>
      <c r="H3126" s="118" t="s">
        <v>7333</v>
      </c>
      <c r="I3126" s="118" t="s">
        <v>4986</v>
      </c>
      <c r="J3126" s="118" t="s">
        <v>4470</v>
      </c>
      <c r="K3126" s="141"/>
      <c r="L3126" s="135" t="str">
        <f t="shared" si="179"/>
        <v>Dendrolagus ursinus</v>
      </c>
      <c r="M3126" s="133">
        <f t="shared" si="182"/>
        <v>4.1222158782728267</v>
      </c>
      <c r="N3126" s="133">
        <f>AVERAGE(10500, 16000)</f>
        <v>13250</v>
      </c>
      <c r="O3126" s="179" t="s">
        <v>6641</v>
      </c>
      <c r="P3126" s="108">
        <v>140</v>
      </c>
      <c r="Q3126" s="85" t="s">
        <v>6987</v>
      </c>
    </row>
    <row r="3127" spans="1:19" ht="76.5">
      <c r="A3127" s="213" t="s">
        <v>2594</v>
      </c>
      <c r="B3127" s="141" t="s">
        <v>2170</v>
      </c>
      <c r="C3127" s="118" t="s">
        <v>3817</v>
      </c>
      <c r="D3127" s="141"/>
      <c r="E3127" s="118"/>
      <c r="F3127" s="118"/>
      <c r="G3127" s="118" t="s">
        <v>2079</v>
      </c>
      <c r="H3127" s="118" t="s">
        <v>7333</v>
      </c>
      <c r="I3127" s="118" t="s">
        <v>4986</v>
      </c>
      <c r="J3127" s="118" t="s">
        <v>4649</v>
      </c>
      <c r="K3127" s="141"/>
      <c r="L3127" s="135" t="str">
        <f t="shared" si="179"/>
        <v>Dendrolagus inustus</v>
      </c>
      <c r="M3127" s="133">
        <f t="shared" si="182"/>
        <v>4.1283184772596808</v>
      </c>
      <c r="N3127" s="133">
        <f>AVERAGE(15500, 11375)</f>
        <v>13437.5</v>
      </c>
      <c r="O3127" s="179" t="s">
        <v>6773</v>
      </c>
      <c r="P3127" s="108">
        <v>151</v>
      </c>
      <c r="Q3127" s="80" t="s">
        <v>6987</v>
      </c>
      <c r="R3127" s="79" t="s">
        <v>7626</v>
      </c>
    </row>
    <row r="3128" spans="1:19" ht="24" customHeight="1">
      <c r="A3128" s="213" t="s">
        <v>2594</v>
      </c>
      <c r="B3128" s="141" t="s">
        <v>2170</v>
      </c>
      <c r="C3128" s="118" t="s">
        <v>3817</v>
      </c>
      <c r="D3128" s="141"/>
      <c r="E3128" s="118"/>
      <c r="F3128" s="118"/>
      <c r="G3128" s="118" t="s">
        <v>2079</v>
      </c>
      <c r="H3128" s="118" t="s">
        <v>7333</v>
      </c>
      <c r="I3128" s="118" t="s">
        <v>5861</v>
      </c>
      <c r="J3128" s="118" t="s">
        <v>5586</v>
      </c>
      <c r="K3128" s="141"/>
      <c r="L3128" s="135" t="str">
        <f t="shared" si="179"/>
        <v>Dorcopsis muelleri</v>
      </c>
      <c r="M3128" s="133">
        <f t="shared" si="182"/>
        <v>3.6989700043360187</v>
      </c>
      <c r="N3128" s="133">
        <v>5000</v>
      </c>
      <c r="O3128" s="179" t="s">
        <v>8291</v>
      </c>
      <c r="P3128" s="108">
        <v>151</v>
      </c>
      <c r="Q3128" s="85"/>
      <c r="R3128" s="89"/>
    </row>
    <row r="3129" spans="1:19" ht="25.5">
      <c r="A3129" s="213" t="s">
        <v>2594</v>
      </c>
      <c r="B3129" s="141" t="s">
        <v>2170</v>
      </c>
      <c r="C3129" s="118" t="s">
        <v>3817</v>
      </c>
      <c r="D3129" s="141"/>
      <c r="E3129" s="118"/>
      <c r="F3129" s="118"/>
      <c r="G3129" s="118" t="s">
        <v>2079</v>
      </c>
      <c r="H3129" s="118" t="s">
        <v>7333</v>
      </c>
      <c r="I3129" s="118" t="s">
        <v>5861</v>
      </c>
      <c r="J3129" s="118" t="s">
        <v>6612</v>
      </c>
      <c r="K3129" s="141"/>
      <c r="L3129" s="135" t="str">
        <f t="shared" si="179"/>
        <v>Dorcopsis hageni</v>
      </c>
      <c r="M3129" s="133">
        <f t="shared" si="182"/>
        <v>3.7403626894942437</v>
      </c>
      <c r="N3129" s="133">
        <v>5500</v>
      </c>
      <c r="O3129" s="179" t="s">
        <v>6879</v>
      </c>
      <c r="P3129" s="108">
        <v>151</v>
      </c>
      <c r="Q3129" s="85"/>
    </row>
    <row r="3130" spans="1:19">
      <c r="A3130" s="213" t="s">
        <v>2594</v>
      </c>
      <c r="B3130" s="141" t="s">
        <v>2170</v>
      </c>
      <c r="C3130" s="118" t="s">
        <v>3817</v>
      </c>
      <c r="D3130" s="141"/>
      <c r="E3130" s="118"/>
      <c r="F3130" s="118"/>
      <c r="G3130" s="118" t="s">
        <v>2079</v>
      </c>
      <c r="H3130" s="118" t="s">
        <v>7333</v>
      </c>
      <c r="I3130" s="118" t="s">
        <v>5861</v>
      </c>
      <c r="J3130" s="118" t="s">
        <v>5862</v>
      </c>
      <c r="K3130" s="141"/>
      <c r="L3130" s="135" t="str">
        <f t="shared" si="179"/>
        <v>Dorcopsis atrata</v>
      </c>
      <c r="M3130" s="133">
        <f t="shared" si="182"/>
        <v>3.7720648688517646</v>
      </c>
      <c r="N3130" s="133">
        <f>(7500+4333)/2</f>
        <v>5916.5</v>
      </c>
      <c r="O3130" s="179" t="s">
        <v>3356</v>
      </c>
      <c r="P3130" s="108">
        <v>110</v>
      </c>
      <c r="Q3130" s="80"/>
    </row>
    <row r="3131" spans="1:19">
      <c r="A3131" s="213" t="s">
        <v>2594</v>
      </c>
      <c r="B3131" s="141" t="s">
        <v>1309</v>
      </c>
      <c r="C3131" s="118" t="s">
        <v>3817</v>
      </c>
      <c r="D3131" s="141"/>
      <c r="E3131" s="118"/>
      <c r="F3131" s="118"/>
      <c r="G3131" s="118" t="s">
        <v>2079</v>
      </c>
      <c r="H3131" s="118" t="s">
        <v>7333</v>
      </c>
      <c r="I3131" s="118" t="s">
        <v>5861</v>
      </c>
      <c r="J3131" s="118" t="s">
        <v>5862</v>
      </c>
      <c r="K3131" s="141"/>
      <c r="L3131" s="135" t="str">
        <f t="shared" si="179"/>
        <v>Dorcopsis atrata</v>
      </c>
      <c r="M3131" s="133">
        <f t="shared" si="182"/>
        <v>3.7720648688517646</v>
      </c>
      <c r="N3131" s="133">
        <f>(7500+4333)/2</f>
        <v>5916.5</v>
      </c>
      <c r="O3131" s="179" t="s">
        <v>3356</v>
      </c>
      <c r="P3131" s="108">
        <v>110</v>
      </c>
      <c r="Q3131" s="80" t="s">
        <v>6988</v>
      </c>
    </row>
    <row r="3132" spans="1:19">
      <c r="A3132" s="213" t="s">
        <v>2594</v>
      </c>
      <c r="B3132" s="141" t="s">
        <v>1632</v>
      </c>
      <c r="C3132" s="118" t="s">
        <v>3817</v>
      </c>
      <c r="D3132" s="141"/>
      <c r="E3132" s="118"/>
      <c r="F3132" s="118"/>
      <c r="G3132" s="118" t="s">
        <v>2079</v>
      </c>
      <c r="H3132" s="118" t="s">
        <v>7333</v>
      </c>
      <c r="I3132" s="118" t="s">
        <v>5861</v>
      </c>
      <c r="J3132" s="118" t="s">
        <v>5586</v>
      </c>
      <c r="K3132" s="141"/>
      <c r="L3132" s="135" t="str">
        <f t="shared" si="179"/>
        <v>Dorcopsis muelleri</v>
      </c>
      <c r="M3132" s="133">
        <f t="shared" si="182"/>
        <v>3.7781512503836434</v>
      </c>
      <c r="N3132" s="133">
        <v>6000</v>
      </c>
      <c r="O3132" s="179" t="s">
        <v>3356</v>
      </c>
      <c r="P3132" s="108">
        <v>110</v>
      </c>
      <c r="Q3132" s="80" t="s">
        <v>1512</v>
      </c>
    </row>
    <row r="3133" spans="1:19" ht="25.5">
      <c r="A3133" s="213" t="s">
        <v>2594</v>
      </c>
      <c r="B3133" s="141" t="s">
        <v>2170</v>
      </c>
      <c r="C3133" s="118" t="s">
        <v>3817</v>
      </c>
      <c r="D3133" s="141"/>
      <c r="E3133" s="118"/>
      <c r="F3133" s="118"/>
      <c r="G3133" s="118" t="s">
        <v>2079</v>
      </c>
      <c r="H3133" s="118" t="s">
        <v>7333</v>
      </c>
      <c r="I3133" s="118" t="s">
        <v>5861</v>
      </c>
      <c r="J3133" s="118" t="s">
        <v>5863</v>
      </c>
      <c r="K3133" s="141"/>
      <c r="L3133" s="135" t="str">
        <f t="shared" si="179"/>
        <v>Dorcopsis luctuosa</v>
      </c>
      <c r="M3133" s="133">
        <f t="shared" si="182"/>
        <v>3.8029104894190398</v>
      </c>
      <c r="N3133" s="133">
        <f>AVERAGE(9128, 3576)</f>
        <v>6352</v>
      </c>
      <c r="O3133" s="179" t="s">
        <v>7571</v>
      </c>
      <c r="P3133" s="108">
        <v>151</v>
      </c>
      <c r="Q3133" s="85"/>
    </row>
    <row r="3134" spans="1:19" ht="114.75">
      <c r="A3134" s="213" t="s">
        <v>2594</v>
      </c>
      <c r="B3134" s="141" t="s">
        <v>6212</v>
      </c>
      <c r="C3134" s="118" t="s">
        <v>3817</v>
      </c>
      <c r="D3134" s="141"/>
      <c r="E3134" s="118"/>
      <c r="F3134" s="118"/>
      <c r="G3134" s="118" t="s">
        <v>2079</v>
      </c>
      <c r="H3134" s="118" t="s">
        <v>7333</v>
      </c>
      <c r="I3134" s="118" t="s">
        <v>5267</v>
      </c>
      <c r="J3134" s="118" t="s">
        <v>5216</v>
      </c>
      <c r="K3134" s="141"/>
      <c r="L3134" s="135" t="str">
        <f t="shared" si="179"/>
        <v>Dorcopsulus vanheurni</v>
      </c>
      <c r="M3134" s="133">
        <f t="shared" si="182"/>
        <v>3.2430380486862944</v>
      </c>
      <c r="N3134" s="133">
        <v>1750</v>
      </c>
      <c r="O3134" s="179" t="s">
        <v>3356</v>
      </c>
      <c r="P3134" s="108">
        <v>151</v>
      </c>
      <c r="Q3134" s="80"/>
      <c r="S3134" s="79" t="s">
        <v>6842</v>
      </c>
    </row>
    <row r="3135" spans="1:19" ht="114.75">
      <c r="A3135" s="212" t="s">
        <v>2594</v>
      </c>
      <c r="B3135" s="141" t="s">
        <v>2170</v>
      </c>
      <c r="C3135" s="109" t="s">
        <v>3817</v>
      </c>
      <c r="D3135" s="163"/>
      <c r="E3135" s="109"/>
      <c r="F3135" s="109"/>
      <c r="G3135" s="109" t="s">
        <v>2079</v>
      </c>
      <c r="H3135" s="109" t="s">
        <v>7333</v>
      </c>
      <c r="I3135" s="109" t="s">
        <v>5267</v>
      </c>
      <c r="J3135" s="109" t="s">
        <v>5216</v>
      </c>
      <c r="K3135" s="163"/>
      <c r="L3135" s="135" t="str">
        <f t="shared" si="179"/>
        <v>Dorcopsulus vanheurni</v>
      </c>
      <c r="M3135" s="133">
        <f t="shared" si="182"/>
        <v>3.2604291755779347</v>
      </c>
      <c r="N3135" s="151">
        <f>AVERAGE(1750, 1893)</f>
        <v>1821.5</v>
      </c>
      <c r="O3135" s="179" t="s">
        <v>7570</v>
      </c>
      <c r="P3135" s="115">
        <v>151</v>
      </c>
      <c r="Q3135" s="82" t="s">
        <v>8286</v>
      </c>
    </row>
    <row r="3136" spans="1:19" ht="25.5">
      <c r="A3136" s="213" t="s">
        <v>2594</v>
      </c>
      <c r="B3136" s="141" t="s">
        <v>2170</v>
      </c>
      <c r="C3136" s="118" t="s">
        <v>3817</v>
      </c>
      <c r="D3136" s="141"/>
      <c r="E3136" s="118"/>
      <c r="F3136" s="118"/>
      <c r="G3136" s="118" t="s">
        <v>2079</v>
      </c>
      <c r="H3136" s="118" t="s">
        <v>7333</v>
      </c>
      <c r="I3136" s="118" t="s">
        <v>5267</v>
      </c>
      <c r="J3136" s="118" t="s">
        <v>5465</v>
      </c>
      <c r="K3136" s="141"/>
      <c r="L3136" s="135" t="str">
        <f t="shared" si="179"/>
        <v>Dorcopsulus macleayi</v>
      </c>
      <c r="M3136" s="133">
        <f t="shared" si="182"/>
        <v>3.475380593143361</v>
      </c>
      <c r="N3136" s="133">
        <v>2988</v>
      </c>
      <c r="O3136" s="179" t="s">
        <v>6867</v>
      </c>
      <c r="P3136" s="108">
        <v>151</v>
      </c>
      <c r="Q3136" s="85"/>
    </row>
    <row r="3137" spans="1:18" ht="63.75">
      <c r="A3137" s="212" t="s">
        <v>2594</v>
      </c>
      <c r="B3137" s="141" t="s">
        <v>2170</v>
      </c>
      <c r="C3137" s="110" t="s">
        <v>3817</v>
      </c>
      <c r="D3137" s="145"/>
      <c r="E3137" s="110"/>
      <c r="F3137" s="110"/>
      <c r="G3137" s="110" t="s">
        <v>2079</v>
      </c>
      <c r="H3137" s="110" t="s">
        <v>7333</v>
      </c>
      <c r="I3137" s="110" t="s">
        <v>3755</v>
      </c>
      <c r="J3137" s="110" t="s">
        <v>4399</v>
      </c>
      <c r="K3137" s="145"/>
      <c r="L3137" s="135" t="str">
        <f t="shared" si="179"/>
        <v>Macropus agilis</v>
      </c>
      <c r="M3137" s="133">
        <f t="shared" si="182"/>
        <v>4.1760912590556813</v>
      </c>
      <c r="N3137" s="146">
        <v>15000</v>
      </c>
      <c r="O3137" s="179" t="s">
        <v>6967</v>
      </c>
      <c r="P3137" s="115">
        <v>59</v>
      </c>
      <c r="Q3137" s="82" t="s">
        <v>8288</v>
      </c>
    </row>
    <row r="3138" spans="1:18" ht="191.25">
      <c r="A3138" s="213" t="s">
        <v>2594</v>
      </c>
      <c r="B3138" s="141" t="s">
        <v>4442</v>
      </c>
      <c r="C3138" s="118" t="s">
        <v>3817</v>
      </c>
      <c r="D3138" s="141"/>
      <c r="E3138" s="118"/>
      <c r="F3138" s="118"/>
      <c r="G3138" s="118" t="s">
        <v>2079</v>
      </c>
      <c r="H3138" s="118" t="s">
        <v>7333</v>
      </c>
      <c r="I3138" s="118" t="s">
        <v>7540</v>
      </c>
      <c r="J3138" s="118" t="s">
        <v>5505</v>
      </c>
      <c r="K3138" s="141"/>
      <c r="L3138" s="135" t="str">
        <f t="shared" si="179"/>
        <v>Thylogale brunii</v>
      </c>
      <c r="M3138" s="133">
        <f t="shared" si="182"/>
        <v>3.5587085705331658</v>
      </c>
      <c r="N3138" s="146">
        <f>1000*3.62</f>
        <v>3620</v>
      </c>
      <c r="O3138" s="179" t="s">
        <v>7081</v>
      </c>
      <c r="P3138" s="108" t="s">
        <v>1824</v>
      </c>
      <c r="Q3138" s="79" t="s">
        <v>6988</v>
      </c>
      <c r="R3138" s="79" t="s">
        <v>7587</v>
      </c>
    </row>
    <row r="3139" spans="1:18" ht="114.75">
      <c r="A3139" s="213" t="s">
        <v>2594</v>
      </c>
      <c r="B3139" s="141" t="s">
        <v>2170</v>
      </c>
      <c r="C3139" s="118" t="s">
        <v>3817</v>
      </c>
      <c r="D3139" s="141"/>
      <c r="E3139" s="118"/>
      <c r="F3139" s="118"/>
      <c r="G3139" s="118" t="s">
        <v>2079</v>
      </c>
      <c r="H3139" s="118" t="s">
        <v>7333</v>
      </c>
      <c r="I3139" s="118" t="s">
        <v>7540</v>
      </c>
      <c r="J3139" s="118" t="s">
        <v>8180</v>
      </c>
      <c r="K3139" s="141"/>
      <c r="L3139" s="135" t="str">
        <f t="shared" si="179"/>
        <v>Thylogale calabyi</v>
      </c>
      <c r="M3139" s="151">
        <f t="shared" si="182"/>
        <v>3.6360999673821475</v>
      </c>
      <c r="N3139" s="133">
        <v>4326.134</v>
      </c>
      <c r="O3139" s="179" t="s">
        <v>232</v>
      </c>
      <c r="P3139" s="108">
        <v>151</v>
      </c>
      <c r="Q3139" s="85"/>
    </row>
    <row r="3140" spans="1:18" ht="51">
      <c r="A3140" s="213" t="s">
        <v>2594</v>
      </c>
      <c r="B3140" s="141" t="s">
        <v>2170</v>
      </c>
      <c r="C3140" s="118" t="s">
        <v>3817</v>
      </c>
      <c r="D3140" s="141"/>
      <c r="E3140" s="118"/>
      <c r="F3140" s="118"/>
      <c r="G3140" s="118" t="s">
        <v>2079</v>
      </c>
      <c r="H3140" s="118" t="s">
        <v>7333</v>
      </c>
      <c r="I3140" s="118" t="s">
        <v>7540</v>
      </c>
      <c r="J3140" s="118" t="s">
        <v>7090</v>
      </c>
      <c r="K3140" s="141"/>
      <c r="L3140" s="135" t="str">
        <f t="shared" si="179"/>
        <v>Thylogale stigmatica</v>
      </c>
      <c r="M3140" s="133">
        <f t="shared" si="182"/>
        <v>3.6627578316815739</v>
      </c>
      <c r="N3140" s="133">
        <v>4600</v>
      </c>
      <c r="O3140" s="179" t="s">
        <v>8181</v>
      </c>
      <c r="P3140" s="108">
        <v>151</v>
      </c>
      <c r="Q3140" s="85" t="s">
        <v>7021</v>
      </c>
    </row>
    <row r="3141" spans="1:18" ht="63.75">
      <c r="A3141" s="213" t="s">
        <v>2594</v>
      </c>
      <c r="B3141" s="141" t="s">
        <v>2170</v>
      </c>
      <c r="C3141" s="118" t="s">
        <v>3817</v>
      </c>
      <c r="D3141" s="141"/>
      <c r="E3141" s="118"/>
      <c r="F3141" s="118"/>
      <c r="G3141" s="118" t="s">
        <v>2079</v>
      </c>
      <c r="H3141" s="118" t="s">
        <v>7333</v>
      </c>
      <c r="I3141" s="118" t="s">
        <v>7540</v>
      </c>
      <c r="J3141" s="118" t="s">
        <v>8093</v>
      </c>
      <c r="K3141" s="141"/>
      <c r="L3141" s="135" t="str">
        <f t="shared" ref="L3141:L3204" si="183">I3141&amp;" "&amp;J3141</f>
        <v>Thylogale browni</v>
      </c>
      <c r="M3141" s="133">
        <f t="shared" si="182"/>
        <v>3.7386220279179425</v>
      </c>
      <c r="N3141" s="133">
        <f>AVERAGE(6618, 4338)</f>
        <v>5478</v>
      </c>
      <c r="O3141" s="179" t="s">
        <v>7081</v>
      </c>
      <c r="P3141" s="108">
        <v>151</v>
      </c>
      <c r="Q3141" s="79" t="s">
        <v>6988</v>
      </c>
      <c r="R3141" s="79" t="s">
        <v>8092</v>
      </c>
    </row>
    <row r="3142" spans="1:18" ht="127.5">
      <c r="A3142" s="213" t="s">
        <v>2594</v>
      </c>
      <c r="B3142" s="141" t="s">
        <v>2170</v>
      </c>
      <c r="C3142" s="118" t="s">
        <v>3817</v>
      </c>
      <c r="D3142" s="141"/>
      <c r="E3142" s="118"/>
      <c r="F3142" s="118"/>
      <c r="G3142" s="118" t="s">
        <v>2079</v>
      </c>
      <c r="H3142" s="118" t="s">
        <v>4267</v>
      </c>
      <c r="I3142" s="118" t="s">
        <v>3787</v>
      </c>
      <c r="J3142" s="118" t="s">
        <v>4398</v>
      </c>
      <c r="K3142" s="141"/>
      <c r="L3142" s="135" t="str">
        <f t="shared" si="183"/>
        <v>Dactylopsila megalura</v>
      </c>
      <c r="M3142" s="133">
        <v>-999</v>
      </c>
      <c r="N3142" s="133">
        <v>-999</v>
      </c>
      <c r="O3142" s="179" t="s">
        <v>7080</v>
      </c>
      <c r="P3142" s="108">
        <v>151</v>
      </c>
      <c r="Q3142" s="85" t="s">
        <v>6988</v>
      </c>
      <c r="R3142" s="79" t="s">
        <v>8324</v>
      </c>
    </row>
    <row r="3143" spans="1:18">
      <c r="A3143" s="213" t="s">
        <v>2594</v>
      </c>
      <c r="B3143" s="141" t="s">
        <v>1403</v>
      </c>
      <c r="C3143" s="118" t="s">
        <v>3817</v>
      </c>
      <c r="D3143" s="141"/>
      <c r="E3143" s="118"/>
      <c r="F3143" s="118"/>
      <c r="G3143" s="118" t="s">
        <v>2079</v>
      </c>
      <c r="H3143" s="118" t="s">
        <v>4267</v>
      </c>
      <c r="I3143" s="118" t="s">
        <v>3787</v>
      </c>
      <c r="J3143" s="118" t="s">
        <v>5108</v>
      </c>
      <c r="K3143" s="141"/>
      <c r="L3143" s="135" t="str">
        <f t="shared" si="183"/>
        <v>Dactylopsila tatei</v>
      </c>
      <c r="M3143" s="133">
        <f t="shared" ref="M3143:M3176" si="184">LOG(N3143)</f>
        <v>2.4014005407815442</v>
      </c>
      <c r="N3143" s="133">
        <v>252</v>
      </c>
      <c r="O3143" s="179" t="s">
        <v>3356</v>
      </c>
      <c r="P3143" s="108">
        <v>110</v>
      </c>
      <c r="Q3143" s="80" t="s">
        <v>6640</v>
      </c>
    </row>
    <row r="3144" spans="1:18" ht="25.5">
      <c r="A3144" s="213" t="s">
        <v>2594</v>
      </c>
      <c r="B3144" s="141" t="s">
        <v>2170</v>
      </c>
      <c r="C3144" s="118" t="s">
        <v>3817</v>
      </c>
      <c r="D3144" s="141"/>
      <c r="E3144" s="118"/>
      <c r="F3144" s="118"/>
      <c r="G3144" s="118" t="s">
        <v>2079</v>
      </c>
      <c r="H3144" s="118" t="s">
        <v>4267</v>
      </c>
      <c r="I3144" s="118" t="s">
        <v>3787</v>
      </c>
      <c r="J3144" s="118" t="s">
        <v>5107</v>
      </c>
      <c r="K3144" s="141"/>
      <c r="L3144" s="135" t="str">
        <f t="shared" si="183"/>
        <v>Dactylopsila palpator</v>
      </c>
      <c r="M3144" s="133">
        <f t="shared" si="184"/>
        <v>2.5998830720736876</v>
      </c>
      <c r="N3144" s="133">
        <f>AVERAGE(486, 310)</f>
        <v>398</v>
      </c>
      <c r="O3144" s="179" t="s">
        <v>7563</v>
      </c>
      <c r="P3144" s="108">
        <v>151</v>
      </c>
      <c r="Q3144" s="85"/>
    </row>
    <row r="3145" spans="1:18" ht="25.5">
      <c r="A3145" s="213" t="s">
        <v>2594</v>
      </c>
      <c r="B3145" s="141" t="s">
        <v>2170</v>
      </c>
      <c r="C3145" s="118" t="s">
        <v>3817</v>
      </c>
      <c r="D3145" s="141"/>
      <c r="E3145" s="118"/>
      <c r="F3145" s="118"/>
      <c r="G3145" s="118" t="s">
        <v>2079</v>
      </c>
      <c r="H3145" s="118" t="s">
        <v>4267</v>
      </c>
      <c r="I3145" s="118" t="s">
        <v>3787</v>
      </c>
      <c r="J3145" s="118" t="s">
        <v>3788</v>
      </c>
      <c r="K3145" s="141"/>
      <c r="L3145" s="135" t="str">
        <f t="shared" si="183"/>
        <v>Dactylopsila trivirgata</v>
      </c>
      <c r="M3145" s="133">
        <f t="shared" si="184"/>
        <v>2.6064351111018751</v>
      </c>
      <c r="N3145" s="133">
        <f>AVERAGE(448.1, 360)</f>
        <v>404.05</v>
      </c>
      <c r="O3145" s="179" t="s">
        <v>7706</v>
      </c>
      <c r="P3145" s="108">
        <v>151</v>
      </c>
      <c r="Q3145" s="85"/>
    </row>
    <row r="3146" spans="1:18" ht="25.5">
      <c r="A3146" s="212" t="s">
        <v>2594</v>
      </c>
      <c r="B3146" s="141" t="s">
        <v>2170</v>
      </c>
      <c r="C3146" s="109" t="s">
        <v>3817</v>
      </c>
      <c r="D3146" s="163"/>
      <c r="E3146" s="109"/>
      <c r="F3146" s="109"/>
      <c r="G3146" s="109" t="s">
        <v>2079</v>
      </c>
      <c r="H3146" s="109" t="s">
        <v>4267</v>
      </c>
      <c r="I3146" s="109" t="s">
        <v>4268</v>
      </c>
      <c r="J3146" s="109" t="s">
        <v>4269</v>
      </c>
      <c r="K3146" s="163"/>
      <c r="L3146" s="135" t="str">
        <f t="shared" si="183"/>
        <v>Petaurus breviceps</v>
      </c>
      <c r="M3146" s="133">
        <f t="shared" si="184"/>
        <v>1.9296743179485878</v>
      </c>
      <c r="N3146" s="151">
        <f>AVERAGE(88.5, 81.6)</f>
        <v>85.05</v>
      </c>
      <c r="O3146" s="179" t="s">
        <v>6991</v>
      </c>
      <c r="P3146" s="115">
        <v>151</v>
      </c>
      <c r="Q3146" s="82"/>
    </row>
    <row r="3147" spans="1:18" ht="25.5">
      <c r="A3147" s="213" t="s">
        <v>2594</v>
      </c>
      <c r="B3147" s="141" t="s">
        <v>2170</v>
      </c>
      <c r="C3147" s="118" t="s">
        <v>3817</v>
      </c>
      <c r="D3147" s="141"/>
      <c r="E3147" s="118"/>
      <c r="F3147" s="118"/>
      <c r="G3147" s="118" t="s">
        <v>2079</v>
      </c>
      <c r="H3147" s="118" t="s">
        <v>4267</v>
      </c>
      <c r="I3147" s="118" t="s">
        <v>4268</v>
      </c>
      <c r="J3147" s="118" t="s">
        <v>5481</v>
      </c>
      <c r="K3147" s="141"/>
      <c r="L3147" s="135" t="str">
        <f t="shared" si="183"/>
        <v>Petaurus abidi</v>
      </c>
      <c r="M3147" s="133">
        <f t="shared" si="184"/>
        <v>2.4440447959180762</v>
      </c>
      <c r="N3147" s="133">
        <f>AVERAGE(328, 228)</f>
        <v>278</v>
      </c>
      <c r="O3147" s="179" t="s">
        <v>7707</v>
      </c>
      <c r="P3147" s="108">
        <v>151</v>
      </c>
      <c r="Q3147" s="85"/>
    </row>
    <row r="3148" spans="1:18" ht="24" customHeight="1">
      <c r="A3148" s="213" t="s">
        <v>2594</v>
      </c>
      <c r="B3148" s="130" t="s">
        <v>2600</v>
      </c>
      <c r="C3148" s="118" t="s">
        <v>3817</v>
      </c>
      <c r="D3148" s="141"/>
      <c r="E3148" s="118"/>
      <c r="F3148" s="118"/>
      <c r="G3148" s="118" t="s">
        <v>2079</v>
      </c>
      <c r="H3148" s="118" t="s">
        <v>3793</v>
      </c>
      <c r="I3148" s="118" t="s">
        <v>5268</v>
      </c>
      <c r="J3148" s="118" t="s">
        <v>4470</v>
      </c>
      <c r="K3148" s="141"/>
      <c r="L3148" s="135" t="str">
        <f t="shared" si="183"/>
        <v>Ailurops ursinus</v>
      </c>
      <c r="M3148" s="133">
        <f t="shared" si="184"/>
        <v>4</v>
      </c>
      <c r="N3148" s="133">
        <v>10000</v>
      </c>
      <c r="O3148" s="179" t="s">
        <v>6773</v>
      </c>
      <c r="P3148" s="108">
        <v>110</v>
      </c>
      <c r="Q3148" s="80" t="s">
        <v>6987</v>
      </c>
      <c r="R3148" s="88" t="s">
        <v>1298</v>
      </c>
    </row>
    <row r="3149" spans="1:18" ht="48" customHeight="1">
      <c r="A3149" s="213" t="s">
        <v>2594</v>
      </c>
      <c r="B3149" s="130" t="s">
        <v>1354</v>
      </c>
      <c r="C3149" s="118" t="s">
        <v>3817</v>
      </c>
      <c r="D3149" s="141"/>
      <c r="E3149" s="118"/>
      <c r="F3149" s="118"/>
      <c r="G3149" s="118" t="s">
        <v>2079</v>
      </c>
      <c r="H3149" s="118" t="s">
        <v>3793</v>
      </c>
      <c r="I3149" s="118" t="s">
        <v>5268</v>
      </c>
      <c r="J3149" s="118" t="s">
        <v>4470</v>
      </c>
      <c r="K3149" s="141"/>
      <c r="L3149" s="135" t="str">
        <f t="shared" si="183"/>
        <v>Ailurops ursinus</v>
      </c>
      <c r="M3149" s="133">
        <f t="shared" si="184"/>
        <v>4</v>
      </c>
      <c r="N3149" s="133">
        <v>10000</v>
      </c>
      <c r="O3149" s="179" t="s">
        <v>6773</v>
      </c>
      <c r="P3149" s="108">
        <v>110</v>
      </c>
      <c r="Q3149" s="80" t="s">
        <v>6987</v>
      </c>
      <c r="R3149" s="88" t="s">
        <v>1298</v>
      </c>
    </row>
    <row r="3150" spans="1:18">
      <c r="A3150" s="213" t="s">
        <v>2594</v>
      </c>
      <c r="B3150" s="141" t="s">
        <v>2600</v>
      </c>
      <c r="C3150" s="118" t="s">
        <v>3817</v>
      </c>
      <c r="D3150" s="141"/>
      <c r="E3150" s="118"/>
      <c r="F3150" s="118"/>
      <c r="G3150" s="118" t="s">
        <v>2079</v>
      </c>
      <c r="H3150" s="118" t="s">
        <v>3793</v>
      </c>
      <c r="I3150" s="118" t="s">
        <v>3797</v>
      </c>
      <c r="J3150" s="118" t="s">
        <v>5274</v>
      </c>
      <c r="K3150" s="141"/>
      <c r="L3150" s="135" t="str">
        <f t="shared" si="183"/>
        <v>Phalanger pelengensis</v>
      </c>
      <c r="M3150" s="133">
        <f t="shared" si="184"/>
        <v>2.9618954736678504</v>
      </c>
      <c r="N3150" s="133">
        <f>1000*0.916</f>
        <v>916</v>
      </c>
      <c r="O3150" s="179" t="s">
        <v>3356</v>
      </c>
      <c r="P3150" s="108">
        <v>60</v>
      </c>
      <c r="Q3150" s="80"/>
    </row>
    <row r="3151" spans="1:18">
      <c r="A3151" s="213" t="s">
        <v>2594</v>
      </c>
      <c r="B3151" s="141" t="s">
        <v>2600</v>
      </c>
      <c r="C3151" s="118" t="s">
        <v>3817</v>
      </c>
      <c r="D3151" s="141"/>
      <c r="E3151" s="118"/>
      <c r="F3151" s="118"/>
      <c r="G3151" s="118" t="s">
        <v>2079</v>
      </c>
      <c r="H3151" s="118" t="s">
        <v>3793</v>
      </c>
      <c r="I3151" s="118" t="s">
        <v>3797</v>
      </c>
      <c r="J3151" s="118" t="s">
        <v>4178</v>
      </c>
      <c r="K3151" s="141"/>
      <c r="L3151" s="135" t="str">
        <f t="shared" si="183"/>
        <v>Phalanger rothschildi</v>
      </c>
      <c r="M3151" s="133">
        <f t="shared" si="184"/>
        <v>3.1351326513767748</v>
      </c>
      <c r="N3151" s="133">
        <f>(1450+1280)/2</f>
        <v>1365</v>
      </c>
      <c r="O3151" s="179" t="s">
        <v>6882</v>
      </c>
      <c r="P3151" s="108">
        <v>110</v>
      </c>
      <c r="Q3151" s="80" t="s">
        <v>6988</v>
      </c>
    </row>
    <row r="3152" spans="1:18" ht="60" customHeight="1">
      <c r="A3152" s="213" t="s">
        <v>2594</v>
      </c>
      <c r="B3152" s="141" t="s">
        <v>2170</v>
      </c>
      <c r="C3152" s="118" t="s">
        <v>3817</v>
      </c>
      <c r="D3152" s="141"/>
      <c r="E3152" s="118"/>
      <c r="F3152" s="118"/>
      <c r="G3152" s="118" t="s">
        <v>2079</v>
      </c>
      <c r="H3152" s="118" t="s">
        <v>3793</v>
      </c>
      <c r="I3152" s="118" t="s">
        <v>3797</v>
      </c>
      <c r="J3152" s="118" t="s">
        <v>5273</v>
      </c>
      <c r="K3152" s="141"/>
      <c r="L3152" s="135" t="str">
        <f t="shared" si="183"/>
        <v>Phalanger matanim</v>
      </c>
      <c r="M3152" s="133">
        <f t="shared" si="184"/>
        <v>3.1903316981702914</v>
      </c>
      <c r="N3152" s="133">
        <v>1550</v>
      </c>
      <c r="O3152" s="179" t="s">
        <v>7704</v>
      </c>
      <c r="P3152" s="108">
        <v>151</v>
      </c>
      <c r="Q3152" s="89"/>
    </row>
    <row r="3153" spans="1:18">
      <c r="A3153" s="213" t="s">
        <v>2594</v>
      </c>
      <c r="B3153" s="141" t="s">
        <v>2170</v>
      </c>
      <c r="C3153" s="118" t="s">
        <v>3817</v>
      </c>
      <c r="D3153" s="141"/>
      <c r="E3153" s="118"/>
      <c r="F3153" s="118"/>
      <c r="G3153" s="118" t="s">
        <v>2079</v>
      </c>
      <c r="H3153" s="118" t="s">
        <v>3793</v>
      </c>
      <c r="I3153" s="118" t="s">
        <v>3797</v>
      </c>
      <c r="J3153" s="118" t="s">
        <v>5870</v>
      </c>
      <c r="K3153" s="141"/>
      <c r="L3153" s="135" t="str">
        <f t="shared" si="183"/>
        <v>Phalanger lullulae</v>
      </c>
      <c r="M3153" s="133">
        <f t="shared" si="184"/>
        <v>3.2128531899471113</v>
      </c>
      <c r="N3153" s="133">
        <f>AVERAGE(1495, 1770)</f>
        <v>1632.5</v>
      </c>
      <c r="O3153" s="179" t="s">
        <v>7952</v>
      </c>
      <c r="P3153" s="108">
        <v>99</v>
      </c>
    </row>
    <row r="3154" spans="1:18" ht="24" customHeight="1">
      <c r="A3154" s="213" t="s">
        <v>2594</v>
      </c>
      <c r="B3154" s="141" t="s">
        <v>2170</v>
      </c>
      <c r="C3154" s="118" t="s">
        <v>3817</v>
      </c>
      <c r="D3154" s="141"/>
      <c r="E3154" s="118"/>
      <c r="F3154" s="118"/>
      <c r="G3154" s="118" t="s">
        <v>2079</v>
      </c>
      <c r="H3154" s="118" t="s">
        <v>3793</v>
      </c>
      <c r="I3154" s="118" t="s">
        <v>3797</v>
      </c>
      <c r="J3154" s="118" t="s">
        <v>5296</v>
      </c>
      <c r="K3154" s="141"/>
      <c r="L3154" s="135" t="str">
        <f t="shared" si="183"/>
        <v>Phalanger intercastellanus</v>
      </c>
      <c r="M3154" s="133">
        <f t="shared" si="184"/>
        <v>3.242417184417719</v>
      </c>
      <c r="N3154" s="133">
        <f>AVERAGE(1825, 1670)</f>
        <v>1747.5</v>
      </c>
      <c r="O3154" s="179" t="s">
        <v>5271</v>
      </c>
      <c r="P3154" s="108">
        <v>151</v>
      </c>
      <c r="Q3154" s="89"/>
    </row>
    <row r="3155" spans="1:18" ht="38.25">
      <c r="A3155" s="213" t="s">
        <v>2594</v>
      </c>
      <c r="B3155" s="141" t="s">
        <v>4640</v>
      </c>
      <c r="C3155" s="118" t="s">
        <v>3817</v>
      </c>
      <c r="D3155" s="141"/>
      <c r="E3155" s="118"/>
      <c r="F3155" s="118"/>
      <c r="G3155" s="118" t="s">
        <v>2079</v>
      </c>
      <c r="H3155" s="118" t="s">
        <v>3793</v>
      </c>
      <c r="I3155" s="118" t="s">
        <v>3797</v>
      </c>
      <c r="J3155" s="118" t="s">
        <v>4907</v>
      </c>
      <c r="K3155" s="141"/>
      <c r="L3155" s="135" t="str">
        <f t="shared" si="183"/>
        <v>Phalanger ornatus</v>
      </c>
      <c r="M3155" s="133">
        <f t="shared" si="184"/>
        <v>3.2522460504731181</v>
      </c>
      <c r="N3155" s="133">
        <f>(1775+1800)/2</f>
        <v>1787.5</v>
      </c>
      <c r="O3155" s="179" t="s">
        <v>3356</v>
      </c>
      <c r="P3155" s="108">
        <v>110</v>
      </c>
      <c r="Q3155" s="80"/>
      <c r="R3155" s="80" t="s">
        <v>1512</v>
      </c>
    </row>
    <row r="3156" spans="1:18" ht="36" customHeight="1">
      <c r="A3156" s="213" t="s">
        <v>2594</v>
      </c>
      <c r="B3156" s="141" t="s">
        <v>2170</v>
      </c>
      <c r="C3156" s="118" t="s">
        <v>3817</v>
      </c>
      <c r="D3156" s="141"/>
      <c r="E3156" s="118"/>
      <c r="F3156" s="118"/>
      <c r="G3156" s="118" t="s">
        <v>2079</v>
      </c>
      <c r="H3156" s="118" t="s">
        <v>3793</v>
      </c>
      <c r="I3156" s="118" t="s">
        <v>3797</v>
      </c>
      <c r="J3156" s="118" t="s">
        <v>5523</v>
      </c>
      <c r="K3156" s="141"/>
      <c r="L3156" s="135" t="str">
        <f t="shared" si="183"/>
        <v>Phalanger vestitus</v>
      </c>
      <c r="M3156" s="133">
        <f t="shared" si="184"/>
        <v>3.2671717284030137</v>
      </c>
      <c r="N3156" s="133">
        <f>AVERAGE(1767, 1933)</f>
        <v>1850</v>
      </c>
      <c r="O3156" s="179" t="s">
        <v>6882</v>
      </c>
      <c r="P3156" s="108">
        <v>151</v>
      </c>
      <c r="Q3156" s="89" t="s">
        <v>6988</v>
      </c>
      <c r="R3156" s="79" t="s">
        <v>7078</v>
      </c>
    </row>
    <row r="3157" spans="1:18" ht="48" customHeight="1">
      <c r="A3157" s="213" t="s">
        <v>2594</v>
      </c>
      <c r="B3157" s="141" t="s">
        <v>2170</v>
      </c>
      <c r="C3157" s="118" t="s">
        <v>3817</v>
      </c>
      <c r="D3157" s="141"/>
      <c r="E3157" s="118"/>
      <c r="F3157" s="118"/>
      <c r="G3157" s="118" t="s">
        <v>2079</v>
      </c>
      <c r="H3157" s="118" t="s">
        <v>3793</v>
      </c>
      <c r="I3157" s="118" t="s">
        <v>3797</v>
      </c>
      <c r="J3157" s="118" t="s">
        <v>3244</v>
      </c>
      <c r="K3157" s="141"/>
      <c r="L3157" s="135" t="str">
        <f t="shared" si="183"/>
        <v>Phalanger sericeus</v>
      </c>
      <c r="M3157" s="133">
        <f t="shared" si="184"/>
        <v>3.3016809492935764</v>
      </c>
      <c r="N3157" s="133">
        <f>AVERAGE(2039, 1967)</f>
        <v>2003</v>
      </c>
      <c r="O3157" s="179" t="s">
        <v>4978</v>
      </c>
      <c r="P3157" s="108">
        <v>151</v>
      </c>
      <c r="Q3157" s="89"/>
    </row>
    <row r="3158" spans="1:18" ht="38.25">
      <c r="A3158" s="213" t="s">
        <v>2594</v>
      </c>
      <c r="B3158" s="141" t="s">
        <v>2170</v>
      </c>
      <c r="C3158" s="118" t="s">
        <v>3817</v>
      </c>
      <c r="D3158" s="141"/>
      <c r="E3158" s="118"/>
      <c r="F3158" s="118"/>
      <c r="G3158" s="118" t="s">
        <v>2079</v>
      </c>
      <c r="H3158" s="118" t="s">
        <v>3793</v>
      </c>
      <c r="I3158" s="118" t="s">
        <v>3797</v>
      </c>
      <c r="J3158" s="118" t="s">
        <v>5269</v>
      </c>
      <c r="K3158" s="141"/>
      <c r="L3158" s="135" t="str">
        <f t="shared" si="183"/>
        <v>Phalanger carmelitae</v>
      </c>
      <c r="M3158" s="133">
        <f t="shared" si="184"/>
        <v>3.3112239104324561</v>
      </c>
      <c r="N3158" s="133">
        <f>AVERAGE(1870,2225)</f>
        <v>2047.5</v>
      </c>
      <c r="O3158" s="179" t="s">
        <v>5298</v>
      </c>
      <c r="P3158" s="108">
        <v>151</v>
      </c>
      <c r="Q3158" s="85"/>
    </row>
    <row r="3159" spans="1:18" ht="24" customHeight="1">
      <c r="A3159" s="213" t="s">
        <v>2594</v>
      </c>
      <c r="B3159" s="141" t="s">
        <v>2170</v>
      </c>
      <c r="C3159" s="118" t="s">
        <v>3817</v>
      </c>
      <c r="D3159" s="141"/>
      <c r="E3159" s="118"/>
      <c r="F3159" s="118"/>
      <c r="G3159" s="118" t="s">
        <v>2079</v>
      </c>
      <c r="H3159" s="118" t="s">
        <v>3793</v>
      </c>
      <c r="I3159" s="118" t="s">
        <v>3797</v>
      </c>
      <c r="J3159" s="118" t="s">
        <v>3805</v>
      </c>
      <c r="K3159" s="141"/>
      <c r="L3159" s="135" t="str">
        <f t="shared" si="183"/>
        <v>Phalanger orientalis</v>
      </c>
      <c r="M3159" s="133">
        <f t="shared" si="184"/>
        <v>3.3957630894177631</v>
      </c>
      <c r="N3159" s="133">
        <f>AVERAGE(2500, 2475)</f>
        <v>2487.5</v>
      </c>
      <c r="O3159" s="179" t="s">
        <v>4972</v>
      </c>
      <c r="P3159" s="108">
        <v>151</v>
      </c>
      <c r="Q3159" s="89"/>
    </row>
    <row r="3160" spans="1:18" ht="36" customHeight="1">
      <c r="A3160" s="213" t="s">
        <v>2594</v>
      </c>
      <c r="B3160" s="141" t="s">
        <v>2170</v>
      </c>
      <c r="C3160" s="118" t="s">
        <v>3817</v>
      </c>
      <c r="D3160" s="141"/>
      <c r="E3160" s="118"/>
      <c r="F3160" s="118"/>
      <c r="G3160" s="118" t="s">
        <v>2079</v>
      </c>
      <c r="H3160" s="118" t="s">
        <v>3793</v>
      </c>
      <c r="I3160" s="118" t="s">
        <v>4251</v>
      </c>
      <c r="J3160" s="118" t="s">
        <v>3513</v>
      </c>
      <c r="K3160" s="141"/>
      <c r="L3160" s="135" t="str">
        <f t="shared" si="183"/>
        <v>Spilocuscus maculatus</v>
      </c>
      <c r="M3160" s="133">
        <f t="shared" si="184"/>
        <v>3.5813237507247329</v>
      </c>
      <c r="N3160" s="133">
        <f>AVERAGE(4567, 3060)</f>
        <v>3813.5</v>
      </c>
      <c r="O3160" s="179" t="s">
        <v>7671</v>
      </c>
      <c r="P3160" s="108">
        <v>151</v>
      </c>
      <c r="Q3160" s="89"/>
    </row>
    <row r="3161" spans="1:18" ht="24" customHeight="1">
      <c r="A3161" s="213" t="s">
        <v>2594</v>
      </c>
      <c r="B3161" s="141" t="s">
        <v>2170</v>
      </c>
      <c r="C3161" s="118" t="s">
        <v>3817</v>
      </c>
      <c r="D3161" s="141"/>
      <c r="E3161" s="118"/>
      <c r="F3161" s="118"/>
      <c r="G3161" s="118" t="s">
        <v>2079</v>
      </c>
      <c r="H3161" s="118" t="s">
        <v>3793</v>
      </c>
      <c r="I3161" s="118" t="s">
        <v>4251</v>
      </c>
      <c r="J3161" s="118" t="s">
        <v>5275</v>
      </c>
      <c r="K3161" s="141"/>
      <c r="L3161" s="135" t="str">
        <f t="shared" si="183"/>
        <v>Spilocuscus rufoniger</v>
      </c>
      <c r="M3161" s="133">
        <f t="shared" si="184"/>
        <v>3.7781512503836434</v>
      </c>
      <c r="N3161" s="133">
        <f>AVERAGE(5500, 6500)</f>
        <v>6000</v>
      </c>
      <c r="O3161" s="179" t="s">
        <v>7081</v>
      </c>
      <c r="P3161" s="108">
        <v>151</v>
      </c>
      <c r="Q3161" s="89" t="s">
        <v>6640</v>
      </c>
      <c r="R3161" s="79" t="s">
        <v>7562</v>
      </c>
    </row>
    <row r="3162" spans="1:18">
      <c r="A3162" s="213" t="s">
        <v>2594</v>
      </c>
      <c r="B3162" s="141" t="s">
        <v>2600</v>
      </c>
      <c r="C3162" s="118" t="s">
        <v>3817</v>
      </c>
      <c r="D3162" s="141"/>
      <c r="E3162" s="118"/>
      <c r="F3162" s="118"/>
      <c r="G3162" s="118" t="s">
        <v>2079</v>
      </c>
      <c r="H3162" s="118" t="s">
        <v>3793</v>
      </c>
      <c r="I3162" s="118" t="s">
        <v>5492</v>
      </c>
      <c r="J3162" s="118" t="s">
        <v>6485</v>
      </c>
      <c r="K3162" s="141"/>
      <c r="L3162" s="135" t="str">
        <f t="shared" si="183"/>
        <v>Strigocuscus celebensis</v>
      </c>
      <c r="M3162" s="133">
        <f t="shared" si="184"/>
        <v>2.6989700043360187</v>
      </c>
      <c r="N3162" s="133">
        <v>500</v>
      </c>
      <c r="O3162" s="179" t="s">
        <v>6773</v>
      </c>
      <c r="P3162" s="108" t="s">
        <v>233</v>
      </c>
      <c r="Q3162" s="80" t="s">
        <v>6987</v>
      </c>
    </row>
    <row r="3163" spans="1:18" ht="38.25">
      <c r="A3163" s="213" t="s">
        <v>2594</v>
      </c>
      <c r="B3163" s="141" t="s">
        <v>2600</v>
      </c>
      <c r="C3163" s="118" t="s">
        <v>3817</v>
      </c>
      <c r="D3163" s="141"/>
      <c r="E3163" s="118"/>
      <c r="F3163" s="118"/>
      <c r="G3163" s="118" t="s">
        <v>2079</v>
      </c>
      <c r="H3163" s="118" t="s">
        <v>3793</v>
      </c>
      <c r="I3163" s="118" t="s">
        <v>5492</v>
      </c>
      <c r="J3163" s="118" t="s">
        <v>3214</v>
      </c>
      <c r="K3163" s="141"/>
      <c r="L3163" s="135" t="str">
        <f t="shared" si="183"/>
        <v>Strigocuscus gymnotis</v>
      </c>
      <c r="M3163" s="133">
        <f t="shared" si="184"/>
        <v>3.4321672694425884</v>
      </c>
      <c r="N3163" s="133">
        <f>AVERAGE(3000, 2410)</f>
        <v>2705</v>
      </c>
      <c r="O3163" s="179" t="s">
        <v>5295</v>
      </c>
      <c r="P3163" s="108">
        <v>151</v>
      </c>
      <c r="Q3163" s="80"/>
    </row>
    <row r="3164" spans="1:18" ht="102">
      <c r="A3164" s="213" t="s">
        <v>2594</v>
      </c>
      <c r="B3164" s="141" t="s">
        <v>2170</v>
      </c>
      <c r="C3164" s="118" t="s">
        <v>3817</v>
      </c>
      <c r="D3164" s="141"/>
      <c r="E3164" s="118"/>
      <c r="F3164" s="118"/>
      <c r="G3164" s="118" t="s">
        <v>2079</v>
      </c>
      <c r="H3164" s="118" t="s">
        <v>3793</v>
      </c>
      <c r="I3164" s="118" t="s">
        <v>5492</v>
      </c>
      <c r="J3164" s="118" t="s">
        <v>3214</v>
      </c>
      <c r="K3164" s="141"/>
      <c r="L3164" s="135" t="str">
        <f t="shared" si="183"/>
        <v>Strigocuscus gymnotis</v>
      </c>
      <c r="M3164" s="133">
        <f t="shared" si="184"/>
        <v>3.4321672694425884</v>
      </c>
      <c r="N3164" s="133">
        <f>AVERAGE(3000, 2410)</f>
        <v>2705</v>
      </c>
      <c r="O3164" s="179" t="s">
        <v>5295</v>
      </c>
      <c r="P3164" s="108">
        <v>151</v>
      </c>
      <c r="Q3164" s="85" t="s">
        <v>5132</v>
      </c>
    </row>
    <row r="3165" spans="1:18">
      <c r="A3165" s="213" t="s">
        <v>2594</v>
      </c>
      <c r="B3165" s="141" t="s">
        <v>7574</v>
      </c>
      <c r="C3165" s="118" t="s">
        <v>3817</v>
      </c>
      <c r="D3165" s="141"/>
      <c r="E3165" s="118"/>
      <c r="F3165" s="118"/>
      <c r="G3165" s="118" t="s">
        <v>2079</v>
      </c>
      <c r="H3165" s="118" t="s">
        <v>3793</v>
      </c>
      <c r="I3165" s="118" t="s">
        <v>3799</v>
      </c>
      <c r="J3165" s="118" t="s">
        <v>5493</v>
      </c>
      <c r="K3165" s="141"/>
      <c r="L3165" s="135" t="str">
        <f t="shared" si="183"/>
        <v>Trichosurus arnhemensis</v>
      </c>
      <c r="M3165" s="133">
        <f t="shared" si="184"/>
        <v>3.1139433523068369</v>
      </c>
      <c r="N3165" s="133">
        <v>1300</v>
      </c>
      <c r="O3165" s="179" t="s">
        <v>3356</v>
      </c>
      <c r="P3165" s="108">
        <v>75</v>
      </c>
    </row>
    <row r="3166" spans="1:18" ht="25.5">
      <c r="A3166" s="213" t="s">
        <v>2594</v>
      </c>
      <c r="B3166" s="141" t="s">
        <v>2170</v>
      </c>
      <c r="C3166" s="118" t="s">
        <v>3817</v>
      </c>
      <c r="D3166" s="141"/>
      <c r="E3166" s="118"/>
      <c r="F3166" s="118"/>
      <c r="G3166" s="118" t="s">
        <v>2079</v>
      </c>
      <c r="H3166" s="118" t="s">
        <v>3666</v>
      </c>
      <c r="I3166" s="118" t="s">
        <v>7302</v>
      </c>
      <c r="J3166" s="118" t="s">
        <v>5828</v>
      </c>
      <c r="K3166" s="141"/>
      <c r="L3166" s="135" t="str">
        <f t="shared" si="183"/>
        <v>Pseudocheirus mayeri</v>
      </c>
      <c r="M3166" s="133">
        <f t="shared" si="184"/>
        <v>2.1811286997472954</v>
      </c>
      <c r="N3166" s="133">
        <f>AVERAGE(149, 154.5)</f>
        <v>151.75</v>
      </c>
      <c r="O3166" s="179" t="s">
        <v>6992</v>
      </c>
      <c r="P3166" s="108">
        <v>151</v>
      </c>
      <c r="Q3166" s="85"/>
    </row>
    <row r="3167" spans="1:18" ht="25.5">
      <c r="A3167" s="213" t="s">
        <v>2594</v>
      </c>
      <c r="B3167" s="141" t="s">
        <v>2170</v>
      </c>
      <c r="C3167" s="118" t="s">
        <v>3817</v>
      </c>
      <c r="D3167" s="141"/>
      <c r="E3167" s="118"/>
      <c r="F3167" s="118"/>
      <c r="G3167" s="118" t="s">
        <v>2079</v>
      </c>
      <c r="H3167" s="118" t="s">
        <v>3666</v>
      </c>
      <c r="I3167" s="118" t="s">
        <v>7302</v>
      </c>
      <c r="J3167" s="118" t="s">
        <v>5743</v>
      </c>
      <c r="K3167" s="141"/>
      <c r="L3167" s="135" t="str">
        <f t="shared" si="183"/>
        <v>Pseudocheirus schlegeli</v>
      </c>
      <c r="M3167" s="133">
        <f t="shared" si="184"/>
        <v>2.4385423487861106</v>
      </c>
      <c r="N3167" s="133">
        <v>274.5</v>
      </c>
      <c r="O3167" s="179" t="s">
        <v>6641</v>
      </c>
      <c r="P3167" s="108">
        <v>151</v>
      </c>
      <c r="Q3167" s="85" t="s">
        <v>6987</v>
      </c>
      <c r="R3167" s="79" t="s">
        <v>6904</v>
      </c>
    </row>
    <row r="3168" spans="1:18" ht="25.5">
      <c r="A3168" s="213" t="s">
        <v>2594</v>
      </c>
      <c r="B3168" s="130" t="s">
        <v>7652</v>
      </c>
      <c r="C3168" s="118" t="s">
        <v>3817</v>
      </c>
      <c r="D3168" s="141"/>
      <c r="E3168" s="118"/>
      <c r="F3168" s="118"/>
      <c r="G3168" s="118" t="s">
        <v>2079</v>
      </c>
      <c r="H3168" s="118" t="s">
        <v>3666</v>
      </c>
      <c r="I3168" s="118" t="s">
        <v>7302</v>
      </c>
      <c r="J3168" s="118" t="s">
        <v>4374</v>
      </c>
      <c r="K3168" s="141"/>
      <c r="L3168" s="135" t="str">
        <f t="shared" si="183"/>
        <v>Pseudocheirus canescens</v>
      </c>
      <c r="M3168" s="133">
        <f t="shared" si="184"/>
        <v>2.4771212547196626</v>
      </c>
      <c r="N3168" s="133">
        <f>AVERAGE(235,365)</f>
        <v>300</v>
      </c>
      <c r="O3168" s="179" t="s">
        <v>6900</v>
      </c>
      <c r="P3168" s="108">
        <v>151</v>
      </c>
      <c r="Q3168" s="80" t="s">
        <v>6987</v>
      </c>
    </row>
    <row r="3169" spans="1:18" ht="25.5">
      <c r="A3169" s="213" t="s">
        <v>2594</v>
      </c>
      <c r="B3169" s="141" t="s">
        <v>2170</v>
      </c>
      <c r="C3169" s="118" t="s">
        <v>3817</v>
      </c>
      <c r="D3169" s="141"/>
      <c r="E3169" s="118"/>
      <c r="F3169" s="118"/>
      <c r="G3169" s="118" t="s">
        <v>2079</v>
      </c>
      <c r="H3169" s="118" t="s">
        <v>3666</v>
      </c>
      <c r="I3169" s="118" t="s">
        <v>7302</v>
      </c>
      <c r="J3169" s="118" t="s">
        <v>4374</v>
      </c>
      <c r="K3169" s="141"/>
      <c r="L3169" s="135" t="str">
        <f t="shared" si="183"/>
        <v>Pseudocheirus canescens</v>
      </c>
      <c r="M3169" s="133">
        <f t="shared" si="184"/>
        <v>2.4771212547196626</v>
      </c>
      <c r="N3169" s="133">
        <f>AVERAGE(235,365)</f>
        <v>300</v>
      </c>
      <c r="O3169" s="179" t="s">
        <v>6900</v>
      </c>
      <c r="P3169" s="108">
        <v>151</v>
      </c>
      <c r="Q3169" s="85" t="s">
        <v>6987</v>
      </c>
    </row>
    <row r="3170" spans="1:18">
      <c r="A3170" s="213" t="s">
        <v>2594</v>
      </c>
      <c r="B3170" s="141" t="s">
        <v>2170</v>
      </c>
      <c r="C3170" s="118" t="s">
        <v>3817</v>
      </c>
      <c r="D3170" s="141"/>
      <c r="E3170" s="118"/>
      <c r="F3170" s="118"/>
      <c r="G3170" s="118" t="s">
        <v>2079</v>
      </c>
      <c r="H3170" s="118" t="s">
        <v>3666</v>
      </c>
      <c r="I3170" s="118" t="s">
        <v>7302</v>
      </c>
      <c r="J3170" s="118" t="s">
        <v>6046</v>
      </c>
      <c r="K3170" s="141"/>
      <c r="L3170" s="135" t="str">
        <f t="shared" si="183"/>
        <v>Pseudocheirus caroli</v>
      </c>
      <c r="M3170" s="133">
        <f t="shared" si="184"/>
        <v>2.6434526764861874</v>
      </c>
      <c r="N3170" s="133">
        <v>440</v>
      </c>
      <c r="O3170" s="179" t="s">
        <v>6901</v>
      </c>
      <c r="P3170" s="108">
        <v>151</v>
      </c>
      <c r="Q3170" s="85" t="s">
        <v>6987</v>
      </c>
    </row>
    <row r="3171" spans="1:18" ht="25.5">
      <c r="A3171" s="213" t="s">
        <v>2594</v>
      </c>
      <c r="B3171" s="141" t="s">
        <v>2170</v>
      </c>
      <c r="C3171" s="118" t="s">
        <v>3817</v>
      </c>
      <c r="D3171" s="141"/>
      <c r="E3171" s="118"/>
      <c r="F3171" s="118"/>
      <c r="G3171" s="118" t="s">
        <v>2079</v>
      </c>
      <c r="H3171" s="118" t="s">
        <v>3666</v>
      </c>
      <c r="I3171" s="118" t="s">
        <v>7302</v>
      </c>
      <c r="J3171" s="118" t="s">
        <v>6425</v>
      </c>
      <c r="K3171" s="141"/>
      <c r="L3171" s="135" t="str">
        <f t="shared" si="183"/>
        <v>Pseudocheirus forbesi</v>
      </c>
      <c r="M3171" s="133">
        <f t="shared" si="184"/>
        <v>2.8122446968003691</v>
      </c>
      <c r="N3171" s="133">
        <f>AVERAGE(732, 566)</f>
        <v>649</v>
      </c>
      <c r="O3171" s="179" t="s">
        <v>7006</v>
      </c>
      <c r="P3171" s="108">
        <v>151</v>
      </c>
      <c r="Q3171" s="85"/>
    </row>
    <row r="3172" spans="1:18" ht="63.75">
      <c r="A3172" s="213" t="s">
        <v>2594</v>
      </c>
      <c r="B3172" s="141" t="s">
        <v>2600</v>
      </c>
      <c r="C3172" s="118" t="s">
        <v>3817</v>
      </c>
      <c r="D3172" s="141"/>
      <c r="E3172" s="118"/>
      <c r="F3172" s="118"/>
      <c r="G3172" s="118" t="s">
        <v>2079</v>
      </c>
      <c r="H3172" s="118" t="s">
        <v>3666</v>
      </c>
      <c r="I3172" s="118" t="s">
        <v>7256</v>
      </c>
      <c r="J3172" s="118" t="s">
        <v>5744</v>
      </c>
      <c r="K3172" s="141"/>
      <c r="L3172" s="135" t="str">
        <f t="shared" si="183"/>
        <v>Pseudochirops albertisii</v>
      </c>
      <c r="M3172" s="133">
        <f t="shared" si="184"/>
        <v>2.8947866626088907</v>
      </c>
      <c r="N3172" s="133">
        <f>AVERAGE(813, 756.7)</f>
        <v>784.85</v>
      </c>
      <c r="O3172" s="179" t="s">
        <v>6882</v>
      </c>
      <c r="P3172" s="108">
        <v>151</v>
      </c>
      <c r="Q3172" s="80" t="s">
        <v>6988</v>
      </c>
      <c r="R3172" s="79" t="s">
        <v>7003</v>
      </c>
    </row>
    <row r="3173" spans="1:18" ht="63.75">
      <c r="A3173" s="213" t="s">
        <v>2594</v>
      </c>
      <c r="B3173" s="141" t="s">
        <v>2170</v>
      </c>
      <c r="C3173" s="118" t="s">
        <v>3817</v>
      </c>
      <c r="D3173" s="141"/>
      <c r="E3173" s="118"/>
      <c r="F3173" s="118"/>
      <c r="G3173" s="118" t="s">
        <v>2079</v>
      </c>
      <c r="H3173" s="118" t="s">
        <v>3666</v>
      </c>
      <c r="I3173" s="118" t="s">
        <v>7256</v>
      </c>
      <c r="J3173" s="118" t="s">
        <v>5744</v>
      </c>
      <c r="K3173" s="141"/>
      <c r="L3173" s="135" t="str">
        <f t="shared" si="183"/>
        <v>Pseudochirops albertisii</v>
      </c>
      <c r="M3173" s="133">
        <f t="shared" si="184"/>
        <v>2.8947866626088907</v>
      </c>
      <c r="N3173" s="133">
        <f>AVERAGE(813, 756.7)</f>
        <v>784.85</v>
      </c>
      <c r="O3173" s="179" t="s">
        <v>6882</v>
      </c>
      <c r="P3173" s="108">
        <v>151</v>
      </c>
      <c r="Q3173" s="85" t="s">
        <v>6988</v>
      </c>
      <c r="R3173" s="79" t="s">
        <v>7003</v>
      </c>
    </row>
    <row r="3174" spans="1:18" ht="63.75">
      <c r="A3174" s="213" t="s">
        <v>2594</v>
      </c>
      <c r="B3174" s="141" t="s">
        <v>2170</v>
      </c>
      <c r="C3174" s="118" t="s">
        <v>3817</v>
      </c>
      <c r="D3174" s="141"/>
      <c r="E3174" s="118"/>
      <c r="F3174" s="118"/>
      <c r="G3174" s="118" t="s">
        <v>2079</v>
      </c>
      <c r="H3174" s="118" t="s">
        <v>3666</v>
      </c>
      <c r="I3174" s="118" t="s">
        <v>7256</v>
      </c>
      <c r="J3174" s="118" t="s">
        <v>5111</v>
      </c>
      <c r="K3174" s="141"/>
      <c r="L3174" s="135" t="str">
        <f t="shared" si="183"/>
        <v>Pseudochirops corinnae</v>
      </c>
      <c r="M3174" s="133">
        <f t="shared" si="184"/>
        <v>3.0503797562614579</v>
      </c>
      <c r="N3174" s="133">
        <f>AVERAGE(1056, 1190)</f>
        <v>1123</v>
      </c>
      <c r="O3174" s="179" t="s">
        <v>6882</v>
      </c>
      <c r="P3174" s="108">
        <v>151</v>
      </c>
      <c r="Q3174" s="85" t="s">
        <v>6988</v>
      </c>
      <c r="R3174" s="79" t="s">
        <v>6717</v>
      </c>
    </row>
    <row r="3175" spans="1:18">
      <c r="A3175" s="213" t="s">
        <v>2594</v>
      </c>
      <c r="B3175" s="141" t="s">
        <v>2170</v>
      </c>
      <c r="C3175" s="118" t="s">
        <v>3817</v>
      </c>
      <c r="D3175" s="141"/>
      <c r="E3175" s="118"/>
      <c r="F3175" s="118"/>
      <c r="G3175" s="118" t="s">
        <v>2079</v>
      </c>
      <c r="H3175" s="118" t="s">
        <v>3666</v>
      </c>
      <c r="I3175" s="118" t="s">
        <v>7256</v>
      </c>
      <c r="J3175" s="118" t="s">
        <v>5660</v>
      </c>
      <c r="K3175" s="141"/>
      <c r="L3175" s="135" t="str">
        <f t="shared" si="183"/>
        <v>Pseudochirops coronatus</v>
      </c>
      <c r="M3175" s="133">
        <f t="shared" si="184"/>
        <v>3.1760912590556813</v>
      </c>
      <c r="N3175" s="133">
        <v>1500</v>
      </c>
      <c r="O3175" s="179" t="s">
        <v>6718</v>
      </c>
      <c r="P3175" s="108">
        <v>151</v>
      </c>
      <c r="Q3175" s="85"/>
    </row>
    <row r="3176" spans="1:18" ht="38.25">
      <c r="A3176" s="213" t="s">
        <v>2594</v>
      </c>
      <c r="B3176" s="141" t="s">
        <v>2170</v>
      </c>
      <c r="C3176" s="118" t="s">
        <v>3817</v>
      </c>
      <c r="D3176" s="141"/>
      <c r="E3176" s="118"/>
      <c r="F3176" s="118"/>
      <c r="G3176" s="118" t="s">
        <v>2079</v>
      </c>
      <c r="H3176" s="118" t="s">
        <v>3666</v>
      </c>
      <c r="I3176" s="118" t="s">
        <v>7256</v>
      </c>
      <c r="J3176" s="118" t="s">
        <v>4784</v>
      </c>
      <c r="K3176" s="141"/>
      <c r="L3176" s="135" t="str">
        <f t="shared" si="183"/>
        <v>Pseudochirops cupreus</v>
      </c>
      <c r="M3176" s="133">
        <f t="shared" si="184"/>
        <v>3.2366631987034093</v>
      </c>
      <c r="N3176" s="133">
        <f>AVERAGE(1769, 1680)</f>
        <v>1724.5</v>
      </c>
      <c r="O3176" s="179" t="s">
        <v>6713</v>
      </c>
      <c r="P3176" s="108">
        <v>151</v>
      </c>
      <c r="Q3176" s="85"/>
    </row>
    <row r="3177" spans="1:18" ht="25.5">
      <c r="A3177" s="213" t="s">
        <v>2594</v>
      </c>
      <c r="B3177" s="141" t="s">
        <v>5167</v>
      </c>
      <c r="C3177" s="118" t="s">
        <v>3931</v>
      </c>
      <c r="D3177" s="141">
        <v>1500</v>
      </c>
      <c r="E3177" s="118"/>
      <c r="F3177" s="118"/>
      <c r="G3177" s="118" t="s">
        <v>7278</v>
      </c>
      <c r="H3177" s="118" t="s">
        <v>3658</v>
      </c>
      <c r="I3177" s="118" t="s">
        <v>6496</v>
      </c>
      <c r="J3177" s="118" t="s">
        <v>6497</v>
      </c>
      <c r="K3177" s="141" t="s">
        <v>13</v>
      </c>
      <c r="L3177" s="135" t="str">
        <f t="shared" si="183"/>
        <v>Nesophontes hypomicrus</v>
      </c>
      <c r="M3177" s="133">
        <v>-999</v>
      </c>
      <c r="N3177" s="133">
        <v>-999</v>
      </c>
      <c r="O3177" s="179" t="s">
        <v>14</v>
      </c>
      <c r="P3177" s="111">
        <v>-999</v>
      </c>
      <c r="Q3177" s="80" t="s">
        <v>15</v>
      </c>
    </row>
    <row r="3178" spans="1:18" ht="25.5">
      <c r="A3178" s="213" t="s">
        <v>2594</v>
      </c>
      <c r="B3178" s="141" t="s">
        <v>2537</v>
      </c>
      <c r="C3178" s="118" t="s">
        <v>3931</v>
      </c>
      <c r="D3178" s="141">
        <v>1500</v>
      </c>
      <c r="E3178" s="118"/>
      <c r="F3178" s="118"/>
      <c r="G3178" s="118" t="s">
        <v>7278</v>
      </c>
      <c r="H3178" s="118" t="s">
        <v>3658</v>
      </c>
      <c r="I3178" s="118" t="s">
        <v>6496</v>
      </c>
      <c r="J3178" s="118" t="s">
        <v>2428</v>
      </c>
      <c r="K3178" s="141" t="s">
        <v>17</v>
      </c>
      <c r="L3178" s="135" t="str">
        <f t="shared" si="183"/>
        <v>Nesophontes longirostris</v>
      </c>
      <c r="M3178" s="133">
        <v>-999</v>
      </c>
      <c r="N3178" s="133">
        <v>-999</v>
      </c>
      <c r="O3178" s="179" t="s">
        <v>14</v>
      </c>
      <c r="P3178" s="108">
        <v>-999</v>
      </c>
      <c r="Q3178" s="80"/>
    </row>
    <row r="3179" spans="1:18" ht="25.5">
      <c r="A3179" s="213" t="s">
        <v>2594</v>
      </c>
      <c r="B3179" s="141" t="s">
        <v>2537</v>
      </c>
      <c r="C3179" s="118" t="s">
        <v>3931</v>
      </c>
      <c r="D3179" s="141">
        <v>1500</v>
      </c>
      <c r="E3179" s="118"/>
      <c r="F3179" s="118"/>
      <c r="G3179" s="118" t="s">
        <v>7278</v>
      </c>
      <c r="H3179" s="118" t="s">
        <v>3658</v>
      </c>
      <c r="I3179" s="118" t="s">
        <v>6496</v>
      </c>
      <c r="J3179" s="118" t="s">
        <v>5838</v>
      </c>
      <c r="K3179" s="141" t="s">
        <v>18</v>
      </c>
      <c r="L3179" s="135" t="str">
        <f t="shared" si="183"/>
        <v>Nesophontes major</v>
      </c>
      <c r="M3179" s="133">
        <v>-999</v>
      </c>
      <c r="N3179" s="133">
        <v>-999</v>
      </c>
      <c r="O3179" s="179" t="s">
        <v>14</v>
      </c>
      <c r="P3179" s="108">
        <v>-999</v>
      </c>
      <c r="Q3179" s="80"/>
    </row>
    <row r="3180" spans="1:18" ht="25.5">
      <c r="A3180" s="213" t="s">
        <v>2594</v>
      </c>
      <c r="B3180" s="141" t="s">
        <v>5170</v>
      </c>
      <c r="C3180" s="118" t="s">
        <v>3931</v>
      </c>
      <c r="D3180" s="141">
        <v>1500</v>
      </c>
      <c r="E3180" s="118"/>
      <c r="F3180" s="118"/>
      <c r="G3180" s="118" t="s">
        <v>7278</v>
      </c>
      <c r="H3180" s="118" t="s">
        <v>3658</v>
      </c>
      <c r="I3180" s="118" t="s">
        <v>6496</v>
      </c>
      <c r="J3180" s="118" t="s">
        <v>5325</v>
      </c>
      <c r="K3180" s="141" t="s">
        <v>19</v>
      </c>
      <c r="L3180" s="135" t="str">
        <f t="shared" si="183"/>
        <v>Nesophontes micrus</v>
      </c>
      <c r="M3180" s="133">
        <v>-999</v>
      </c>
      <c r="N3180" s="133">
        <v>-999</v>
      </c>
      <c r="O3180" s="179" t="s">
        <v>14</v>
      </c>
      <c r="P3180" s="111">
        <v>-999</v>
      </c>
      <c r="Q3180" s="80"/>
    </row>
    <row r="3181" spans="1:18" ht="25.5">
      <c r="A3181" s="213" t="s">
        <v>2594</v>
      </c>
      <c r="B3181" s="141" t="s">
        <v>7627</v>
      </c>
      <c r="C3181" s="118" t="s">
        <v>3931</v>
      </c>
      <c r="D3181" s="141">
        <v>1500</v>
      </c>
      <c r="E3181" s="118"/>
      <c r="F3181" s="118"/>
      <c r="G3181" s="118" t="s">
        <v>7278</v>
      </c>
      <c r="H3181" s="118" t="s">
        <v>3658</v>
      </c>
      <c r="I3181" s="118" t="s">
        <v>6496</v>
      </c>
      <c r="J3181" s="118" t="s">
        <v>5036</v>
      </c>
      <c r="K3181" s="141" t="s">
        <v>20</v>
      </c>
      <c r="L3181" s="135" t="str">
        <f t="shared" si="183"/>
        <v>Nesophontes paramicrus</v>
      </c>
      <c r="M3181" s="133">
        <v>-999</v>
      </c>
      <c r="N3181" s="133">
        <v>-999</v>
      </c>
      <c r="O3181" s="179" t="s">
        <v>14</v>
      </c>
      <c r="P3181" s="108">
        <v>-999</v>
      </c>
      <c r="Q3181" s="80"/>
    </row>
    <row r="3182" spans="1:18" ht="25.5">
      <c r="A3182" s="213" t="s">
        <v>2594</v>
      </c>
      <c r="B3182" s="141" t="s">
        <v>2537</v>
      </c>
      <c r="C3182" s="118" t="s">
        <v>3931</v>
      </c>
      <c r="D3182" s="141">
        <v>1500</v>
      </c>
      <c r="E3182" s="118"/>
      <c r="F3182" s="118"/>
      <c r="G3182" s="118" t="s">
        <v>7278</v>
      </c>
      <c r="H3182" s="118" t="s">
        <v>3658</v>
      </c>
      <c r="I3182" s="118" t="s">
        <v>6496</v>
      </c>
      <c r="J3182" s="118" t="s">
        <v>3144</v>
      </c>
      <c r="K3182" s="141" t="s">
        <v>21</v>
      </c>
      <c r="L3182" s="135" t="str">
        <f t="shared" si="183"/>
        <v>Nesophontes submicrus</v>
      </c>
      <c r="M3182" s="133">
        <v>-999</v>
      </c>
      <c r="N3182" s="133">
        <v>-999</v>
      </c>
      <c r="O3182" s="179" t="s">
        <v>14</v>
      </c>
      <c r="P3182" s="111">
        <v>-999</v>
      </c>
      <c r="Q3182" s="80"/>
    </row>
    <row r="3183" spans="1:18" ht="25.5">
      <c r="A3183" s="213" t="s">
        <v>2594</v>
      </c>
      <c r="B3183" s="141" t="s">
        <v>7627</v>
      </c>
      <c r="C3183" s="118" t="s">
        <v>3931</v>
      </c>
      <c r="D3183" s="141">
        <v>1500</v>
      </c>
      <c r="E3183" s="118"/>
      <c r="F3183" s="118"/>
      <c r="G3183" s="118" t="s">
        <v>7278</v>
      </c>
      <c r="H3183" s="118" t="s">
        <v>3658</v>
      </c>
      <c r="I3183" s="118" t="s">
        <v>6496</v>
      </c>
      <c r="J3183" s="118" t="s">
        <v>5255</v>
      </c>
      <c r="K3183" s="141" t="s">
        <v>22</v>
      </c>
      <c r="L3183" s="135" t="str">
        <f t="shared" si="183"/>
        <v>Nesophontes zamicrus</v>
      </c>
      <c r="M3183" s="133">
        <v>-999</v>
      </c>
      <c r="N3183" s="133">
        <v>-999</v>
      </c>
      <c r="O3183" s="179" t="s">
        <v>14</v>
      </c>
      <c r="P3183" s="111">
        <v>-999</v>
      </c>
      <c r="Q3183" s="80"/>
    </row>
    <row r="3184" spans="1:18" ht="25.5">
      <c r="A3184" s="213" t="s">
        <v>2594</v>
      </c>
      <c r="B3184" s="141" t="s">
        <v>2382</v>
      </c>
      <c r="C3184" s="118" t="s">
        <v>3931</v>
      </c>
      <c r="D3184" s="141">
        <v>1500</v>
      </c>
      <c r="E3184" s="118"/>
      <c r="F3184" s="118"/>
      <c r="G3184" s="118" t="s">
        <v>7278</v>
      </c>
      <c r="H3184" s="118" t="s">
        <v>3658</v>
      </c>
      <c r="I3184" s="118" t="s">
        <v>6496</v>
      </c>
      <c r="J3184" s="118" t="s">
        <v>3309</v>
      </c>
      <c r="K3184" s="141" t="s">
        <v>16</v>
      </c>
      <c r="L3184" s="135" t="str">
        <f t="shared" si="183"/>
        <v>Nesophontes edithae</v>
      </c>
      <c r="M3184" s="133">
        <f>LOG(N3184)</f>
        <v>2.2787536009528289</v>
      </c>
      <c r="N3184" s="133">
        <v>190</v>
      </c>
      <c r="O3184" s="179" t="s">
        <v>14</v>
      </c>
      <c r="P3184" s="108">
        <v>209</v>
      </c>
      <c r="Q3184" s="80"/>
    </row>
    <row r="3185" spans="1:18" ht="25.5">
      <c r="A3185" s="213" t="s">
        <v>2594</v>
      </c>
      <c r="B3185" s="141" t="s">
        <v>7678</v>
      </c>
      <c r="C3185" s="118" t="s">
        <v>3931</v>
      </c>
      <c r="D3185" s="141">
        <v>1600</v>
      </c>
      <c r="E3185" s="118"/>
      <c r="F3185" s="118"/>
      <c r="G3185" s="118" t="s">
        <v>7278</v>
      </c>
      <c r="H3185" s="118" t="s">
        <v>3541</v>
      </c>
      <c r="I3185" s="118" t="s">
        <v>6748</v>
      </c>
      <c r="J3185" s="118" t="s">
        <v>6171</v>
      </c>
      <c r="K3185" s="141" t="s">
        <v>23</v>
      </c>
      <c r="L3185" s="135" t="str">
        <f t="shared" si="183"/>
        <v>Solenodon marcanoi</v>
      </c>
      <c r="M3185" s="133">
        <v>-999</v>
      </c>
      <c r="N3185" s="133">
        <v>-999</v>
      </c>
      <c r="O3185" s="179" t="s">
        <v>14</v>
      </c>
      <c r="P3185" s="108">
        <v>-999</v>
      </c>
      <c r="Q3185" s="80"/>
    </row>
    <row r="3186" spans="1:18" ht="12" customHeight="1">
      <c r="A3186" s="213" t="s">
        <v>2594</v>
      </c>
      <c r="B3186" s="130" t="s">
        <v>2109</v>
      </c>
      <c r="C3186" s="118" t="s">
        <v>3817</v>
      </c>
      <c r="D3186" s="141"/>
      <c r="E3186" s="118"/>
      <c r="F3186" s="118"/>
      <c r="G3186" s="118" t="s">
        <v>7278</v>
      </c>
      <c r="H3186" s="118" t="s">
        <v>7252</v>
      </c>
      <c r="I3186" s="118" t="s">
        <v>6022</v>
      </c>
      <c r="J3186" s="118" t="s">
        <v>6021</v>
      </c>
      <c r="K3186" s="141"/>
      <c r="L3186" s="135" t="str">
        <f t="shared" si="183"/>
        <v>Echinosorex gymnura</v>
      </c>
      <c r="M3186" s="133">
        <f t="shared" ref="M3186:M3192" si="185">LOG(N3186)</f>
        <v>2.9809119377768436</v>
      </c>
      <c r="N3186" s="133">
        <v>957</v>
      </c>
      <c r="O3186" s="179" t="s">
        <v>6736</v>
      </c>
      <c r="P3186" s="108" t="s">
        <v>5900</v>
      </c>
      <c r="Q3186" s="88"/>
    </row>
    <row r="3187" spans="1:18">
      <c r="A3187" s="213" t="s">
        <v>2594</v>
      </c>
      <c r="B3187" s="141" t="s">
        <v>3259</v>
      </c>
      <c r="C3187" s="118" t="s">
        <v>3817</v>
      </c>
      <c r="D3187" s="141"/>
      <c r="E3187" s="118"/>
      <c r="F3187" s="118"/>
      <c r="G3187" s="118" t="s">
        <v>7278</v>
      </c>
      <c r="H3187" s="118" t="s">
        <v>7252</v>
      </c>
      <c r="I3187" s="118" t="s">
        <v>8141</v>
      </c>
      <c r="J3187" s="118" t="s">
        <v>3377</v>
      </c>
      <c r="K3187" s="141"/>
      <c r="L3187" s="135" t="str">
        <f t="shared" si="183"/>
        <v>Hylomys hainanensis</v>
      </c>
      <c r="M3187" s="133">
        <f t="shared" si="185"/>
        <v>1.7745169657285496</v>
      </c>
      <c r="N3187" s="133">
        <f>AVERAGE(50, 69)</f>
        <v>59.5</v>
      </c>
      <c r="O3187" s="179" t="s">
        <v>6882</v>
      </c>
      <c r="P3187" s="108" t="s">
        <v>1172</v>
      </c>
      <c r="Q3187" s="80" t="s">
        <v>6640</v>
      </c>
      <c r="R3187" s="85" t="s">
        <v>211</v>
      </c>
    </row>
    <row r="3188" spans="1:18">
      <c r="A3188" s="213" t="s">
        <v>2594</v>
      </c>
      <c r="B3188" s="130" t="s">
        <v>2109</v>
      </c>
      <c r="C3188" s="121" t="s">
        <v>3817</v>
      </c>
      <c r="D3188" s="156"/>
      <c r="E3188" s="121"/>
      <c r="F3188" s="121"/>
      <c r="G3188" s="121" t="s">
        <v>7278</v>
      </c>
      <c r="H3188" s="121" t="s">
        <v>7252</v>
      </c>
      <c r="I3188" s="121" t="s">
        <v>8141</v>
      </c>
      <c r="J3188" s="121" t="s">
        <v>3411</v>
      </c>
      <c r="K3188" s="156"/>
      <c r="L3188" s="135" t="str">
        <f t="shared" si="183"/>
        <v>Hylomys suillus</v>
      </c>
      <c r="M3188" s="133">
        <f t="shared" si="185"/>
        <v>1.8303747831935504</v>
      </c>
      <c r="N3188" s="143">
        <f>AVERAGE(59, 80, 64)</f>
        <v>67.666666666666671</v>
      </c>
      <c r="O3188" s="179" t="s">
        <v>7080</v>
      </c>
      <c r="P3188" s="108" t="s">
        <v>7809</v>
      </c>
      <c r="Q3188" s="80" t="s">
        <v>7071</v>
      </c>
    </row>
    <row r="3189" spans="1:18" ht="25.5">
      <c r="A3189" s="213" t="s">
        <v>2594</v>
      </c>
      <c r="B3189" s="141" t="s">
        <v>6062</v>
      </c>
      <c r="C3189" s="118" t="s">
        <v>3817</v>
      </c>
      <c r="D3189" s="141"/>
      <c r="E3189" s="118"/>
      <c r="F3189" s="118"/>
      <c r="G3189" s="118" t="s">
        <v>7278</v>
      </c>
      <c r="H3189" s="118" t="s">
        <v>7252</v>
      </c>
      <c r="I3189" s="118" t="s">
        <v>3378</v>
      </c>
      <c r="J3189" s="118" t="s">
        <v>6326</v>
      </c>
      <c r="K3189" s="141"/>
      <c r="L3189" s="135" t="str">
        <f t="shared" si="183"/>
        <v>Podogymnura truei</v>
      </c>
      <c r="M3189" s="133">
        <f t="shared" si="185"/>
        <v>2.0569048513364727</v>
      </c>
      <c r="N3189" s="133">
        <v>114</v>
      </c>
      <c r="O3189" s="179" t="s">
        <v>8149</v>
      </c>
      <c r="P3189" s="108">
        <v>60</v>
      </c>
      <c r="Q3189" s="80" t="s">
        <v>6640</v>
      </c>
    </row>
    <row r="3190" spans="1:18" ht="25.5">
      <c r="A3190" s="213" t="s">
        <v>2594</v>
      </c>
      <c r="B3190" s="141" t="s">
        <v>6062</v>
      </c>
      <c r="C3190" s="118" t="s">
        <v>3817</v>
      </c>
      <c r="D3190" s="141"/>
      <c r="E3190" s="118"/>
      <c r="F3190" s="118"/>
      <c r="G3190" s="118" t="s">
        <v>7278</v>
      </c>
      <c r="H3190" s="118" t="s">
        <v>7252</v>
      </c>
      <c r="I3190" s="118" t="s">
        <v>3378</v>
      </c>
      <c r="J3190" s="118" t="s">
        <v>3379</v>
      </c>
      <c r="K3190" s="141"/>
      <c r="L3190" s="135" t="str">
        <f t="shared" si="183"/>
        <v>Podogymnura aureospinula</v>
      </c>
      <c r="M3190" s="133">
        <f t="shared" si="185"/>
        <v>2.3926969532596658</v>
      </c>
      <c r="N3190" s="133">
        <v>247</v>
      </c>
      <c r="O3190" s="179" t="s">
        <v>8149</v>
      </c>
      <c r="P3190" s="108">
        <v>60</v>
      </c>
      <c r="Q3190" s="80" t="s">
        <v>6640</v>
      </c>
    </row>
    <row r="3191" spans="1:18" ht="48" customHeight="1">
      <c r="A3191" s="213" t="s">
        <v>2594</v>
      </c>
      <c r="B3191" s="141" t="s">
        <v>2537</v>
      </c>
      <c r="C3191" s="118" t="s">
        <v>3817</v>
      </c>
      <c r="D3191" s="141"/>
      <c r="E3191" s="118"/>
      <c r="F3191" s="118"/>
      <c r="G3191" s="118" t="s">
        <v>7278</v>
      </c>
      <c r="H3191" s="118" t="s">
        <v>3541</v>
      </c>
      <c r="I3191" s="118" t="s">
        <v>6748</v>
      </c>
      <c r="J3191" s="118" t="s">
        <v>6173</v>
      </c>
      <c r="K3191" s="141"/>
      <c r="L3191" s="135" t="str">
        <f t="shared" si="183"/>
        <v>Solenodon cubanus</v>
      </c>
      <c r="M3191" s="133">
        <f t="shared" si="185"/>
        <v>2.8129133566428557</v>
      </c>
      <c r="N3191" s="133">
        <v>650</v>
      </c>
      <c r="O3191" s="179" t="s">
        <v>3356</v>
      </c>
      <c r="P3191" s="108">
        <v>140</v>
      </c>
      <c r="Q3191" s="88"/>
    </row>
    <row r="3192" spans="1:18">
      <c r="A3192" s="213" t="s">
        <v>2594</v>
      </c>
      <c r="B3192" s="141" t="s">
        <v>2110</v>
      </c>
      <c r="C3192" s="118" t="s">
        <v>3817</v>
      </c>
      <c r="D3192" s="141"/>
      <c r="E3192" s="118"/>
      <c r="F3192" s="118"/>
      <c r="G3192" s="118" t="s">
        <v>7278</v>
      </c>
      <c r="H3192" s="118" t="s">
        <v>3541</v>
      </c>
      <c r="I3192" s="118" t="s">
        <v>6748</v>
      </c>
      <c r="J3192" s="118" t="s">
        <v>5484</v>
      </c>
      <c r="K3192" s="141"/>
      <c r="L3192" s="135" t="str">
        <f t="shared" si="183"/>
        <v>Solenodon paradoxus</v>
      </c>
      <c r="M3192" s="133">
        <f t="shared" si="185"/>
        <v>2.9542425094393248</v>
      </c>
      <c r="N3192" s="133">
        <v>900</v>
      </c>
      <c r="O3192" s="179" t="s">
        <v>6736</v>
      </c>
      <c r="P3192" s="108">
        <v>68</v>
      </c>
    </row>
    <row r="3193" spans="1:18" ht="25.5">
      <c r="A3193" s="213" t="s">
        <v>2594</v>
      </c>
      <c r="B3193" s="141" t="s">
        <v>2539</v>
      </c>
      <c r="C3193" s="118" t="s">
        <v>3817</v>
      </c>
      <c r="D3193" s="141"/>
      <c r="E3193" s="118"/>
      <c r="F3193" s="118"/>
      <c r="G3193" s="118" t="s">
        <v>7278</v>
      </c>
      <c r="H3193" s="118" t="s">
        <v>4905</v>
      </c>
      <c r="I3193" s="118" t="s">
        <v>6381</v>
      </c>
      <c r="J3193" s="118" t="s">
        <v>6670</v>
      </c>
      <c r="K3193" s="141"/>
      <c r="L3193" s="135" t="str">
        <f t="shared" si="183"/>
        <v>Chimarrogale sumatrana</v>
      </c>
      <c r="M3193" s="133">
        <v>-999</v>
      </c>
      <c r="N3193" s="133">
        <v>-999</v>
      </c>
      <c r="O3193" s="179" t="s">
        <v>8149</v>
      </c>
      <c r="P3193" s="108">
        <v>-999</v>
      </c>
      <c r="Q3193" s="80" t="s">
        <v>7071</v>
      </c>
    </row>
    <row r="3194" spans="1:18" ht="25.5">
      <c r="A3194" s="213" t="s">
        <v>2594</v>
      </c>
      <c r="B3194" s="141" t="s">
        <v>2109</v>
      </c>
      <c r="C3194" s="118" t="s">
        <v>3817</v>
      </c>
      <c r="D3194" s="141"/>
      <c r="E3194" s="118"/>
      <c r="F3194" s="118"/>
      <c r="G3194" s="118" t="s">
        <v>7278</v>
      </c>
      <c r="H3194" s="118" t="s">
        <v>4905</v>
      </c>
      <c r="I3194" s="118" t="s">
        <v>6381</v>
      </c>
      <c r="J3194" s="118" t="s">
        <v>7293</v>
      </c>
      <c r="K3194" s="141"/>
      <c r="L3194" s="135" t="str">
        <f t="shared" si="183"/>
        <v>Chimarrogale phaeura</v>
      </c>
      <c r="M3194" s="133">
        <f>LOG(N3194)</f>
        <v>1.4913616938342726</v>
      </c>
      <c r="N3194" s="133">
        <f>1000*0.031</f>
        <v>31</v>
      </c>
      <c r="O3194" s="179" t="s">
        <v>8149</v>
      </c>
      <c r="P3194" s="108">
        <v>60</v>
      </c>
      <c r="Q3194" s="80" t="s">
        <v>6640</v>
      </c>
    </row>
    <row r="3195" spans="1:18">
      <c r="A3195" s="213" t="s">
        <v>2594</v>
      </c>
      <c r="B3195" s="130" t="s">
        <v>2109</v>
      </c>
      <c r="C3195" s="118" t="s">
        <v>3817</v>
      </c>
      <c r="D3195" s="141"/>
      <c r="E3195" s="118"/>
      <c r="F3195" s="118"/>
      <c r="G3195" s="118" t="s">
        <v>7278</v>
      </c>
      <c r="H3195" s="118" t="s">
        <v>4905</v>
      </c>
      <c r="I3195" s="118" t="s">
        <v>6381</v>
      </c>
      <c r="J3195" s="118" t="s">
        <v>5626</v>
      </c>
      <c r="K3195" s="141"/>
      <c r="L3195" s="135" t="str">
        <f t="shared" si="183"/>
        <v>Chimarrogale himalayica</v>
      </c>
      <c r="M3195" s="133">
        <f>LOG(N3195)</f>
        <v>1.505149978319906</v>
      </c>
      <c r="N3195" s="133">
        <f>1000*0.032</f>
        <v>32</v>
      </c>
      <c r="O3195" s="179" t="s">
        <v>3356</v>
      </c>
      <c r="P3195" s="108">
        <v>60</v>
      </c>
      <c r="Q3195" s="80"/>
    </row>
    <row r="3196" spans="1:18">
      <c r="A3196" s="213" t="s">
        <v>2594</v>
      </c>
      <c r="B3196" s="141" t="s">
        <v>6002</v>
      </c>
      <c r="C3196" s="118" t="s">
        <v>3817</v>
      </c>
      <c r="D3196" s="141"/>
      <c r="E3196" s="118"/>
      <c r="F3196" s="118"/>
      <c r="G3196" s="118" t="s">
        <v>7278</v>
      </c>
      <c r="H3196" s="118" t="s">
        <v>4905</v>
      </c>
      <c r="I3196" s="118" t="s">
        <v>6381</v>
      </c>
      <c r="J3196" s="118" t="s">
        <v>5627</v>
      </c>
      <c r="K3196" s="141"/>
      <c r="L3196" s="135" t="str">
        <f t="shared" si="183"/>
        <v>Chimarrogale platycephala</v>
      </c>
      <c r="M3196" s="133">
        <f>LOG(N3196)</f>
        <v>1.505149978319906</v>
      </c>
      <c r="N3196" s="133">
        <v>32</v>
      </c>
      <c r="O3196" s="179" t="s">
        <v>6579</v>
      </c>
      <c r="P3196" s="108">
        <v>142</v>
      </c>
      <c r="Q3196" s="80"/>
    </row>
    <row r="3197" spans="1:18" ht="25.5">
      <c r="A3197" s="213" t="s">
        <v>2594</v>
      </c>
      <c r="B3197" s="130" t="s">
        <v>2522</v>
      </c>
      <c r="C3197" s="118" t="s">
        <v>3817</v>
      </c>
      <c r="D3197" s="141"/>
      <c r="E3197" s="118"/>
      <c r="F3197" s="118"/>
      <c r="G3197" s="118" t="s">
        <v>7278</v>
      </c>
      <c r="H3197" s="118" t="s">
        <v>4905</v>
      </c>
      <c r="I3197" s="118" t="s">
        <v>5050</v>
      </c>
      <c r="J3197" s="118" t="s">
        <v>3380</v>
      </c>
      <c r="K3197" s="141"/>
      <c r="L3197" s="135" t="str">
        <f t="shared" si="183"/>
        <v>Crocidura andamanensis</v>
      </c>
      <c r="M3197" s="133">
        <v>-999</v>
      </c>
      <c r="N3197" s="133">
        <v>-999</v>
      </c>
      <c r="O3197" s="179" t="s">
        <v>6882</v>
      </c>
      <c r="P3197" s="108">
        <v>-999</v>
      </c>
      <c r="Q3197" s="80" t="s">
        <v>6987</v>
      </c>
    </row>
    <row r="3198" spans="1:18" ht="25.5">
      <c r="A3198" s="213" t="s">
        <v>2594</v>
      </c>
      <c r="B3198" s="130" t="s">
        <v>2504</v>
      </c>
      <c r="C3198" s="118" t="s">
        <v>3817</v>
      </c>
      <c r="D3198" s="141"/>
      <c r="E3198" s="118"/>
      <c r="F3198" s="118"/>
      <c r="G3198" s="118" t="s">
        <v>7278</v>
      </c>
      <c r="H3198" s="118" t="s">
        <v>4905</v>
      </c>
      <c r="I3198" s="118" t="s">
        <v>5050</v>
      </c>
      <c r="J3198" s="118" t="s">
        <v>8172</v>
      </c>
      <c r="K3198" s="141"/>
      <c r="L3198" s="135" t="str">
        <f t="shared" si="183"/>
        <v>Crocidura beccarii</v>
      </c>
      <c r="M3198" s="133">
        <v>-999</v>
      </c>
      <c r="N3198" s="133">
        <v>-999</v>
      </c>
      <c r="O3198" s="179" t="s">
        <v>8149</v>
      </c>
      <c r="P3198" s="108">
        <v>-999</v>
      </c>
      <c r="Q3198" s="80" t="s">
        <v>6640</v>
      </c>
    </row>
    <row r="3199" spans="1:18">
      <c r="A3199" s="213" t="s">
        <v>2594</v>
      </c>
      <c r="B3199" s="141" t="s">
        <v>2506</v>
      </c>
      <c r="C3199" s="118" t="s">
        <v>3817</v>
      </c>
      <c r="D3199" s="141"/>
      <c r="E3199" s="118"/>
      <c r="F3199" s="118"/>
      <c r="G3199" s="118" t="s">
        <v>7278</v>
      </c>
      <c r="H3199" s="118" t="s">
        <v>4905</v>
      </c>
      <c r="I3199" s="118" t="s">
        <v>5050</v>
      </c>
      <c r="J3199" s="118" t="s">
        <v>5460</v>
      </c>
      <c r="K3199" s="141"/>
      <c r="L3199" s="135" t="str">
        <f t="shared" si="183"/>
        <v>Crocidura cossyrensis</v>
      </c>
      <c r="M3199" s="133">
        <v>-999</v>
      </c>
      <c r="N3199" s="133">
        <v>-999</v>
      </c>
      <c r="O3199" s="179" t="s">
        <v>3356</v>
      </c>
      <c r="P3199" s="108">
        <v>-999</v>
      </c>
      <c r="Q3199" s="80"/>
    </row>
    <row r="3200" spans="1:18" ht="25.5">
      <c r="A3200" s="213" t="s">
        <v>2594</v>
      </c>
      <c r="B3200" s="141" t="s">
        <v>2622</v>
      </c>
      <c r="C3200" s="118" t="s">
        <v>3817</v>
      </c>
      <c r="D3200" s="141"/>
      <c r="E3200" s="118"/>
      <c r="F3200" s="118"/>
      <c r="G3200" s="118" t="s">
        <v>7278</v>
      </c>
      <c r="H3200" s="118" t="s">
        <v>4905</v>
      </c>
      <c r="I3200" s="118" t="s">
        <v>5050</v>
      </c>
      <c r="J3200" s="118" t="s">
        <v>6591</v>
      </c>
      <c r="K3200" s="141"/>
      <c r="L3200" s="135" t="str">
        <f t="shared" si="183"/>
        <v>Crocidura grandis</v>
      </c>
      <c r="M3200" s="133">
        <v>-999</v>
      </c>
      <c r="N3200" s="133">
        <v>-999</v>
      </c>
      <c r="O3200" s="179" t="s">
        <v>8149</v>
      </c>
      <c r="P3200" s="108">
        <v>-999</v>
      </c>
      <c r="Q3200" s="80" t="s">
        <v>6640</v>
      </c>
      <c r="R3200" s="85" t="s">
        <v>1712</v>
      </c>
    </row>
    <row r="3201" spans="1:17" ht="25.5">
      <c r="A3201" s="213" t="s">
        <v>2594</v>
      </c>
      <c r="B3201" s="141" t="s">
        <v>2614</v>
      </c>
      <c r="C3201" s="118" t="s">
        <v>3817</v>
      </c>
      <c r="D3201" s="141"/>
      <c r="E3201" s="118"/>
      <c r="F3201" s="118"/>
      <c r="G3201" s="118" t="s">
        <v>7278</v>
      </c>
      <c r="H3201" s="118" t="s">
        <v>4905</v>
      </c>
      <c r="I3201" s="118" t="s">
        <v>5050</v>
      </c>
      <c r="J3201" s="118" t="s">
        <v>5337</v>
      </c>
      <c r="K3201" s="141"/>
      <c r="L3201" s="135" t="str">
        <f t="shared" si="183"/>
        <v>Crocidura hispida</v>
      </c>
      <c r="M3201" s="133">
        <v>-999</v>
      </c>
      <c r="N3201" s="133">
        <v>-999</v>
      </c>
      <c r="O3201" s="189" t="s">
        <v>8149</v>
      </c>
      <c r="P3201" s="108">
        <v>-999</v>
      </c>
      <c r="Q3201" s="80" t="s">
        <v>6640</v>
      </c>
    </row>
    <row r="3202" spans="1:17">
      <c r="A3202" s="213" t="s">
        <v>2594</v>
      </c>
      <c r="B3202" s="141" t="s">
        <v>2538</v>
      </c>
      <c r="C3202" s="118" t="s">
        <v>3817</v>
      </c>
      <c r="D3202" s="141"/>
      <c r="E3202" s="118"/>
      <c r="F3202" s="118"/>
      <c r="G3202" s="118" t="s">
        <v>7278</v>
      </c>
      <c r="H3202" s="118" t="s">
        <v>4905</v>
      </c>
      <c r="I3202" s="118" t="s">
        <v>5050</v>
      </c>
      <c r="J3202" s="118" t="s">
        <v>5124</v>
      </c>
      <c r="K3202" s="141"/>
      <c r="L3202" s="135" t="str">
        <f t="shared" si="183"/>
        <v>Crocidura minuta</v>
      </c>
      <c r="M3202" s="133">
        <v>-999</v>
      </c>
      <c r="N3202" s="133">
        <v>-999</v>
      </c>
      <c r="O3202" s="179" t="s">
        <v>3356</v>
      </c>
      <c r="P3202" s="108">
        <v>-999</v>
      </c>
      <c r="Q3202" s="80" t="s">
        <v>6987</v>
      </c>
    </row>
    <row r="3203" spans="1:17">
      <c r="A3203" s="213" t="s">
        <v>2594</v>
      </c>
      <c r="B3203" s="141" t="s">
        <v>2504</v>
      </c>
      <c r="C3203" s="118" t="s">
        <v>3817</v>
      </c>
      <c r="D3203" s="141"/>
      <c r="E3203" s="118"/>
      <c r="F3203" s="118"/>
      <c r="G3203" s="118" t="s">
        <v>7278</v>
      </c>
      <c r="H3203" s="118" t="s">
        <v>4905</v>
      </c>
      <c r="I3203" s="118" t="s">
        <v>5050</v>
      </c>
      <c r="J3203" s="118" t="s">
        <v>5653</v>
      </c>
      <c r="K3203" s="141"/>
      <c r="L3203" s="135" t="str">
        <f t="shared" si="183"/>
        <v>Crocidura neglecta</v>
      </c>
      <c r="M3203" s="133">
        <v>-999</v>
      </c>
      <c r="N3203" s="133">
        <v>-999</v>
      </c>
      <c r="O3203" s="179" t="s">
        <v>3356</v>
      </c>
      <c r="P3203" s="108">
        <v>-999</v>
      </c>
      <c r="Q3203" s="80"/>
    </row>
    <row r="3204" spans="1:17" ht="25.5">
      <c r="A3204" s="213" t="s">
        <v>2594</v>
      </c>
      <c r="B3204" s="141" t="s">
        <v>6062</v>
      </c>
      <c r="C3204" s="118" t="s">
        <v>3817</v>
      </c>
      <c r="D3204" s="141"/>
      <c r="E3204" s="118"/>
      <c r="F3204" s="118"/>
      <c r="G3204" s="118" t="s">
        <v>7278</v>
      </c>
      <c r="H3204" s="118" t="s">
        <v>4905</v>
      </c>
      <c r="I3204" s="118" t="s">
        <v>5050</v>
      </c>
      <c r="J3204" s="118" t="s">
        <v>5427</v>
      </c>
      <c r="K3204" s="141"/>
      <c r="L3204" s="135" t="str">
        <f t="shared" si="183"/>
        <v>Crocidura negrina</v>
      </c>
      <c r="M3204" s="133">
        <v>-999</v>
      </c>
      <c r="N3204" s="133">
        <v>-999</v>
      </c>
      <c r="O3204" s="179" t="s">
        <v>8149</v>
      </c>
      <c r="P3204" s="108">
        <v>-999</v>
      </c>
      <c r="Q3204" s="80" t="s">
        <v>7071</v>
      </c>
    </row>
    <row r="3205" spans="1:17" ht="25.5">
      <c r="A3205" s="213" t="s">
        <v>2594</v>
      </c>
      <c r="B3205" s="141" t="s">
        <v>2198</v>
      </c>
      <c r="C3205" s="118" t="s">
        <v>3817</v>
      </c>
      <c r="D3205" s="141"/>
      <c r="E3205" s="118"/>
      <c r="F3205" s="118"/>
      <c r="G3205" s="118" t="s">
        <v>7278</v>
      </c>
      <c r="H3205" s="118" t="s">
        <v>4905</v>
      </c>
      <c r="I3205" s="118" t="s">
        <v>5050</v>
      </c>
      <c r="J3205" s="118" t="s">
        <v>4818</v>
      </c>
      <c r="K3205" s="141"/>
      <c r="L3205" s="135" t="str">
        <f t="shared" ref="L3205:L3268" si="186">I3205&amp;" "&amp;J3205</f>
        <v>Crocidura osorio</v>
      </c>
      <c r="M3205" s="133">
        <v>-999</v>
      </c>
      <c r="N3205" s="133">
        <v>-999</v>
      </c>
      <c r="O3205" s="179" t="s">
        <v>8149</v>
      </c>
      <c r="P3205" s="108">
        <v>-999</v>
      </c>
      <c r="Q3205" s="80" t="s">
        <v>6988</v>
      </c>
    </row>
    <row r="3206" spans="1:17" ht="25.5">
      <c r="A3206" s="213" t="s">
        <v>2594</v>
      </c>
      <c r="B3206" s="141" t="s">
        <v>6062</v>
      </c>
      <c r="C3206" s="118" t="s">
        <v>3817</v>
      </c>
      <c r="D3206" s="141"/>
      <c r="E3206" s="118"/>
      <c r="F3206" s="118"/>
      <c r="G3206" s="118" t="s">
        <v>7278</v>
      </c>
      <c r="H3206" s="118" t="s">
        <v>4905</v>
      </c>
      <c r="I3206" s="118" t="s">
        <v>5050</v>
      </c>
      <c r="J3206" s="118" t="s">
        <v>4819</v>
      </c>
      <c r="K3206" s="141"/>
      <c r="L3206" s="135" t="str">
        <f t="shared" si="186"/>
        <v>Crocidura palawanensis</v>
      </c>
      <c r="M3206" s="133">
        <v>-999</v>
      </c>
      <c r="N3206" s="133">
        <v>-999</v>
      </c>
      <c r="O3206" s="179" t="s">
        <v>8149</v>
      </c>
      <c r="P3206" s="108">
        <v>-999</v>
      </c>
      <c r="Q3206" s="80" t="s">
        <v>6988</v>
      </c>
    </row>
    <row r="3207" spans="1:17" ht="38.25">
      <c r="A3207" s="213" t="s">
        <v>2594</v>
      </c>
      <c r="B3207" s="141" t="s">
        <v>2581</v>
      </c>
      <c r="C3207" s="118" t="s">
        <v>3817</v>
      </c>
      <c r="D3207" s="141"/>
      <c r="E3207" s="118"/>
      <c r="F3207" s="118"/>
      <c r="G3207" s="118" t="s">
        <v>7278</v>
      </c>
      <c r="H3207" s="118" t="s">
        <v>4905</v>
      </c>
      <c r="I3207" s="118" t="s">
        <v>5050</v>
      </c>
      <c r="J3207" s="118" t="s">
        <v>4730</v>
      </c>
      <c r="K3207" s="141"/>
      <c r="L3207" s="135" t="str">
        <f t="shared" si="186"/>
        <v>Crocidura zimmermanni</v>
      </c>
      <c r="M3207" s="133">
        <v>-999</v>
      </c>
      <c r="N3207" s="133">
        <v>-999</v>
      </c>
      <c r="O3207" s="189" t="s">
        <v>1701</v>
      </c>
      <c r="P3207" s="108">
        <v>-999</v>
      </c>
      <c r="Q3207" s="80" t="s">
        <v>6988</v>
      </c>
    </row>
    <row r="3208" spans="1:17" ht="36" customHeight="1">
      <c r="A3208" s="213" t="s">
        <v>2594</v>
      </c>
      <c r="B3208" s="141" t="s">
        <v>2540</v>
      </c>
      <c r="C3208" s="118" t="s">
        <v>3817</v>
      </c>
      <c r="D3208" s="141"/>
      <c r="E3208" s="118"/>
      <c r="F3208" s="118"/>
      <c r="G3208" s="118" t="s">
        <v>7278</v>
      </c>
      <c r="H3208" s="118" t="s">
        <v>4905</v>
      </c>
      <c r="I3208" s="118" t="s">
        <v>5050</v>
      </c>
      <c r="J3208" s="118" t="s">
        <v>5831</v>
      </c>
      <c r="K3208" s="141"/>
      <c r="L3208" s="135" t="str">
        <f t="shared" si="186"/>
        <v>Crocidura levicula</v>
      </c>
      <c r="M3208" s="133">
        <f t="shared" ref="M3208:M3229" si="187">LOG(N3208)</f>
        <v>0.24797326636180664</v>
      </c>
      <c r="N3208" s="133">
        <f>1000*0.00177</f>
        <v>1.77</v>
      </c>
      <c r="O3208" s="179" t="s">
        <v>3356</v>
      </c>
      <c r="P3208" s="108">
        <v>60</v>
      </c>
      <c r="Q3208" s="88"/>
    </row>
    <row r="3209" spans="1:17" ht="25.5">
      <c r="A3209" s="213" t="s">
        <v>2594</v>
      </c>
      <c r="B3209" s="141" t="s">
        <v>2507</v>
      </c>
      <c r="C3209" s="118" t="s">
        <v>3817</v>
      </c>
      <c r="D3209" s="141"/>
      <c r="E3209" s="118"/>
      <c r="F3209" s="118"/>
      <c r="G3209" s="118" t="s">
        <v>7278</v>
      </c>
      <c r="H3209" s="118" t="s">
        <v>4905</v>
      </c>
      <c r="I3209" s="118" t="s">
        <v>5050</v>
      </c>
      <c r="J3209" s="118" t="s">
        <v>5919</v>
      </c>
      <c r="K3209" s="141"/>
      <c r="L3209" s="135" t="str">
        <f t="shared" si="186"/>
        <v>Crocidura horsfieldii</v>
      </c>
      <c r="M3209" s="133">
        <f t="shared" si="187"/>
        <v>0.69897000433601886</v>
      </c>
      <c r="N3209" s="133">
        <v>5</v>
      </c>
      <c r="O3209" s="179" t="s">
        <v>1583</v>
      </c>
      <c r="P3209" s="108">
        <v>60</v>
      </c>
      <c r="Q3209" s="80"/>
    </row>
    <row r="3210" spans="1:17" ht="12" customHeight="1">
      <c r="A3210" s="213" t="s">
        <v>2594</v>
      </c>
      <c r="B3210" s="141" t="s">
        <v>2540</v>
      </c>
      <c r="C3210" s="118" t="s">
        <v>3817</v>
      </c>
      <c r="D3210" s="141"/>
      <c r="E3210" s="118"/>
      <c r="F3210" s="118"/>
      <c r="G3210" s="118" t="s">
        <v>7278</v>
      </c>
      <c r="H3210" s="118" t="s">
        <v>4905</v>
      </c>
      <c r="I3210" s="118" t="s">
        <v>5050</v>
      </c>
      <c r="J3210" s="118" t="s">
        <v>5748</v>
      </c>
      <c r="K3210" s="141"/>
      <c r="L3210" s="135" t="str">
        <f t="shared" si="186"/>
        <v>Crocidura lea</v>
      </c>
      <c r="M3210" s="133">
        <f t="shared" si="187"/>
        <v>0.81954393554186866</v>
      </c>
      <c r="N3210" s="133">
        <v>6.6</v>
      </c>
      <c r="O3210" s="179" t="s">
        <v>3356</v>
      </c>
      <c r="P3210" s="108">
        <v>60</v>
      </c>
      <c r="Q3210" s="88"/>
    </row>
    <row r="3211" spans="1:17">
      <c r="A3211" s="213" t="s">
        <v>2594</v>
      </c>
      <c r="B3211" s="141" t="s">
        <v>2475</v>
      </c>
      <c r="C3211" s="118" t="s">
        <v>3817</v>
      </c>
      <c r="D3211" s="141"/>
      <c r="E3211" s="118"/>
      <c r="F3211" s="118"/>
      <c r="G3211" s="118" t="s">
        <v>7278</v>
      </c>
      <c r="H3211" s="118" t="s">
        <v>4905</v>
      </c>
      <c r="I3211" s="118" t="s">
        <v>5050</v>
      </c>
      <c r="J3211" s="118" t="s">
        <v>4047</v>
      </c>
      <c r="K3211" s="141"/>
      <c r="L3211" s="135" t="str">
        <f t="shared" si="186"/>
        <v>Crocidura monticola</v>
      </c>
      <c r="M3211" s="133">
        <f t="shared" si="187"/>
        <v>0.81954393554186866</v>
      </c>
      <c r="N3211" s="133">
        <v>6.6</v>
      </c>
      <c r="O3211" s="179" t="s">
        <v>3356</v>
      </c>
      <c r="P3211" s="108">
        <v>60</v>
      </c>
      <c r="Q3211" s="80"/>
    </row>
    <row r="3212" spans="1:17" ht="25.5">
      <c r="A3212" s="213" t="s">
        <v>2594</v>
      </c>
      <c r="B3212" s="130" t="s">
        <v>2654</v>
      </c>
      <c r="C3212" s="118" t="s">
        <v>3817</v>
      </c>
      <c r="D3212" s="141"/>
      <c r="E3212" s="118"/>
      <c r="F3212" s="118"/>
      <c r="G3212" s="118" t="s">
        <v>7278</v>
      </c>
      <c r="H3212" s="118" t="s">
        <v>4905</v>
      </c>
      <c r="I3212" s="118" t="s">
        <v>5050</v>
      </c>
      <c r="J3212" s="118" t="s">
        <v>4727</v>
      </c>
      <c r="K3212" s="141"/>
      <c r="L3212" s="135" t="str">
        <f t="shared" si="186"/>
        <v>Crocidura sicula</v>
      </c>
      <c r="M3212" s="133">
        <f t="shared" si="187"/>
        <v>0.83884909073725533</v>
      </c>
      <c r="N3212" s="133">
        <v>6.9</v>
      </c>
      <c r="O3212" s="179" t="s">
        <v>3356</v>
      </c>
      <c r="P3212" s="108">
        <v>182</v>
      </c>
      <c r="Q3212" s="80"/>
    </row>
    <row r="3213" spans="1:17" ht="25.5">
      <c r="A3213" s="213" t="s">
        <v>2594</v>
      </c>
      <c r="B3213" s="130"/>
      <c r="C3213" s="118" t="s">
        <v>3817</v>
      </c>
      <c r="D3213" s="141"/>
      <c r="E3213" s="118"/>
      <c r="F3213" s="118"/>
      <c r="G3213" s="118" t="s">
        <v>7278</v>
      </c>
      <c r="H3213" s="118" t="s">
        <v>4905</v>
      </c>
      <c r="I3213" s="118" t="s">
        <v>5050</v>
      </c>
      <c r="J3213" s="118" t="s">
        <v>5485</v>
      </c>
      <c r="K3213" s="141"/>
      <c r="L3213" s="135" t="str">
        <f t="shared" si="186"/>
        <v>Crocidura canariensis</v>
      </c>
      <c r="M3213" s="133">
        <f t="shared" si="187"/>
        <v>0.87506126339170009</v>
      </c>
      <c r="N3213" s="133">
        <v>7.5</v>
      </c>
      <c r="O3213" s="179" t="s">
        <v>8149</v>
      </c>
      <c r="P3213" s="108">
        <v>68</v>
      </c>
      <c r="Q3213" s="80" t="s">
        <v>6988</v>
      </c>
    </row>
    <row r="3214" spans="1:17" ht="25.5">
      <c r="A3214" s="213" t="s">
        <v>2594</v>
      </c>
      <c r="B3214" s="130" t="s">
        <v>2254</v>
      </c>
      <c r="C3214" s="118" t="s">
        <v>3817</v>
      </c>
      <c r="D3214" s="141"/>
      <c r="E3214" s="118"/>
      <c r="F3214" s="118"/>
      <c r="G3214" s="118" t="s">
        <v>7278</v>
      </c>
      <c r="H3214" s="118" t="s">
        <v>4905</v>
      </c>
      <c r="I3214" s="118" t="s">
        <v>5050</v>
      </c>
      <c r="J3214" s="118" t="s">
        <v>6705</v>
      </c>
      <c r="K3214" s="141"/>
      <c r="L3214" s="135" t="str">
        <f t="shared" si="186"/>
        <v>Crocidura maxi</v>
      </c>
      <c r="M3214" s="133">
        <f t="shared" si="187"/>
        <v>0.87679497620070057</v>
      </c>
      <c r="N3214" s="133">
        <f>1000*0.00753</f>
        <v>7.53</v>
      </c>
      <c r="O3214" s="179" t="s">
        <v>3356</v>
      </c>
      <c r="P3214" s="108">
        <v>60</v>
      </c>
      <c r="Q3214" s="80"/>
    </row>
    <row r="3215" spans="1:17" ht="25.5">
      <c r="A3215" s="213" t="s">
        <v>2594</v>
      </c>
      <c r="B3215" s="141" t="s">
        <v>2504</v>
      </c>
      <c r="C3215" s="118" t="s">
        <v>3817</v>
      </c>
      <c r="D3215" s="141"/>
      <c r="E3215" s="118"/>
      <c r="F3215" s="118"/>
      <c r="G3215" s="118" t="s">
        <v>7278</v>
      </c>
      <c r="H3215" s="118" t="s">
        <v>4905</v>
      </c>
      <c r="I3215" s="118" t="s">
        <v>5050</v>
      </c>
      <c r="J3215" s="118" t="s">
        <v>4961</v>
      </c>
      <c r="K3215" s="141"/>
      <c r="L3215" s="135" t="str">
        <f t="shared" si="186"/>
        <v>Crocidura paradoxura</v>
      </c>
      <c r="M3215" s="133">
        <f t="shared" si="187"/>
        <v>0.91539983521226975</v>
      </c>
      <c r="N3215" s="133">
        <f>1000*0.00823</f>
        <v>8.2299999999999986</v>
      </c>
      <c r="O3215" s="179" t="s">
        <v>8149</v>
      </c>
      <c r="P3215" s="108">
        <v>60</v>
      </c>
      <c r="Q3215" s="80" t="s">
        <v>6640</v>
      </c>
    </row>
    <row r="3216" spans="1:17" ht="25.5">
      <c r="A3216" s="213" t="s">
        <v>2594</v>
      </c>
      <c r="B3216" s="130" t="s">
        <v>2600</v>
      </c>
      <c r="C3216" s="118" t="s">
        <v>3817</v>
      </c>
      <c r="D3216" s="141"/>
      <c r="E3216" s="118"/>
      <c r="F3216" s="118"/>
      <c r="G3216" s="118" t="s">
        <v>7278</v>
      </c>
      <c r="H3216" s="118" t="s">
        <v>4905</v>
      </c>
      <c r="I3216" s="118" t="s">
        <v>5050</v>
      </c>
      <c r="J3216" s="118" t="s">
        <v>5266</v>
      </c>
      <c r="K3216" s="141"/>
      <c r="L3216" s="135" t="str">
        <f t="shared" si="186"/>
        <v>Crocidura tenuis</v>
      </c>
      <c r="M3216" s="133">
        <f t="shared" si="187"/>
        <v>0.97451169273732841</v>
      </c>
      <c r="N3216" s="133">
        <f>1000*0.00943</f>
        <v>9.43</v>
      </c>
      <c r="O3216" s="189" t="s">
        <v>8149</v>
      </c>
      <c r="P3216" s="108">
        <v>60</v>
      </c>
      <c r="Q3216" s="80" t="s">
        <v>6988</v>
      </c>
    </row>
    <row r="3217" spans="1:18" ht="25.5">
      <c r="A3217" s="213" t="s">
        <v>2594</v>
      </c>
      <c r="B3217" s="141" t="s">
        <v>2435</v>
      </c>
      <c r="C3217" s="118" t="s">
        <v>3817</v>
      </c>
      <c r="D3217" s="141"/>
      <c r="E3217" s="118"/>
      <c r="F3217" s="118"/>
      <c r="G3217" s="118" t="s">
        <v>7278</v>
      </c>
      <c r="H3217" s="118" t="s">
        <v>4905</v>
      </c>
      <c r="I3217" s="118" t="s">
        <v>5050</v>
      </c>
      <c r="J3217" s="118" t="s">
        <v>5125</v>
      </c>
      <c r="K3217" s="141"/>
      <c r="L3217" s="135" t="str">
        <f t="shared" si="186"/>
        <v>Crocidura miya</v>
      </c>
      <c r="M3217" s="133">
        <f t="shared" si="187"/>
        <v>1.0086001717619175</v>
      </c>
      <c r="N3217" s="133">
        <f>1000*0.0102</f>
        <v>10.200000000000001</v>
      </c>
      <c r="O3217" s="179" t="s">
        <v>6641</v>
      </c>
      <c r="P3217" s="108" t="s">
        <v>1823</v>
      </c>
      <c r="Q3217" s="80" t="s">
        <v>7080</v>
      </c>
      <c r="R3217" s="79" t="s">
        <v>1340</v>
      </c>
    </row>
    <row r="3218" spans="1:18" ht="25.5">
      <c r="A3218" s="213" t="s">
        <v>2594</v>
      </c>
      <c r="B3218" s="141" t="s">
        <v>2733</v>
      </c>
      <c r="C3218" s="118" t="s">
        <v>3817</v>
      </c>
      <c r="D3218" s="141"/>
      <c r="E3218" s="118"/>
      <c r="F3218" s="118"/>
      <c r="G3218" s="118" t="s">
        <v>7278</v>
      </c>
      <c r="H3218" s="118" t="s">
        <v>4905</v>
      </c>
      <c r="I3218" s="118" t="s">
        <v>5050</v>
      </c>
      <c r="J3218" s="118" t="s">
        <v>5881</v>
      </c>
      <c r="K3218" s="141"/>
      <c r="L3218" s="135" t="str">
        <f t="shared" si="186"/>
        <v>Crocidura dsinezumi</v>
      </c>
      <c r="M3218" s="133">
        <f t="shared" si="187"/>
        <v>1.0090257420869102</v>
      </c>
      <c r="N3218" s="133">
        <f>AVERAGE(9.38, 9.25, 12)</f>
        <v>10.210000000000001</v>
      </c>
      <c r="O3218" s="179" t="s">
        <v>3356</v>
      </c>
      <c r="P3218" s="108">
        <v>60</v>
      </c>
      <c r="Q3218" s="80"/>
    </row>
    <row r="3219" spans="1:18" ht="25.5">
      <c r="A3219" s="213" t="s">
        <v>2594</v>
      </c>
      <c r="B3219" s="141" t="s">
        <v>6062</v>
      </c>
      <c r="C3219" s="118" t="s">
        <v>3817</v>
      </c>
      <c r="D3219" s="141"/>
      <c r="E3219" s="118"/>
      <c r="F3219" s="118"/>
      <c r="G3219" s="118" t="s">
        <v>7278</v>
      </c>
      <c r="H3219" s="118" t="s">
        <v>4905</v>
      </c>
      <c r="I3219" s="118" t="s">
        <v>5050</v>
      </c>
      <c r="J3219" s="118" t="s">
        <v>5883</v>
      </c>
      <c r="K3219" s="141"/>
      <c r="L3219" s="135" t="str">
        <f t="shared" si="186"/>
        <v>Crocidura grayi</v>
      </c>
      <c r="M3219" s="133">
        <f t="shared" si="187"/>
        <v>1.0128372247051722</v>
      </c>
      <c r="N3219" s="133">
        <v>10.3</v>
      </c>
      <c r="O3219" s="179" t="s">
        <v>8149</v>
      </c>
      <c r="P3219" s="108">
        <v>121</v>
      </c>
      <c r="Q3219" s="80" t="s">
        <v>6988</v>
      </c>
    </row>
    <row r="3220" spans="1:18" ht="25.5">
      <c r="A3220" s="213" t="s">
        <v>2594</v>
      </c>
      <c r="B3220" s="130" t="s">
        <v>6062</v>
      </c>
      <c r="C3220" s="118" t="s">
        <v>3817</v>
      </c>
      <c r="D3220" s="141"/>
      <c r="E3220" s="118"/>
      <c r="F3220" s="118"/>
      <c r="G3220" s="118" t="s">
        <v>7278</v>
      </c>
      <c r="H3220" s="118" t="s">
        <v>4905</v>
      </c>
      <c r="I3220" s="118" t="s">
        <v>5050</v>
      </c>
      <c r="J3220" s="118" t="s">
        <v>3381</v>
      </c>
      <c r="K3220" s="141"/>
      <c r="L3220" s="135" t="str">
        <f t="shared" si="186"/>
        <v>Crocidura beatus</v>
      </c>
      <c r="M3220" s="133">
        <f t="shared" si="187"/>
        <v>1.0232524596337116</v>
      </c>
      <c r="N3220" s="133">
        <f>AVERAGE(11.2, 11, 11, 9)</f>
        <v>10.55</v>
      </c>
      <c r="O3220" s="179" t="s">
        <v>8149</v>
      </c>
      <c r="P3220" s="108">
        <v>122</v>
      </c>
      <c r="Q3220" s="80" t="s">
        <v>6988</v>
      </c>
    </row>
    <row r="3221" spans="1:18" ht="24" customHeight="1">
      <c r="A3221" s="213" t="s">
        <v>2594</v>
      </c>
      <c r="B3221" s="141" t="s">
        <v>2536</v>
      </c>
      <c r="C3221" s="118" t="s">
        <v>3817</v>
      </c>
      <c r="D3221" s="141"/>
      <c r="E3221" s="118"/>
      <c r="F3221" s="118"/>
      <c r="G3221" s="118" t="s">
        <v>7278</v>
      </c>
      <c r="H3221" s="118" t="s">
        <v>4905</v>
      </c>
      <c r="I3221" s="118" t="s">
        <v>5050</v>
      </c>
      <c r="J3221" s="118" t="s">
        <v>5920</v>
      </c>
      <c r="K3221" s="141"/>
      <c r="L3221" s="135" t="str">
        <f t="shared" si="186"/>
        <v>Crocidura jenkinsi</v>
      </c>
      <c r="M3221" s="133">
        <f t="shared" si="187"/>
        <v>1.1003705451175629</v>
      </c>
      <c r="N3221" s="133">
        <f>1000*0.0126</f>
        <v>12.6</v>
      </c>
      <c r="O3221" s="179" t="s">
        <v>7080</v>
      </c>
      <c r="P3221" s="108">
        <v>60</v>
      </c>
      <c r="Q3221" s="80" t="s">
        <v>6987</v>
      </c>
      <c r="R3221" s="89"/>
    </row>
    <row r="3222" spans="1:18" ht="12" customHeight="1">
      <c r="A3222" s="213" t="s">
        <v>2594</v>
      </c>
      <c r="B3222" s="141" t="s">
        <v>2621</v>
      </c>
      <c r="C3222" s="118" t="s">
        <v>3817</v>
      </c>
      <c r="D3222" s="141"/>
      <c r="E3222" s="118"/>
      <c r="F3222" s="118"/>
      <c r="G3222" s="118" t="s">
        <v>7278</v>
      </c>
      <c r="H3222" s="118" t="s">
        <v>4905</v>
      </c>
      <c r="I3222" s="118" t="s">
        <v>5050</v>
      </c>
      <c r="J3222" s="118" t="s">
        <v>6587</v>
      </c>
      <c r="K3222" s="141"/>
      <c r="L3222" s="135" t="str">
        <f t="shared" si="186"/>
        <v>Crocidura rhoditis</v>
      </c>
      <c r="M3222" s="133">
        <f t="shared" si="187"/>
        <v>1.146128035678238</v>
      </c>
      <c r="N3222" s="133">
        <f>1000*0.014</f>
        <v>14</v>
      </c>
      <c r="O3222" s="179" t="s">
        <v>3356</v>
      </c>
      <c r="P3222" s="108">
        <v>60</v>
      </c>
      <c r="Q3222" s="88"/>
    </row>
    <row r="3223" spans="1:18">
      <c r="A3223" s="213" t="s">
        <v>2594</v>
      </c>
      <c r="B3223" s="141" t="s">
        <v>6062</v>
      </c>
      <c r="C3223" s="118" t="s">
        <v>3817</v>
      </c>
      <c r="D3223" s="141"/>
      <c r="E3223" s="118"/>
      <c r="F3223" s="118"/>
      <c r="G3223" s="118" t="s">
        <v>7278</v>
      </c>
      <c r="H3223" s="118" t="s">
        <v>4905</v>
      </c>
      <c r="I3223" s="118" t="s">
        <v>5050</v>
      </c>
      <c r="J3223" s="118" t="s">
        <v>5099</v>
      </c>
      <c r="K3223" s="141"/>
      <c r="L3223" s="135" t="str">
        <f t="shared" si="186"/>
        <v>Crocidura attenuata</v>
      </c>
      <c r="M3223" s="133">
        <f t="shared" si="187"/>
        <v>1.1542717759930952</v>
      </c>
      <c r="N3223" s="133">
        <f>AVERAGE(1000*0.0191, 1000*0.00943)</f>
        <v>14.264999999999999</v>
      </c>
      <c r="O3223" s="179" t="s">
        <v>3356</v>
      </c>
      <c r="P3223" s="108">
        <v>60</v>
      </c>
      <c r="Q3223" s="80"/>
    </row>
    <row r="3224" spans="1:18" ht="25.5">
      <c r="A3224" s="213" t="s">
        <v>2594</v>
      </c>
      <c r="B3224" s="141" t="s">
        <v>2432</v>
      </c>
      <c r="C3224" s="118" t="s">
        <v>3817</v>
      </c>
      <c r="D3224" s="141"/>
      <c r="E3224" s="118"/>
      <c r="F3224" s="118"/>
      <c r="G3224" s="118" t="s">
        <v>7278</v>
      </c>
      <c r="H3224" s="118" t="s">
        <v>4905</v>
      </c>
      <c r="I3224" s="118" t="s">
        <v>5050</v>
      </c>
      <c r="J3224" s="118" t="s">
        <v>5099</v>
      </c>
      <c r="K3224" s="141"/>
      <c r="L3224" s="135" t="str">
        <f t="shared" si="186"/>
        <v>Crocidura attenuata</v>
      </c>
      <c r="M3224" s="133">
        <f t="shared" si="187"/>
        <v>1.1542717759930952</v>
      </c>
      <c r="N3224" s="133">
        <f>AVERAGE(1000*0.0191, 1000*0.00943)</f>
        <v>14.264999999999999</v>
      </c>
      <c r="O3224" s="179" t="s">
        <v>3356</v>
      </c>
      <c r="P3224" s="108">
        <v>60</v>
      </c>
      <c r="Q3224" s="80"/>
    </row>
    <row r="3225" spans="1:18" ht="25.5">
      <c r="A3225" s="213" t="s">
        <v>2594</v>
      </c>
      <c r="B3225" s="141" t="s">
        <v>6002</v>
      </c>
      <c r="C3225" s="118" t="s">
        <v>3817</v>
      </c>
      <c r="D3225" s="141"/>
      <c r="E3225" s="118"/>
      <c r="F3225" s="118"/>
      <c r="G3225" s="118" t="s">
        <v>7278</v>
      </c>
      <c r="H3225" s="118" t="s">
        <v>4905</v>
      </c>
      <c r="I3225" s="118" t="s">
        <v>5050</v>
      </c>
      <c r="J3225" s="118" t="s">
        <v>4817</v>
      </c>
      <c r="K3225" s="141"/>
      <c r="L3225" s="135" t="str">
        <f t="shared" si="186"/>
        <v>Crocidura orii</v>
      </c>
      <c r="M3225" s="133">
        <f t="shared" si="187"/>
        <v>1.1583624920952498</v>
      </c>
      <c r="N3225" s="133">
        <f>1000*0.0144</f>
        <v>14.4</v>
      </c>
      <c r="O3225" s="179" t="s">
        <v>8149</v>
      </c>
      <c r="P3225" s="108">
        <v>60</v>
      </c>
      <c r="Q3225" s="80" t="s">
        <v>6640</v>
      </c>
    </row>
    <row r="3226" spans="1:18" ht="12" customHeight="1">
      <c r="A3226" s="213" t="s">
        <v>2594</v>
      </c>
      <c r="B3226" s="141" t="s">
        <v>2621</v>
      </c>
      <c r="C3226" s="118" t="s">
        <v>3817</v>
      </c>
      <c r="D3226" s="141"/>
      <c r="E3226" s="118"/>
      <c r="F3226" s="118"/>
      <c r="G3226" s="118" t="s">
        <v>7278</v>
      </c>
      <c r="H3226" s="118" t="s">
        <v>4905</v>
      </c>
      <c r="I3226" s="118" t="s">
        <v>5050</v>
      </c>
      <c r="J3226" s="118" t="s">
        <v>5882</v>
      </c>
      <c r="K3226" s="141"/>
      <c r="L3226" s="135" t="str">
        <f t="shared" si="186"/>
        <v>Crocidura elongata</v>
      </c>
      <c r="M3226" s="133">
        <f t="shared" si="187"/>
        <v>1.2504200023088941</v>
      </c>
      <c r="N3226" s="133">
        <v>17.8</v>
      </c>
      <c r="O3226" s="179" t="s">
        <v>3356</v>
      </c>
      <c r="P3226" s="108">
        <v>60</v>
      </c>
      <c r="Q3226" s="88"/>
    </row>
    <row r="3227" spans="1:18" ht="25.5">
      <c r="A3227" s="213" t="s">
        <v>2594</v>
      </c>
      <c r="B3227" s="141" t="s">
        <v>6062</v>
      </c>
      <c r="C3227" s="118" t="s">
        <v>3817</v>
      </c>
      <c r="D3227" s="141"/>
      <c r="E3227" s="118"/>
      <c r="F3227" s="118"/>
      <c r="G3227" s="118" t="s">
        <v>7278</v>
      </c>
      <c r="H3227" s="118" t="s">
        <v>4905</v>
      </c>
      <c r="I3227" s="118" t="s">
        <v>5050</v>
      </c>
      <c r="J3227" s="118" t="s">
        <v>5123</v>
      </c>
      <c r="K3227" s="141"/>
      <c r="L3227" s="135" t="str">
        <f t="shared" si="186"/>
        <v>Crocidura mindorus</v>
      </c>
      <c r="M3227" s="133">
        <f t="shared" si="187"/>
        <v>1.255272505103306</v>
      </c>
      <c r="N3227" s="133">
        <v>18</v>
      </c>
      <c r="O3227" s="179" t="s">
        <v>8149</v>
      </c>
      <c r="P3227" s="108">
        <v>60</v>
      </c>
      <c r="Q3227" s="80" t="s">
        <v>6640</v>
      </c>
    </row>
    <row r="3228" spans="1:18">
      <c r="A3228" s="213" t="s">
        <v>2594</v>
      </c>
      <c r="B3228" s="141" t="s">
        <v>2575</v>
      </c>
      <c r="C3228" s="118" t="s">
        <v>3817</v>
      </c>
      <c r="D3228" s="141"/>
      <c r="E3228" s="118"/>
      <c r="F3228" s="118"/>
      <c r="G3228" s="118" t="s">
        <v>7278</v>
      </c>
      <c r="H3228" s="118" t="s">
        <v>4905</v>
      </c>
      <c r="I3228" s="118" t="s">
        <v>5050</v>
      </c>
      <c r="J3228" s="118" t="s">
        <v>5428</v>
      </c>
      <c r="K3228" s="141"/>
      <c r="L3228" s="135" t="str">
        <f t="shared" si="186"/>
        <v>Crocidura nicobarica</v>
      </c>
      <c r="M3228" s="133">
        <f t="shared" si="187"/>
        <v>1.4608978427565478</v>
      </c>
      <c r="N3228" s="133">
        <f>1000*0.0289</f>
        <v>28.9</v>
      </c>
      <c r="O3228" s="179" t="s">
        <v>6882</v>
      </c>
      <c r="P3228" s="108">
        <v>60</v>
      </c>
      <c r="Q3228" s="80" t="s">
        <v>6987</v>
      </c>
    </row>
    <row r="3229" spans="1:18" ht="25.5">
      <c r="A3229" s="213" t="s">
        <v>2594</v>
      </c>
      <c r="B3229" s="141" t="s">
        <v>2435</v>
      </c>
      <c r="C3229" s="118" t="s">
        <v>3817</v>
      </c>
      <c r="D3229" s="141"/>
      <c r="E3229" s="118"/>
      <c r="F3229" s="118"/>
      <c r="G3229" s="118" t="s">
        <v>7278</v>
      </c>
      <c r="H3229" s="118" t="s">
        <v>4905</v>
      </c>
      <c r="I3229" s="118" t="s">
        <v>5786</v>
      </c>
      <c r="J3229" s="118" t="s">
        <v>5938</v>
      </c>
      <c r="K3229" s="141"/>
      <c r="L3229" s="135" t="str">
        <f t="shared" si="186"/>
        <v>Feroculus feroculus</v>
      </c>
      <c r="M3229" s="133">
        <f t="shared" si="187"/>
        <v>1.5563025007672873</v>
      </c>
      <c r="N3229" s="133">
        <v>36</v>
      </c>
      <c r="O3229" s="179" t="s">
        <v>8149</v>
      </c>
      <c r="P3229" s="108">
        <v>140</v>
      </c>
      <c r="Q3229" s="80" t="s">
        <v>6640</v>
      </c>
    </row>
    <row r="3230" spans="1:18" ht="25.5">
      <c r="A3230" s="213" t="s">
        <v>2594</v>
      </c>
      <c r="B3230" s="141" t="s">
        <v>2435</v>
      </c>
      <c r="C3230" s="118" t="s">
        <v>3817</v>
      </c>
      <c r="D3230" s="141"/>
      <c r="E3230" s="118"/>
      <c r="F3230" s="118"/>
      <c r="G3230" s="118" t="s">
        <v>7278</v>
      </c>
      <c r="H3230" s="118" t="s">
        <v>4905</v>
      </c>
      <c r="I3230" s="118" t="s">
        <v>5533</v>
      </c>
      <c r="J3230" s="118" t="s">
        <v>3670</v>
      </c>
      <c r="K3230" s="141"/>
      <c r="L3230" s="135" t="str">
        <f t="shared" si="186"/>
        <v>Solisorex pearsoni</v>
      </c>
      <c r="M3230" s="133">
        <v>-999</v>
      </c>
      <c r="N3230" s="133">
        <v>-999</v>
      </c>
      <c r="O3230" s="179" t="s">
        <v>8149</v>
      </c>
      <c r="P3230" s="108">
        <v>132</v>
      </c>
      <c r="Q3230" s="80" t="s">
        <v>6640</v>
      </c>
      <c r="R3230" s="79" t="s">
        <v>1796</v>
      </c>
    </row>
    <row r="3231" spans="1:18">
      <c r="A3231" s="213" t="s">
        <v>2594</v>
      </c>
      <c r="B3231" s="141" t="s">
        <v>5085</v>
      </c>
      <c r="C3231" s="118" t="s">
        <v>3817</v>
      </c>
      <c r="D3231" s="141"/>
      <c r="E3231" s="118"/>
      <c r="F3231" s="118"/>
      <c r="G3231" s="118" t="s">
        <v>7278</v>
      </c>
      <c r="H3231" s="118" t="s">
        <v>4905</v>
      </c>
      <c r="I3231" s="118" t="s">
        <v>7199</v>
      </c>
      <c r="J3231" s="118" t="s">
        <v>5105</v>
      </c>
      <c r="K3231" s="141"/>
      <c r="L3231" s="135" t="str">
        <f t="shared" si="186"/>
        <v>Sorex gracillimus</v>
      </c>
      <c r="M3231" s="133">
        <v>-999</v>
      </c>
      <c r="N3231" s="133">
        <v>-999</v>
      </c>
      <c r="O3231" s="179" t="s">
        <v>3356</v>
      </c>
      <c r="P3231" s="108">
        <v>-999</v>
      </c>
      <c r="Q3231" s="80"/>
    </row>
    <row r="3232" spans="1:18" ht="25.5">
      <c r="A3232" s="213" t="s">
        <v>2594</v>
      </c>
      <c r="B3232" s="141" t="s">
        <v>4829</v>
      </c>
      <c r="C3232" s="118" t="s">
        <v>3817</v>
      </c>
      <c r="D3232" s="141"/>
      <c r="E3232" s="118"/>
      <c r="F3232" s="118"/>
      <c r="G3232" s="118" t="s">
        <v>7278</v>
      </c>
      <c r="H3232" s="118" t="s">
        <v>4905</v>
      </c>
      <c r="I3232" s="118" t="s">
        <v>7199</v>
      </c>
      <c r="J3232" s="118" t="s">
        <v>4045</v>
      </c>
      <c r="K3232" s="141"/>
      <c r="L3232" s="135" t="str">
        <f t="shared" si="186"/>
        <v>Sorex leucogaster</v>
      </c>
      <c r="M3232" s="133">
        <v>-999</v>
      </c>
      <c r="N3232" s="133">
        <v>-999</v>
      </c>
      <c r="O3232" s="179" t="s">
        <v>8149</v>
      </c>
      <c r="P3232" s="108">
        <v>-999</v>
      </c>
      <c r="Q3232" s="80" t="s">
        <v>6988</v>
      </c>
    </row>
    <row r="3233" spans="1:18" ht="12" customHeight="1">
      <c r="A3233" s="213" t="s">
        <v>2594</v>
      </c>
      <c r="B3233" s="141" t="s">
        <v>6002</v>
      </c>
      <c r="C3233" s="118" t="s">
        <v>3817</v>
      </c>
      <c r="D3233" s="141"/>
      <c r="E3233" s="118"/>
      <c r="F3233" s="118"/>
      <c r="G3233" s="118" t="s">
        <v>7278</v>
      </c>
      <c r="H3233" s="118" t="s">
        <v>4905</v>
      </c>
      <c r="I3233" s="118" t="s">
        <v>7199</v>
      </c>
      <c r="J3233" s="118" t="s">
        <v>7716</v>
      </c>
      <c r="K3233" s="141"/>
      <c r="L3233" s="135" t="str">
        <f t="shared" si="186"/>
        <v>Sorex sadonis</v>
      </c>
      <c r="M3233" s="133">
        <v>-999</v>
      </c>
      <c r="N3233" s="133">
        <v>-999</v>
      </c>
      <c r="O3233" s="179" t="s">
        <v>6882</v>
      </c>
      <c r="P3233" s="108">
        <v>-999</v>
      </c>
      <c r="Q3233" s="88" t="s">
        <v>6640</v>
      </c>
    </row>
    <row r="3234" spans="1:18">
      <c r="A3234" s="213" t="s">
        <v>2594</v>
      </c>
      <c r="B3234" s="141" t="s">
        <v>6002</v>
      </c>
      <c r="C3234" s="118" t="s">
        <v>3817</v>
      </c>
      <c r="D3234" s="141"/>
      <c r="E3234" s="118"/>
      <c r="F3234" s="118"/>
      <c r="G3234" s="118" t="s">
        <v>7278</v>
      </c>
      <c r="H3234" s="118" t="s">
        <v>4905</v>
      </c>
      <c r="I3234" s="118" t="s">
        <v>7199</v>
      </c>
      <c r="J3234" s="118" t="s">
        <v>8069</v>
      </c>
      <c r="K3234" s="141"/>
      <c r="L3234" s="135" t="str">
        <f t="shared" si="186"/>
        <v>Sorex minutissimus</v>
      </c>
      <c r="M3234" s="133">
        <f t="shared" ref="M3234:M3245" si="188">LOG(N3234)</f>
        <v>0.37106786227173627</v>
      </c>
      <c r="N3234" s="133">
        <f>AVERAGE(1.5, 3.2)</f>
        <v>2.35</v>
      </c>
      <c r="O3234" s="179" t="s">
        <v>3356</v>
      </c>
      <c r="P3234" s="108">
        <v>140</v>
      </c>
      <c r="Q3234" s="80"/>
    </row>
    <row r="3235" spans="1:18" ht="25.5">
      <c r="A3235" s="213" t="s">
        <v>2594</v>
      </c>
      <c r="B3235" s="141" t="s">
        <v>6002</v>
      </c>
      <c r="C3235" s="118" t="s">
        <v>3817</v>
      </c>
      <c r="D3235" s="141"/>
      <c r="E3235" s="118"/>
      <c r="F3235" s="118"/>
      <c r="G3235" s="118" t="s">
        <v>7278</v>
      </c>
      <c r="H3235" s="118" t="s">
        <v>4905</v>
      </c>
      <c r="I3235" s="118" t="s">
        <v>7199</v>
      </c>
      <c r="J3235" s="118" t="s">
        <v>6073</v>
      </c>
      <c r="K3235" s="141"/>
      <c r="L3235" s="135" t="str">
        <f t="shared" si="186"/>
        <v>Sorex hosonoi</v>
      </c>
      <c r="M3235" s="133">
        <f t="shared" si="188"/>
        <v>0.51188336097887432</v>
      </c>
      <c r="N3235" s="133">
        <f>1000*0.00325</f>
        <v>3.25</v>
      </c>
      <c r="O3235" s="179" t="s">
        <v>8149</v>
      </c>
      <c r="P3235" s="108">
        <v>60</v>
      </c>
      <c r="Q3235" s="80" t="s">
        <v>6988</v>
      </c>
    </row>
    <row r="3236" spans="1:18" ht="72" customHeight="1">
      <c r="A3236" s="213" t="s">
        <v>2594</v>
      </c>
      <c r="B3236" s="141" t="s">
        <v>7789</v>
      </c>
      <c r="C3236" s="118" t="s">
        <v>3817</v>
      </c>
      <c r="D3236" s="141"/>
      <c r="E3236" s="118"/>
      <c r="F3236" s="118"/>
      <c r="G3236" s="118" t="s">
        <v>7278</v>
      </c>
      <c r="H3236" s="118" t="s">
        <v>4905</v>
      </c>
      <c r="I3236" s="118" t="s">
        <v>7199</v>
      </c>
      <c r="J3236" s="118" t="s">
        <v>5232</v>
      </c>
      <c r="K3236" s="141"/>
      <c r="L3236" s="135" t="str">
        <f t="shared" si="186"/>
        <v>Sorex hydrodromus</v>
      </c>
      <c r="M3236" s="133">
        <f t="shared" si="188"/>
        <v>0.54406804435027567</v>
      </c>
      <c r="N3236" s="133">
        <v>3.5</v>
      </c>
      <c r="O3236" s="179" t="s">
        <v>7010</v>
      </c>
      <c r="P3236" s="108" t="s">
        <v>258</v>
      </c>
      <c r="Q3236" s="88" t="s">
        <v>6640</v>
      </c>
    </row>
    <row r="3237" spans="1:18" ht="60" customHeight="1">
      <c r="A3237" s="213" t="s">
        <v>2594</v>
      </c>
      <c r="B3237" s="141" t="s">
        <v>4827</v>
      </c>
      <c r="C3237" s="118" t="s">
        <v>3817</v>
      </c>
      <c r="D3237" s="141"/>
      <c r="E3237" s="118"/>
      <c r="F3237" s="118"/>
      <c r="G3237" s="118" t="s">
        <v>7278</v>
      </c>
      <c r="H3237" s="118" t="s">
        <v>4905</v>
      </c>
      <c r="I3237" s="118" t="s">
        <v>7199</v>
      </c>
      <c r="J3237" s="118" t="s">
        <v>4056</v>
      </c>
      <c r="K3237" s="141"/>
      <c r="L3237" s="135" t="str">
        <f t="shared" si="186"/>
        <v>Sorex jacksoni</v>
      </c>
      <c r="M3237" s="133">
        <f t="shared" si="188"/>
        <v>0.54406804435027567</v>
      </c>
      <c r="N3237" s="133">
        <v>3.5</v>
      </c>
      <c r="O3237" s="179" t="s">
        <v>7010</v>
      </c>
      <c r="P3237" s="108" t="s">
        <v>258</v>
      </c>
      <c r="Q3237" s="88" t="s">
        <v>6640</v>
      </c>
    </row>
    <row r="3238" spans="1:18">
      <c r="A3238" s="213" t="s">
        <v>2594</v>
      </c>
      <c r="B3238" s="141" t="s">
        <v>6002</v>
      </c>
      <c r="C3238" s="118" t="s">
        <v>3817</v>
      </c>
      <c r="D3238" s="141"/>
      <c r="E3238" s="118"/>
      <c r="F3238" s="118"/>
      <c r="G3238" s="118" t="s">
        <v>7278</v>
      </c>
      <c r="H3238" s="118" t="s">
        <v>4905</v>
      </c>
      <c r="I3238" s="118" t="s">
        <v>7199</v>
      </c>
      <c r="J3238" s="118" t="s">
        <v>5105</v>
      </c>
      <c r="K3238" s="141"/>
      <c r="L3238" s="135" t="str">
        <f t="shared" si="186"/>
        <v>Sorex gracillimus</v>
      </c>
      <c r="M3238" s="133">
        <f t="shared" si="188"/>
        <v>0.64345267648618742</v>
      </c>
      <c r="N3238" s="158">
        <v>4.4000000000000004</v>
      </c>
      <c r="O3238" s="179" t="s">
        <v>3356</v>
      </c>
      <c r="P3238" s="111">
        <v>227</v>
      </c>
      <c r="Q3238" s="80"/>
      <c r="R3238" s="85" t="s">
        <v>7798</v>
      </c>
    </row>
    <row r="3239" spans="1:18" ht="36" customHeight="1">
      <c r="A3239" s="213" t="s">
        <v>2594</v>
      </c>
      <c r="B3239" s="141" t="s">
        <v>6002</v>
      </c>
      <c r="C3239" s="118" t="s">
        <v>3817</v>
      </c>
      <c r="D3239" s="141"/>
      <c r="E3239" s="118"/>
      <c r="F3239" s="118"/>
      <c r="G3239" s="118" t="s">
        <v>7278</v>
      </c>
      <c r="H3239" s="118" t="s">
        <v>4905</v>
      </c>
      <c r="I3239" s="118" t="s">
        <v>7199</v>
      </c>
      <c r="J3239" s="118" t="s">
        <v>7719</v>
      </c>
      <c r="K3239" s="141"/>
      <c r="L3239" s="135" t="str">
        <f t="shared" si="186"/>
        <v>Sorex shinto</v>
      </c>
      <c r="M3239" s="133">
        <f t="shared" si="188"/>
        <v>0.77815125038364363</v>
      </c>
      <c r="N3239" s="133">
        <f>AVERAGE(7.4, 6.6, 5.2, 4.8)</f>
        <v>6</v>
      </c>
      <c r="O3239" s="179" t="s">
        <v>3356</v>
      </c>
      <c r="P3239" s="108">
        <v>60</v>
      </c>
      <c r="Q3239" s="88"/>
    </row>
    <row r="3240" spans="1:18" ht="72" customHeight="1">
      <c r="A3240" s="213" t="s">
        <v>2594</v>
      </c>
      <c r="B3240" s="141" t="s">
        <v>5651</v>
      </c>
      <c r="C3240" s="118" t="s">
        <v>3817</v>
      </c>
      <c r="D3240" s="141"/>
      <c r="E3240" s="118"/>
      <c r="F3240" s="118"/>
      <c r="G3240" s="118" t="s">
        <v>7278</v>
      </c>
      <c r="H3240" s="118" t="s">
        <v>4905</v>
      </c>
      <c r="I3240" s="118" t="s">
        <v>7199</v>
      </c>
      <c r="J3240" s="118" t="s">
        <v>6540</v>
      </c>
      <c r="K3240" s="141"/>
      <c r="L3240" s="135" t="str">
        <f t="shared" si="186"/>
        <v>Sorex daphaenodon</v>
      </c>
      <c r="M3240" s="133">
        <f t="shared" si="188"/>
        <v>0.83186977428050168</v>
      </c>
      <c r="N3240" s="133">
        <f>1000*0.00679</f>
        <v>6.79</v>
      </c>
      <c r="O3240" s="179" t="s">
        <v>3356</v>
      </c>
      <c r="P3240" s="108">
        <v>60</v>
      </c>
      <c r="Q3240" s="80"/>
      <c r="R3240" s="89"/>
    </row>
    <row r="3241" spans="1:18">
      <c r="A3241" s="213" t="s">
        <v>2594</v>
      </c>
      <c r="B3241" s="141" t="s">
        <v>8098</v>
      </c>
      <c r="C3241" s="118" t="s">
        <v>3817</v>
      </c>
      <c r="D3241" s="141"/>
      <c r="E3241" s="118"/>
      <c r="F3241" s="118"/>
      <c r="G3241" s="118" t="s">
        <v>7278</v>
      </c>
      <c r="H3241" s="118" t="s">
        <v>4905</v>
      </c>
      <c r="I3241" s="118" t="s">
        <v>7199</v>
      </c>
      <c r="J3241" s="118" t="s">
        <v>6829</v>
      </c>
      <c r="K3241" s="141"/>
      <c r="L3241" s="135" t="str">
        <f t="shared" si="186"/>
        <v>Sorex tundrensis</v>
      </c>
      <c r="M3241" s="133">
        <f t="shared" si="188"/>
        <v>0.87506126339170009</v>
      </c>
      <c r="N3241" s="133">
        <f>AVERAGE(5,10)</f>
        <v>7.5</v>
      </c>
      <c r="O3241" s="179" t="s">
        <v>3356</v>
      </c>
      <c r="P3241" s="108" t="s">
        <v>258</v>
      </c>
      <c r="Q3241" s="80"/>
    </row>
    <row r="3242" spans="1:18" ht="25.5">
      <c r="A3242" s="213" t="s">
        <v>2594</v>
      </c>
      <c r="B3242" s="141" t="s">
        <v>4826</v>
      </c>
      <c r="C3242" s="118" t="s">
        <v>3817</v>
      </c>
      <c r="D3242" s="141"/>
      <c r="E3242" s="118"/>
      <c r="F3242" s="118"/>
      <c r="G3242" s="118" t="s">
        <v>7278</v>
      </c>
      <c r="H3242" s="118" t="s">
        <v>4905</v>
      </c>
      <c r="I3242" s="118" t="s">
        <v>7199</v>
      </c>
      <c r="J3242" s="118" t="s">
        <v>8068</v>
      </c>
      <c r="K3242" s="141"/>
      <c r="L3242" s="135" t="str">
        <f t="shared" si="186"/>
        <v>Sorex isodon</v>
      </c>
      <c r="M3242" s="133">
        <f t="shared" si="188"/>
        <v>0.91381385238371671</v>
      </c>
      <c r="N3242" s="133">
        <v>8.1999999999999993</v>
      </c>
      <c r="O3242" s="179" t="s">
        <v>3356</v>
      </c>
      <c r="P3242" s="108">
        <v>180</v>
      </c>
      <c r="Q3242" s="80"/>
    </row>
    <row r="3243" spans="1:18">
      <c r="A3243" s="213" t="s">
        <v>2594</v>
      </c>
      <c r="B3243" s="141" t="s">
        <v>6002</v>
      </c>
      <c r="C3243" s="118" t="s">
        <v>3817</v>
      </c>
      <c r="D3243" s="141"/>
      <c r="E3243" s="118"/>
      <c r="F3243" s="118"/>
      <c r="G3243" s="118" t="s">
        <v>7278</v>
      </c>
      <c r="H3243" s="118" t="s">
        <v>4905</v>
      </c>
      <c r="I3243" s="118" t="s">
        <v>7199</v>
      </c>
      <c r="J3243" s="118" t="s">
        <v>5498</v>
      </c>
      <c r="K3243" s="141"/>
      <c r="L3243" s="135" t="str">
        <f t="shared" si="186"/>
        <v>Sorex unguiculatus</v>
      </c>
      <c r="M3243" s="133">
        <f t="shared" si="188"/>
        <v>0.9956351945975499</v>
      </c>
      <c r="N3243" s="133">
        <v>9.9</v>
      </c>
      <c r="O3243" s="179" t="s">
        <v>3356</v>
      </c>
      <c r="P3243" s="108">
        <v>60</v>
      </c>
      <c r="Q3243" s="80"/>
    </row>
    <row r="3244" spans="1:18">
      <c r="A3244" s="213" t="s">
        <v>2594</v>
      </c>
      <c r="B3244" s="141" t="s">
        <v>8098</v>
      </c>
      <c r="C3244" s="118" t="s">
        <v>3817</v>
      </c>
      <c r="D3244" s="141"/>
      <c r="E3244" s="118"/>
      <c r="F3244" s="118"/>
      <c r="G3244" s="118" t="s">
        <v>7278</v>
      </c>
      <c r="H3244" s="118" t="s">
        <v>4905</v>
      </c>
      <c r="I3244" s="118" t="s">
        <v>7199</v>
      </c>
      <c r="J3244" s="118" t="s">
        <v>5498</v>
      </c>
      <c r="K3244" s="141"/>
      <c r="L3244" s="135" t="str">
        <f t="shared" si="186"/>
        <v>Sorex unguiculatus</v>
      </c>
      <c r="M3244" s="133">
        <f t="shared" si="188"/>
        <v>0.9956351945975499</v>
      </c>
      <c r="N3244" s="133">
        <v>9.9</v>
      </c>
      <c r="O3244" s="179" t="s">
        <v>3356</v>
      </c>
      <c r="P3244" s="108">
        <v>60</v>
      </c>
      <c r="Q3244" s="80"/>
    </row>
    <row r="3245" spans="1:18">
      <c r="A3245" s="213" t="s">
        <v>2594</v>
      </c>
      <c r="B3245" s="141" t="s">
        <v>1942</v>
      </c>
      <c r="C3245" s="118" t="s">
        <v>3817</v>
      </c>
      <c r="D3245" s="141"/>
      <c r="E3245" s="118"/>
      <c r="F3245" s="118"/>
      <c r="G3245" s="118" t="s">
        <v>7278</v>
      </c>
      <c r="H3245" s="118" t="s">
        <v>4905</v>
      </c>
      <c r="I3245" s="118" t="s">
        <v>7720</v>
      </c>
      <c r="J3245" s="118" t="s">
        <v>7721</v>
      </c>
      <c r="K3245" s="141"/>
      <c r="L3245" s="135" t="str">
        <f t="shared" si="186"/>
        <v>Soriculus fumidus</v>
      </c>
      <c r="M3245" s="133">
        <f t="shared" si="188"/>
        <v>0.82801506422397686</v>
      </c>
      <c r="N3245" s="133">
        <f>AVERAGE(1000*0.00672, 1000*0.00674)</f>
        <v>6.73</v>
      </c>
      <c r="O3245" s="179" t="s">
        <v>3356</v>
      </c>
      <c r="P3245" s="108">
        <v>60</v>
      </c>
      <c r="Q3245" s="80"/>
    </row>
    <row r="3246" spans="1:18" ht="25.5">
      <c r="A3246" s="213" t="s">
        <v>2594</v>
      </c>
      <c r="B3246" s="130" t="s">
        <v>2435</v>
      </c>
      <c r="C3246" s="118" t="s">
        <v>3817</v>
      </c>
      <c r="D3246" s="141"/>
      <c r="E3246" s="118"/>
      <c r="F3246" s="118"/>
      <c r="G3246" s="118" t="s">
        <v>7278</v>
      </c>
      <c r="H3246" s="118" t="s">
        <v>4905</v>
      </c>
      <c r="I3246" s="118" t="s">
        <v>7169</v>
      </c>
      <c r="J3246" s="118" t="s">
        <v>5763</v>
      </c>
      <c r="K3246" s="141"/>
      <c r="L3246" s="135" t="str">
        <f t="shared" si="186"/>
        <v>Suncus fellowesgordoni</v>
      </c>
      <c r="M3246" s="133">
        <v>-999</v>
      </c>
      <c r="N3246" s="133">
        <v>-999</v>
      </c>
      <c r="O3246" s="179" t="s">
        <v>8149</v>
      </c>
      <c r="P3246" s="108">
        <v>132</v>
      </c>
      <c r="Q3246" s="80" t="s">
        <v>6640</v>
      </c>
      <c r="R3246" s="79" t="s">
        <v>1580</v>
      </c>
    </row>
    <row r="3247" spans="1:18" ht="25.5">
      <c r="A3247" s="213" t="s">
        <v>2594</v>
      </c>
      <c r="B3247" s="141" t="s">
        <v>7673</v>
      </c>
      <c r="C3247" s="118" t="s">
        <v>3817</v>
      </c>
      <c r="D3247" s="141"/>
      <c r="E3247" s="118"/>
      <c r="F3247" s="118"/>
      <c r="G3247" s="118" t="s">
        <v>7278</v>
      </c>
      <c r="H3247" s="118" t="s">
        <v>4905</v>
      </c>
      <c r="I3247" s="118" t="s">
        <v>7169</v>
      </c>
      <c r="J3247" s="118" t="s">
        <v>5637</v>
      </c>
      <c r="K3247" s="141"/>
      <c r="L3247" s="135" t="str">
        <f t="shared" si="186"/>
        <v>Suncus hosei</v>
      </c>
      <c r="M3247" s="133">
        <v>-999</v>
      </c>
      <c r="N3247" s="133">
        <v>-999</v>
      </c>
      <c r="O3247" s="179" t="s">
        <v>8149</v>
      </c>
      <c r="P3247" s="108">
        <v>-999</v>
      </c>
      <c r="Q3247" s="80" t="s">
        <v>6988</v>
      </c>
    </row>
    <row r="3248" spans="1:18">
      <c r="A3248" s="213" t="s">
        <v>2594</v>
      </c>
      <c r="B3248" s="141" t="s">
        <v>1381</v>
      </c>
      <c r="C3248" s="118" t="s">
        <v>3817</v>
      </c>
      <c r="D3248" s="141"/>
      <c r="E3248" s="118"/>
      <c r="F3248" s="118"/>
      <c r="G3248" s="118" t="s">
        <v>7278</v>
      </c>
      <c r="H3248" s="118" t="s">
        <v>4905</v>
      </c>
      <c r="I3248" s="118" t="s">
        <v>7169</v>
      </c>
      <c r="J3248" s="118" t="s">
        <v>8119</v>
      </c>
      <c r="K3248" s="141"/>
      <c r="L3248" s="135" t="str">
        <f t="shared" si="186"/>
        <v>Suncus madagascariensis</v>
      </c>
      <c r="M3248" s="133">
        <f t="shared" ref="M3248:M3257" si="189">LOG(N3248)</f>
        <v>0.54406804435027567</v>
      </c>
      <c r="N3248" s="133">
        <v>3.5</v>
      </c>
      <c r="O3248" s="179" t="s">
        <v>6375</v>
      </c>
      <c r="P3248" s="108">
        <v>150</v>
      </c>
      <c r="Q3248" s="80"/>
    </row>
    <row r="3249" spans="1:19" ht="25.5">
      <c r="A3249" s="213" t="s">
        <v>2594</v>
      </c>
      <c r="B3249" s="141" t="s">
        <v>6977</v>
      </c>
      <c r="C3249" s="118" t="s">
        <v>3817</v>
      </c>
      <c r="D3249" s="141"/>
      <c r="E3249" s="118"/>
      <c r="F3249" s="118"/>
      <c r="G3249" s="118" t="s">
        <v>7278</v>
      </c>
      <c r="H3249" s="118" t="s">
        <v>4905</v>
      </c>
      <c r="I3249" s="118" t="s">
        <v>7169</v>
      </c>
      <c r="J3249" s="118" t="s">
        <v>8119</v>
      </c>
      <c r="K3249" s="141"/>
      <c r="L3249" s="135" t="str">
        <f t="shared" si="186"/>
        <v>Suncus madagascariensis</v>
      </c>
      <c r="M3249" s="133">
        <f t="shared" si="189"/>
        <v>0.54406804435027567</v>
      </c>
      <c r="N3249" s="133">
        <v>3.5</v>
      </c>
      <c r="O3249" s="179" t="s">
        <v>6375</v>
      </c>
      <c r="P3249" s="108">
        <v>150</v>
      </c>
      <c r="Q3249" s="85"/>
    </row>
    <row r="3250" spans="1:19" ht="25.5">
      <c r="A3250" s="213" t="s">
        <v>2594</v>
      </c>
      <c r="B3250" s="141" t="s">
        <v>5193</v>
      </c>
      <c r="C3250" s="118" t="s">
        <v>3817</v>
      </c>
      <c r="D3250" s="141"/>
      <c r="E3250" s="118"/>
      <c r="F3250" s="118"/>
      <c r="G3250" s="118" t="s">
        <v>7278</v>
      </c>
      <c r="H3250" s="118" t="s">
        <v>4905</v>
      </c>
      <c r="I3250" s="118" t="s">
        <v>7169</v>
      </c>
      <c r="J3250" s="118" t="s">
        <v>5764</v>
      </c>
      <c r="K3250" s="141"/>
      <c r="L3250" s="135" t="str">
        <f t="shared" si="186"/>
        <v>Suncus mertensi</v>
      </c>
      <c r="M3250" s="133">
        <f t="shared" si="189"/>
        <v>0.90036712865647028</v>
      </c>
      <c r="N3250" s="133">
        <f>1000*0.00795</f>
        <v>7.95</v>
      </c>
      <c r="O3250" s="179" t="s">
        <v>8149</v>
      </c>
      <c r="P3250" s="108">
        <v>60</v>
      </c>
      <c r="Q3250" s="94" t="s">
        <v>7071</v>
      </c>
    </row>
    <row r="3251" spans="1:19" ht="25.5">
      <c r="A3251" s="213" t="s">
        <v>2594</v>
      </c>
      <c r="B3251" s="130" t="s">
        <v>2109</v>
      </c>
      <c r="C3251" s="118" t="s">
        <v>3817</v>
      </c>
      <c r="D3251" s="141"/>
      <c r="E3251" s="118"/>
      <c r="F3251" s="118"/>
      <c r="G3251" s="118" t="s">
        <v>7278</v>
      </c>
      <c r="H3251" s="118" t="s">
        <v>4905</v>
      </c>
      <c r="I3251" s="118" t="s">
        <v>7169</v>
      </c>
      <c r="J3251" s="118" t="s">
        <v>5946</v>
      </c>
      <c r="K3251" s="141"/>
      <c r="L3251" s="135" t="str">
        <f t="shared" si="186"/>
        <v>Suncus ater</v>
      </c>
      <c r="M3251" s="133">
        <f t="shared" si="189"/>
        <v>1.0453229787866574</v>
      </c>
      <c r="N3251" s="133">
        <f>1000*0.0111</f>
        <v>11.1</v>
      </c>
      <c r="O3251" s="179" t="s">
        <v>8149</v>
      </c>
      <c r="P3251" s="108">
        <v>60</v>
      </c>
      <c r="Q3251" s="80" t="s">
        <v>7071</v>
      </c>
    </row>
    <row r="3252" spans="1:19" ht="25.5">
      <c r="A3252" s="213" t="s">
        <v>2594</v>
      </c>
      <c r="B3252" s="141" t="s">
        <v>2435</v>
      </c>
      <c r="C3252" s="118" t="s">
        <v>3817</v>
      </c>
      <c r="D3252" s="141"/>
      <c r="E3252" s="118"/>
      <c r="F3252" s="118"/>
      <c r="G3252" s="118" t="s">
        <v>7278</v>
      </c>
      <c r="H3252" s="118" t="s">
        <v>4905</v>
      </c>
      <c r="I3252" s="118" t="s">
        <v>7169</v>
      </c>
      <c r="J3252" s="118" t="s">
        <v>3985</v>
      </c>
      <c r="K3252" s="141"/>
      <c r="L3252" s="135" t="str">
        <f t="shared" si="186"/>
        <v>Suncus montanus</v>
      </c>
      <c r="M3252" s="133">
        <f t="shared" si="189"/>
        <v>1.255272505103306</v>
      </c>
      <c r="N3252" s="133">
        <f>1000*0.018</f>
        <v>18</v>
      </c>
      <c r="O3252" s="179" t="s">
        <v>8149</v>
      </c>
      <c r="P3252" s="108">
        <v>60</v>
      </c>
      <c r="Q3252" s="85" t="s">
        <v>6988</v>
      </c>
    </row>
    <row r="3253" spans="1:19" ht="25.5">
      <c r="A3253" s="213" t="s">
        <v>2594</v>
      </c>
      <c r="B3253" s="141" t="s">
        <v>2435</v>
      </c>
      <c r="C3253" s="118" t="s">
        <v>3817</v>
      </c>
      <c r="D3253" s="141"/>
      <c r="E3253" s="118"/>
      <c r="F3253" s="118"/>
      <c r="G3253" s="118" t="s">
        <v>7278</v>
      </c>
      <c r="H3253" s="118" t="s">
        <v>4905</v>
      </c>
      <c r="I3253" s="118" t="s">
        <v>7169</v>
      </c>
      <c r="J3253" s="118" t="s">
        <v>5171</v>
      </c>
      <c r="K3253" s="141"/>
      <c r="L3253" s="135" t="str">
        <f t="shared" si="186"/>
        <v>Suncus zeylanicus</v>
      </c>
      <c r="M3253" s="133">
        <f t="shared" si="189"/>
        <v>1.4742162640762553</v>
      </c>
      <c r="N3253" s="133">
        <f>1000*0.0298</f>
        <v>29.8</v>
      </c>
      <c r="O3253" s="179" t="s">
        <v>8149</v>
      </c>
      <c r="P3253" s="108" t="s">
        <v>1823</v>
      </c>
      <c r="Q3253" s="80" t="s">
        <v>6640</v>
      </c>
      <c r="R3253" s="79" t="s">
        <v>1581</v>
      </c>
    </row>
    <row r="3254" spans="1:19" ht="84" customHeight="1">
      <c r="A3254" s="213" t="s">
        <v>2594</v>
      </c>
      <c r="B3254" s="141" t="s">
        <v>6162</v>
      </c>
      <c r="C3254" s="118" t="s">
        <v>3817</v>
      </c>
      <c r="D3254" s="141"/>
      <c r="E3254" s="118"/>
      <c r="F3254" s="118"/>
      <c r="G3254" s="118" t="s">
        <v>7278</v>
      </c>
      <c r="H3254" s="118" t="s">
        <v>4905</v>
      </c>
      <c r="I3254" s="118" t="s">
        <v>7169</v>
      </c>
      <c r="J3254" s="118" t="s">
        <v>4557</v>
      </c>
      <c r="K3254" s="141"/>
      <c r="L3254" s="135" t="str">
        <f t="shared" si="186"/>
        <v>Suncus murinus</v>
      </c>
      <c r="M3254" s="133">
        <f t="shared" si="189"/>
        <v>1.6020599913279623</v>
      </c>
      <c r="N3254" s="133">
        <v>40</v>
      </c>
      <c r="O3254" s="179" t="s">
        <v>1694</v>
      </c>
      <c r="P3254" s="108">
        <v>150</v>
      </c>
      <c r="Q3254" s="85" t="s">
        <v>6194</v>
      </c>
      <c r="R3254" s="89"/>
    </row>
    <row r="3255" spans="1:19" ht="51">
      <c r="A3255" s="213" t="s">
        <v>2594</v>
      </c>
      <c r="B3255" s="141" t="s">
        <v>1460</v>
      </c>
      <c r="C3255" s="118" t="s">
        <v>3817</v>
      </c>
      <c r="D3255" s="141"/>
      <c r="E3255" s="118"/>
      <c r="F3255" s="118"/>
      <c r="G3255" s="118" t="s">
        <v>7278</v>
      </c>
      <c r="H3255" s="118" t="s">
        <v>4905</v>
      </c>
      <c r="I3255" s="118" t="s">
        <v>7169</v>
      </c>
      <c r="J3255" s="118" t="s">
        <v>4557</v>
      </c>
      <c r="K3255" s="141"/>
      <c r="L3255" s="135" t="str">
        <f t="shared" si="186"/>
        <v>Suncus murinus</v>
      </c>
      <c r="M3255" s="133">
        <f t="shared" si="189"/>
        <v>1.7297046213121872</v>
      </c>
      <c r="N3255" s="133">
        <f>AVERAGE(40, 61, 60)</f>
        <v>53.666666666666664</v>
      </c>
      <c r="O3255" s="179" t="s">
        <v>2656</v>
      </c>
      <c r="P3255" s="108" t="s">
        <v>2919</v>
      </c>
      <c r="Q3255" s="80"/>
    </row>
    <row r="3256" spans="1:19" ht="51">
      <c r="A3256" s="213" t="s">
        <v>2594</v>
      </c>
      <c r="B3256" s="141" t="s">
        <v>2109</v>
      </c>
      <c r="C3256" s="118" t="s">
        <v>3817</v>
      </c>
      <c r="D3256" s="141"/>
      <c r="E3256" s="118"/>
      <c r="F3256" s="118"/>
      <c r="G3256" s="118" t="s">
        <v>7278</v>
      </c>
      <c r="H3256" s="118" t="s">
        <v>4905</v>
      </c>
      <c r="I3256" s="118" t="s">
        <v>7169</v>
      </c>
      <c r="J3256" s="118" t="s">
        <v>4557</v>
      </c>
      <c r="K3256" s="141"/>
      <c r="L3256" s="135" t="str">
        <f t="shared" si="186"/>
        <v>Suncus murinus</v>
      </c>
      <c r="M3256" s="133">
        <f t="shared" si="189"/>
        <v>1.7423322823571483</v>
      </c>
      <c r="N3256" s="133">
        <f>AVERAGE(40, 61, 60, 60)</f>
        <v>55.25</v>
      </c>
      <c r="O3256" s="179" t="s">
        <v>2656</v>
      </c>
      <c r="P3256" s="108" t="s">
        <v>7808</v>
      </c>
      <c r="Q3256" s="80"/>
    </row>
    <row r="3257" spans="1:19" ht="25.5">
      <c r="A3257" s="213" t="s">
        <v>2594</v>
      </c>
      <c r="B3257" s="141" t="s">
        <v>6002</v>
      </c>
      <c r="C3257" s="118" t="s">
        <v>3817</v>
      </c>
      <c r="D3257" s="141"/>
      <c r="E3257" s="118"/>
      <c r="F3257" s="118"/>
      <c r="G3257" s="118" t="s">
        <v>7278</v>
      </c>
      <c r="H3257" s="118" t="s">
        <v>2180</v>
      </c>
      <c r="I3257" s="118" t="s">
        <v>5544</v>
      </c>
      <c r="J3257" s="118" t="s">
        <v>5361</v>
      </c>
      <c r="K3257" s="141"/>
      <c r="L3257" s="135" t="str">
        <f t="shared" si="186"/>
        <v>Euroscaptor mizura</v>
      </c>
      <c r="M3257" s="133">
        <f t="shared" si="189"/>
        <v>1.5498611884719427</v>
      </c>
      <c r="N3257" s="133">
        <v>35.47</v>
      </c>
      <c r="O3257" s="179" t="s">
        <v>8149</v>
      </c>
      <c r="P3257" s="108" t="s">
        <v>8008</v>
      </c>
      <c r="Q3257" s="94" t="s">
        <v>6988</v>
      </c>
      <c r="R3257" s="85" t="s">
        <v>8238</v>
      </c>
      <c r="S3257" s="85">
        <f>-8.5215 + 3.4845*LOG(107)</f>
        <v>-1.4501122266558859</v>
      </c>
    </row>
    <row r="3258" spans="1:19">
      <c r="A3258" s="213" t="s">
        <v>2594</v>
      </c>
      <c r="B3258" s="141" t="s">
        <v>6002</v>
      </c>
      <c r="C3258" s="118" t="s">
        <v>3817</v>
      </c>
      <c r="D3258" s="141"/>
      <c r="E3258" s="118"/>
      <c r="F3258" s="118"/>
      <c r="G3258" s="118" t="s">
        <v>7278</v>
      </c>
      <c r="H3258" s="118" t="s">
        <v>2180</v>
      </c>
      <c r="I3258" s="118" t="s">
        <v>5116</v>
      </c>
      <c r="J3258" s="118" t="s">
        <v>6576</v>
      </c>
      <c r="K3258" s="141"/>
      <c r="L3258" s="135" t="str">
        <f t="shared" si="186"/>
        <v>Mogera etigo</v>
      </c>
      <c r="M3258" s="133">
        <v>-999</v>
      </c>
      <c r="N3258" s="133">
        <v>-999</v>
      </c>
      <c r="O3258" s="179" t="s">
        <v>3356</v>
      </c>
      <c r="P3258" s="108">
        <v>-999</v>
      </c>
      <c r="Q3258" s="80" t="s">
        <v>6640</v>
      </c>
    </row>
    <row r="3259" spans="1:19">
      <c r="A3259" s="213" t="s">
        <v>2594</v>
      </c>
      <c r="B3259" s="141" t="s">
        <v>4751</v>
      </c>
      <c r="C3259" s="118" t="s">
        <v>3817</v>
      </c>
      <c r="D3259" s="141"/>
      <c r="E3259" s="118"/>
      <c r="F3259" s="118"/>
      <c r="G3259" s="118" t="s">
        <v>7278</v>
      </c>
      <c r="H3259" s="118" t="s">
        <v>2180</v>
      </c>
      <c r="I3259" s="118" t="s">
        <v>5116</v>
      </c>
      <c r="J3259" s="118" t="s">
        <v>8271</v>
      </c>
      <c r="K3259" s="141"/>
      <c r="L3259" s="135" t="str">
        <f t="shared" si="186"/>
        <v>Mogera insularis</v>
      </c>
      <c r="M3259" s="133">
        <v>-999</v>
      </c>
      <c r="N3259" s="133">
        <v>-999</v>
      </c>
      <c r="O3259" s="179" t="s">
        <v>3356</v>
      </c>
      <c r="P3259" s="108">
        <v>-999</v>
      </c>
      <c r="Q3259" s="80"/>
    </row>
    <row r="3260" spans="1:19">
      <c r="A3260" s="213" t="s">
        <v>2594</v>
      </c>
      <c r="B3260" s="141" t="s">
        <v>6002</v>
      </c>
      <c r="C3260" s="118" t="s">
        <v>3817</v>
      </c>
      <c r="D3260" s="141"/>
      <c r="E3260" s="118"/>
      <c r="F3260" s="118"/>
      <c r="G3260" s="118" t="s">
        <v>7278</v>
      </c>
      <c r="H3260" s="118" t="s">
        <v>2180</v>
      </c>
      <c r="I3260" s="118" t="s">
        <v>5116</v>
      </c>
      <c r="J3260" s="118" t="s">
        <v>6577</v>
      </c>
      <c r="K3260" s="141"/>
      <c r="L3260" s="135" t="str">
        <f t="shared" si="186"/>
        <v>Mogera kobeae</v>
      </c>
      <c r="M3260" s="133">
        <v>-999</v>
      </c>
      <c r="N3260" s="133">
        <v>-999</v>
      </c>
      <c r="O3260" s="179" t="s">
        <v>3356</v>
      </c>
      <c r="P3260" s="108">
        <v>-999</v>
      </c>
      <c r="Q3260" s="93" t="e">
        <f xml:space="preserve"> AVERAGE(N3261, N3262, N3263,#REF!)</f>
        <v>#REF!</v>
      </c>
    </row>
    <row r="3261" spans="1:19" ht="25.5">
      <c r="A3261" s="213" t="s">
        <v>2594</v>
      </c>
      <c r="B3261" s="141" t="s">
        <v>6002</v>
      </c>
      <c r="C3261" s="118" t="s">
        <v>3817</v>
      </c>
      <c r="D3261" s="141"/>
      <c r="E3261" s="118"/>
      <c r="F3261" s="118"/>
      <c r="G3261" s="118" t="s">
        <v>7278</v>
      </c>
      <c r="H3261" s="118" t="s">
        <v>2180</v>
      </c>
      <c r="I3261" s="118" t="s">
        <v>5116</v>
      </c>
      <c r="J3261" s="118" t="s">
        <v>3078</v>
      </c>
      <c r="K3261" s="141"/>
      <c r="L3261" s="135" t="str">
        <f t="shared" si="186"/>
        <v>Mogera minor</v>
      </c>
      <c r="M3261" s="133">
        <f>LOG(N3261)</f>
        <v>1.9420080530223132</v>
      </c>
      <c r="N3261" s="133">
        <f>AVERAGE(48, 127)</f>
        <v>87.5</v>
      </c>
      <c r="O3261" s="179" t="s">
        <v>7933</v>
      </c>
      <c r="P3261" s="108" t="s">
        <v>6899</v>
      </c>
      <c r="Q3261" s="80"/>
    </row>
    <row r="3262" spans="1:19" ht="51">
      <c r="A3262" s="213" t="s">
        <v>2594</v>
      </c>
      <c r="B3262" s="141" t="s">
        <v>6002</v>
      </c>
      <c r="C3262" s="118" t="s">
        <v>3817</v>
      </c>
      <c r="D3262" s="141"/>
      <c r="E3262" s="118"/>
      <c r="F3262" s="118"/>
      <c r="G3262" s="118" t="s">
        <v>7278</v>
      </c>
      <c r="H3262" s="118" t="s">
        <v>2180</v>
      </c>
      <c r="I3262" s="118" t="s">
        <v>5116</v>
      </c>
      <c r="J3262" s="118" t="s">
        <v>6366</v>
      </c>
      <c r="K3262" s="141"/>
      <c r="L3262" s="135" t="str">
        <f t="shared" si="186"/>
        <v>Mogera wogura</v>
      </c>
      <c r="M3262" s="133">
        <f>LOG(N3262)</f>
        <v>2.0472748673841794</v>
      </c>
      <c r="N3262" s="133">
        <f>AVERAGE(48, 175)</f>
        <v>111.5</v>
      </c>
      <c r="O3262" s="179" t="s">
        <v>6835</v>
      </c>
      <c r="P3262" s="108" t="s">
        <v>6899</v>
      </c>
      <c r="Q3262" s="80"/>
    </row>
    <row r="3263" spans="1:19" ht="76.5">
      <c r="A3263" s="213" t="s">
        <v>2594</v>
      </c>
      <c r="B3263" s="141" t="s">
        <v>6002</v>
      </c>
      <c r="C3263" s="118" t="s">
        <v>3817</v>
      </c>
      <c r="D3263" s="141"/>
      <c r="E3263" s="118"/>
      <c r="F3263" s="118"/>
      <c r="G3263" s="118" t="s">
        <v>7278</v>
      </c>
      <c r="H3263" s="118" t="s">
        <v>2180</v>
      </c>
      <c r="I3263" s="118" t="s">
        <v>5116</v>
      </c>
      <c r="J3263" s="118" t="s">
        <v>6365</v>
      </c>
      <c r="K3263" s="141"/>
      <c r="L3263" s="135" t="str">
        <f t="shared" si="186"/>
        <v>Mogera tokudae</v>
      </c>
      <c r="M3263" s="133">
        <f>LOG(N3263)</f>
        <v>2.1122697684172707</v>
      </c>
      <c r="N3263" s="133">
        <f>AVERAGE(95, 164)</f>
        <v>129.5</v>
      </c>
      <c r="O3263" s="179" t="s">
        <v>7080</v>
      </c>
      <c r="P3263" s="108" t="s">
        <v>6899</v>
      </c>
      <c r="Q3263" s="80" t="s">
        <v>6640</v>
      </c>
      <c r="R3263" s="85" t="s">
        <v>6834</v>
      </c>
    </row>
    <row r="3264" spans="1:19">
      <c r="A3264" s="213" t="s">
        <v>2594</v>
      </c>
      <c r="B3264" s="141" t="s">
        <v>6002</v>
      </c>
      <c r="C3264" s="118" t="s">
        <v>3817</v>
      </c>
      <c r="D3264" s="141"/>
      <c r="E3264" s="118"/>
      <c r="F3264" s="118"/>
      <c r="G3264" s="118" t="s">
        <v>7278</v>
      </c>
      <c r="H3264" s="118" t="s">
        <v>2180</v>
      </c>
      <c r="I3264" s="118" t="s">
        <v>6368</v>
      </c>
      <c r="J3264" s="118" t="s">
        <v>5545</v>
      </c>
      <c r="K3264" s="141"/>
      <c r="L3264" s="135" t="str">
        <f t="shared" si="186"/>
        <v>Nesoscaptor uchidai</v>
      </c>
      <c r="M3264" s="133">
        <v>-999</v>
      </c>
      <c r="N3264" s="133">
        <v>-999</v>
      </c>
      <c r="O3264" s="179" t="s">
        <v>7080</v>
      </c>
      <c r="P3264" s="108">
        <v>-999</v>
      </c>
      <c r="Q3264" s="80" t="s">
        <v>6640</v>
      </c>
    </row>
    <row r="3265" spans="1:18">
      <c r="A3265" s="213" t="s">
        <v>2594</v>
      </c>
      <c r="B3265" s="141" t="s">
        <v>7534</v>
      </c>
      <c r="C3265" s="118" t="s">
        <v>3817</v>
      </c>
      <c r="D3265" s="141"/>
      <c r="E3265" s="118"/>
      <c r="F3265" s="118"/>
      <c r="G3265" s="118" t="s">
        <v>7278</v>
      </c>
      <c r="H3265" s="118" t="s">
        <v>2180</v>
      </c>
      <c r="I3265" s="118" t="s">
        <v>5263</v>
      </c>
      <c r="J3265" s="118" t="s">
        <v>3702</v>
      </c>
      <c r="K3265" s="141"/>
      <c r="L3265" s="135" t="str">
        <f t="shared" si="186"/>
        <v>Talpa stankovici</v>
      </c>
      <c r="M3265" s="133">
        <v>-999</v>
      </c>
      <c r="N3265" s="133">
        <v>-999</v>
      </c>
      <c r="O3265" s="179" t="s">
        <v>3356</v>
      </c>
      <c r="P3265" s="108">
        <v>-999</v>
      </c>
      <c r="Q3265" s="80"/>
    </row>
    <row r="3266" spans="1:18">
      <c r="A3266" s="213" t="s">
        <v>2594</v>
      </c>
      <c r="B3266" s="141" t="s">
        <v>6002</v>
      </c>
      <c r="C3266" s="118" t="s">
        <v>3817</v>
      </c>
      <c r="D3266" s="141"/>
      <c r="E3266" s="118"/>
      <c r="F3266" s="118"/>
      <c r="G3266" s="118" t="s">
        <v>7278</v>
      </c>
      <c r="H3266" s="118" t="s">
        <v>2180</v>
      </c>
      <c r="I3266" s="118" t="s">
        <v>8281</v>
      </c>
      <c r="J3266" s="118" t="s">
        <v>8232</v>
      </c>
      <c r="K3266" s="141"/>
      <c r="L3266" s="135" t="str">
        <f t="shared" si="186"/>
        <v>Urotrichus pilirostris</v>
      </c>
      <c r="M3266" s="133">
        <f t="shared" ref="M3266:M3296" si="190">LOG(N3266)</f>
        <v>1.2081725266671217</v>
      </c>
      <c r="N3266" s="133">
        <f>AVERAGE(1000*0.0108, 21.5)</f>
        <v>16.149999999999999</v>
      </c>
      <c r="O3266" s="179" t="s">
        <v>3356</v>
      </c>
      <c r="P3266" s="108">
        <v>60</v>
      </c>
      <c r="Q3266" s="80"/>
    </row>
    <row r="3267" spans="1:18">
      <c r="A3267" s="213" t="s">
        <v>2594</v>
      </c>
      <c r="B3267" s="141" t="s">
        <v>6002</v>
      </c>
      <c r="C3267" s="118" t="s">
        <v>3817</v>
      </c>
      <c r="D3267" s="141"/>
      <c r="E3267" s="118"/>
      <c r="F3267" s="118"/>
      <c r="G3267" s="118" t="s">
        <v>7278</v>
      </c>
      <c r="H3267" s="118" t="s">
        <v>2180</v>
      </c>
      <c r="I3267" s="118" t="s">
        <v>8281</v>
      </c>
      <c r="J3267" s="118" t="s">
        <v>4195</v>
      </c>
      <c r="K3267" s="141"/>
      <c r="L3267" s="135" t="str">
        <f t="shared" si="186"/>
        <v>Urotrichus talpoides</v>
      </c>
      <c r="M3267" s="133">
        <f t="shared" si="190"/>
        <v>1.6532125137753437</v>
      </c>
      <c r="N3267" s="133">
        <f>AVERAGE(30, 60)</f>
        <v>45</v>
      </c>
      <c r="O3267" s="179" t="s">
        <v>3356</v>
      </c>
      <c r="P3267" s="108">
        <v>140</v>
      </c>
      <c r="Q3267" s="80"/>
    </row>
    <row r="3268" spans="1:18">
      <c r="A3268" s="213" t="s">
        <v>2594</v>
      </c>
      <c r="B3268" s="141" t="s">
        <v>2593</v>
      </c>
      <c r="C3268" s="118" t="s">
        <v>3817</v>
      </c>
      <c r="D3268" s="141"/>
      <c r="E3268" s="118"/>
      <c r="F3268" s="118"/>
      <c r="G3268" s="118" t="s">
        <v>7278</v>
      </c>
      <c r="H3268" s="118" t="s">
        <v>7424</v>
      </c>
      <c r="I3268" s="118" t="s">
        <v>5467</v>
      </c>
      <c r="J3268" s="118" t="s">
        <v>6177</v>
      </c>
      <c r="K3268" s="141"/>
      <c r="L3268" s="135" t="str">
        <f t="shared" si="186"/>
        <v>Echinops telfairi</v>
      </c>
      <c r="M3268" s="133">
        <f t="shared" si="190"/>
        <v>2.255272505103306</v>
      </c>
      <c r="N3268" s="133">
        <v>180</v>
      </c>
      <c r="O3268" s="179" t="s">
        <v>6736</v>
      </c>
      <c r="P3268" s="108">
        <v>68</v>
      </c>
    </row>
    <row r="3269" spans="1:18">
      <c r="A3269" s="213" t="s">
        <v>2594</v>
      </c>
      <c r="B3269" s="141" t="s">
        <v>2593</v>
      </c>
      <c r="C3269" s="118" t="s">
        <v>3817</v>
      </c>
      <c r="D3269" s="141"/>
      <c r="E3269" s="118"/>
      <c r="F3269" s="118"/>
      <c r="G3269" s="118" t="s">
        <v>7278</v>
      </c>
      <c r="H3269" s="118" t="s">
        <v>7424</v>
      </c>
      <c r="I3269" s="118" t="s">
        <v>6502</v>
      </c>
      <c r="J3269" s="118" t="s">
        <v>4380</v>
      </c>
      <c r="K3269" s="141"/>
      <c r="L3269" s="135" t="str">
        <f t="shared" ref="L3269:L3332" si="191">I3269&amp;" "&amp;J3269</f>
        <v>Geogale aurita</v>
      </c>
      <c r="M3269" s="133">
        <f t="shared" si="190"/>
        <v>0.84509804001425681</v>
      </c>
      <c r="N3269" s="133">
        <v>7</v>
      </c>
      <c r="O3269" s="179" t="s">
        <v>6736</v>
      </c>
      <c r="P3269" s="108">
        <v>68</v>
      </c>
    </row>
    <row r="3270" spans="1:18">
      <c r="A3270" s="213" t="s">
        <v>2594</v>
      </c>
      <c r="B3270" s="141" t="s">
        <v>2593</v>
      </c>
      <c r="C3270" s="118" t="s">
        <v>3817</v>
      </c>
      <c r="D3270" s="141"/>
      <c r="E3270" s="118"/>
      <c r="F3270" s="118"/>
      <c r="G3270" s="118" t="s">
        <v>7278</v>
      </c>
      <c r="H3270" s="118" t="s">
        <v>7424</v>
      </c>
      <c r="I3270" s="118" t="s">
        <v>6283</v>
      </c>
      <c r="J3270" s="118" t="s">
        <v>5979</v>
      </c>
      <c r="K3270" s="141"/>
      <c r="L3270" s="135" t="str">
        <f t="shared" si="191"/>
        <v>Hemicentetes nigricepts</v>
      </c>
      <c r="M3270" s="133">
        <f t="shared" si="190"/>
        <v>2.0530784434834195</v>
      </c>
      <c r="N3270" s="133">
        <v>113</v>
      </c>
      <c r="O3270" s="179" t="s">
        <v>5980</v>
      </c>
      <c r="P3270" s="108">
        <v>154</v>
      </c>
      <c r="Q3270" s="85"/>
    </row>
    <row r="3271" spans="1:18" ht="89.25">
      <c r="A3271" s="213" t="s">
        <v>2594</v>
      </c>
      <c r="B3271" s="141" t="s">
        <v>2593</v>
      </c>
      <c r="C3271" s="118" t="s">
        <v>3817</v>
      </c>
      <c r="D3271" s="141"/>
      <c r="E3271" s="118"/>
      <c r="F3271" s="118"/>
      <c r="G3271" s="118" t="s">
        <v>7278</v>
      </c>
      <c r="H3271" s="118" t="s">
        <v>7424</v>
      </c>
      <c r="I3271" s="118" t="s">
        <v>6283</v>
      </c>
      <c r="J3271" s="118" t="s">
        <v>5087</v>
      </c>
      <c r="K3271" s="141"/>
      <c r="L3271" s="135" t="str">
        <f t="shared" si="191"/>
        <v>Hemicentetes semispinosus</v>
      </c>
      <c r="M3271" s="133">
        <f t="shared" si="190"/>
        <v>2.1392492175716069</v>
      </c>
      <c r="N3271" s="133">
        <v>137.80000000000001</v>
      </c>
      <c r="O3271" s="179" t="s">
        <v>6736</v>
      </c>
      <c r="P3271" s="108" t="s">
        <v>1171</v>
      </c>
      <c r="Q3271" s="85" t="s">
        <v>5894</v>
      </c>
    </row>
    <row r="3272" spans="1:18" ht="25.5">
      <c r="A3272" s="213" t="s">
        <v>2594</v>
      </c>
      <c r="B3272" s="141" t="s">
        <v>2593</v>
      </c>
      <c r="C3272" s="118" t="s">
        <v>3817</v>
      </c>
      <c r="D3272" s="141"/>
      <c r="E3272" s="118"/>
      <c r="F3272" s="118"/>
      <c r="G3272" s="118" t="s">
        <v>7278</v>
      </c>
      <c r="H3272" s="118" t="s">
        <v>7424</v>
      </c>
      <c r="I3272" s="118" t="s">
        <v>6284</v>
      </c>
      <c r="J3272" s="118" t="s">
        <v>6285</v>
      </c>
      <c r="K3272" s="141"/>
      <c r="L3272" s="135" t="str">
        <f t="shared" si="191"/>
        <v>Limnogale mergulus</v>
      </c>
      <c r="M3272" s="133">
        <f t="shared" si="190"/>
        <v>1.8904210188009143</v>
      </c>
      <c r="N3272" s="133">
        <v>77.7</v>
      </c>
      <c r="O3272" s="190" t="s">
        <v>6552</v>
      </c>
      <c r="P3272" s="108">
        <v>154</v>
      </c>
      <c r="Q3272" s="85" t="s">
        <v>6640</v>
      </c>
    </row>
    <row r="3273" spans="1:18">
      <c r="A3273" s="213" t="s">
        <v>2594</v>
      </c>
      <c r="B3273" s="141" t="s">
        <v>2593</v>
      </c>
      <c r="C3273" s="121" t="s">
        <v>3817</v>
      </c>
      <c r="D3273" s="156"/>
      <c r="E3273" s="121"/>
      <c r="F3273" s="121"/>
      <c r="G3273" s="121" t="s">
        <v>7278</v>
      </c>
      <c r="H3273" s="121" t="s">
        <v>7424</v>
      </c>
      <c r="I3273" s="121" t="s">
        <v>6284</v>
      </c>
      <c r="J3273" s="121" t="s">
        <v>6285</v>
      </c>
      <c r="K3273" s="156"/>
      <c r="L3273" s="135" t="str">
        <f t="shared" si="191"/>
        <v>Limnogale mergulus</v>
      </c>
      <c r="M3273" s="133">
        <f t="shared" si="190"/>
        <v>1.9003671286564703</v>
      </c>
      <c r="N3273" s="143">
        <v>79.5</v>
      </c>
      <c r="O3273" s="179" t="s">
        <v>6736</v>
      </c>
      <c r="P3273" s="108">
        <v>68</v>
      </c>
    </row>
    <row r="3274" spans="1:18" ht="25.5">
      <c r="A3274" s="213" t="s">
        <v>2594</v>
      </c>
      <c r="B3274" s="130" t="s">
        <v>2593</v>
      </c>
      <c r="C3274" s="118" t="s">
        <v>3817</v>
      </c>
      <c r="D3274" s="141"/>
      <c r="E3274" s="118"/>
      <c r="F3274" s="118"/>
      <c r="G3274" s="118" t="s">
        <v>7278</v>
      </c>
      <c r="H3274" s="118" t="s">
        <v>7424</v>
      </c>
      <c r="I3274" s="118" t="s">
        <v>6624</v>
      </c>
      <c r="J3274" s="118" t="s">
        <v>7431</v>
      </c>
      <c r="K3274" s="141"/>
      <c r="L3274" s="135" t="str">
        <f t="shared" si="191"/>
        <v>Microgale parvula</v>
      </c>
      <c r="M3274" s="133">
        <f t="shared" si="190"/>
        <v>0.53147891704225514</v>
      </c>
      <c r="N3274" s="133">
        <v>3.4</v>
      </c>
      <c r="O3274" s="190" t="s">
        <v>8149</v>
      </c>
      <c r="P3274" s="108">
        <v>154</v>
      </c>
      <c r="Q3274" s="85" t="s">
        <v>6640</v>
      </c>
    </row>
    <row r="3275" spans="1:18">
      <c r="A3275" s="213" t="s">
        <v>2594</v>
      </c>
      <c r="B3275" s="130" t="s">
        <v>2593</v>
      </c>
      <c r="C3275" s="118" t="s">
        <v>3817</v>
      </c>
      <c r="D3275" s="141"/>
      <c r="E3275" s="118"/>
      <c r="F3275" s="118"/>
      <c r="G3275" s="118" t="s">
        <v>7278</v>
      </c>
      <c r="H3275" s="118" t="s">
        <v>7424</v>
      </c>
      <c r="I3275" s="118" t="s">
        <v>6624</v>
      </c>
      <c r="J3275" s="118" t="s">
        <v>7423</v>
      </c>
      <c r="K3275" s="141"/>
      <c r="L3275" s="135" t="str">
        <f t="shared" si="191"/>
        <v>Microgale pusilla</v>
      </c>
      <c r="M3275" s="133">
        <f t="shared" si="190"/>
        <v>0.53147891704225514</v>
      </c>
      <c r="N3275" s="133">
        <v>3.4</v>
      </c>
      <c r="O3275" s="179" t="s">
        <v>1231</v>
      </c>
      <c r="P3275" s="108">
        <v>154</v>
      </c>
      <c r="Q3275" s="85"/>
    </row>
    <row r="3276" spans="1:18">
      <c r="A3276" s="213" t="s">
        <v>2594</v>
      </c>
      <c r="B3276" s="130" t="s">
        <v>2593</v>
      </c>
      <c r="C3276" s="118" t="s">
        <v>3817</v>
      </c>
      <c r="D3276" s="141"/>
      <c r="E3276" s="118"/>
      <c r="F3276" s="118"/>
      <c r="G3276" s="118" t="s">
        <v>7278</v>
      </c>
      <c r="H3276" s="118" t="s">
        <v>7424</v>
      </c>
      <c r="I3276" s="118" t="s">
        <v>6624</v>
      </c>
      <c r="J3276" s="118" t="s">
        <v>7486</v>
      </c>
      <c r="K3276" s="141"/>
      <c r="L3276" s="135" t="str">
        <f t="shared" si="191"/>
        <v>Microgale longicaudata</v>
      </c>
      <c r="M3276" s="133">
        <f t="shared" si="190"/>
        <v>0.86332286012045589</v>
      </c>
      <c r="N3276" s="133">
        <v>7.3</v>
      </c>
      <c r="O3276" s="179" t="s">
        <v>6158</v>
      </c>
      <c r="P3276" s="108">
        <v>154</v>
      </c>
      <c r="Q3276" s="85"/>
    </row>
    <row r="3277" spans="1:18" ht="12" customHeight="1">
      <c r="A3277" s="212" t="s">
        <v>2594</v>
      </c>
      <c r="B3277" s="145" t="s">
        <v>2593</v>
      </c>
      <c r="C3277" s="110" t="s">
        <v>3817</v>
      </c>
      <c r="D3277" s="145"/>
      <c r="E3277" s="110"/>
      <c r="F3277" s="110"/>
      <c r="G3277" s="110" t="s">
        <v>7278</v>
      </c>
      <c r="H3277" s="110" t="s">
        <v>7424</v>
      </c>
      <c r="I3277" s="110" t="s">
        <v>6624</v>
      </c>
      <c r="J3277" s="118" t="s">
        <v>6043</v>
      </c>
      <c r="K3277" s="141"/>
      <c r="L3277" s="135" t="str">
        <f t="shared" si="191"/>
        <v>Microgale fotsifotsy</v>
      </c>
      <c r="M3277" s="133">
        <f t="shared" si="190"/>
        <v>0.88649072517248184</v>
      </c>
      <c r="N3277" s="133">
        <v>7.7</v>
      </c>
      <c r="O3277" s="179"/>
      <c r="P3277" s="108">
        <v>154</v>
      </c>
      <c r="Q3277" s="85" t="s">
        <v>6042</v>
      </c>
      <c r="R3277" s="89"/>
    </row>
    <row r="3278" spans="1:18" ht="25.5">
      <c r="A3278" s="213" t="s">
        <v>2594</v>
      </c>
      <c r="B3278" s="130" t="s">
        <v>2593</v>
      </c>
      <c r="C3278" s="118" t="s">
        <v>3817</v>
      </c>
      <c r="D3278" s="141"/>
      <c r="E3278" s="118"/>
      <c r="F3278" s="118"/>
      <c r="G3278" s="118" t="s">
        <v>7278</v>
      </c>
      <c r="H3278" s="118" t="s">
        <v>7424</v>
      </c>
      <c r="I3278" s="118" t="s">
        <v>6624</v>
      </c>
      <c r="J3278" s="118" t="s">
        <v>5257</v>
      </c>
      <c r="K3278" s="141"/>
      <c r="L3278" s="135" t="str">
        <f t="shared" si="191"/>
        <v>Microgale principula</v>
      </c>
      <c r="M3278" s="133">
        <f t="shared" si="190"/>
        <v>1.0086001717619175</v>
      </c>
      <c r="N3278" s="133">
        <v>10.199999999999999</v>
      </c>
      <c r="O3278" s="189" t="s">
        <v>8149</v>
      </c>
      <c r="P3278" s="108">
        <v>154</v>
      </c>
      <c r="Q3278" s="85" t="s">
        <v>6640</v>
      </c>
    </row>
    <row r="3279" spans="1:18">
      <c r="A3279" s="213" t="s">
        <v>2594</v>
      </c>
      <c r="B3279" s="141" t="s">
        <v>2593</v>
      </c>
      <c r="C3279" s="118" t="s">
        <v>3817</v>
      </c>
      <c r="D3279" s="141"/>
      <c r="E3279" s="118"/>
      <c r="F3279" s="118"/>
      <c r="G3279" s="118" t="s">
        <v>7278</v>
      </c>
      <c r="H3279" s="118" t="s">
        <v>7424</v>
      </c>
      <c r="I3279" s="118" t="s">
        <v>6624</v>
      </c>
      <c r="J3279" s="118" t="s">
        <v>6154</v>
      </c>
      <c r="K3279" s="141"/>
      <c r="L3279" s="135" t="str">
        <f t="shared" si="191"/>
        <v>Microgale drouhardi</v>
      </c>
      <c r="M3279" s="133">
        <f t="shared" si="190"/>
        <v>1.0211892990699381</v>
      </c>
      <c r="N3279" s="133">
        <v>10.5</v>
      </c>
      <c r="O3279" s="179"/>
      <c r="P3279" s="108">
        <v>154</v>
      </c>
      <c r="Q3279" s="85"/>
    </row>
    <row r="3280" spans="1:18">
      <c r="A3280" s="213" t="s">
        <v>2594</v>
      </c>
      <c r="B3280" s="130" t="s">
        <v>2593</v>
      </c>
      <c r="C3280" s="118" t="s">
        <v>3817</v>
      </c>
      <c r="D3280" s="141"/>
      <c r="E3280" s="118"/>
      <c r="F3280" s="118"/>
      <c r="G3280" s="118" t="s">
        <v>7278</v>
      </c>
      <c r="H3280" s="118" t="s">
        <v>7424</v>
      </c>
      <c r="I3280" s="118" t="s">
        <v>6624</v>
      </c>
      <c r="J3280" s="118" t="s">
        <v>4679</v>
      </c>
      <c r="K3280" s="141"/>
      <c r="L3280" s="135" t="str">
        <f t="shared" si="191"/>
        <v>Microgale brevicaudata</v>
      </c>
      <c r="M3280" s="133">
        <f t="shared" si="190"/>
        <v>1.0530784434834197</v>
      </c>
      <c r="N3280" s="133">
        <v>11.3</v>
      </c>
      <c r="O3280" s="179" t="s">
        <v>6132</v>
      </c>
      <c r="P3280" s="108">
        <v>154</v>
      </c>
      <c r="Q3280" s="85"/>
    </row>
    <row r="3281" spans="1:17">
      <c r="A3281" s="213" t="s">
        <v>2594</v>
      </c>
      <c r="B3281" s="141" t="s">
        <v>2593</v>
      </c>
      <c r="C3281" s="118" t="s">
        <v>3817</v>
      </c>
      <c r="D3281" s="141"/>
      <c r="E3281" s="118"/>
      <c r="F3281" s="118"/>
      <c r="G3281" s="118" t="s">
        <v>7278</v>
      </c>
      <c r="H3281" s="118" t="s">
        <v>7424</v>
      </c>
      <c r="I3281" s="118" t="s">
        <v>6624</v>
      </c>
      <c r="J3281" s="118" t="s">
        <v>1232</v>
      </c>
      <c r="K3281" s="141"/>
      <c r="L3281" s="135" t="str">
        <f t="shared" si="191"/>
        <v>Microgale taiva</v>
      </c>
      <c r="M3281" s="133">
        <f t="shared" si="190"/>
        <v>1.0934216851622351</v>
      </c>
      <c r="N3281" s="133">
        <v>12.4</v>
      </c>
      <c r="O3281" s="179" t="s">
        <v>1233</v>
      </c>
      <c r="P3281" s="108">
        <v>154</v>
      </c>
      <c r="Q3281" s="85"/>
    </row>
    <row r="3282" spans="1:17">
      <c r="A3282" s="213" t="s">
        <v>2594</v>
      </c>
      <c r="B3282" s="130" t="s">
        <v>2593</v>
      </c>
      <c r="C3282" s="118" t="s">
        <v>3817</v>
      </c>
      <c r="D3282" s="141"/>
      <c r="E3282" s="118"/>
      <c r="F3282" s="118"/>
      <c r="G3282" s="118" t="s">
        <v>7278</v>
      </c>
      <c r="H3282" s="118" t="s">
        <v>7424</v>
      </c>
      <c r="I3282" s="118" t="s">
        <v>6624</v>
      </c>
      <c r="J3282" s="118" t="s">
        <v>5256</v>
      </c>
      <c r="K3282" s="141"/>
      <c r="L3282" s="135" t="str">
        <f t="shared" si="191"/>
        <v>Microgale cowani</v>
      </c>
      <c r="M3282" s="133">
        <f t="shared" si="190"/>
        <v>1.1398790864012365</v>
      </c>
      <c r="N3282" s="133">
        <v>13.8</v>
      </c>
      <c r="O3282" s="179" t="s">
        <v>6374</v>
      </c>
      <c r="P3282" s="108">
        <v>154</v>
      </c>
      <c r="Q3282" s="85"/>
    </row>
    <row r="3283" spans="1:17" ht="36" customHeight="1">
      <c r="A3283" s="213" t="s">
        <v>2594</v>
      </c>
      <c r="B3283" s="130" t="s">
        <v>2593</v>
      </c>
      <c r="C3283" s="118" t="s">
        <v>3817</v>
      </c>
      <c r="D3283" s="141"/>
      <c r="E3283" s="118"/>
      <c r="F3283" s="118"/>
      <c r="G3283" s="118" t="s">
        <v>7278</v>
      </c>
      <c r="H3283" s="118" t="s">
        <v>7424</v>
      </c>
      <c r="I3283" s="118" t="s">
        <v>6624</v>
      </c>
      <c r="J3283" s="118" t="s">
        <v>4047</v>
      </c>
      <c r="K3283" s="141"/>
      <c r="L3283" s="135" t="str">
        <f t="shared" si="191"/>
        <v>Microgale monticola</v>
      </c>
      <c r="M3283" s="133">
        <f t="shared" si="190"/>
        <v>1.1430148002540952</v>
      </c>
      <c r="N3283" s="133">
        <v>13.9</v>
      </c>
      <c r="O3283" s="179"/>
      <c r="P3283" s="108">
        <v>154</v>
      </c>
      <c r="Q3283" s="89"/>
    </row>
    <row r="3284" spans="1:17" ht="63.75">
      <c r="A3284" s="212" t="s">
        <v>2594</v>
      </c>
      <c r="B3284" s="145" t="s">
        <v>2593</v>
      </c>
      <c r="C3284" s="110" t="s">
        <v>3817</v>
      </c>
      <c r="D3284" s="145"/>
      <c r="E3284" s="110"/>
      <c r="F3284" s="110"/>
      <c r="G3284" s="110" t="s">
        <v>7278</v>
      </c>
      <c r="H3284" s="110" t="s">
        <v>7424</v>
      </c>
      <c r="I3284" s="110" t="s">
        <v>6624</v>
      </c>
      <c r="J3284" s="118" t="s">
        <v>6155</v>
      </c>
      <c r="K3284" s="141"/>
      <c r="L3284" s="135" t="str">
        <f t="shared" si="191"/>
        <v>Microgale gymnorhyncha</v>
      </c>
      <c r="M3284" s="133">
        <f t="shared" si="190"/>
        <v>1.2600713879850747</v>
      </c>
      <c r="N3284" s="133">
        <v>18.2</v>
      </c>
      <c r="O3284" s="179" t="s">
        <v>6156</v>
      </c>
      <c r="P3284" s="108">
        <v>154</v>
      </c>
      <c r="Q3284" s="85" t="s">
        <v>6185</v>
      </c>
    </row>
    <row r="3285" spans="1:17">
      <c r="A3285" s="212" t="s">
        <v>2594</v>
      </c>
      <c r="B3285" s="145" t="s">
        <v>2593</v>
      </c>
      <c r="C3285" s="110" t="s">
        <v>3817</v>
      </c>
      <c r="D3285" s="145"/>
      <c r="E3285" s="110"/>
      <c r="F3285" s="110"/>
      <c r="G3285" s="110" t="s">
        <v>7278</v>
      </c>
      <c r="H3285" s="110" t="s">
        <v>7424</v>
      </c>
      <c r="I3285" s="110" t="s">
        <v>6624</v>
      </c>
      <c r="J3285" s="118" t="s">
        <v>5290</v>
      </c>
      <c r="K3285" s="141"/>
      <c r="L3285" s="135" t="str">
        <f t="shared" si="191"/>
        <v>Microgale soricoides</v>
      </c>
      <c r="M3285" s="133">
        <f t="shared" si="190"/>
        <v>1.271841606536499</v>
      </c>
      <c r="N3285" s="133">
        <v>18.7</v>
      </c>
      <c r="O3285" s="179" t="s">
        <v>6184</v>
      </c>
      <c r="P3285" s="108">
        <v>154</v>
      </c>
      <c r="Q3285" s="85"/>
    </row>
    <row r="3286" spans="1:17" ht="25.5">
      <c r="A3286" s="213" t="s">
        <v>2594</v>
      </c>
      <c r="B3286" s="130" t="s">
        <v>2593</v>
      </c>
      <c r="C3286" s="118" t="s">
        <v>3817</v>
      </c>
      <c r="D3286" s="141"/>
      <c r="E3286" s="118"/>
      <c r="F3286" s="118"/>
      <c r="G3286" s="118" t="s">
        <v>7278</v>
      </c>
      <c r="H3286" s="118" t="s">
        <v>7424</v>
      </c>
      <c r="I3286" s="118" t="s">
        <v>6624</v>
      </c>
      <c r="J3286" s="118" t="s">
        <v>4852</v>
      </c>
      <c r="K3286" s="141"/>
      <c r="L3286" s="135" t="str">
        <f t="shared" si="191"/>
        <v>Microgale thomasi</v>
      </c>
      <c r="M3286" s="133">
        <f t="shared" si="190"/>
        <v>1.3598354823398879</v>
      </c>
      <c r="N3286" s="133">
        <v>22.9</v>
      </c>
      <c r="O3286" s="189" t="s">
        <v>8149</v>
      </c>
      <c r="P3286" s="108">
        <v>154</v>
      </c>
      <c r="Q3286" s="82" t="s">
        <v>6988</v>
      </c>
    </row>
    <row r="3287" spans="1:17" ht="25.5">
      <c r="A3287" s="213" t="s">
        <v>2594</v>
      </c>
      <c r="B3287" s="130" t="s">
        <v>2593</v>
      </c>
      <c r="C3287" s="118" t="s">
        <v>3817</v>
      </c>
      <c r="D3287" s="141"/>
      <c r="E3287" s="118"/>
      <c r="F3287" s="118"/>
      <c r="G3287" s="118" t="s">
        <v>7278</v>
      </c>
      <c r="H3287" s="118" t="s">
        <v>7424</v>
      </c>
      <c r="I3287" s="118" t="s">
        <v>6624</v>
      </c>
      <c r="J3287" s="118" t="s">
        <v>3786</v>
      </c>
      <c r="K3287" s="141"/>
      <c r="L3287" s="135" t="str">
        <f t="shared" si="191"/>
        <v>Microgale gracilis</v>
      </c>
      <c r="M3287" s="133">
        <f t="shared" si="190"/>
        <v>1.3673559210260189</v>
      </c>
      <c r="N3287" s="133">
        <v>23.3</v>
      </c>
      <c r="O3287" s="190" t="s">
        <v>8149</v>
      </c>
      <c r="P3287" s="108">
        <v>154</v>
      </c>
      <c r="Q3287" s="85" t="s">
        <v>6988</v>
      </c>
    </row>
    <row r="3288" spans="1:17">
      <c r="A3288" s="213" t="s">
        <v>2594</v>
      </c>
      <c r="B3288" s="130" t="s">
        <v>2593</v>
      </c>
      <c r="C3288" s="118" t="s">
        <v>3817</v>
      </c>
      <c r="D3288" s="141"/>
      <c r="E3288" s="118"/>
      <c r="F3288" s="118"/>
      <c r="G3288" s="118" t="s">
        <v>7278</v>
      </c>
      <c r="H3288" s="118" t="s">
        <v>7424</v>
      </c>
      <c r="I3288" s="118" t="s">
        <v>6624</v>
      </c>
      <c r="J3288" s="118" t="s">
        <v>2428</v>
      </c>
      <c r="K3288" s="141"/>
      <c r="L3288" s="135" t="str">
        <f t="shared" si="191"/>
        <v>Microgale longirostris</v>
      </c>
      <c r="M3288" s="133">
        <f t="shared" si="190"/>
        <v>1.3979400086720377</v>
      </c>
      <c r="N3288" s="133">
        <v>25</v>
      </c>
      <c r="O3288" s="179"/>
      <c r="P3288" s="108">
        <v>150</v>
      </c>
      <c r="Q3288" s="85"/>
    </row>
    <row r="3289" spans="1:17">
      <c r="A3289" s="213" t="s">
        <v>2594</v>
      </c>
      <c r="B3289" s="141" t="s">
        <v>2593</v>
      </c>
      <c r="C3289" s="118" t="s">
        <v>3817</v>
      </c>
      <c r="D3289" s="141"/>
      <c r="E3289" s="118"/>
      <c r="F3289" s="118"/>
      <c r="G3289" s="118" t="s">
        <v>7278</v>
      </c>
      <c r="H3289" s="118" t="s">
        <v>7424</v>
      </c>
      <c r="I3289" s="118" t="s">
        <v>6624</v>
      </c>
      <c r="J3289" s="118" t="s">
        <v>5248</v>
      </c>
      <c r="K3289" s="141"/>
      <c r="L3289" s="135" t="str">
        <f t="shared" si="191"/>
        <v>Microgale dobsoni</v>
      </c>
      <c r="M3289" s="133">
        <f t="shared" si="190"/>
        <v>1.5797835966168101</v>
      </c>
      <c r="N3289" s="133">
        <v>38</v>
      </c>
      <c r="O3289" s="179" t="s">
        <v>6736</v>
      </c>
      <c r="P3289" s="108">
        <v>68</v>
      </c>
    </row>
    <row r="3290" spans="1:17" ht="25.5">
      <c r="A3290" s="213" t="s">
        <v>2594</v>
      </c>
      <c r="B3290" s="130" t="s">
        <v>2593</v>
      </c>
      <c r="C3290" s="118" t="s">
        <v>3817</v>
      </c>
      <c r="D3290" s="141"/>
      <c r="E3290" s="118"/>
      <c r="F3290" s="118"/>
      <c r="G3290" s="118" t="s">
        <v>7278</v>
      </c>
      <c r="H3290" s="118" t="s">
        <v>7424</v>
      </c>
      <c r="I3290" s="118" t="s">
        <v>6624</v>
      </c>
      <c r="J3290" s="118" t="s">
        <v>4400</v>
      </c>
      <c r="K3290" s="141"/>
      <c r="L3290" s="135" t="str">
        <f t="shared" si="191"/>
        <v>Microgale dryas</v>
      </c>
      <c r="M3290" s="133">
        <f t="shared" si="190"/>
        <v>1.6020599913279623</v>
      </c>
      <c r="N3290" s="133">
        <v>40</v>
      </c>
      <c r="O3290" s="190" t="s">
        <v>8149</v>
      </c>
      <c r="P3290" s="108">
        <v>150</v>
      </c>
      <c r="Q3290" s="85" t="s">
        <v>7071</v>
      </c>
    </row>
    <row r="3291" spans="1:17">
      <c r="A3291" s="213" t="s">
        <v>2594</v>
      </c>
      <c r="B3291" s="141" t="s">
        <v>2593</v>
      </c>
      <c r="C3291" s="118" t="s">
        <v>3817</v>
      </c>
      <c r="D3291" s="141"/>
      <c r="E3291" s="118"/>
      <c r="F3291" s="118"/>
      <c r="G3291" s="118" t="s">
        <v>7278</v>
      </c>
      <c r="H3291" s="118" t="s">
        <v>7424</v>
      </c>
      <c r="I3291" s="118" t="s">
        <v>6624</v>
      </c>
      <c r="J3291" s="118" t="s">
        <v>5849</v>
      </c>
      <c r="K3291" s="141"/>
      <c r="L3291" s="135" t="str">
        <f t="shared" si="191"/>
        <v>Microgale talazaci</v>
      </c>
      <c r="M3291" s="133">
        <f t="shared" si="190"/>
        <v>1.6812412373755872</v>
      </c>
      <c r="N3291" s="133">
        <v>48</v>
      </c>
      <c r="O3291" s="179" t="s">
        <v>6736</v>
      </c>
      <c r="P3291" s="108">
        <v>68</v>
      </c>
    </row>
    <row r="3292" spans="1:17">
      <c r="A3292" s="213" t="s">
        <v>2594</v>
      </c>
      <c r="B3292" s="130" t="s">
        <v>2593</v>
      </c>
      <c r="C3292" s="118" t="s">
        <v>3817</v>
      </c>
      <c r="D3292" s="141"/>
      <c r="E3292" s="118"/>
      <c r="F3292" s="118"/>
      <c r="G3292" s="118" t="s">
        <v>7278</v>
      </c>
      <c r="H3292" s="118" t="s">
        <v>7424</v>
      </c>
      <c r="I3292" s="118" t="s">
        <v>3550</v>
      </c>
      <c r="J3292" s="118" t="s">
        <v>4195</v>
      </c>
      <c r="K3292" s="141"/>
      <c r="L3292" s="135" t="str">
        <f t="shared" si="191"/>
        <v>Oryzorictes talpoides</v>
      </c>
      <c r="M3292" s="133">
        <f t="shared" si="190"/>
        <v>1.5440680443502757</v>
      </c>
      <c r="N3292" s="133">
        <v>35</v>
      </c>
      <c r="O3292" s="179" t="s">
        <v>1240</v>
      </c>
      <c r="P3292" s="108">
        <v>150</v>
      </c>
      <c r="Q3292" s="85"/>
    </row>
    <row r="3293" spans="1:17">
      <c r="A3293" s="213" t="s">
        <v>2594</v>
      </c>
      <c r="B3293" s="130" t="s">
        <v>2593</v>
      </c>
      <c r="C3293" s="118" t="s">
        <v>3817</v>
      </c>
      <c r="D3293" s="141"/>
      <c r="E3293" s="118"/>
      <c r="F3293" s="118"/>
      <c r="G3293" s="118" t="s">
        <v>7278</v>
      </c>
      <c r="H3293" s="118" t="s">
        <v>7424</v>
      </c>
      <c r="I3293" s="118" t="s">
        <v>3550</v>
      </c>
      <c r="J3293" s="118" t="s">
        <v>3804</v>
      </c>
      <c r="K3293" s="141"/>
      <c r="L3293" s="135" t="str">
        <f t="shared" si="191"/>
        <v>Oryzorictes tetradactylus</v>
      </c>
      <c r="M3293" s="133">
        <f t="shared" si="190"/>
        <v>1.5563025007672873</v>
      </c>
      <c r="N3293" s="133">
        <v>36</v>
      </c>
      <c r="O3293" s="179" t="s">
        <v>6157</v>
      </c>
      <c r="P3293" s="108">
        <v>154</v>
      </c>
      <c r="Q3293" s="85"/>
    </row>
    <row r="3294" spans="1:17">
      <c r="A3294" s="213" t="s">
        <v>2594</v>
      </c>
      <c r="B3294" s="130" t="s">
        <v>2593</v>
      </c>
      <c r="C3294" s="118" t="s">
        <v>3817</v>
      </c>
      <c r="D3294" s="141"/>
      <c r="E3294" s="118"/>
      <c r="F3294" s="118"/>
      <c r="G3294" s="118" t="s">
        <v>7278</v>
      </c>
      <c r="H3294" s="118" t="s">
        <v>7424</v>
      </c>
      <c r="I3294" s="118" t="s">
        <v>3550</v>
      </c>
      <c r="J3294" s="118" t="s">
        <v>3551</v>
      </c>
      <c r="K3294" s="141"/>
      <c r="L3294" s="135" t="str">
        <f t="shared" si="191"/>
        <v>Oryzorictes hova</v>
      </c>
      <c r="M3294" s="133">
        <f t="shared" si="190"/>
        <v>1.5622928644564746</v>
      </c>
      <c r="N3294" s="133">
        <v>36.5</v>
      </c>
      <c r="O3294" s="179" t="s">
        <v>1240</v>
      </c>
      <c r="P3294" s="108">
        <v>154</v>
      </c>
      <c r="Q3294" s="85"/>
    </row>
    <row r="3295" spans="1:17">
      <c r="A3295" s="213" t="s">
        <v>2594</v>
      </c>
      <c r="B3295" s="141" t="s">
        <v>2593</v>
      </c>
      <c r="C3295" s="118" t="s">
        <v>3817</v>
      </c>
      <c r="D3295" s="141"/>
      <c r="E3295" s="118"/>
      <c r="F3295" s="118"/>
      <c r="G3295" s="118" t="s">
        <v>7278</v>
      </c>
      <c r="H3295" s="118" t="s">
        <v>7424</v>
      </c>
      <c r="I3295" s="118" t="s">
        <v>5850</v>
      </c>
      <c r="J3295" s="118" t="s">
        <v>4813</v>
      </c>
      <c r="K3295" s="141"/>
      <c r="L3295" s="135" t="str">
        <f t="shared" si="191"/>
        <v>Setifer setosus</v>
      </c>
      <c r="M3295" s="133">
        <f t="shared" si="190"/>
        <v>2.4683473304121573</v>
      </c>
      <c r="N3295" s="133">
        <v>294</v>
      </c>
      <c r="O3295" s="179" t="s">
        <v>6736</v>
      </c>
      <c r="P3295" s="108">
        <v>68</v>
      </c>
    </row>
    <row r="3296" spans="1:17">
      <c r="A3296" s="213" t="s">
        <v>2594</v>
      </c>
      <c r="B3296" s="141" t="s">
        <v>2593</v>
      </c>
      <c r="C3296" s="118" t="s">
        <v>3817</v>
      </c>
      <c r="D3296" s="141"/>
      <c r="E3296" s="118"/>
      <c r="F3296" s="118"/>
      <c r="G3296" s="118" t="s">
        <v>7278</v>
      </c>
      <c r="H3296" s="118" t="s">
        <v>7424</v>
      </c>
      <c r="I3296" s="118" t="s">
        <v>5851</v>
      </c>
      <c r="J3296" s="118" t="s">
        <v>5815</v>
      </c>
      <c r="K3296" s="141"/>
      <c r="L3296" s="135" t="str">
        <f t="shared" si="191"/>
        <v>Tenrec ecaudatus</v>
      </c>
      <c r="M3296" s="133">
        <f t="shared" si="190"/>
        <v>2.9385197251764921</v>
      </c>
      <c r="N3296" s="133">
        <v>868</v>
      </c>
      <c r="O3296" s="179" t="s">
        <v>6736</v>
      </c>
      <c r="P3296" s="108">
        <v>68</v>
      </c>
    </row>
    <row r="3297" spans="1:18" ht="12" customHeight="1">
      <c r="A3297" s="213" t="s">
        <v>2594</v>
      </c>
      <c r="B3297" s="141" t="s">
        <v>7514</v>
      </c>
      <c r="C3297" s="118" t="s">
        <v>3931</v>
      </c>
      <c r="D3297" s="141">
        <v>1774</v>
      </c>
      <c r="E3297" s="118"/>
      <c r="F3297" s="118"/>
      <c r="G3297" s="118" t="s">
        <v>7345</v>
      </c>
      <c r="H3297" s="118" t="s">
        <v>7542</v>
      </c>
      <c r="I3297" s="118" t="s">
        <v>7672</v>
      </c>
      <c r="J3297" s="118" t="s">
        <v>5463</v>
      </c>
      <c r="K3297" s="141" t="s">
        <v>24</v>
      </c>
      <c r="L3297" s="135" t="str">
        <f t="shared" si="191"/>
        <v>Prolagus sardus</v>
      </c>
      <c r="M3297" s="133">
        <v>-999</v>
      </c>
      <c r="N3297" s="133">
        <v>-999</v>
      </c>
      <c r="O3297" s="179" t="s">
        <v>3356</v>
      </c>
      <c r="P3297" s="108">
        <v>-999</v>
      </c>
      <c r="Q3297" s="80" t="s">
        <v>6907</v>
      </c>
      <c r="R3297" s="89"/>
    </row>
    <row r="3298" spans="1:18">
      <c r="A3298" s="213" t="s">
        <v>2594</v>
      </c>
      <c r="B3298" s="141" t="s">
        <v>6002</v>
      </c>
      <c r="C3298" s="118" t="s">
        <v>3817</v>
      </c>
      <c r="D3298" s="141"/>
      <c r="E3298" s="118"/>
      <c r="F3298" s="118"/>
      <c r="G3298" s="118" t="s">
        <v>7345</v>
      </c>
      <c r="H3298" s="118" t="s">
        <v>7346</v>
      </c>
      <c r="I3298" s="118" t="s">
        <v>7340</v>
      </c>
      <c r="J3298" s="118" t="s">
        <v>2207</v>
      </c>
      <c r="K3298" s="141"/>
      <c r="L3298" s="135" t="str">
        <f t="shared" si="191"/>
        <v>Lepus brachyurus</v>
      </c>
      <c r="M3298" s="133">
        <v>-999</v>
      </c>
      <c r="N3298" s="133">
        <v>-999</v>
      </c>
      <c r="O3298" s="179" t="s">
        <v>3356</v>
      </c>
      <c r="P3298" s="108">
        <v>-999</v>
      </c>
      <c r="Q3298" s="80"/>
    </row>
    <row r="3299" spans="1:18" ht="25.5">
      <c r="A3299" s="213" t="s">
        <v>2594</v>
      </c>
      <c r="B3299" s="141" t="s">
        <v>4754</v>
      </c>
      <c r="C3299" s="118" t="s">
        <v>3817</v>
      </c>
      <c r="D3299" s="141"/>
      <c r="E3299" s="118"/>
      <c r="F3299" s="118"/>
      <c r="G3299" s="118" t="s">
        <v>7345</v>
      </c>
      <c r="H3299" s="118" t="s">
        <v>7346</v>
      </c>
      <c r="I3299" s="118" t="s">
        <v>7340</v>
      </c>
      <c r="J3299" s="118" t="s">
        <v>8271</v>
      </c>
      <c r="K3299" s="141"/>
      <c r="L3299" s="135" t="str">
        <f t="shared" si="191"/>
        <v>Lepus insularis</v>
      </c>
      <c r="M3299" s="133">
        <v>-999</v>
      </c>
      <c r="N3299" s="133">
        <v>-999</v>
      </c>
      <c r="O3299" s="179" t="s">
        <v>8149</v>
      </c>
      <c r="P3299" s="108">
        <v>-999</v>
      </c>
      <c r="Q3299" s="80" t="s">
        <v>6642</v>
      </c>
    </row>
    <row r="3300" spans="1:18">
      <c r="A3300" s="217" t="s">
        <v>2594</v>
      </c>
      <c r="B3300" s="141" t="s">
        <v>1942</v>
      </c>
      <c r="C3300" s="118" t="s">
        <v>3817</v>
      </c>
      <c r="D3300" s="141"/>
      <c r="E3300" s="118"/>
      <c r="F3300" s="118"/>
      <c r="G3300" s="118" t="s">
        <v>7345</v>
      </c>
      <c r="H3300" s="118" t="s">
        <v>7346</v>
      </c>
      <c r="I3300" s="118" t="s">
        <v>7340</v>
      </c>
      <c r="J3300" s="118" t="s">
        <v>4967</v>
      </c>
      <c r="K3300" s="141"/>
      <c r="L3300" s="135" t="str">
        <f t="shared" si="191"/>
        <v>Lepus sinensis</v>
      </c>
      <c r="M3300" s="133">
        <f>LOG(N3300)</f>
        <v>3.1789769472931693</v>
      </c>
      <c r="N3300" s="133">
        <v>1510</v>
      </c>
      <c r="O3300" s="179" t="s">
        <v>3356</v>
      </c>
      <c r="P3300" s="108">
        <v>60</v>
      </c>
      <c r="Q3300" s="80"/>
    </row>
    <row r="3301" spans="1:18">
      <c r="A3301" s="213" t="s">
        <v>2594</v>
      </c>
      <c r="B3301" s="141" t="s">
        <v>3259</v>
      </c>
      <c r="C3301" s="118" t="s">
        <v>3817</v>
      </c>
      <c r="D3301" s="141"/>
      <c r="E3301" s="118"/>
      <c r="F3301" s="118"/>
      <c r="G3301" s="118" t="s">
        <v>7345</v>
      </c>
      <c r="H3301" s="118" t="s">
        <v>7346</v>
      </c>
      <c r="I3301" s="118" t="s">
        <v>7340</v>
      </c>
      <c r="J3301" s="118" t="s">
        <v>5751</v>
      </c>
      <c r="K3301" s="141"/>
      <c r="L3301" s="135" t="str">
        <f t="shared" si="191"/>
        <v>Lepus hainanus</v>
      </c>
      <c r="M3301" s="133">
        <f>LOG(N3301)</f>
        <v>3.3010299956639813</v>
      </c>
      <c r="N3301" s="133">
        <v>2000</v>
      </c>
      <c r="O3301" s="179" t="s">
        <v>7081</v>
      </c>
      <c r="P3301" s="108">
        <v>208</v>
      </c>
      <c r="Q3301" s="80" t="s">
        <v>6988</v>
      </c>
    </row>
    <row r="3302" spans="1:18">
      <c r="A3302" s="213" t="s">
        <v>2594</v>
      </c>
      <c r="B3302" s="130" t="s">
        <v>2435</v>
      </c>
      <c r="C3302" s="118" t="s">
        <v>3817</v>
      </c>
      <c r="D3302" s="141"/>
      <c r="E3302" s="118"/>
      <c r="F3302" s="118"/>
      <c r="G3302" s="118" t="s">
        <v>7345</v>
      </c>
      <c r="H3302" s="118" t="s">
        <v>7346</v>
      </c>
      <c r="I3302" s="118" t="s">
        <v>7340</v>
      </c>
      <c r="J3302" s="118" t="s">
        <v>7341</v>
      </c>
      <c r="K3302" s="141"/>
      <c r="L3302" s="135" t="str">
        <f t="shared" si="191"/>
        <v>Lepus nigricollis</v>
      </c>
      <c r="M3302" s="133">
        <f>LOG(N3302)</f>
        <v>3.3974185423513479</v>
      </c>
      <c r="N3302" s="133">
        <f>AVERAGE((454*4.75), (454*5), (454*6), (454*6.25))</f>
        <v>2497</v>
      </c>
      <c r="O3302" s="179" t="s">
        <v>3356</v>
      </c>
      <c r="P3302" s="115">
        <v>132</v>
      </c>
      <c r="Q3302" s="80"/>
    </row>
    <row r="3303" spans="1:18">
      <c r="A3303" s="213" t="s">
        <v>2594</v>
      </c>
      <c r="B3303" s="141" t="s">
        <v>2275</v>
      </c>
      <c r="C3303" s="118" t="s">
        <v>3817</v>
      </c>
      <c r="D3303" s="141"/>
      <c r="E3303" s="118"/>
      <c r="F3303" s="118"/>
      <c r="G3303" s="118" t="s">
        <v>7345</v>
      </c>
      <c r="H3303" s="118" t="s">
        <v>7346</v>
      </c>
      <c r="I3303" s="118" t="s">
        <v>4974</v>
      </c>
      <c r="J3303" s="118" t="s">
        <v>4975</v>
      </c>
      <c r="K3303" s="141"/>
      <c r="L3303" s="135" t="str">
        <f t="shared" si="191"/>
        <v>Nesolagus netscheri</v>
      </c>
      <c r="M3303" s="133">
        <f>LOG(N3303)</f>
        <v>3.1760912590556813</v>
      </c>
      <c r="N3303" s="133">
        <v>1500</v>
      </c>
      <c r="O3303" s="179" t="s">
        <v>6641</v>
      </c>
      <c r="P3303" s="108" t="s">
        <v>7750</v>
      </c>
      <c r="Q3303" s="80" t="s">
        <v>7071</v>
      </c>
    </row>
    <row r="3304" spans="1:18">
      <c r="A3304" s="213" t="s">
        <v>2594</v>
      </c>
      <c r="B3304" s="141" t="s">
        <v>6002</v>
      </c>
      <c r="C3304" s="118" t="s">
        <v>3817</v>
      </c>
      <c r="D3304" s="141"/>
      <c r="E3304" s="118"/>
      <c r="F3304" s="118"/>
      <c r="G3304" s="118" t="s">
        <v>7345</v>
      </c>
      <c r="H3304" s="118" t="s">
        <v>7346</v>
      </c>
      <c r="I3304" s="118" t="s">
        <v>4976</v>
      </c>
      <c r="J3304" s="118" t="s">
        <v>5940</v>
      </c>
      <c r="K3304" s="141"/>
      <c r="L3304" s="135" t="str">
        <f t="shared" si="191"/>
        <v>Pentalagus furnessi</v>
      </c>
      <c r="M3304" s="133">
        <f>LOG(N3304)</f>
        <v>3.3795321258861191</v>
      </c>
      <c r="N3304" s="133">
        <f>AVERAGE(2030, 2675, 2000, 2880)</f>
        <v>2396.25</v>
      </c>
      <c r="O3304" s="179" t="s">
        <v>6641</v>
      </c>
      <c r="P3304" s="108">
        <v>275</v>
      </c>
      <c r="Q3304" s="80" t="s">
        <v>6640</v>
      </c>
    </row>
    <row r="3305" spans="1:18" ht="25.5">
      <c r="A3305" s="213" t="s">
        <v>2594</v>
      </c>
      <c r="B3305" s="141" t="s">
        <v>7656</v>
      </c>
      <c r="C3305" s="118" t="s">
        <v>3817</v>
      </c>
      <c r="D3305" s="141"/>
      <c r="E3305" s="118"/>
      <c r="F3305" s="118"/>
      <c r="G3305" s="118" t="s">
        <v>7345</v>
      </c>
      <c r="H3305" s="118" t="s">
        <v>7346</v>
      </c>
      <c r="I3305" s="118" t="s">
        <v>2089</v>
      </c>
      <c r="J3305" s="118" t="s">
        <v>5180</v>
      </c>
      <c r="K3305" s="141"/>
      <c r="L3305" s="135" t="str">
        <f t="shared" si="191"/>
        <v>Sylvilagus mansuetus</v>
      </c>
      <c r="M3305" s="133">
        <v>-999</v>
      </c>
      <c r="N3305" s="133">
        <v>-999</v>
      </c>
      <c r="O3305" s="179" t="s">
        <v>6708</v>
      </c>
      <c r="P3305" s="108">
        <v>-999</v>
      </c>
      <c r="Q3305" s="80" t="s">
        <v>6642</v>
      </c>
    </row>
    <row r="3306" spans="1:18">
      <c r="A3306" s="213" t="s">
        <v>2594</v>
      </c>
      <c r="B3306" s="141" t="s">
        <v>6002</v>
      </c>
      <c r="C3306" s="118" t="s">
        <v>3817</v>
      </c>
      <c r="D3306" s="141"/>
      <c r="E3306" s="118"/>
      <c r="F3306" s="118"/>
      <c r="G3306" s="118" t="s">
        <v>7345</v>
      </c>
      <c r="H3306" s="118" t="s">
        <v>7542</v>
      </c>
      <c r="I3306" s="118" t="s">
        <v>4239</v>
      </c>
      <c r="J3306" s="118" t="s">
        <v>7659</v>
      </c>
      <c r="K3306" s="141"/>
      <c r="L3306" s="135" t="str">
        <f t="shared" si="191"/>
        <v>Ochotona hyperborea</v>
      </c>
      <c r="M3306" s="133">
        <f t="shared" ref="M3306:M3316" si="192">LOG(N3306)</f>
        <v>2.0791812460476247</v>
      </c>
      <c r="N3306" s="133">
        <v>120</v>
      </c>
      <c r="O3306" s="179" t="s">
        <v>3356</v>
      </c>
      <c r="P3306" s="108" t="s">
        <v>127</v>
      </c>
      <c r="Q3306" s="80"/>
    </row>
    <row r="3307" spans="1:18" ht="38.25">
      <c r="A3307" s="213" t="s">
        <v>2594</v>
      </c>
      <c r="B3307" s="141" t="s">
        <v>2170</v>
      </c>
      <c r="C3307" s="118" t="s">
        <v>3817</v>
      </c>
      <c r="D3307" s="141"/>
      <c r="E3307" s="118"/>
      <c r="F3307" s="118"/>
      <c r="G3307" s="118" t="s">
        <v>7115</v>
      </c>
      <c r="H3307" s="118" t="s">
        <v>4475</v>
      </c>
      <c r="I3307" s="118" t="s">
        <v>4476</v>
      </c>
      <c r="J3307" s="118" t="s">
        <v>7114</v>
      </c>
      <c r="K3307" s="141"/>
      <c r="L3307" s="135" t="str">
        <f t="shared" si="191"/>
        <v>Tachyglossus aculeatus</v>
      </c>
      <c r="M3307" s="133">
        <f t="shared" si="192"/>
        <v>3.1903316981702914</v>
      </c>
      <c r="N3307" s="133">
        <v>1550</v>
      </c>
      <c r="O3307" s="179" t="s">
        <v>6962</v>
      </c>
      <c r="P3307" s="108">
        <v>151</v>
      </c>
      <c r="Q3307" s="85"/>
    </row>
    <row r="3308" spans="1:18" ht="38.25">
      <c r="A3308" s="214" t="s">
        <v>2594</v>
      </c>
      <c r="B3308" s="141" t="s">
        <v>2170</v>
      </c>
      <c r="C3308" s="136" t="s">
        <v>3817</v>
      </c>
      <c r="D3308" s="220"/>
      <c r="E3308" s="136"/>
      <c r="F3308" s="136"/>
      <c r="G3308" s="134" t="s">
        <v>7115</v>
      </c>
      <c r="H3308" s="134" t="s">
        <v>4475</v>
      </c>
      <c r="I3308" s="134" t="s">
        <v>5817</v>
      </c>
      <c r="J3308" s="134" t="s">
        <v>6981</v>
      </c>
      <c r="K3308" s="135"/>
      <c r="L3308" s="135" t="str">
        <f t="shared" si="191"/>
        <v>Zaglossus bruijnii</v>
      </c>
      <c r="M3308" s="133">
        <f t="shared" si="192"/>
        <v>3.8920946026904804</v>
      </c>
      <c r="N3308" s="137">
        <v>7800</v>
      </c>
      <c r="O3308" s="194" t="s">
        <v>7081</v>
      </c>
      <c r="P3308" s="111">
        <v>151</v>
      </c>
      <c r="Q3308" s="85" t="s">
        <v>6640</v>
      </c>
      <c r="R3308" s="81" t="s">
        <v>8094</v>
      </c>
    </row>
    <row r="3309" spans="1:18" ht="76.5">
      <c r="A3309" s="212" t="s">
        <v>2594</v>
      </c>
      <c r="B3309" s="141" t="s">
        <v>2170</v>
      </c>
      <c r="C3309" s="109" t="s">
        <v>3817</v>
      </c>
      <c r="D3309" s="163"/>
      <c r="E3309" s="109"/>
      <c r="F3309" s="109"/>
      <c r="G3309" s="109" t="s">
        <v>2551</v>
      </c>
      <c r="H3309" s="109" t="s">
        <v>2552</v>
      </c>
      <c r="I3309" s="109" t="s">
        <v>2557</v>
      </c>
      <c r="J3309" s="109" t="s">
        <v>2349</v>
      </c>
      <c r="K3309" s="163"/>
      <c r="L3309" s="135" t="str">
        <f t="shared" si="191"/>
        <v>Isoodon macrourus</v>
      </c>
      <c r="M3309" s="133">
        <f t="shared" si="192"/>
        <v>3.2041199826559246</v>
      </c>
      <c r="N3309" s="151">
        <v>1600</v>
      </c>
      <c r="O3309" s="179" t="s">
        <v>4887</v>
      </c>
      <c r="P3309" s="115">
        <v>151</v>
      </c>
      <c r="Q3309" s="82" t="s">
        <v>7021</v>
      </c>
    </row>
    <row r="3310" spans="1:18" ht="102">
      <c r="A3310" s="213" t="s">
        <v>2594</v>
      </c>
      <c r="B3310" s="130" t="s">
        <v>1728</v>
      </c>
      <c r="C3310" s="118" t="s">
        <v>3817</v>
      </c>
      <c r="D3310" s="141"/>
      <c r="E3310" s="118"/>
      <c r="F3310" s="118"/>
      <c r="G3310" s="118" t="s">
        <v>2551</v>
      </c>
      <c r="H3310" s="118" t="s">
        <v>7229</v>
      </c>
      <c r="I3310" s="118" t="s">
        <v>7272</v>
      </c>
      <c r="J3310" s="118" t="s">
        <v>5819</v>
      </c>
      <c r="K3310" s="141"/>
      <c r="L3310" s="135" t="str">
        <f t="shared" si="191"/>
        <v>Echymipera kalubu</v>
      </c>
      <c r="M3310" s="133">
        <f t="shared" si="192"/>
        <v>2.8407332346118066</v>
      </c>
      <c r="N3310" s="133">
        <f>(893+493)/2</f>
        <v>693</v>
      </c>
      <c r="O3310" s="179"/>
      <c r="P3310" s="108">
        <v>110</v>
      </c>
      <c r="Q3310" s="80" t="s">
        <v>1487</v>
      </c>
    </row>
    <row r="3311" spans="1:18">
      <c r="A3311" s="213" t="s">
        <v>2594</v>
      </c>
      <c r="B3311" s="130"/>
      <c r="C3311" s="118" t="s">
        <v>3817</v>
      </c>
      <c r="D3311" s="141"/>
      <c r="E3311" s="118"/>
      <c r="F3311" s="118"/>
      <c r="G3311" s="118" t="s">
        <v>2551</v>
      </c>
      <c r="H3311" s="118" t="s">
        <v>7229</v>
      </c>
      <c r="I3311" s="118" t="s">
        <v>7272</v>
      </c>
      <c r="J3311" s="118" t="s">
        <v>5819</v>
      </c>
      <c r="K3311" s="141"/>
      <c r="L3311" s="135" t="str">
        <f t="shared" si="191"/>
        <v>Echymipera kalubu</v>
      </c>
      <c r="M3311" s="133">
        <f t="shared" si="192"/>
        <v>2.8419848045901137</v>
      </c>
      <c r="N3311" s="133">
        <v>695</v>
      </c>
      <c r="O3311" s="179" t="s">
        <v>6736</v>
      </c>
      <c r="P3311" s="108">
        <v>-999</v>
      </c>
    </row>
    <row r="3312" spans="1:18" ht="15">
      <c r="A3312" s="213" t="s">
        <v>2594</v>
      </c>
      <c r="B3312" s="141" t="s">
        <v>2600</v>
      </c>
      <c r="C3312" s="118" t="s">
        <v>3817</v>
      </c>
      <c r="D3312" s="141"/>
      <c r="E3312" s="118"/>
      <c r="F3312" s="118"/>
      <c r="G3312" s="118" t="s">
        <v>2551</v>
      </c>
      <c r="H3312" s="118" t="s">
        <v>7229</v>
      </c>
      <c r="I3312" s="118" t="s">
        <v>7272</v>
      </c>
      <c r="J3312" s="118" t="s">
        <v>4806</v>
      </c>
      <c r="K3312" s="141"/>
      <c r="L3312" s="135" t="str">
        <f t="shared" si="191"/>
        <v>Echymipera davidi</v>
      </c>
      <c r="M3312" s="133">
        <f t="shared" si="192"/>
        <v>2.9777236052888476</v>
      </c>
      <c r="N3312" s="133">
        <v>950</v>
      </c>
      <c r="O3312" s="179" t="s">
        <v>3356</v>
      </c>
      <c r="P3312" s="108">
        <v>110</v>
      </c>
      <c r="Q3312" s="88" t="s">
        <v>1298</v>
      </c>
    </row>
    <row r="3313" spans="1:18" ht="25.5">
      <c r="A3313" s="213" t="s">
        <v>2594</v>
      </c>
      <c r="B3313" s="156" t="s">
        <v>2170</v>
      </c>
      <c r="C3313" s="118" t="s">
        <v>3817</v>
      </c>
      <c r="D3313" s="141"/>
      <c r="E3313" s="118"/>
      <c r="F3313" s="118"/>
      <c r="G3313" s="118" t="s">
        <v>2551</v>
      </c>
      <c r="H3313" s="118" t="s">
        <v>7229</v>
      </c>
      <c r="I3313" s="118" t="s">
        <v>7272</v>
      </c>
      <c r="J3313" s="118" t="s">
        <v>5819</v>
      </c>
      <c r="K3313" s="141"/>
      <c r="L3313" s="135" t="str">
        <f t="shared" si="191"/>
        <v>Echymipera kalubu</v>
      </c>
      <c r="M3313" s="133">
        <f t="shared" si="192"/>
        <v>2.9815921172140816</v>
      </c>
      <c r="N3313" s="133">
        <f>AVERAGE(1313, 604)</f>
        <v>958.5</v>
      </c>
      <c r="O3313" s="179" t="s">
        <v>7000</v>
      </c>
      <c r="P3313" s="108">
        <v>151</v>
      </c>
      <c r="Q3313" s="85"/>
    </row>
    <row r="3314" spans="1:18" ht="25.5">
      <c r="A3314" s="213" t="s">
        <v>2594</v>
      </c>
      <c r="B3314" s="141" t="s">
        <v>2170</v>
      </c>
      <c r="C3314" s="118" t="s">
        <v>3817</v>
      </c>
      <c r="D3314" s="141"/>
      <c r="E3314" s="118"/>
      <c r="F3314" s="118"/>
      <c r="G3314" s="118" t="s">
        <v>2551</v>
      </c>
      <c r="H3314" s="118" t="s">
        <v>7229</v>
      </c>
      <c r="I3314" s="118" t="s">
        <v>7272</v>
      </c>
      <c r="J3314" s="118" t="s">
        <v>5944</v>
      </c>
      <c r="K3314" s="141"/>
      <c r="L3314" s="135" t="str">
        <f t="shared" si="191"/>
        <v>Echymipera echinista</v>
      </c>
      <c r="M3314" s="133">
        <f t="shared" si="192"/>
        <v>3</v>
      </c>
      <c r="N3314" s="133">
        <v>1000</v>
      </c>
      <c r="O3314" s="179" t="s">
        <v>7282</v>
      </c>
      <c r="P3314" s="108">
        <v>151</v>
      </c>
      <c r="Q3314" s="85"/>
    </row>
    <row r="3315" spans="1:18" ht="76.5">
      <c r="A3315" s="213" t="s">
        <v>2594</v>
      </c>
      <c r="B3315" s="141" t="s">
        <v>2170</v>
      </c>
      <c r="C3315" s="118" t="s">
        <v>3817</v>
      </c>
      <c r="D3315" s="141"/>
      <c r="E3315" s="118"/>
      <c r="F3315" s="118"/>
      <c r="G3315" s="118" t="s">
        <v>2551</v>
      </c>
      <c r="H3315" s="118" t="s">
        <v>7229</v>
      </c>
      <c r="I3315" s="118" t="s">
        <v>7272</v>
      </c>
      <c r="J3315" s="118" t="s">
        <v>4446</v>
      </c>
      <c r="K3315" s="141"/>
      <c r="L3315" s="135" t="str">
        <f t="shared" si="191"/>
        <v>Echymipera rufescens</v>
      </c>
      <c r="M3315" s="133">
        <f t="shared" si="192"/>
        <v>3.0413926851582249</v>
      </c>
      <c r="N3315" s="133">
        <v>1100</v>
      </c>
      <c r="O3315" s="179" t="s">
        <v>7027</v>
      </c>
      <c r="P3315" s="108">
        <v>151</v>
      </c>
      <c r="Q3315" s="85" t="s">
        <v>7021</v>
      </c>
    </row>
    <row r="3316" spans="1:18" ht="51">
      <c r="A3316" s="213" t="s">
        <v>2594</v>
      </c>
      <c r="B3316" s="141" t="s">
        <v>2170</v>
      </c>
      <c r="C3316" s="118" t="s">
        <v>3817</v>
      </c>
      <c r="D3316" s="141"/>
      <c r="E3316" s="118"/>
      <c r="F3316" s="118"/>
      <c r="G3316" s="118" t="s">
        <v>2551</v>
      </c>
      <c r="H3316" s="118" t="s">
        <v>7229</v>
      </c>
      <c r="I3316" s="118" t="s">
        <v>7272</v>
      </c>
      <c r="J3316" s="118" t="s">
        <v>4805</v>
      </c>
      <c r="K3316" s="141"/>
      <c r="L3316" s="135" t="str">
        <f t="shared" si="191"/>
        <v>Echymipera clara</v>
      </c>
      <c r="M3316" s="133">
        <f t="shared" si="192"/>
        <v>3.0921941206973163</v>
      </c>
      <c r="N3316" s="133">
        <f>AVERAGE(1490, 983)</f>
        <v>1236.5</v>
      </c>
      <c r="O3316" s="179" t="s">
        <v>7081</v>
      </c>
      <c r="P3316" s="108">
        <v>151</v>
      </c>
      <c r="Q3316" s="85" t="s">
        <v>6987</v>
      </c>
      <c r="R3316" s="79" t="s">
        <v>7117</v>
      </c>
    </row>
    <row r="3317" spans="1:18" ht="51">
      <c r="A3317" s="213" t="s">
        <v>2594</v>
      </c>
      <c r="B3317" s="141" t="s">
        <v>2170</v>
      </c>
      <c r="C3317" s="118" t="s">
        <v>3817</v>
      </c>
      <c r="D3317" s="141"/>
      <c r="E3317" s="118"/>
      <c r="F3317" s="118"/>
      <c r="G3317" s="118" t="s">
        <v>2551</v>
      </c>
      <c r="H3317" s="118" t="s">
        <v>7229</v>
      </c>
      <c r="I3317" s="118" t="s">
        <v>5164</v>
      </c>
      <c r="J3317" s="118" t="s">
        <v>4306</v>
      </c>
      <c r="K3317" s="141"/>
      <c r="L3317" s="135" t="str">
        <f t="shared" si="191"/>
        <v>Microperoryctes murina</v>
      </c>
      <c r="M3317" s="133">
        <v>-999</v>
      </c>
      <c r="N3317" s="133">
        <v>-999</v>
      </c>
      <c r="O3317" s="179" t="s">
        <v>7765</v>
      </c>
      <c r="P3317" s="108">
        <v>151</v>
      </c>
      <c r="Q3317" s="90" t="s">
        <v>6987</v>
      </c>
      <c r="R3317" s="85" t="s">
        <v>7029</v>
      </c>
    </row>
    <row r="3318" spans="1:18" ht="25.5">
      <c r="A3318" s="213" t="s">
        <v>2594</v>
      </c>
      <c r="B3318" s="141" t="s">
        <v>2170</v>
      </c>
      <c r="C3318" s="118" t="s">
        <v>3817</v>
      </c>
      <c r="D3318" s="141"/>
      <c r="E3318" s="118"/>
      <c r="F3318" s="118"/>
      <c r="G3318" s="118" t="s">
        <v>2551</v>
      </c>
      <c r="H3318" s="118" t="s">
        <v>7229</v>
      </c>
      <c r="I3318" s="118" t="s">
        <v>5164</v>
      </c>
      <c r="J3318" s="118" t="s">
        <v>5532</v>
      </c>
      <c r="K3318" s="141"/>
      <c r="L3318" s="135" t="str">
        <f t="shared" si="191"/>
        <v>Microperoryctes papuensis</v>
      </c>
      <c r="M3318" s="133">
        <f>LOG(N3318)</f>
        <v>2.1986570869544226</v>
      </c>
      <c r="N3318" s="133">
        <f>AVERAGE(168, 148)</f>
        <v>158</v>
      </c>
      <c r="O3318" s="179" t="s">
        <v>7650</v>
      </c>
      <c r="P3318" s="108">
        <v>151</v>
      </c>
      <c r="Q3318" s="85"/>
    </row>
    <row r="3319" spans="1:18" ht="25.5">
      <c r="A3319" s="213" t="s">
        <v>2594</v>
      </c>
      <c r="B3319" s="141" t="s">
        <v>2170</v>
      </c>
      <c r="C3319" s="118" t="s">
        <v>3817</v>
      </c>
      <c r="D3319" s="141"/>
      <c r="E3319" s="118"/>
      <c r="F3319" s="118"/>
      <c r="G3319" s="118" t="s">
        <v>2551</v>
      </c>
      <c r="H3319" s="118" t="s">
        <v>7229</v>
      </c>
      <c r="I3319" s="118" t="s">
        <v>5164</v>
      </c>
      <c r="J3319" s="118" t="s">
        <v>6702</v>
      </c>
      <c r="K3319" s="141"/>
      <c r="L3319" s="135" t="str">
        <f t="shared" si="191"/>
        <v>Microperoryctes longicauda</v>
      </c>
      <c r="M3319" s="133">
        <f>LOG(N3319)</f>
        <v>2.7307822756663893</v>
      </c>
      <c r="N3319" s="133">
        <f>AVERAGE(478, 598)</f>
        <v>538</v>
      </c>
      <c r="O3319" s="179" t="s">
        <v>7028</v>
      </c>
      <c r="P3319" s="108">
        <v>151</v>
      </c>
      <c r="Q3319" s="85"/>
    </row>
    <row r="3320" spans="1:18" ht="25.5">
      <c r="A3320" s="213" t="s">
        <v>2594</v>
      </c>
      <c r="B3320" s="141" t="s">
        <v>2170</v>
      </c>
      <c r="C3320" s="118" t="s">
        <v>3817</v>
      </c>
      <c r="D3320" s="141"/>
      <c r="E3320" s="118"/>
      <c r="F3320" s="118"/>
      <c r="G3320" s="118" t="s">
        <v>2551</v>
      </c>
      <c r="H3320" s="118" t="s">
        <v>7229</v>
      </c>
      <c r="I3320" s="118" t="s">
        <v>4816</v>
      </c>
      <c r="J3320" s="118" t="s">
        <v>5925</v>
      </c>
      <c r="K3320" s="141"/>
      <c r="L3320" s="135" t="str">
        <f t="shared" si="191"/>
        <v>Peroryctes raffrayana</v>
      </c>
      <c r="M3320" s="133">
        <f>LOG(N3320)</f>
        <v>2.9235030669421045</v>
      </c>
      <c r="N3320" s="133">
        <f>AVERAGE(865, 812)</f>
        <v>838.5</v>
      </c>
      <c r="O3320" s="179" t="s">
        <v>7767</v>
      </c>
      <c r="P3320" s="108">
        <v>151</v>
      </c>
      <c r="Q3320" s="85"/>
    </row>
    <row r="3321" spans="1:18" ht="76.5">
      <c r="A3321" s="213" t="s">
        <v>2594</v>
      </c>
      <c r="B3321" s="141" t="s">
        <v>2170</v>
      </c>
      <c r="C3321" s="118" t="s">
        <v>3817</v>
      </c>
      <c r="D3321" s="141"/>
      <c r="E3321" s="118"/>
      <c r="F3321" s="118"/>
      <c r="G3321" s="118" t="s">
        <v>2551</v>
      </c>
      <c r="H3321" s="118" t="s">
        <v>7229</v>
      </c>
      <c r="I3321" s="118" t="s">
        <v>4816</v>
      </c>
      <c r="J3321" s="118" t="s">
        <v>5924</v>
      </c>
      <c r="K3321" s="141"/>
      <c r="L3321" s="135" t="str">
        <f t="shared" si="191"/>
        <v>Peroryctes broadbenti</v>
      </c>
      <c r="M3321" s="133">
        <f>LOG(N3321)</f>
        <v>3.6812412373755872</v>
      </c>
      <c r="N3321" s="133">
        <v>4800</v>
      </c>
      <c r="O3321" s="179" t="s">
        <v>7035</v>
      </c>
      <c r="P3321" s="108">
        <v>151</v>
      </c>
      <c r="Q3321" s="85" t="s">
        <v>7766</v>
      </c>
    </row>
    <row r="3322" spans="1:18">
      <c r="A3322" s="213" t="s">
        <v>2594</v>
      </c>
      <c r="B3322" s="141" t="s">
        <v>2600</v>
      </c>
      <c r="C3322" s="118" t="s">
        <v>3817</v>
      </c>
      <c r="D3322" s="141"/>
      <c r="E3322" s="118"/>
      <c r="F3322" s="118"/>
      <c r="G3322" s="118" t="s">
        <v>2551</v>
      </c>
      <c r="H3322" s="118" t="s">
        <v>7229</v>
      </c>
      <c r="I3322" s="118" t="s">
        <v>5926</v>
      </c>
      <c r="J3322" s="118" t="s">
        <v>5695</v>
      </c>
      <c r="K3322" s="141"/>
      <c r="L3322" s="135" t="str">
        <f t="shared" si="191"/>
        <v>Rhynchomeles prattorum</v>
      </c>
      <c r="M3322" s="133">
        <v>-999</v>
      </c>
      <c r="N3322" s="133">
        <v>-999</v>
      </c>
      <c r="O3322" s="179" t="s">
        <v>7080</v>
      </c>
      <c r="P3322" s="108">
        <v>-999</v>
      </c>
      <c r="Q3322" s="80" t="s">
        <v>6987</v>
      </c>
    </row>
    <row r="3323" spans="1:18">
      <c r="A3323" s="213" t="s">
        <v>2594</v>
      </c>
      <c r="B3323" s="130" t="s">
        <v>2109</v>
      </c>
      <c r="C3323" s="118" t="s">
        <v>5092</v>
      </c>
      <c r="D3323" s="141"/>
      <c r="E3323" s="118"/>
      <c r="F3323" s="118"/>
      <c r="G3323" s="118" t="s">
        <v>7273</v>
      </c>
      <c r="H3323" s="118" t="s">
        <v>7157</v>
      </c>
      <c r="I3323" s="118" t="s">
        <v>7158</v>
      </c>
      <c r="J3323" s="118" t="s">
        <v>5230</v>
      </c>
      <c r="K3323" s="141"/>
      <c r="L3323" s="135" t="str">
        <f t="shared" si="191"/>
        <v>Tapirus indicus</v>
      </c>
      <c r="M3323" s="133">
        <f t="shared" ref="M3323:M3342" si="193">LOG(N3323)</f>
        <v>5.4716583590181607</v>
      </c>
      <c r="N3323" s="133">
        <v>296250</v>
      </c>
      <c r="O3323" s="179" t="s">
        <v>1097</v>
      </c>
      <c r="P3323" s="109" t="s">
        <v>5900</v>
      </c>
      <c r="Q3323" s="80"/>
    </row>
    <row r="3324" spans="1:18" ht="12" customHeight="1">
      <c r="A3324" s="213" t="s">
        <v>2594</v>
      </c>
      <c r="B3324" s="130" t="s">
        <v>2109</v>
      </c>
      <c r="C3324" s="118" t="s">
        <v>3817</v>
      </c>
      <c r="D3324" s="141"/>
      <c r="E3324" s="118"/>
      <c r="F3324" s="118"/>
      <c r="G3324" s="118" t="s">
        <v>7273</v>
      </c>
      <c r="H3324" s="118" t="s">
        <v>2515</v>
      </c>
      <c r="I3324" s="118" t="s">
        <v>6478</v>
      </c>
      <c r="J3324" s="118" t="s">
        <v>6166</v>
      </c>
      <c r="K3324" s="141"/>
      <c r="L3324" s="135" t="str">
        <f t="shared" si="191"/>
        <v>Dicerorhinus sumatrensis</v>
      </c>
      <c r="M3324" s="133">
        <f t="shared" si="193"/>
        <v>6.1026624561851541</v>
      </c>
      <c r="N3324" s="133">
        <v>1266667</v>
      </c>
      <c r="O3324" s="179" t="s">
        <v>6736</v>
      </c>
      <c r="P3324" s="108" t="s">
        <v>5900</v>
      </c>
      <c r="Q3324" s="88"/>
    </row>
    <row r="3325" spans="1:18" ht="12" customHeight="1">
      <c r="A3325" s="213" t="s">
        <v>2594</v>
      </c>
      <c r="B3325" s="130" t="s">
        <v>2435</v>
      </c>
      <c r="C3325" s="118" t="s">
        <v>3817</v>
      </c>
      <c r="D3325" s="141"/>
      <c r="E3325" s="118"/>
      <c r="F3325" s="118"/>
      <c r="G3325" s="118" t="s">
        <v>4821</v>
      </c>
      <c r="H3325" s="118" t="s">
        <v>4822</v>
      </c>
      <c r="I3325" s="118" t="s">
        <v>5047</v>
      </c>
      <c r="J3325" s="118" t="s">
        <v>4503</v>
      </c>
      <c r="K3325" s="141"/>
      <c r="L3325" s="135" t="str">
        <f t="shared" si="191"/>
        <v>Manis crassicaudata</v>
      </c>
      <c r="M3325" s="133">
        <f t="shared" si="193"/>
        <v>4.1144330493810095</v>
      </c>
      <c r="N3325" s="133">
        <f>AVERAGE((454*42), (454*24), (454*20))</f>
        <v>13014.666666666666</v>
      </c>
      <c r="O3325" s="182"/>
      <c r="P3325" s="111">
        <v>132</v>
      </c>
      <c r="Q3325" s="88" t="s">
        <v>6642</v>
      </c>
    </row>
    <row r="3326" spans="1:18">
      <c r="A3326" s="213" t="s">
        <v>2594</v>
      </c>
      <c r="B3326" s="141" t="s">
        <v>2593</v>
      </c>
      <c r="C3326" s="118" t="s">
        <v>3931</v>
      </c>
      <c r="D3326" s="141">
        <v>1280</v>
      </c>
      <c r="E3326" s="118"/>
      <c r="F3326" s="118"/>
      <c r="G3326" s="118" t="s">
        <v>7250</v>
      </c>
      <c r="H3326" s="118" t="s">
        <v>6270</v>
      </c>
      <c r="I3326" s="118" t="s">
        <v>6271</v>
      </c>
      <c r="J3326" s="118" t="s">
        <v>4060</v>
      </c>
      <c r="K3326" s="141"/>
      <c r="L3326" s="135" t="str">
        <f t="shared" si="191"/>
        <v>Archaeolemur edwardsi</v>
      </c>
      <c r="M3326" s="133">
        <f t="shared" si="193"/>
        <v>4.3010299956639813</v>
      </c>
      <c r="N3326" s="146">
        <v>20000</v>
      </c>
      <c r="O3326" s="179"/>
      <c r="P3326" s="118">
        <v>150</v>
      </c>
      <c r="Q3326" s="82"/>
    </row>
    <row r="3327" spans="1:18">
      <c r="A3327" s="213" t="s">
        <v>2594</v>
      </c>
      <c r="B3327" s="141" t="s">
        <v>2593</v>
      </c>
      <c r="C3327" s="118" t="s">
        <v>3931</v>
      </c>
      <c r="D3327" s="141">
        <v>1280</v>
      </c>
      <c r="E3327" s="118"/>
      <c r="F3327" s="118"/>
      <c r="G3327" s="118" t="s">
        <v>7250</v>
      </c>
      <c r="H3327" s="118" t="s">
        <v>6270</v>
      </c>
      <c r="I3327" s="118" t="s">
        <v>6271</v>
      </c>
      <c r="J3327" s="118" t="s">
        <v>5475</v>
      </c>
      <c r="K3327" s="141"/>
      <c r="L3327" s="135" t="str">
        <f t="shared" si="191"/>
        <v>Archaeolemur majori</v>
      </c>
      <c r="M3327" s="133">
        <f t="shared" si="193"/>
        <v>4.3010299956639813</v>
      </c>
      <c r="N3327" s="146">
        <v>20000</v>
      </c>
      <c r="O3327" s="179" t="s">
        <v>6272</v>
      </c>
      <c r="P3327" s="118">
        <v>150</v>
      </c>
      <c r="Q3327" s="82"/>
    </row>
    <row r="3328" spans="1:18" ht="25.5">
      <c r="A3328" s="213" t="s">
        <v>2594</v>
      </c>
      <c r="B3328" s="141" t="s">
        <v>2593</v>
      </c>
      <c r="C3328" s="118" t="s">
        <v>3931</v>
      </c>
      <c r="D3328" s="141">
        <v>1420</v>
      </c>
      <c r="E3328" s="118"/>
      <c r="F3328" s="118"/>
      <c r="G3328" s="118" t="s">
        <v>7250</v>
      </c>
      <c r="H3328" s="118" t="s">
        <v>8133</v>
      </c>
      <c r="I3328" s="118" t="s">
        <v>6090</v>
      </c>
      <c r="J3328" s="118" t="s">
        <v>56</v>
      </c>
      <c r="K3328" s="141"/>
      <c r="L3328" s="135" t="str">
        <f t="shared" si="191"/>
        <v>Pachylemur insignis</v>
      </c>
      <c r="M3328" s="133">
        <f t="shared" si="193"/>
        <v>3.9542425094393248</v>
      </c>
      <c r="N3328" s="146">
        <v>9000</v>
      </c>
      <c r="O3328" s="179" t="s">
        <v>57</v>
      </c>
      <c r="P3328" s="118">
        <v>150</v>
      </c>
      <c r="Q3328" s="82"/>
    </row>
    <row r="3329" spans="1:18">
      <c r="A3329" s="213" t="s">
        <v>2594</v>
      </c>
      <c r="B3329" s="141" t="s">
        <v>2593</v>
      </c>
      <c r="C3329" s="118" t="s">
        <v>3931</v>
      </c>
      <c r="D3329" s="141">
        <v>1420</v>
      </c>
      <c r="E3329" s="118"/>
      <c r="F3329" s="118"/>
      <c r="G3329" s="118" t="s">
        <v>7250</v>
      </c>
      <c r="H3329" s="118" t="s">
        <v>8133</v>
      </c>
      <c r="I3329" s="118" t="s">
        <v>6090</v>
      </c>
      <c r="J3329" s="118" t="s">
        <v>6127</v>
      </c>
      <c r="K3329" s="141"/>
      <c r="L3329" s="135" t="str">
        <f t="shared" si="191"/>
        <v>Pachylemur jullyi</v>
      </c>
      <c r="M3329" s="133">
        <f t="shared" si="193"/>
        <v>3.9542425094393248</v>
      </c>
      <c r="N3329" s="146">
        <v>9000</v>
      </c>
      <c r="O3329" s="179" t="s">
        <v>58</v>
      </c>
      <c r="P3329" s="118">
        <v>150</v>
      </c>
      <c r="Q3329" s="82"/>
    </row>
    <row r="3330" spans="1:18" ht="25.5">
      <c r="A3330" s="213" t="s">
        <v>2594</v>
      </c>
      <c r="B3330" s="141" t="s">
        <v>2593</v>
      </c>
      <c r="C3330" s="118" t="s">
        <v>3931</v>
      </c>
      <c r="D3330" s="141"/>
      <c r="E3330" s="118">
        <v>1000</v>
      </c>
      <c r="F3330" s="118"/>
      <c r="G3330" s="118" t="s">
        <v>7250</v>
      </c>
      <c r="H3330" s="118" t="s">
        <v>3338</v>
      </c>
      <c r="I3330" s="118" t="s">
        <v>1482</v>
      </c>
      <c r="J3330" s="118" t="s">
        <v>3136</v>
      </c>
      <c r="K3330" s="141"/>
      <c r="L3330" s="135" t="str">
        <f t="shared" si="191"/>
        <v>Megaladapis grandidieri</v>
      </c>
      <c r="M3330" s="133">
        <f t="shared" si="193"/>
        <v>4.720159303405957</v>
      </c>
      <c r="N3330" s="146">
        <v>52500</v>
      </c>
      <c r="O3330" s="179" t="s">
        <v>59</v>
      </c>
      <c r="P3330" s="121">
        <v>150</v>
      </c>
      <c r="Q3330" s="82"/>
    </row>
    <row r="3331" spans="1:18" ht="12" customHeight="1">
      <c r="A3331" s="213" t="s">
        <v>2594</v>
      </c>
      <c r="B3331" s="141" t="s">
        <v>2593</v>
      </c>
      <c r="C3331" s="118" t="s">
        <v>3931</v>
      </c>
      <c r="D3331" s="141"/>
      <c r="E3331" s="118">
        <v>1000</v>
      </c>
      <c r="F3331" s="118"/>
      <c r="G3331" s="118" t="s">
        <v>7250</v>
      </c>
      <c r="H3331" s="118" t="s">
        <v>3338</v>
      </c>
      <c r="I3331" s="118" t="s">
        <v>1482</v>
      </c>
      <c r="J3331" s="118" t="s">
        <v>8119</v>
      </c>
      <c r="K3331" s="141"/>
      <c r="L3331" s="135" t="str">
        <f t="shared" si="191"/>
        <v>Megaladapis madagascariensis</v>
      </c>
      <c r="M3331" s="133">
        <f t="shared" si="193"/>
        <v>4.720159303405957</v>
      </c>
      <c r="N3331" s="146">
        <v>52500</v>
      </c>
      <c r="O3331" s="179" t="s">
        <v>60</v>
      </c>
      <c r="P3331" s="118">
        <v>150</v>
      </c>
      <c r="Q3331" s="82"/>
      <c r="R3331" s="89"/>
    </row>
    <row r="3332" spans="1:18" ht="25.5">
      <c r="A3332" s="213" t="s">
        <v>2594</v>
      </c>
      <c r="B3332" s="141" t="s">
        <v>2593</v>
      </c>
      <c r="C3332" s="118" t="s">
        <v>3931</v>
      </c>
      <c r="D3332" s="141"/>
      <c r="E3332" s="118">
        <v>1000</v>
      </c>
      <c r="F3332" s="118"/>
      <c r="G3332" s="118" t="s">
        <v>7250</v>
      </c>
      <c r="H3332" s="118" t="s">
        <v>3338</v>
      </c>
      <c r="I3332" s="118" t="s">
        <v>1482</v>
      </c>
      <c r="J3332" s="118" t="s">
        <v>4060</v>
      </c>
      <c r="K3332" s="141"/>
      <c r="L3332" s="135" t="str">
        <f t="shared" si="191"/>
        <v>Megaladapis edwardsi</v>
      </c>
      <c r="M3332" s="133">
        <f t="shared" si="193"/>
        <v>4.8750612633917001</v>
      </c>
      <c r="N3332" s="146">
        <v>75000</v>
      </c>
      <c r="O3332" s="179" t="s">
        <v>61</v>
      </c>
      <c r="P3332" s="118">
        <v>150</v>
      </c>
      <c r="Q3332" s="82"/>
    </row>
    <row r="3333" spans="1:18" ht="24" customHeight="1">
      <c r="A3333" s="213" t="s">
        <v>2594</v>
      </c>
      <c r="B3333" s="141" t="s">
        <v>2593</v>
      </c>
      <c r="C3333" s="136" t="s">
        <v>5092</v>
      </c>
      <c r="D3333" s="220"/>
      <c r="E3333" s="136"/>
      <c r="F3333" s="136"/>
      <c r="G3333" s="118" t="s">
        <v>7250</v>
      </c>
      <c r="H3333" s="118" t="s">
        <v>6270</v>
      </c>
      <c r="I3333" s="118" t="s">
        <v>1423</v>
      </c>
      <c r="J3333" s="118" t="s">
        <v>1424</v>
      </c>
      <c r="K3333" s="141"/>
      <c r="L3333" s="135" t="str">
        <f t="shared" ref="L3333:L3396" si="194">I3333&amp;" "&amp;J3333</f>
        <v>Hadropithecus stenognathus</v>
      </c>
      <c r="M3333" s="133">
        <f t="shared" si="193"/>
        <v>4.2304489213782741</v>
      </c>
      <c r="N3333" s="146">
        <v>17000</v>
      </c>
      <c r="O3333" s="179" t="s">
        <v>1514</v>
      </c>
      <c r="P3333" s="109">
        <v>150</v>
      </c>
      <c r="Q3333" s="82"/>
    </row>
    <row r="3334" spans="1:18" ht="38.25">
      <c r="A3334" s="213" t="s">
        <v>2594</v>
      </c>
      <c r="B3334" s="141" t="s">
        <v>2593</v>
      </c>
      <c r="C3334" s="118" t="s">
        <v>5092</v>
      </c>
      <c r="D3334" s="141"/>
      <c r="E3334" s="118"/>
      <c r="F3334" s="118"/>
      <c r="G3334" s="118" t="s">
        <v>7250</v>
      </c>
      <c r="H3334" s="118" t="s">
        <v>3565</v>
      </c>
      <c r="I3334" s="118" t="s">
        <v>8118</v>
      </c>
      <c r="J3334" s="118" t="s">
        <v>4701</v>
      </c>
      <c r="K3334" s="141"/>
      <c r="L3334" s="135" t="str">
        <f t="shared" si="194"/>
        <v>Daubentonia robusta</v>
      </c>
      <c r="M3334" s="133">
        <f t="shared" si="193"/>
        <v>4</v>
      </c>
      <c r="N3334" s="133">
        <v>10000</v>
      </c>
      <c r="O3334" s="179" t="s">
        <v>1286</v>
      </c>
      <c r="P3334" s="109">
        <v>150</v>
      </c>
      <c r="Q3334" s="85"/>
    </row>
    <row r="3335" spans="1:18">
      <c r="A3335" s="213" t="s">
        <v>2594</v>
      </c>
      <c r="B3335" s="141" t="s">
        <v>2593</v>
      </c>
      <c r="C3335" s="136" t="s">
        <v>5092</v>
      </c>
      <c r="D3335" s="220"/>
      <c r="E3335" s="136"/>
      <c r="F3335" s="136"/>
      <c r="G3335" s="118" t="s">
        <v>7250</v>
      </c>
      <c r="H3335" s="118" t="s">
        <v>1720</v>
      </c>
      <c r="I3335" s="118" t="s">
        <v>3108</v>
      </c>
      <c r="J3335" s="118" t="s">
        <v>1729</v>
      </c>
      <c r="K3335" s="141"/>
      <c r="L3335" s="135" t="str">
        <f t="shared" si="194"/>
        <v>Archaeoindris fontoynontii</v>
      </c>
      <c r="M3335" s="133">
        <f t="shared" si="193"/>
        <v>5.3010299956639813</v>
      </c>
      <c r="N3335" s="146">
        <v>200000</v>
      </c>
      <c r="O3335" s="179" t="s">
        <v>1288</v>
      </c>
      <c r="P3335" s="109">
        <v>150</v>
      </c>
      <c r="Q3335" s="82"/>
    </row>
    <row r="3336" spans="1:18" ht="72" customHeight="1">
      <c r="A3336" s="213" t="s">
        <v>2594</v>
      </c>
      <c r="B3336" s="141" t="s">
        <v>2593</v>
      </c>
      <c r="C3336" s="136" t="s">
        <v>5092</v>
      </c>
      <c r="D3336" s="220"/>
      <c r="E3336" s="136"/>
      <c r="F3336" s="136"/>
      <c r="G3336" s="118" t="s">
        <v>7250</v>
      </c>
      <c r="H3336" s="118" t="s">
        <v>1720</v>
      </c>
      <c r="I3336" s="118" t="s">
        <v>1289</v>
      </c>
      <c r="J3336" s="118" t="s">
        <v>3050</v>
      </c>
      <c r="K3336" s="141"/>
      <c r="L3336" s="135" t="str">
        <f t="shared" si="194"/>
        <v>Babakotia radofilai</v>
      </c>
      <c r="M3336" s="133">
        <f t="shared" si="193"/>
        <v>4.1760912590556813</v>
      </c>
      <c r="N3336" s="146">
        <v>15000</v>
      </c>
      <c r="O3336" s="179"/>
      <c r="P3336" s="109">
        <v>150</v>
      </c>
      <c r="Q3336" s="82"/>
      <c r="R3336" s="89"/>
    </row>
    <row r="3337" spans="1:18" ht="24" customHeight="1">
      <c r="A3337" s="213" t="s">
        <v>2594</v>
      </c>
      <c r="B3337" s="141" t="s">
        <v>2593</v>
      </c>
      <c r="C3337" s="136" t="s">
        <v>5092</v>
      </c>
      <c r="D3337" s="220"/>
      <c r="E3337" s="136"/>
      <c r="F3337" s="136"/>
      <c r="G3337" s="118" t="s">
        <v>7250</v>
      </c>
      <c r="H3337" s="118" t="s">
        <v>1720</v>
      </c>
      <c r="I3337" s="118" t="s">
        <v>3051</v>
      </c>
      <c r="J3337" s="118" t="s">
        <v>1197</v>
      </c>
      <c r="K3337" s="141"/>
      <c r="L3337" s="135" t="str">
        <f t="shared" si="194"/>
        <v>Mesopropithecus dolichobrachion</v>
      </c>
      <c r="M3337" s="133">
        <f t="shared" si="193"/>
        <v>4</v>
      </c>
      <c r="N3337" s="146">
        <v>10000</v>
      </c>
      <c r="O3337" s="179"/>
      <c r="P3337" s="109">
        <v>150</v>
      </c>
      <c r="Q3337" s="82"/>
    </row>
    <row r="3338" spans="1:18">
      <c r="A3338" s="213" t="s">
        <v>2594</v>
      </c>
      <c r="B3338" s="141" t="s">
        <v>2593</v>
      </c>
      <c r="C3338" s="136" t="s">
        <v>5092</v>
      </c>
      <c r="D3338" s="220"/>
      <c r="E3338" s="136"/>
      <c r="F3338" s="136"/>
      <c r="G3338" s="118" t="s">
        <v>7250</v>
      </c>
      <c r="H3338" s="118" t="s">
        <v>1720</v>
      </c>
      <c r="I3338" s="118" t="s">
        <v>3051</v>
      </c>
      <c r="J3338" s="118" t="s">
        <v>2962</v>
      </c>
      <c r="K3338" s="141"/>
      <c r="L3338" s="135" t="str">
        <f t="shared" si="194"/>
        <v>Mesopropithecus globiceps</v>
      </c>
      <c r="M3338" s="133">
        <f t="shared" si="193"/>
        <v>4</v>
      </c>
      <c r="N3338" s="146">
        <v>10000</v>
      </c>
      <c r="O3338" s="179"/>
      <c r="P3338" s="109">
        <v>150</v>
      </c>
      <c r="Q3338" s="82"/>
    </row>
    <row r="3339" spans="1:18">
      <c r="A3339" s="213" t="s">
        <v>2594</v>
      </c>
      <c r="B3339" s="141" t="s">
        <v>2593</v>
      </c>
      <c r="C3339" s="136" t="s">
        <v>5092</v>
      </c>
      <c r="D3339" s="220"/>
      <c r="E3339" s="136"/>
      <c r="F3339" s="136"/>
      <c r="G3339" s="118" t="s">
        <v>7250</v>
      </c>
      <c r="H3339" s="118" t="s">
        <v>1720</v>
      </c>
      <c r="I3339" s="118" t="s">
        <v>3051</v>
      </c>
      <c r="J3339" s="118" t="s">
        <v>2963</v>
      </c>
      <c r="K3339" s="141"/>
      <c r="L3339" s="135" t="str">
        <f t="shared" si="194"/>
        <v>Mesopropithecus prithecoides</v>
      </c>
      <c r="M3339" s="133">
        <f t="shared" si="193"/>
        <v>4</v>
      </c>
      <c r="N3339" s="146">
        <v>10000</v>
      </c>
      <c r="O3339" s="179"/>
      <c r="P3339" s="109">
        <v>150</v>
      </c>
      <c r="Q3339" s="82"/>
    </row>
    <row r="3340" spans="1:18">
      <c r="A3340" s="213" t="s">
        <v>2594</v>
      </c>
      <c r="B3340" s="141" t="s">
        <v>2593</v>
      </c>
      <c r="C3340" s="136" t="s">
        <v>5092</v>
      </c>
      <c r="D3340" s="220"/>
      <c r="E3340" s="136"/>
      <c r="F3340" s="136"/>
      <c r="G3340" s="118" t="s">
        <v>7250</v>
      </c>
      <c r="H3340" s="118" t="s">
        <v>1720</v>
      </c>
      <c r="I3340" s="118" t="s">
        <v>3106</v>
      </c>
      <c r="J3340" s="118" t="s">
        <v>3159</v>
      </c>
      <c r="K3340" s="141"/>
      <c r="L3340" s="135" t="str">
        <f t="shared" si="194"/>
        <v>Palaeopropithecus ingens</v>
      </c>
      <c r="M3340" s="133">
        <f t="shared" si="193"/>
        <v>4.6766936096248664</v>
      </c>
      <c r="N3340" s="146">
        <v>47500</v>
      </c>
      <c r="O3340" s="183"/>
      <c r="P3340" s="109">
        <v>150</v>
      </c>
      <c r="Q3340" s="82"/>
    </row>
    <row r="3341" spans="1:18">
      <c r="A3341" s="213" t="s">
        <v>2594</v>
      </c>
      <c r="B3341" s="141" t="s">
        <v>2593</v>
      </c>
      <c r="C3341" s="136" t="s">
        <v>5092</v>
      </c>
      <c r="D3341" s="220"/>
      <c r="E3341" s="136"/>
      <c r="F3341" s="136"/>
      <c r="G3341" s="118" t="s">
        <v>7250</v>
      </c>
      <c r="H3341" s="118" t="s">
        <v>1720</v>
      </c>
      <c r="I3341" s="118" t="s">
        <v>3106</v>
      </c>
      <c r="J3341" s="118" t="s">
        <v>3429</v>
      </c>
      <c r="K3341" s="141"/>
      <c r="L3341" s="135" t="str">
        <f t="shared" si="194"/>
        <v>Palaeopropithecus maximus</v>
      </c>
      <c r="M3341" s="133">
        <f t="shared" si="193"/>
        <v>4.6766936096248664</v>
      </c>
      <c r="N3341" s="146">
        <v>47500</v>
      </c>
      <c r="O3341" s="179" t="s">
        <v>3107</v>
      </c>
      <c r="P3341" s="109">
        <v>150</v>
      </c>
      <c r="Q3341" s="82"/>
    </row>
    <row r="3342" spans="1:18">
      <c r="A3342" s="213" t="s">
        <v>2594</v>
      </c>
      <c r="B3342" s="141" t="s">
        <v>2747</v>
      </c>
      <c r="C3342" s="118" t="s">
        <v>3817</v>
      </c>
      <c r="D3342" s="141"/>
      <c r="E3342" s="118"/>
      <c r="F3342" s="118"/>
      <c r="G3342" s="118" t="s">
        <v>7250</v>
      </c>
      <c r="H3342" s="118" t="s">
        <v>7251</v>
      </c>
      <c r="I3342" s="118" t="s">
        <v>1943</v>
      </c>
      <c r="J3342" s="118" t="s">
        <v>5528</v>
      </c>
      <c r="K3342" s="141"/>
      <c r="L3342" s="135" t="str">
        <f t="shared" si="194"/>
        <v>Leontopithecus caissara</v>
      </c>
      <c r="M3342" s="133">
        <f t="shared" si="193"/>
        <v>2.7573960287930244</v>
      </c>
      <c r="N3342" s="133">
        <v>572</v>
      </c>
      <c r="O3342" s="179" t="s">
        <v>7081</v>
      </c>
      <c r="P3342" s="108">
        <v>148</v>
      </c>
      <c r="Q3342" s="80" t="s">
        <v>7071</v>
      </c>
    </row>
    <row r="3343" spans="1:18">
      <c r="A3343" s="213" t="s">
        <v>2594</v>
      </c>
      <c r="B3343" s="130" t="s">
        <v>2617</v>
      </c>
      <c r="C3343" s="118" t="s">
        <v>3817</v>
      </c>
      <c r="D3343" s="141"/>
      <c r="E3343" s="118"/>
      <c r="F3343" s="118"/>
      <c r="G3343" s="118" t="s">
        <v>7250</v>
      </c>
      <c r="H3343" s="118" t="s">
        <v>5057</v>
      </c>
      <c r="I3343" s="118" t="s">
        <v>5058</v>
      </c>
      <c r="J3343" s="118" t="s">
        <v>5529</v>
      </c>
      <c r="K3343" s="141"/>
      <c r="L3343" s="135" t="str">
        <f t="shared" si="194"/>
        <v>Alouatta coibensis</v>
      </c>
      <c r="M3343" s="133">
        <v>-999</v>
      </c>
      <c r="N3343" s="133">
        <v>-999</v>
      </c>
      <c r="O3343" s="179" t="s">
        <v>7081</v>
      </c>
      <c r="P3343" s="108">
        <v>-999</v>
      </c>
      <c r="Q3343" s="80" t="s">
        <v>6640</v>
      </c>
    </row>
    <row r="3344" spans="1:18" ht="25.5">
      <c r="A3344" s="213" t="s">
        <v>2594</v>
      </c>
      <c r="B3344" s="141" t="s">
        <v>6150</v>
      </c>
      <c r="C3344" s="118" t="s">
        <v>3817</v>
      </c>
      <c r="D3344" s="141"/>
      <c r="E3344" s="118"/>
      <c r="F3344" s="118"/>
      <c r="G3344" s="118" t="s">
        <v>7250</v>
      </c>
      <c r="H3344" s="118" t="s">
        <v>6300</v>
      </c>
      <c r="I3344" s="118" t="s">
        <v>8025</v>
      </c>
      <c r="J3344" s="118" t="s">
        <v>5177</v>
      </c>
      <c r="K3344" s="141"/>
      <c r="L3344" s="135" t="str">
        <f t="shared" si="194"/>
        <v>Macaca ochreata</v>
      </c>
      <c r="M3344" s="133">
        <f t="shared" ref="M3344:M3375" si="195">LOG(N3344)</f>
        <v>3.4149733479708178</v>
      </c>
      <c r="N3344" s="133">
        <v>2600</v>
      </c>
      <c r="O3344" s="179" t="s">
        <v>6641</v>
      </c>
      <c r="P3344" s="108">
        <v>148</v>
      </c>
      <c r="Q3344" s="80" t="s">
        <v>6987</v>
      </c>
    </row>
    <row r="3345" spans="1:18">
      <c r="A3345" s="213" t="s">
        <v>2594</v>
      </c>
      <c r="B3345" s="141" t="s">
        <v>2435</v>
      </c>
      <c r="C3345" s="118" t="s">
        <v>3817</v>
      </c>
      <c r="D3345" s="141"/>
      <c r="E3345" s="118"/>
      <c r="F3345" s="118"/>
      <c r="G3345" s="118" t="s">
        <v>7250</v>
      </c>
      <c r="H3345" s="118" t="s">
        <v>6300</v>
      </c>
      <c r="I3345" s="118" t="s">
        <v>8025</v>
      </c>
      <c r="J3345" s="118" t="s">
        <v>5612</v>
      </c>
      <c r="K3345" s="141"/>
      <c r="L3345" s="135" t="str">
        <f t="shared" si="194"/>
        <v>Macaca sinica</v>
      </c>
      <c r="M3345" s="133">
        <f t="shared" si="195"/>
        <v>3.5550944485783194</v>
      </c>
      <c r="N3345" s="133">
        <v>3590</v>
      </c>
      <c r="O3345" s="179" t="s">
        <v>6641</v>
      </c>
      <c r="P3345" s="108">
        <v>68</v>
      </c>
      <c r="Q3345" s="80" t="s">
        <v>6988</v>
      </c>
    </row>
    <row r="3346" spans="1:18">
      <c r="A3346" s="213" t="s">
        <v>2594</v>
      </c>
      <c r="B3346" s="130" t="s">
        <v>2109</v>
      </c>
      <c r="C3346" s="118" t="s">
        <v>3817</v>
      </c>
      <c r="D3346" s="141"/>
      <c r="E3346" s="118"/>
      <c r="F3346" s="118"/>
      <c r="G3346" s="118" t="s">
        <v>7250</v>
      </c>
      <c r="H3346" s="118" t="s">
        <v>6300</v>
      </c>
      <c r="I3346" s="118" t="s">
        <v>8025</v>
      </c>
      <c r="J3346" s="118" t="s">
        <v>5616</v>
      </c>
      <c r="K3346" s="141"/>
      <c r="L3346" s="135" t="str">
        <f t="shared" si="194"/>
        <v>Macaca fascicularis</v>
      </c>
      <c r="M3346" s="133">
        <f t="shared" si="195"/>
        <v>3.6766936096248664</v>
      </c>
      <c r="N3346" s="133">
        <f>AVERAGE(6000, 3500)</f>
        <v>4750</v>
      </c>
      <c r="O3346" s="179" t="s">
        <v>7081</v>
      </c>
      <c r="P3346" s="108">
        <v>118</v>
      </c>
      <c r="Q3346" s="80" t="s">
        <v>6642</v>
      </c>
    </row>
    <row r="3347" spans="1:18">
      <c r="A3347" s="213" t="s">
        <v>2594</v>
      </c>
      <c r="B3347" s="141" t="s">
        <v>2112</v>
      </c>
      <c r="C3347" s="118" t="s">
        <v>3817</v>
      </c>
      <c r="D3347" s="141"/>
      <c r="E3347" s="118"/>
      <c r="F3347" s="118"/>
      <c r="G3347" s="118" t="s">
        <v>7250</v>
      </c>
      <c r="H3347" s="118" t="s">
        <v>6300</v>
      </c>
      <c r="I3347" s="118" t="s">
        <v>8025</v>
      </c>
      <c r="J3347" s="118" t="s">
        <v>5912</v>
      </c>
      <c r="K3347" s="141"/>
      <c r="L3347" s="135" t="str">
        <f t="shared" si="194"/>
        <v>Macaca cyclopis</v>
      </c>
      <c r="M3347" s="133">
        <f t="shared" si="195"/>
        <v>3.7781512503836434</v>
      </c>
      <c r="N3347" s="133">
        <v>6000</v>
      </c>
      <c r="O3347" s="179" t="s">
        <v>7081</v>
      </c>
      <c r="P3347" s="108">
        <v>139</v>
      </c>
      <c r="Q3347" s="80" t="s">
        <v>6988</v>
      </c>
    </row>
    <row r="3348" spans="1:18">
      <c r="A3348" s="213" t="s">
        <v>2594</v>
      </c>
      <c r="B3348" s="141" t="s">
        <v>2540</v>
      </c>
      <c r="C3348" s="118" t="s">
        <v>3817</v>
      </c>
      <c r="D3348" s="141"/>
      <c r="E3348" s="118"/>
      <c r="F3348" s="118"/>
      <c r="G3348" s="118" t="s">
        <v>7250</v>
      </c>
      <c r="H3348" s="118" t="s">
        <v>6300</v>
      </c>
      <c r="I3348" s="118" t="s">
        <v>8025</v>
      </c>
      <c r="J3348" s="118" t="s">
        <v>5619</v>
      </c>
      <c r="K3348" s="141"/>
      <c r="L3348" s="135" t="str">
        <f t="shared" si="194"/>
        <v>Macaca nigra</v>
      </c>
      <c r="M3348" s="133">
        <f t="shared" si="195"/>
        <v>3.8061799739838871</v>
      </c>
      <c r="N3348" s="133">
        <v>6400</v>
      </c>
      <c r="O3348" s="179" t="s">
        <v>6641</v>
      </c>
      <c r="P3348" s="108">
        <v>68</v>
      </c>
      <c r="Q3348" s="80" t="s">
        <v>6640</v>
      </c>
    </row>
    <row r="3349" spans="1:18" ht="48" customHeight="1">
      <c r="A3349" s="213" t="s">
        <v>2594</v>
      </c>
      <c r="B3349" s="130" t="s">
        <v>2109</v>
      </c>
      <c r="C3349" s="118" t="s">
        <v>3817</v>
      </c>
      <c r="D3349" s="141"/>
      <c r="E3349" s="118"/>
      <c r="F3349" s="118"/>
      <c r="G3349" s="118" t="s">
        <v>7250</v>
      </c>
      <c r="H3349" s="118" t="s">
        <v>6300</v>
      </c>
      <c r="I3349" s="118" t="s">
        <v>8025</v>
      </c>
      <c r="J3349" s="118" t="s">
        <v>5618</v>
      </c>
      <c r="K3349" s="141"/>
      <c r="L3349" s="135" t="str">
        <f t="shared" si="194"/>
        <v>Macaca nemestrina</v>
      </c>
      <c r="M3349" s="133">
        <f t="shared" si="195"/>
        <v>3.8129133566428557</v>
      </c>
      <c r="N3349" s="133">
        <f>AVERAGE(8000, 5000)</f>
        <v>6500</v>
      </c>
      <c r="O3349" s="179" t="s">
        <v>7081</v>
      </c>
      <c r="P3349" s="108">
        <v>118</v>
      </c>
      <c r="Q3349" s="88" t="s">
        <v>6988</v>
      </c>
    </row>
    <row r="3350" spans="1:18" ht="25.5">
      <c r="A3350" s="213" t="s">
        <v>2594</v>
      </c>
      <c r="B3350" s="141" t="s">
        <v>5805</v>
      </c>
      <c r="C3350" s="118" t="s">
        <v>3817</v>
      </c>
      <c r="D3350" s="141"/>
      <c r="E3350" s="118"/>
      <c r="F3350" s="118"/>
      <c r="G3350" s="118" t="s">
        <v>7250</v>
      </c>
      <c r="H3350" s="118" t="s">
        <v>6300</v>
      </c>
      <c r="I3350" s="118" t="s">
        <v>8025</v>
      </c>
      <c r="J3350" s="118" t="s">
        <v>5176</v>
      </c>
      <c r="K3350" s="141"/>
      <c r="L3350" s="135" t="str">
        <f t="shared" si="194"/>
        <v>Macaca maura</v>
      </c>
      <c r="M3350" s="133">
        <f t="shared" si="195"/>
        <v>3.8633228601204559</v>
      </c>
      <c r="N3350" s="133">
        <f>AVERAGE(5100, 9500)</f>
        <v>7300</v>
      </c>
      <c r="O3350" s="179" t="s">
        <v>6641</v>
      </c>
      <c r="P3350" s="108">
        <v>74</v>
      </c>
      <c r="Q3350" s="80" t="s">
        <v>6640</v>
      </c>
      <c r="R3350" s="79" t="s">
        <v>1372</v>
      </c>
    </row>
    <row r="3351" spans="1:18" ht="96" customHeight="1">
      <c r="A3351" s="213" t="s">
        <v>2594</v>
      </c>
      <c r="B3351" s="141" t="s">
        <v>2600</v>
      </c>
      <c r="C3351" s="118" t="s">
        <v>3817</v>
      </c>
      <c r="D3351" s="141"/>
      <c r="E3351" s="118"/>
      <c r="F3351" s="118"/>
      <c r="G3351" s="118" t="s">
        <v>7250</v>
      </c>
      <c r="H3351" s="118" t="s">
        <v>6300</v>
      </c>
      <c r="I3351" s="118" t="s">
        <v>8025</v>
      </c>
      <c r="J3351" s="118" t="s">
        <v>5391</v>
      </c>
      <c r="K3351" s="141"/>
      <c r="L3351" s="135" t="str">
        <f t="shared" si="194"/>
        <v>Macaca tonkeana</v>
      </c>
      <c r="M3351" s="133">
        <f t="shared" si="195"/>
        <v>3.9542425094393248</v>
      </c>
      <c r="N3351" s="133">
        <v>9000</v>
      </c>
      <c r="O3351" s="179" t="s">
        <v>6641</v>
      </c>
      <c r="P3351" s="108">
        <v>148</v>
      </c>
      <c r="Q3351" s="88" t="s">
        <v>6642</v>
      </c>
    </row>
    <row r="3352" spans="1:18" ht="51">
      <c r="A3352" s="213" t="s">
        <v>2594</v>
      </c>
      <c r="B3352" s="141" t="s">
        <v>6002</v>
      </c>
      <c r="C3352" s="118" t="s">
        <v>3817</v>
      </c>
      <c r="D3352" s="141"/>
      <c r="E3352" s="118"/>
      <c r="F3352" s="118"/>
      <c r="G3352" s="118" t="s">
        <v>7250</v>
      </c>
      <c r="H3352" s="118" t="s">
        <v>6300</v>
      </c>
      <c r="I3352" s="118" t="s">
        <v>8025</v>
      </c>
      <c r="J3352" s="118" t="s">
        <v>5913</v>
      </c>
      <c r="K3352" s="141"/>
      <c r="L3352" s="135" t="str">
        <f t="shared" si="194"/>
        <v>Macaca fuscata</v>
      </c>
      <c r="M3352" s="133">
        <f t="shared" si="195"/>
        <v>4.0170333392987807</v>
      </c>
      <c r="N3352" s="133">
        <f>AVERAGE(9100, 11700)</f>
        <v>10400</v>
      </c>
      <c r="O3352" s="179" t="s">
        <v>7081</v>
      </c>
      <c r="P3352" s="108">
        <v>74</v>
      </c>
      <c r="Q3352" s="80" t="s">
        <v>6987</v>
      </c>
      <c r="R3352" s="79" t="s">
        <v>1454</v>
      </c>
    </row>
    <row r="3353" spans="1:18" ht="25.5">
      <c r="A3353" s="213" t="s">
        <v>2594</v>
      </c>
      <c r="B3353" s="141" t="s">
        <v>2799</v>
      </c>
      <c r="C3353" s="118" t="s">
        <v>3817</v>
      </c>
      <c r="D3353" s="141"/>
      <c r="E3353" s="118"/>
      <c r="F3353" s="118"/>
      <c r="G3353" s="118" t="s">
        <v>7250</v>
      </c>
      <c r="H3353" s="118" t="s">
        <v>6300</v>
      </c>
      <c r="I3353" s="118" t="s">
        <v>5359</v>
      </c>
      <c r="J3353" s="118" t="s">
        <v>3569</v>
      </c>
      <c r="K3353" s="141"/>
      <c r="L3353" s="135" t="str">
        <f t="shared" si="194"/>
        <v>Nasalis concolor</v>
      </c>
      <c r="M3353" s="133">
        <f t="shared" si="195"/>
        <v>3.8512583487190755</v>
      </c>
      <c r="N3353" s="133">
        <v>7100</v>
      </c>
      <c r="O3353" s="179" t="s">
        <v>7119</v>
      </c>
      <c r="P3353" s="108">
        <v>139</v>
      </c>
      <c r="Q3353" s="80" t="s">
        <v>6640</v>
      </c>
    </row>
    <row r="3354" spans="1:18">
      <c r="A3354" s="213" t="s">
        <v>2594</v>
      </c>
      <c r="B3354" s="141" t="s">
        <v>2109</v>
      </c>
      <c r="C3354" s="118" t="s">
        <v>3817</v>
      </c>
      <c r="D3354" s="141"/>
      <c r="E3354" s="118"/>
      <c r="F3354" s="118"/>
      <c r="G3354" s="118" t="s">
        <v>7250</v>
      </c>
      <c r="H3354" s="118" t="s">
        <v>6300</v>
      </c>
      <c r="I3354" s="118" t="s">
        <v>5359</v>
      </c>
      <c r="J3354" s="118" t="s">
        <v>5823</v>
      </c>
      <c r="K3354" s="141"/>
      <c r="L3354" s="135" t="str">
        <f t="shared" si="194"/>
        <v>Nasalis larvatus</v>
      </c>
      <c r="M3354" s="133">
        <f t="shared" si="195"/>
        <v>3.9542425094393248</v>
      </c>
      <c r="N3354" s="133">
        <v>9000</v>
      </c>
      <c r="O3354" s="179" t="s">
        <v>7081</v>
      </c>
      <c r="P3354" s="108">
        <v>68</v>
      </c>
      <c r="Q3354" s="90" t="s">
        <v>6640</v>
      </c>
    </row>
    <row r="3355" spans="1:18">
      <c r="A3355" s="213" t="s">
        <v>2594</v>
      </c>
      <c r="B3355" s="141" t="s">
        <v>2109</v>
      </c>
      <c r="C3355" s="118" t="s">
        <v>3817</v>
      </c>
      <c r="D3355" s="141"/>
      <c r="E3355" s="118"/>
      <c r="F3355" s="118"/>
      <c r="G3355" s="118" t="s">
        <v>7250</v>
      </c>
      <c r="H3355" s="118" t="s">
        <v>6300</v>
      </c>
      <c r="I3355" s="118" t="s">
        <v>5402</v>
      </c>
      <c r="J3355" s="118" t="s">
        <v>5396</v>
      </c>
      <c r="K3355" s="141"/>
      <c r="L3355" s="135" t="str">
        <f t="shared" si="194"/>
        <v>Presbytis frontata</v>
      </c>
      <c r="M3355" s="133">
        <f t="shared" si="195"/>
        <v>3.781755374652469</v>
      </c>
      <c r="N3355" s="133">
        <f>AVERAGE(5600, 6500)</f>
        <v>6050</v>
      </c>
      <c r="O3355" s="179" t="s">
        <v>6641</v>
      </c>
      <c r="P3355" s="108">
        <v>139</v>
      </c>
      <c r="Q3355" s="80" t="s">
        <v>6987</v>
      </c>
    </row>
    <row r="3356" spans="1:18">
      <c r="A3356" s="213" t="s">
        <v>2594</v>
      </c>
      <c r="B3356" s="141" t="s">
        <v>2538</v>
      </c>
      <c r="C3356" s="118" t="s">
        <v>3817</v>
      </c>
      <c r="D3356" s="141"/>
      <c r="E3356" s="118"/>
      <c r="F3356" s="118"/>
      <c r="G3356" s="118" t="s">
        <v>7250</v>
      </c>
      <c r="H3356" s="118" t="s">
        <v>6300</v>
      </c>
      <c r="I3356" s="118" t="s">
        <v>5402</v>
      </c>
      <c r="J3356" s="118" t="s">
        <v>5403</v>
      </c>
      <c r="K3356" s="141"/>
      <c r="L3356" s="135" t="str">
        <f t="shared" si="194"/>
        <v>Presbytis comata</v>
      </c>
      <c r="M3356" s="133">
        <f t="shared" si="195"/>
        <v>3.7958800173440754</v>
      </c>
      <c r="N3356" s="133">
        <v>6250</v>
      </c>
      <c r="O3356" s="179" t="s">
        <v>6641</v>
      </c>
      <c r="P3356" s="108">
        <v>74</v>
      </c>
      <c r="Q3356" s="90" t="s">
        <v>6640</v>
      </c>
    </row>
    <row r="3357" spans="1:18" ht="15" customHeight="1">
      <c r="A3357" s="213" t="s">
        <v>2594</v>
      </c>
      <c r="B3357" s="141" t="s">
        <v>2539</v>
      </c>
      <c r="C3357" s="118" t="s">
        <v>3817</v>
      </c>
      <c r="D3357" s="141"/>
      <c r="E3357" s="118"/>
      <c r="F3357" s="118"/>
      <c r="G3357" s="118" t="s">
        <v>7250</v>
      </c>
      <c r="H3357" s="118" t="s">
        <v>6300</v>
      </c>
      <c r="I3357" s="118" t="s">
        <v>5402</v>
      </c>
      <c r="J3357" s="118" t="s">
        <v>5404</v>
      </c>
      <c r="K3357" s="141"/>
      <c r="L3357" s="135" t="str">
        <f t="shared" si="194"/>
        <v>Presbytis melalophos</v>
      </c>
      <c r="M3357" s="133">
        <f t="shared" si="195"/>
        <v>3.7993405494535817</v>
      </c>
      <c r="N3357" s="133">
        <v>6300</v>
      </c>
      <c r="O3357" s="179" t="s">
        <v>6641</v>
      </c>
      <c r="P3357" s="108">
        <v>-999</v>
      </c>
      <c r="Q3357" s="80" t="s">
        <v>6642</v>
      </c>
      <c r="R3357" s="79" t="s">
        <v>6736</v>
      </c>
    </row>
    <row r="3358" spans="1:18" ht="36" customHeight="1">
      <c r="A3358" s="213" t="s">
        <v>2594</v>
      </c>
      <c r="B3358" s="141" t="s">
        <v>2109</v>
      </c>
      <c r="C3358" s="118" t="s">
        <v>3817</v>
      </c>
      <c r="D3358" s="141"/>
      <c r="E3358" s="118"/>
      <c r="F3358" s="118"/>
      <c r="G3358" s="118" t="s">
        <v>7250</v>
      </c>
      <c r="H3358" s="118" t="s">
        <v>6300</v>
      </c>
      <c r="I3358" s="118" t="s">
        <v>5402</v>
      </c>
      <c r="J3358" s="118" t="s">
        <v>5389</v>
      </c>
      <c r="K3358" s="141"/>
      <c r="L3358" s="135" t="str">
        <f t="shared" si="194"/>
        <v>Presbytis rubicunda</v>
      </c>
      <c r="M3358" s="133">
        <f t="shared" si="195"/>
        <v>3.7993405494535817</v>
      </c>
      <c r="N3358" s="133">
        <v>6300</v>
      </c>
      <c r="O3358" s="179" t="s">
        <v>6736</v>
      </c>
      <c r="P3358" s="108">
        <v>74</v>
      </c>
    </row>
    <row r="3359" spans="1:18" ht="25.5">
      <c r="A3359" s="213" t="s">
        <v>2594</v>
      </c>
      <c r="B3359" s="141" t="s">
        <v>2600</v>
      </c>
      <c r="C3359" s="118" t="s">
        <v>3817</v>
      </c>
      <c r="D3359" s="141"/>
      <c r="E3359" s="118"/>
      <c r="F3359" s="118"/>
      <c r="G3359" s="118" t="s">
        <v>7250</v>
      </c>
      <c r="H3359" s="118" t="s">
        <v>6300</v>
      </c>
      <c r="I3359" s="118" t="s">
        <v>5402</v>
      </c>
      <c r="J3359" s="118" t="s">
        <v>5397</v>
      </c>
      <c r="K3359" s="141"/>
      <c r="L3359" s="135" t="str">
        <f t="shared" si="194"/>
        <v>Presbytis potenziani</v>
      </c>
      <c r="M3359" s="133">
        <f t="shared" si="195"/>
        <v>3.8095597146352675</v>
      </c>
      <c r="N3359" s="133">
        <f>AVERAGE(6400, 6500)</f>
        <v>6450</v>
      </c>
      <c r="O3359" s="179" t="s">
        <v>6641</v>
      </c>
      <c r="P3359" s="108">
        <v>74</v>
      </c>
      <c r="Q3359" s="80" t="s">
        <v>6988</v>
      </c>
      <c r="R3359" s="79" t="s">
        <v>5898</v>
      </c>
    </row>
    <row r="3360" spans="1:18">
      <c r="A3360" s="213" t="s">
        <v>2594</v>
      </c>
      <c r="B3360" s="141" t="s">
        <v>2109</v>
      </c>
      <c r="C3360" s="118" t="s">
        <v>3817</v>
      </c>
      <c r="D3360" s="141"/>
      <c r="E3360" s="118"/>
      <c r="F3360" s="118"/>
      <c r="G3360" s="118" t="s">
        <v>7250</v>
      </c>
      <c r="H3360" s="118" t="s">
        <v>6300</v>
      </c>
      <c r="I3360" s="118" t="s">
        <v>5402</v>
      </c>
      <c r="J3360" s="118" t="s">
        <v>5637</v>
      </c>
      <c r="K3360" s="141"/>
      <c r="L3360" s="135" t="str">
        <f t="shared" si="194"/>
        <v>Presbytis hosei</v>
      </c>
      <c r="M3360" s="133">
        <f t="shared" si="195"/>
        <v>3.8129133566428557</v>
      </c>
      <c r="N3360" s="133">
        <v>6500</v>
      </c>
      <c r="O3360" s="179" t="s">
        <v>6641</v>
      </c>
      <c r="P3360" s="108">
        <v>118</v>
      </c>
      <c r="Q3360" s="80" t="s">
        <v>6987</v>
      </c>
    </row>
    <row r="3361" spans="1:17" ht="15" customHeight="1">
      <c r="A3361" s="213" t="s">
        <v>2594</v>
      </c>
      <c r="B3361" s="141" t="s">
        <v>2275</v>
      </c>
      <c r="C3361" s="118" t="s">
        <v>3817</v>
      </c>
      <c r="D3361" s="141"/>
      <c r="E3361" s="118"/>
      <c r="F3361" s="118"/>
      <c r="G3361" s="118" t="s">
        <v>7250</v>
      </c>
      <c r="H3361" s="118" t="s">
        <v>6300</v>
      </c>
      <c r="I3361" s="118" t="s">
        <v>5402</v>
      </c>
      <c r="J3361" s="118" t="s">
        <v>4852</v>
      </c>
      <c r="K3361" s="141"/>
      <c r="L3361" s="135" t="str">
        <f t="shared" si="194"/>
        <v>Presbytis thomasi</v>
      </c>
      <c r="M3361" s="133">
        <f t="shared" si="195"/>
        <v>3.8254261177678233</v>
      </c>
      <c r="N3361" s="133">
        <v>6690</v>
      </c>
      <c r="O3361" s="179" t="s">
        <v>6641</v>
      </c>
      <c r="P3361" s="108">
        <v>148</v>
      </c>
      <c r="Q3361" s="90" t="s">
        <v>6642</v>
      </c>
    </row>
    <row r="3362" spans="1:17">
      <c r="A3362" s="213" t="s">
        <v>2594</v>
      </c>
      <c r="B3362" s="141" t="s">
        <v>2600</v>
      </c>
      <c r="C3362" s="118" t="s">
        <v>3817</v>
      </c>
      <c r="D3362" s="141"/>
      <c r="E3362" s="118"/>
      <c r="F3362" s="118"/>
      <c r="G3362" s="118" t="s">
        <v>7250</v>
      </c>
      <c r="H3362" s="118" t="s">
        <v>6300</v>
      </c>
      <c r="I3362" s="118" t="s">
        <v>5402</v>
      </c>
      <c r="J3362" s="118" t="s">
        <v>5392</v>
      </c>
      <c r="K3362" s="141"/>
      <c r="L3362" s="135" t="str">
        <f t="shared" si="194"/>
        <v>Presbytis femoralis</v>
      </c>
      <c r="M3362" s="133">
        <f t="shared" si="195"/>
        <v>3.8450980400142569</v>
      </c>
      <c r="N3362" s="133">
        <f>AVERAGE(5900, 8100)</f>
        <v>7000</v>
      </c>
      <c r="O3362" s="179" t="s">
        <v>6641</v>
      </c>
      <c r="P3362" s="108">
        <v>141</v>
      </c>
      <c r="Q3362" s="80" t="s">
        <v>6642</v>
      </c>
    </row>
    <row r="3363" spans="1:17" ht="24" customHeight="1">
      <c r="A3363" s="213" t="s">
        <v>2594</v>
      </c>
      <c r="B3363" s="141" t="s">
        <v>7743</v>
      </c>
      <c r="C3363" s="118" t="s">
        <v>3817</v>
      </c>
      <c r="D3363" s="141"/>
      <c r="E3363" s="118"/>
      <c r="F3363" s="118"/>
      <c r="G3363" s="118" t="s">
        <v>7250</v>
      </c>
      <c r="H3363" s="118" t="s">
        <v>6300</v>
      </c>
      <c r="I3363" s="118" t="s">
        <v>4720</v>
      </c>
      <c r="J3363" s="118" t="s">
        <v>7712</v>
      </c>
      <c r="K3363" s="141"/>
      <c r="L3363" s="135" t="str">
        <f t="shared" si="194"/>
        <v>Pygathrix nemaeus</v>
      </c>
      <c r="M3363" s="133">
        <f t="shared" si="195"/>
        <v>3.9196010237841108</v>
      </c>
      <c r="N3363" s="133">
        <f>AVERAGE(8180, 8440)</f>
        <v>8310</v>
      </c>
      <c r="O3363" s="179" t="s">
        <v>3356</v>
      </c>
      <c r="P3363" s="108">
        <v>148</v>
      </c>
      <c r="Q3363" s="80"/>
    </row>
    <row r="3364" spans="1:17">
      <c r="A3364" s="213" t="s">
        <v>2594</v>
      </c>
      <c r="B3364" s="130" t="s">
        <v>2435</v>
      </c>
      <c r="C3364" s="118" t="s">
        <v>3817</v>
      </c>
      <c r="D3364" s="141"/>
      <c r="E3364" s="118"/>
      <c r="F3364" s="118"/>
      <c r="G3364" s="118" t="s">
        <v>7250</v>
      </c>
      <c r="H3364" s="121" t="s">
        <v>6300</v>
      </c>
      <c r="I3364" s="118" t="s">
        <v>5106</v>
      </c>
      <c r="J3364" s="118" t="s">
        <v>4723</v>
      </c>
      <c r="K3364" s="141"/>
      <c r="L3364" s="135" t="str">
        <f t="shared" si="194"/>
        <v>Semnopithecus entellus</v>
      </c>
      <c r="M3364" s="133">
        <f t="shared" si="195"/>
        <v>3.958085848521085</v>
      </c>
      <c r="N3364" s="133">
        <f>AVERAGE((18*454), (22*454))</f>
        <v>9080</v>
      </c>
      <c r="O3364" s="182"/>
      <c r="P3364" s="111">
        <v>133</v>
      </c>
      <c r="Q3364" s="80"/>
    </row>
    <row r="3365" spans="1:17" ht="48.95" customHeight="1">
      <c r="A3365" s="213" t="s">
        <v>2594</v>
      </c>
      <c r="B3365" s="130" t="s">
        <v>2435</v>
      </c>
      <c r="C3365" s="118" t="s">
        <v>3817</v>
      </c>
      <c r="D3365" s="141"/>
      <c r="E3365" s="118"/>
      <c r="F3365" s="118"/>
      <c r="G3365" s="118" t="s">
        <v>7250</v>
      </c>
      <c r="H3365" s="121" t="s">
        <v>6300</v>
      </c>
      <c r="I3365" s="118" t="s">
        <v>5106</v>
      </c>
      <c r="J3365" s="118" t="s">
        <v>4723</v>
      </c>
      <c r="K3365" s="141"/>
      <c r="L3365" s="135" t="str">
        <f t="shared" si="194"/>
        <v>Semnopithecus entellus</v>
      </c>
      <c r="M3365" s="133">
        <f t="shared" si="195"/>
        <v>4.0417675957953865</v>
      </c>
      <c r="N3365" s="133">
        <f>AVERAGE(13393, 8626)</f>
        <v>11009.5</v>
      </c>
      <c r="O3365" s="182"/>
      <c r="P3365" s="111">
        <v>132</v>
      </c>
      <c r="Q3365" s="80"/>
    </row>
    <row r="3366" spans="1:17" ht="24" customHeight="1">
      <c r="A3366" s="213" t="s">
        <v>2594</v>
      </c>
      <c r="B3366" s="141" t="s">
        <v>2538</v>
      </c>
      <c r="C3366" s="118" t="s">
        <v>3817</v>
      </c>
      <c r="D3366" s="141"/>
      <c r="E3366" s="118"/>
      <c r="F3366" s="118"/>
      <c r="G3366" s="118" t="s">
        <v>7250</v>
      </c>
      <c r="H3366" s="118" t="s">
        <v>6300</v>
      </c>
      <c r="I3366" s="118" t="s">
        <v>4724</v>
      </c>
      <c r="J3366" s="118" t="s">
        <v>2341</v>
      </c>
      <c r="K3366" s="141"/>
      <c r="L3366" s="135" t="str">
        <f t="shared" si="194"/>
        <v>Trachypithecus auratus</v>
      </c>
      <c r="M3366" s="133">
        <f t="shared" si="195"/>
        <v>3.8512583487190755</v>
      </c>
      <c r="N3366" s="133">
        <v>7100</v>
      </c>
      <c r="O3366" s="179" t="s">
        <v>6641</v>
      </c>
      <c r="P3366" s="108" t="s">
        <v>7889</v>
      </c>
      <c r="Q3366" s="80" t="s">
        <v>6640</v>
      </c>
    </row>
    <row r="3367" spans="1:17">
      <c r="A3367" s="213" t="s">
        <v>2594</v>
      </c>
      <c r="B3367" s="141" t="s">
        <v>2435</v>
      </c>
      <c r="C3367" s="118" t="s">
        <v>3817</v>
      </c>
      <c r="D3367" s="141"/>
      <c r="E3367" s="118"/>
      <c r="F3367" s="118"/>
      <c r="G3367" s="118" t="s">
        <v>7250</v>
      </c>
      <c r="H3367" s="118" t="s">
        <v>6300</v>
      </c>
      <c r="I3367" s="118" t="s">
        <v>4724</v>
      </c>
      <c r="J3367" s="118" t="s">
        <v>7318</v>
      </c>
      <c r="K3367" s="141"/>
      <c r="L3367" s="135" t="str">
        <f t="shared" si="194"/>
        <v>Trachypithecus vetulus</v>
      </c>
      <c r="M3367" s="133">
        <f t="shared" si="195"/>
        <v>3.9459607035775686</v>
      </c>
      <c r="N3367" s="133">
        <v>8830</v>
      </c>
      <c r="O3367" s="179" t="s">
        <v>6641</v>
      </c>
      <c r="P3367" s="108">
        <v>68</v>
      </c>
      <c r="Q3367" s="80" t="s">
        <v>6640</v>
      </c>
    </row>
    <row r="3368" spans="1:17" ht="24" customHeight="1">
      <c r="A3368" s="213" t="s">
        <v>2594</v>
      </c>
      <c r="B3368" s="130" t="s">
        <v>2435</v>
      </c>
      <c r="C3368" s="118" t="s">
        <v>3817</v>
      </c>
      <c r="D3368" s="141"/>
      <c r="E3368" s="118"/>
      <c r="F3368" s="118"/>
      <c r="G3368" s="118" t="s">
        <v>7250</v>
      </c>
      <c r="H3368" s="118" t="s">
        <v>6300</v>
      </c>
      <c r="I3368" s="118" t="s">
        <v>4724</v>
      </c>
      <c r="J3368" s="118" t="s">
        <v>5835</v>
      </c>
      <c r="K3368" s="141"/>
      <c r="L3368" s="135" t="str">
        <f t="shared" si="194"/>
        <v>Trachypithecus johnii</v>
      </c>
      <c r="M3368" s="133">
        <f t="shared" si="195"/>
        <v>4.0187836888746968</v>
      </c>
      <c r="N3368" s="133">
        <f>454*23</f>
        <v>10442</v>
      </c>
      <c r="O3368" s="179" t="s">
        <v>7081</v>
      </c>
      <c r="P3368" s="108">
        <v>133</v>
      </c>
      <c r="Q3368" s="80" t="s">
        <v>6988</v>
      </c>
    </row>
    <row r="3369" spans="1:17" ht="24" customHeight="1">
      <c r="A3369" s="213" t="s">
        <v>2594</v>
      </c>
      <c r="B3369" s="130" t="s">
        <v>2593</v>
      </c>
      <c r="C3369" s="118" t="s">
        <v>3817</v>
      </c>
      <c r="D3369" s="141"/>
      <c r="E3369" s="118"/>
      <c r="F3369" s="118"/>
      <c r="G3369" s="118" t="s">
        <v>7250</v>
      </c>
      <c r="H3369" s="118" t="s">
        <v>6737</v>
      </c>
      <c r="I3369" s="118" t="s">
        <v>5698</v>
      </c>
      <c r="J3369" s="118" t="s">
        <v>4110</v>
      </c>
      <c r="K3369" s="141"/>
      <c r="L3369" s="135" t="str">
        <f t="shared" si="194"/>
        <v>Allocebus trichotis</v>
      </c>
      <c r="M3369" s="133">
        <f t="shared" si="195"/>
        <v>1.8893017025063104</v>
      </c>
      <c r="N3369" s="133">
        <v>77.5</v>
      </c>
      <c r="O3369" s="190" t="s">
        <v>6641</v>
      </c>
      <c r="P3369" s="108">
        <v>150</v>
      </c>
      <c r="Q3369" s="85" t="s">
        <v>6640</v>
      </c>
    </row>
    <row r="3370" spans="1:17" ht="36.950000000000003" customHeight="1">
      <c r="A3370" s="213" t="s">
        <v>2594</v>
      </c>
      <c r="B3370" s="141" t="s">
        <v>2593</v>
      </c>
      <c r="C3370" s="118" t="s">
        <v>3817</v>
      </c>
      <c r="D3370" s="141"/>
      <c r="E3370" s="118"/>
      <c r="F3370" s="118"/>
      <c r="G3370" s="118" t="s">
        <v>7250</v>
      </c>
      <c r="H3370" s="118" t="s">
        <v>6737</v>
      </c>
      <c r="I3370" s="118" t="s">
        <v>5837</v>
      </c>
      <c r="J3370" s="118" t="s">
        <v>5110</v>
      </c>
      <c r="K3370" s="141"/>
      <c r="L3370" s="135" t="str">
        <f t="shared" si="194"/>
        <v>Cheirogaleus medius</v>
      </c>
      <c r="M3370" s="133">
        <f t="shared" si="195"/>
        <v>2.2576785748691846</v>
      </c>
      <c r="N3370" s="133">
        <v>181</v>
      </c>
      <c r="O3370" s="179" t="s">
        <v>6736</v>
      </c>
      <c r="P3370" s="108">
        <v>68</v>
      </c>
      <c r="Q3370" s="85" t="s">
        <v>1200</v>
      </c>
    </row>
    <row r="3371" spans="1:17">
      <c r="A3371" s="213" t="s">
        <v>2594</v>
      </c>
      <c r="B3371" s="141" t="s">
        <v>2232</v>
      </c>
      <c r="C3371" s="118" t="s">
        <v>3817</v>
      </c>
      <c r="D3371" s="141"/>
      <c r="E3371" s="118"/>
      <c r="F3371" s="118"/>
      <c r="G3371" s="118" t="s">
        <v>7250</v>
      </c>
      <c r="H3371" s="118" t="s">
        <v>6737</v>
      </c>
      <c r="I3371" s="118" t="s">
        <v>5837</v>
      </c>
      <c r="J3371" s="118" t="s">
        <v>5110</v>
      </c>
      <c r="K3371" s="141"/>
      <c r="L3371" s="135" t="str">
        <f t="shared" si="194"/>
        <v>Cheirogaleus medius</v>
      </c>
      <c r="M3371" s="133">
        <f t="shared" si="195"/>
        <v>2.2576785748691846</v>
      </c>
      <c r="N3371" s="133">
        <v>181</v>
      </c>
      <c r="O3371" s="179" t="s">
        <v>6736</v>
      </c>
      <c r="P3371" s="108">
        <v>68</v>
      </c>
    </row>
    <row r="3372" spans="1:17" ht="153">
      <c r="A3372" s="213" t="s">
        <v>2594</v>
      </c>
      <c r="B3372" s="141" t="s">
        <v>2593</v>
      </c>
      <c r="C3372" s="118" t="s">
        <v>3817</v>
      </c>
      <c r="D3372" s="141"/>
      <c r="E3372" s="118"/>
      <c r="F3372" s="118"/>
      <c r="G3372" s="118" t="s">
        <v>7250</v>
      </c>
      <c r="H3372" s="118" t="s">
        <v>6737</v>
      </c>
      <c r="I3372" s="118" t="s">
        <v>5837</v>
      </c>
      <c r="J3372" s="118" t="s">
        <v>5838</v>
      </c>
      <c r="K3372" s="141"/>
      <c r="L3372" s="135" t="str">
        <f t="shared" si="194"/>
        <v>Cheirogaleus major</v>
      </c>
      <c r="M3372" s="133">
        <f t="shared" si="195"/>
        <v>2.6532125137753435</v>
      </c>
      <c r="N3372" s="133">
        <v>450</v>
      </c>
      <c r="O3372" s="179" t="s">
        <v>6736</v>
      </c>
      <c r="P3372" s="108">
        <v>68</v>
      </c>
      <c r="Q3372" s="85" t="s">
        <v>5981</v>
      </c>
    </row>
    <row r="3373" spans="1:17">
      <c r="A3373" s="213" t="s">
        <v>2594</v>
      </c>
      <c r="B3373" s="141" t="s">
        <v>2232</v>
      </c>
      <c r="C3373" s="118" t="s">
        <v>3817</v>
      </c>
      <c r="D3373" s="141"/>
      <c r="E3373" s="118"/>
      <c r="F3373" s="118"/>
      <c r="G3373" s="118" t="s">
        <v>7250</v>
      </c>
      <c r="H3373" s="118" t="s">
        <v>6737</v>
      </c>
      <c r="I3373" s="118" t="s">
        <v>5837</v>
      </c>
      <c r="J3373" s="118" t="s">
        <v>5838</v>
      </c>
      <c r="K3373" s="141"/>
      <c r="L3373" s="135" t="str">
        <f t="shared" si="194"/>
        <v>Cheirogaleus major</v>
      </c>
      <c r="M3373" s="133">
        <f t="shared" si="195"/>
        <v>2.6532125137753435</v>
      </c>
      <c r="N3373" s="133">
        <v>450</v>
      </c>
      <c r="O3373" s="179" t="s">
        <v>6736</v>
      </c>
      <c r="P3373" s="108">
        <v>68</v>
      </c>
    </row>
    <row r="3374" spans="1:17">
      <c r="A3374" s="213" t="s">
        <v>2594</v>
      </c>
      <c r="B3374" s="130" t="s">
        <v>2593</v>
      </c>
      <c r="C3374" s="118" t="s">
        <v>3817</v>
      </c>
      <c r="D3374" s="141"/>
      <c r="E3374" s="118"/>
      <c r="F3374" s="118"/>
      <c r="G3374" s="118" t="s">
        <v>7250</v>
      </c>
      <c r="H3374" s="118" t="s">
        <v>6737</v>
      </c>
      <c r="I3374" s="118" t="s">
        <v>5578</v>
      </c>
      <c r="J3374" s="118" t="s">
        <v>3460</v>
      </c>
      <c r="K3374" s="141"/>
      <c r="L3374" s="135" t="str">
        <f t="shared" si="194"/>
        <v>Microcebus myoxinus</v>
      </c>
      <c r="M3374" s="133">
        <f t="shared" si="195"/>
        <v>1.4771212547196624</v>
      </c>
      <c r="N3374" s="133">
        <v>30</v>
      </c>
      <c r="O3374" s="190" t="s">
        <v>7080</v>
      </c>
      <c r="P3374" s="108">
        <v>150</v>
      </c>
      <c r="Q3374" s="85" t="s">
        <v>6640</v>
      </c>
    </row>
    <row r="3375" spans="1:17" ht="38.25">
      <c r="A3375" s="213" t="s">
        <v>2594</v>
      </c>
      <c r="B3375" s="130" t="s">
        <v>2593</v>
      </c>
      <c r="C3375" s="118" t="s">
        <v>3817</v>
      </c>
      <c r="D3375" s="141"/>
      <c r="E3375" s="118"/>
      <c r="F3375" s="118"/>
      <c r="G3375" s="118" t="s">
        <v>7250</v>
      </c>
      <c r="H3375" s="118" t="s">
        <v>6737</v>
      </c>
      <c r="I3375" s="118" t="s">
        <v>5578</v>
      </c>
      <c r="J3375" s="118" t="s">
        <v>2329</v>
      </c>
      <c r="K3375" s="141"/>
      <c r="L3375" s="135" t="str">
        <f t="shared" si="194"/>
        <v>Microcebus rufus</v>
      </c>
      <c r="M3375" s="133">
        <f t="shared" si="195"/>
        <v>1.6283889300503116</v>
      </c>
      <c r="N3375" s="133">
        <v>42.5</v>
      </c>
      <c r="O3375" s="179" t="s">
        <v>6133</v>
      </c>
      <c r="P3375" s="108">
        <v>150</v>
      </c>
      <c r="Q3375" s="85"/>
    </row>
    <row r="3376" spans="1:17">
      <c r="A3376" s="213" t="s">
        <v>2594</v>
      </c>
      <c r="B3376" s="130" t="s">
        <v>2593</v>
      </c>
      <c r="C3376" s="118" t="s">
        <v>3817</v>
      </c>
      <c r="D3376" s="141"/>
      <c r="E3376" s="118"/>
      <c r="F3376" s="118"/>
      <c r="G3376" s="118" t="s">
        <v>7250</v>
      </c>
      <c r="H3376" s="118" t="s">
        <v>6737</v>
      </c>
      <c r="I3376" s="118" t="s">
        <v>5578</v>
      </c>
      <c r="J3376" s="118" t="s">
        <v>6068</v>
      </c>
      <c r="K3376" s="141"/>
      <c r="L3376" s="135" t="str">
        <f t="shared" si="194"/>
        <v>Microcebus ravelobensis</v>
      </c>
      <c r="M3376" s="133">
        <f t="shared" ref="M3376:M3407" si="196">LOG(N3376)</f>
        <v>1.7403626894942439</v>
      </c>
      <c r="N3376" s="133">
        <v>55</v>
      </c>
      <c r="O3376" s="190" t="s">
        <v>6882</v>
      </c>
      <c r="P3376" s="108">
        <v>150</v>
      </c>
      <c r="Q3376" s="85" t="s">
        <v>6640</v>
      </c>
    </row>
    <row r="3377" spans="1:18" ht="102">
      <c r="A3377" s="213" t="s">
        <v>2594</v>
      </c>
      <c r="B3377" s="141" t="s">
        <v>2593</v>
      </c>
      <c r="C3377" s="118" t="s">
        <v>3817</v>
      </c>
      <c r="D3377" s="141"/>
      <c r="E3377" s="118"/>
      <c r="F3377" s="118"/>
      <c r="G3377" s="118" t="s">
        <v>7250</v>
      </c>
      <c r="H3377" s="118" t="s">
        <v>6737</v>
      </c>
      <c r="I3377" s="118" t="s">
        <v>5578</v>
      </c>
      <c r="J3377" s="118" t="s">
        <v>4557</v>
      </c>
      <c r="K3377" s="141"/>
      <c r="L3377" s="135" t="str">
        <f t="shared" si="194"/>
        <v>Microcebus murinus</v>
      </c>
      <c r="M3377" s="133">
        <f t="shared" si="196"/>
        <v>1.8388490907372552</v>
      </c>
      <c r="N3377" s="133">
        <v>69</v>
      </c>
      <c r="O3377" s="179" t="s">
        <v>6736</v>
      </c>
      <c r="P3377" s="108">
        <v>68</v>
      </c>
      <c r="Q3377" s="85" t="s">
        <v>3113</v>
      </c>
    </row>
    <row r="3378" spans="1:18">
      <c r="A3378" s="213" t="s">
        <v>2594</v>
      </c>
      <c r="B3378" s="141" t="s">
        <v>2232</v>
      </c>
      <c r="C3378" s="118" t="s">
        <v>3817</v>
      </c>
      <c r="D3378" s="141"/>
      <c r="E3378" s="118"/>
      <c r="F3378" s="118"/>
      <c r="G3378" s="118" t="s">
        <v>7250</v>
      </c>
      <c r="H3378" s="118" t="s">
        <v>6737</v>
      </c>
      <c r="I3378" s="118" t="s">
        <v>5578</v>
      </c>
      <c r="J3378" s="118" t="s">
        <v>4557</v>
      </c>
      <c r="K3378" s="141"/>
      <c r="L3378" s="135" t="str">
        <f t="shared" si="194"/>
        <v>Microcebus murinus</v>
      </c>
      <c r="M3378" s="133">
        <f t="shared" si="196"/>
        <v>1.8388490907372552</v>
      </c>
      <c r="N3378" s="133">
        <v>69</v>
      </c>
      <c r="O3378" s="179" t="s">
        <v>6736</v>
      </c>
      <c r="P3378" s="108">
        <v>68</v>
      </c>
    </row>
    <row r="3379" spans="1:18">
      <c r="A3379" s="213" t="s">
        <v>2594</v>
      </c>
      <c r="B3379" s="141" t="s">
        <v>2232</v>
      </c>
      <c r="C3379" s="118" t="s">
        <v>3817</v>
      </c>
      <c r="D3379" s="141"/>
      <c r="E3379" s="118"/>
      <c r="F3379" s="118"/>
      <c r="G3379" s="118" t="s">
        <v>7250</v>
      </c>
      <c r="H3379" s="118" t="s">
        <v>6737</v>
      </c>
      <c r="I3379" s="118" t="s">
        <v>5578</v>
      </c>
      <c r="J3379" s="118" t="s">
        <v>5579</v>
      </c>
      <c r="K3379" s="141"/>
      <c r="L3379" s="135" t="str">
        <f t="shared" si="194"/>
        <v>Microcebus coquereli</v>
      </c>
      <c r="M3379" s="133">
        <f t="shared" si="196"/>
        <v>2.4885507165004443</v>
      </c>
      <c r="N3379" s="133">
        <v>308</v>
      </c>
      <c r="O3379" s="179" t="s">
        <v>6736</v>
      </c>
      <c r="P3379" s="108">
        <v>68</v>
      </c>
    </row>
    <row r="3380" spans="1:18" ht="25.5">
      <c r="A3380" s="213" t="s">
        <v>2594</v>
      </c>
      <c r="B3380" s="141" t="s">
        <v>2593</v>
      </c>
      <c r="C3380" s="118" t="s">
        <v>3817</v>
      </c>
      <c r="D3380" s="141"/>
      <c r="E3380" s="118"/>
      <c r="F3380" s="118"/>
      <c r="G3380" s="118" t="s">
        <v>7250</v>
      </c>
      <c r="H3380" s="118" t="s">
        <v>6737</v>
      </c>
      <c r="I3380" s="118" t="s">
        <v>1201</v>
      </c>
      <c r="J3380" s="118" t="s">
        <v>5579</v>
      </c>
      <c r="K3380" s="141"/>
      <c r="L3380" s="135" t="str">
        <f t="shared" si="194"/>
        <v>Mirza coquereli</v>
      </c>
      <c r="M3380" s="133">
        <f t="shared" si="196"/>
        <v>2.4885507165004443</v>
      </c>
      <c r="N3380" s="133">
        <v>308</v>
      </c>
      <c r="O3380" s="189" t="s">
        <v>7518</v>
      </c>
      <c r="P3380" s="108">
        <v>68</v>
      </c>
      <c r="Q3380" s="82" t="s">
        <v>6988</v>
      </c>
    </row>
    <row r="3381" spans="1:18">
      <c r="A3381" s="213" t="s">
        <v>2594</v>
      </c>
      <c r="B3381" s="141" t="s">
        <v>2232</v>
      </c>
      <c r="C3381" s="118" t="s">
        <v>3817</v>
      </c>
      <c r="D3381" s="141"/>
      <c r="E3381" s="118"/>
      <c r="F3381" s="118"/>
      <c r="G3381" s="118" t="s">
        <v>7250</v>
      </c>
      <c r="H3381" s="118" t="s">
        <v>6737</v>
      </c>
      <c r="I3381" s="118" t="s">
        <v>5580</v>
      </c>
      <c r="J3381" s="118" t="s">
        <v>5581</v>
      </c>
      <c r="K3381" s="141"/>
      <c r="L3381" s="135" t="str">
        <f t="shared" si="194"/>
        <v>Phaner furcifer</v>
      </c>
      <c r="M3381" s="133">
        <f t="shared" si="196"/>
        <v>2.6020599913279625</v>
      </c>
      <c r="N3381" s="133">
        <v>400</v>
      </c>
      <c r="O3381" s="179" t="s">
        <v>6736</v>
      </c>
      <c r="P3381" s="108">
        <v>68</v>
      </c>
    </row>
    <row r="3382" spans="1:18">
      <c r="A3382" s="213" t="s">
        <v>2594</v>
      </c>
      <c r="B3382" s="141" t="s">
        <v>2593</v>
      </c>
      <c r="C3382" s="118" t="s">
        <v>3817</v>
      </c>
      <c r="D3382" s="141"/>
      <c r="E3382" s="118"/>
      <c r="F3382" s="118"/>
      <c r="G3382" s="118" t="s">
        <v>7250</v>
      </c>
      <c r="H3382" s="118" t="s">
        <v>6737</v>
      </c>
      <c r="I3382" s="118" t="s">
        <v>5580</v>
      </c>
      <c r="J3382" s="118" t="s">
        <v>5581</v>
      </c>
      <c r="K3382" s="141"/>
      <c r="L3382" s="135" t="str">
        <f t="shared" si="194"/>
        <v>Phaner furcifer</v>
      </c>
      <c r="M3382" s="133">
        <f t="shared" si="196"/>
        <v>2.6020599913279625</v>
      </c>
      <c r="N3382" s="133">
        <v>400</v>
      </c>
      <c r="O3382" s="190" t="s">
        <v>6641</v>
      </c>
      <c r="P3382" s="108">
        <v>68</v>
      </c>
      <c r="Q3382" s="82" t="s">
        <v>6642</v>
      </c>
    </row>
    <row r="3383" spans="1:18">
      <c r="A3383" s="213" t="s">
        <v>2594</v>
      </c>
      <c r="B3383" s="141" t="s">
        <v>2593</v>
      </c>
      <c r="C3383" s="118" t="s">
        <v>3817</v>
      </c>
      <c r="D3383" s="141"/>
      <c r="E3383" s="118"/>
      <c r="F3383" s="118"/>
      <c r="G3383" s="118" t="s">
        <v>7250</v>
      </c>
      <c r="H3383" s="118" t="s">
        <v>3565</v>
      </c>
      <c r="I3383" s="118" t="s">
        <v>8118</v>
      </c>
      <c r="J3383" s="118" t="s">
        <v>8119</v>
      </c>
      <c r="K3383" s="141"/>
      <c r="L3383" s="135" t="str">
        <f t="shared" si="194"/>
        <v>Daubentonia madagascariensis</v>
      </c>
      <c r="M3383" s="133">
        <f t="shared" si="196"/>
        <v>3.3979400086720375</v>
      </c>
      <c r="N3383" s="133">
        <v>2500</v>
      </c>
      <c r="O3383" s="189" t="s">
        <v>7081</v>
      </c>
      <c r="P3383" s="108">
        <v>68</v>
      </c>
      <c r="Q3383" s="85" t="s">
        <v>6640</v>
      </c>
    </row>
    <row r="3384" spans="1:18">
      <c r="A3384" s="213" t="s">
        <v>2594</v>
      </c>
      <c r="B3384" s="141" t="s">
        <v>2109</v>
      </c>
      <c r="C3384" s="118" t="s">
        <v>3817</v>
      </c>
      <c r="D3384" s="141"/>
      <c r="E3384" s="118"/>
      <c r="F3384" s="118"/>
      <c r="G3384" s="118" t="s">
        <v>7250</v>
      </c>
      <c r="H3384" s="118" t="s">
        <v>6355</v>
      </c>
      <c r="I3384" s="118" t="s">
        <v>5114</v>
      </c>
      <c r="J3384" s="118" t="s">
        <v>7234</v>
      </c>
      <c r="K3384" s="141"/>
      <c r="L3384" s="135" t="str">
        <f t="shared" si="194"/>
        <v>Pongo pygmaeus</v>
      </c>
      <c r="M3384" s="133">
        <f t="shared" si="196"/>
        <v>4.568201724066995</v>
      </c>
      <c r="N3384" s="133">
        <v>37000</v>
      </c>
      <c r="O3384" s="179" t="s">
        <v>7081</v>
      </c>
      <c r="P3384" s="108">
        <v>68</v>
      </c>
      <c r="Q3384" s="90" t="s">
        <v>6640</v>
      </c>
    </row>
    <row r="3385" spans="1:18" ht="25.5">
      <c r="A3385" s="213" t="s">
        <v>2594</v>
      </c>
      <c r="B3385" s="130"/>
      <c r="C3385" s="118" t="s">
        <v>3817</v>
      </c>
      <c r="D3385" s="141"/>
      <c r="E3385" s="118"/>
      <c r="F3385" s="118"/>
      <c r="G3385" s="118" t="s">
        <v>7250</v>
      </c>
      <c r="H3385" s="118" t="s">
        <v>3566</v>
      </c>
      <c r="I3385" s="118" t="s">
        <v>5582</v>
      </c>
      <c r="J3385" s="118" t="s">
        <v>5584</v>
      </c>
      <c r="K3385" s="141"/>
      <c r="L3385" s="135" t="str">
        <f t="shared" si="194"/>
        <v>Hylobates klossii</v>
      </c>
      <c r="M3385" s="133">
        <f t="shared" si="196"/>
        <v>3.7634279935629373</v>
      </c>
      <c r="N3385" s="133">
        <v>5800</v>
      </c>
      <c r="O3385" s="179" t="s">
        <v>6641</v>
      </c>
      <c r="P3385" s="108">
        <v>74</v>
      </c>
      <c r="Q3385" s="80" t="s">
        <v>6988</v>
      </c>
      <c r="R3385" s="79" t="s">
        <v>3453</v>
      </c>
    </row>
    <row r="3386" spans="1:18" ht="15" customHeight="1">
      <c r="A3386" s="213" t="s">
        <v>2594</v>
      </c>
      <c r="B3386" s="141" t="s">
        <v>2109</v>
      </c>
      <c r="C3386" s="118" t="s">
        <v>3817</v>
      </c>
      <c r="D3386" s="141"/>
      <c r="E3386" s="118"/>
      <c r="F3386" s="118"/>
      <c r="G3386" s="118" t="s">
        <v>7250</v>
      </c>
      <c r="H3386" s="118" t="s">
        <v>3566</v>
      </c>
      <c r="I3386" s="118" t="s">
        <v>5582</v>
      </c>
      <c r="J3386" s="118" t="s">
        <v>5586</v>
      </c>
      <c r="K3386" s="141"/>
      <c r="L3386" s="135" t="str">
        <f t="shared" si="194"/>
        <v>Hylobates muelleri</v>
      </c>
      <c r="M3386" s="133">
        <f t="shared" si="196"/>
        <v>3.7781512503836434</v>
      </c>
      <c r="N3386" s="133">
        <v>6000</v>
      </c>
      <c r="O3386" s="179" t="s">
        <v>6882</v>
      </c>
      <c r="P3386" s="108">
        <v>-999</v>
      </c>
      <c r="Q3386" s="80" t="s">
        <v>6642</v>
      </c>
    </row>
    <row r="3387" spans="1:18">
      <c r="A3387" s="213" t="s">
        <v>2594</v>
      </c>
      <c r="B3387" s="141" t="s">
        <v>3259</v>
      </c>
      <c r="C3387" s="118" t="s">
        <v>3817</v>
      </c>
      <c r="D3387" s="141"/>
      <c r="E3387" s="118"/>
      <c r="F3387" s="118"/>
      <c r="G3387" s="118" t="s">
        <v>7250</v>
      </c>
      <c r="H3387" s="118" t="s">
        <v>3566</v>
      </c>
      <c r="I3387" s="118" t="s">
        <v>5582</v>
      </c>
      <c r="J3387" s="118" t="s">
        <v>3569</v>
      </c>
      <c r="K3387" s="141"/>
      <c r="L3387" s="135" t="str">
        <f t="shared" si="194"/>
        <v>Hylobates concolor</v>
      </c>
      <c r="M3387" s="133">
        <f t="shared" si="196"/>
        <v>3.8250689276246232</v>
      </c>
      <c r="N3387" s="133">
        <f>AVERAGE(5749, 7620)</f>
        <v>6684.5</v>
      </c>
      <c r="O3387" s="179" t="s">
        <v>6641</v>
      </c>
      <c r="P3387" s="108">
        <v>148</v>
      </c>
      <c r="Q3387" s="90" t="s">
        <v>6640</v>
      </c>
    </row>
    <row r="3388" spans="1:18">
      <c r="A3388" s="213" t="s">
        <v>2594</v>
      </c>
      <c r="B3388" s="141" t="s">
        <v>2593</v>
      </c>
      <c r="C3388" s="118" t="s">
        <v>3817</v>
      </c>
      <c r="D3388" s="141"/>
      <c r="E3388" s="118"/>
      <c r="F3388" s="118"/>
      <c r="G3388" s="118" t="s">
        <v>7250</v>
      </c>
      <c r="H3388" s="118" t="s">
        <v>6739</v>
      </c>
      <c r="I3388" s="118" t="s">
        <v>8121</v>
      </c>
      <c r="J3388" s="118" t="s">
        <v>4843</v>
      </c>
      <c r="K3388" s="141"/>
      <c r="L3388" s="135" t="str">
        <f t="shared" si="194"/>
        <v>Avahi occidentalis</v>
      </c>
      <c r="M3388" s="133">
        <f t="shared" si="196"/>
        <v>2.9030899869919438</v>
      </c>
      <c r="N3388" s="133">
        <v>800</v>
      </c>
      <c r="O3388" s="189" t="s">
        <v>6641</v>
      </c>
      <c r="P3388" s="108">
        <v>150</v>
      </c>
      <c r="Q3388" s="85" t="s">
        <v>6988</v>
      </c>
    </row>
    <row r="3389" spans="1:18">
      <c r="A3389" s="213" t="s">
        <v>2594</v>
      </c>
      <c r="B3389" s="141" t="s">
        <v>2593</v>
      </c>
      <c r="C3389" s="118" t="s">
        <v>3817</v>
      </c>
      <c r="D3389" s="141"/>
      <c r="E3389" s="118"/>
      <c r="F3389" s="118"/>
      <c r="G3389" s="118" t="s">
        <v>7250</v>
      </c>
      <c r="H3389" s="118" t="s">
        <v>6739</v>
      </c>
      <c r="I3389" s="118" t="s">
        <v>8121</v>
      </c>
      <c r="J3389" s="118" t="s">
        <v>7488</v>
      </c>
      <c r="K3389" s="141"/>
      <c r="L3389" s="135" t="str">
        <f t="shared" si="194"/>
        <v>Avahi laniger</v>
      </c>
      <c r="M3389" s="133">
        <f t="shared" si="196"/>
        <v>2.9542425094393248</v>
      </c>
      <c r="N3389" s="133">
        <v>900</v>
      </c>
      <c r="O3389" s="189" t="s">
        <v>6641</v>
      </c>
      <c r="P3389" s="108">
        <v>68</v>
      </c>
      <c r="Q3389" s="85" t="s">
        <v>6642</v>
      </c>
    </row>
    <row r="3390" spans="1:18">
      <c r="A3390" s="213" t="s">
        <v>2594</v>
      </c>
      <c r="B3390" s="141" t="s">
        <v>2232</v>
      </c>
      <c r="C3390" s="118" t="s">
        <v>3817</v>
      </c>
      <c r="D3390" s="141"/>
      <c r="E3390" s="118"/>
      <c r="F3390" s="118"/>
      <c r="G3390" s="118" t="s">
        <v>7250</v>
      </c>
      <c r="H3390" s="118" t="s">
        <v>6739</v>
      </c>
      <c r="I3390" s="118" t="s">
        <v>8121</v>
      </c>
      <c r="J3390" s="118" t="s">
        <v>7488</v>
      </c>
      <c r="K3390" s="141"/>
      <c r="L3390" s="135" t="str">
        <f t="shared" si="194"/>
        <v>Avahi laniger</v>
      </c>
      <c r="M3390" s="133">
        <f t="shared" si="196"/>
        <v>2.9542425094393248</v>
      </c>
      <c r="N3390" s="133">
        <v>900</v>
      </c>
      <c r="O3390" s="179" t="s">
        <v>6641</v>
      </c>
      <c r="P3390" s="108">
        <v>68</v>
      </c>
      <c r="Q3390" s="90" t="s">
        <v>6642</v>
      </c>
    </row>
    <row r="3391" spans="1:18" ht="15.75">
      <c r="A3391" s="213" t="s">
        <v>2594</v>
      </c>
      <c r="B3391" s="141" t="s">
        <v>2593</v>
      </c>
      <c r="C3391" s="118" t="s">
        <v>3817</v>
      </c>
      <c r="D3391" s="141"/>
      <c r="E3391" s="118"/>
      <c r="F3391" s="118"/>
      <c r="G3391" s="118" t="s">
        <v>7250</v>
      </c>
      <c r="H3391" s="118" t="s">
        <v>6739</v>
      </c>
      <c r="I3391" s="118" t="s">
        <v>8122</v>
      </c>
      <c r="J3391" s="118" t="s">
        <v>8123</v>
      </c>
      <c r="K3391" s="141"/>
      <c r="L3391" s="135" t="str">
        <f t="shared" si="194"/>
        <v>Indri indri</v>
      </c>
      <c r="M3391" s="133">
        <f t="shared" si="196"/>
        <v>3.9030899869919438</v>
      </c>
      <c r="N3391" s="133">
        <v>8000</v>
      </c>
      <c r="O3391" s="189" t="s">
        <v>7081</v>
      </c>
      <c r="P3391" s="108">
        <v>68</v>
      </c>
      <c r="Q3391" s="85" t="s">
        <v>6640</v>
      </c>
      <c r="R3391" s="89"/>
    </row>
    <row r="3392" spans="1:18">
      <c r="A3392" s="213" t="s">
        <v>2594</v>
      </c>
      <c r="B3392" s="141" t="s">
        <v>2593</v>
      </c>
      <c r="C3392" s="118" t="s">
        <v>3817</v>
      </c>
      <c r="D3392" s="141"/>
      <c r="E3392" s="118"/>
      <c r="F3392" s="118"/>
      <c r="G3392" s="118" t="s">
        <v>7250</v>
      </c>
      <c r="H3392" s="118" t="s">
        <v>6739</v>
      </c>
      <c r="I3392" s="118" t="s">
        <v>5657</v>
      </c>
      <c r="J3392" s="118" t="s">
        <v>5658</v>
      </c>
      <c r="K3392" s="141"/>
      <c r="L3392" s="135" t="str">
        <f t="shared" si="194"/>
        <v>Propithecus verreauxi</v>
      </c>
      <c r="M3392" s="133">
        <f t="shared" si="196"/>
        <v>3.5415792439465807</v>
      </c>
      <c r="N3392" s="133">
        <v>3480</v>
      </c>
      <c r="O3392" s="189" t="s">
        <v>7081</v>
      </c>
      <c r="P3392" s="108">
        <v>68</v>
      </c>
      <c r="Q3392" s="82" t="s">
        <v>6988</v>
      </c>
    </row>
    <row r="3393" spans="1:17">
      <c r="A3393" s="213" t="s">
        <v>2594</v>
      </c>
      <c r="B3393" s="141" t="s">
        <v>2593</v>
      </c>
      <c r="C3393" s="118" t="s">
        <v>3817</v>
      </c>
      <c r="D3393" s="141"/>
      <c r="E3393" s="118"/>
      <c r="F3393" s="118"/>
      <c r="G3393" s="118" t="s">
        <v>7250</v>
      </c>
      <c r="H3393" s="118" t="s">
        <v>6739</v>
      </c>
      <c r="I3393" s="118" t="s">
        <v>5657</v>
      </c>
      <c r="J3393" s="118" t="s">
        <v>5774</v>
      </c>
      <c r="K3393" s="141"/>
      <c r="L3393" s="135" t="str">
        <f t="shared" si="194"/>
        <v>Propithecus tattersalli</v>
      </c>
      <c r="M3393" s="133">
        <f t="shared" si="196"/>
        <v>3.5440680443502757</v>
      </c>
      <c r="N3393" s="133">
        <v>3500</v>
      </c>
      <c r="O3393" s="189" t="s">
        <v>7081</v>
      </c>
      <c r="P3393" s="108">
        <v>150</v>
      </c>
      <c r="Q3393" s="82" t="s">
        <v>7071</v>
      </c>
    </row>
    <row r="3394" spans="1:17">
      <c r="A3394" s="213" t="s">
        <v>2594</v>
      </c>
      <c r="B3394" s="141" t="s">
        <v>2593</v>
      </c>
      <c r="C3394" s="118" t="s">
        <v>3817</v>
      </c>
      <c r="D3394" s="141"/>
      <c r="E3394" s="118"/>
      <c r="F3394" s="118"/>
      <c r="G3394" s="118" t="s">
        <v>7250</v>
      </c>
      <c r="H3394" s="118" t="s">
        <v>6739</v>
      </c>
      <c r="I3394" s="118" t="s">
        <v>5657</v>
      </c>
      <c r="J3394" s="118" t="s">
        <v>5519</v>
      </c>
      <c r="K3394" s="141"/>
      <c r="L3394" s="135" t="str">
        <f t="shared" si="194"/>
        <v>Propithecus diadema</v>
      </c>
      <c r="M3394" s="133">
        <f t="shared" si="196"/>
        <v>3.8750612633917001</v>
      </c>
      <c r="N3394" s="133">
        <v>7500</v>
      </c>
      <c r="O3394" s="189" t="s">
        <v>7081</v>
      </c>
      <c r="P3394" s="108">
        <v>74</v>
      </c>
      <c r="Q3394" s="82" t="s">
        <v>6640</v>
      </c>
    </row>
    <row r="3395" spans="1:17">
      <c r="A3395" s="213" t="s">
        <v>2594</v>
      </c>
      <c r="B3395" s="141" t="s">
        <v>2593</v>
      </c>
      <c r="C3395" s="118" t="s">
        <v>3817</v>
      </c>
      <c r="D3395" s="141"/>
      <c r="E3395" s="118"/>
      <c r="F3395" s="118"/>
      <c r="G3395" s="118" t="s">
        <v>7250</v>
      </c>
      <c r="H3395" s="118" t="s">
        <v>8133</v>
      </c>
      <c r="I3395" s="118" t="s">
        <v>5659</v>
      </c>
      <c r="J3395" s="118" t="s">
        <v>5647</v>
      </c>
      <c r="K3395" s="141"/>
      <c r="L3395" s="135" t="str">
        <f t="shared" si="194"/>
        <v>Eulemur rubriventer</v>
      </c>
      <c r="M3395" s="133">
        <f t="shared" si="196"/>
        <v>3.1461280356782382</v>
      </c>
      <c r="N3395" s="133">
        <v>1400</v>
      </c>
      <c r="O3395" s="189" t="s">
        <v>6641</v>
      </c>
      <c r="P3395" s="108">
        <v>68</v>
      </c>
      <c r="Q3395" s="85" t="s">
        <v>6988</v>
      </c>
    </row>
    <row r="3396" spans="1:17" ht="25.5">
      <c r="A3396" s="213" t="s">
        <v>2594</v>
      </c>
      <c r="B3396" s="141" t="s">
        <v>2593</v>
      </c>
      <c r="C3396" s="118" t="s">
        <v>3817</v>
      </c>
      <c r="D3396" s="141"/>
      <c r="E3396" s="118"/>
      <c r="F3396" s="118"/>
      <c r="G3396" s="118" t="s">
        <v>7250</v>
      </c>
      <c r="H3396" s="118" t="s">
        <v>8133</v>
      </c>
      <c r="I3396" s="118" t="s">
        <v>5659</v>
      </c>
      <c r="J3396" s="118" t="s">
        <v>5286</v>
      </c>
      <c r="K3396" s="141"/>
      <c r="L3396" s="135" t="str">
        <f t="shared" si="194"/>
        <v>Eulemur mongoz</v>
      </c>
      <c r="M3396" s="133">
        <f t="shared" si="196"/>
        <v>3.2041199826559246</v>
      </c>
      <c r="N3396" s="133">
        <v>1600</v>
      </c>
      <c r="O3396" s="189" t="s">
        <v>6854</v>
      </c>
      <c r="P3396" s="108">
        <v>68</v>
      </c>
      <c r="Q3396" s="85" t="s">
        <v>6988</v>
      </c>
    </row>
    <row r="3397" spans="1:17">
      <c r="A3397" s="213" t="s">
        <v>2594</v>
      </c>
      <c r="B3397" s="141" t="s">
        <v>2593</v>
      </c>
      <c r="C3397" s="118" t="s">
        <v>3817</v>
      </c>
      <c r="D3397" s="141"/>
      <c r="E3397" s="118"/>
      <c r="F3397" s="118"/>
      <c r="G3397" s="118" t="s">
        <v>7250</v>
      </c>
      <c r="H3397" s="118" t="s">
        <v>8133</v>
      </c>
      <c r="I3397" s="118" t="s">
        <v>5659</v>
      </c>
      <c r="J3397" s="118" t="s">
        <v>5660</v>
      </c>
      <c r="K3397" s="141"/>
      <c r="L3397" s="135" t="str">
        <f t="shared" ref="L3397:L3460" si="197">I3397&amp;" "&amp;J3397</f>
        <v>Eulemur coronatus</v>
      </c>
      <c r="M3397" s="133">
        <f t="shared" si="196"/>
        <v>3.2174839442139063</v>
      </c>
      <c r="N3397" s="133">
        <v>1650</v>
      </c>
      <c r="O3397" s="189" t="s">
        <v>7081</v>
      </c>
      <c r="P3397" s="108">
        <v>150</v>
      </c>
      <c r="Q3397" s="85" t="s">
        <v>6988</v>
      </c>
    </row>
    <row r="3398" spans="1:17">
      <c r="A3398" s="213" t="s">
        <v>2594</v>
      </c>
      <c r="B3398" s="141" t="s">
        <v>2593</v>
      </c>
      <c r="C3398" s="118" t="s">
        <v>3817</v>
      </c>
      <c r="D3398" s="141"/>
      <c r="E3398" s="118"/>
      <c r="F3398" s="118"/>
      <c r="G3398" s="118" t="s">
        <v>7250</v>
      </c>
      <c r="H3398" s="118" t="s">
        <v>8133</v>
      </c>
      <c r="I3398" s="118" t="s">
        <v>5659</v>
      </c>
      <c r="J3398" s="118" t="s">
        <v>5661</v>
      </c>
      <c r="K3398" s="141"/>
      <c r="L3398" s="135" t="str">
        <f t="shared" si="197"/>
        <v>Eulemur macaco</v>
      </c>
      <c r="M3398" s="133">
        <f t="shared" si="196"/>
        <v>3.3096301674258988</v>
      </c>
      <c r="N3398" s="133">
        <v>2040</v>
      </c>
      <c r="O3398" s="189" t="s">
        <v>6641</v>
      </c>
      <c r="P3398" s="108">
        <v>68</v>
      </c>
      <c r="Q3398" s="85" t="s">
        <v>6988</v>
      </c>
    </row>
    <row r="3399" spans="1:17" ht="242.25">
      <c r="A3399" s="213" t="s">
        <v>2594</v>
      </c>
      <c r="B3399" s="141" t="s">
        <v>2593</v>
      </c>
      <c r="C3399" s="118" t="s">
        <v>3817</v>
      </c>
      <c r="D3399" s="141"/>
      <c r="E3399" s="118"/>
      <c r="F3399" s="118"/>
      <c r="G3399" s="118" t="s">
        <v>7250</v>
      </c>
      <c r="H3399" s="118" t="s">
        <v>8133</v>
      </c>
      <c r="I3399" s="118" t="s">
        <v>5659</v>
      </c>
      <c r="J3399" s="118" t="s">
        <v>6528</v>
      </c>
      <c r="K3399" s="141"/>
      <c r="L3399" s="135" t="str">
        <f t="shared" si="197"/>
        <v>Eulemur fulvus</v>
      </c>
      <c r="M3399" s="133">
        <f t="shared" si="196"/>
        <v>3.4983105537896004</v>
      </c>
      <c r="N3399" s="133">
        <v>3150</v>
      </c>
      <c r="O3399" s="179" t="s">
        <v>6736</v>
      </c>
      <c r="P3399" s="108">
        <v>68</v>
      </c>
      <c r="Q3399" s="85" t="s">
        <v>6767</v>
      </c>
    </row>
    <row r="3400" spans="1:17" ht="76.5">
      <c r="A3400" s="213" t="s">
        <v>2594</v>
      </c>
      <c r="B3400" s="141" t="s">
        <v>2593</v>
      </c>
      <c r="C3400" s="118" t="s">
        <v>3817</v>
      </c>
      <c r="D3400" s="141"/>
      <c r="E3400" s="118"/>
      <c r="F3400" s="118"/>
      <c r="G3400" s="118" t="s">
        <v>7250</v>
      </c>
      <c r="H3400" s="118" t="s">
        <v>8133</v>
      </c>
      <c r="I3400" s="118" t="s">
        <v>5648</v>
      </c>
      <c r="J3400" s="118" t="s">
        <v>2210</v>
      </c>
      <c r="K3400" s="141"/>
      <c r="L3400" s="135" t="str">
        <f t="shared" si="197"/>
        <v>Hapalemur griseus</v>
      </c>
      <c r="M3400" s="133">
        <f t="shared" si="196"/>
        <v>2.9030899869919438</v>
      </c>
      <c r="N3400" s="133">
        <v>800</v>
      </c>
      <c r="O3400" s="179" t="s">
        <v>6736</v>
      </c>
      <c r="P3400" s="108">
        <v>68</v>
      </c>
      <c r="Q3400" s="85" t="s">
        <v>1329</v>
      </c>
    </row>
    <row r="3401" spans="1:17">
      <c r="A3401" s="213" t="s">
        <v>2594</v>
      </c>
      <c r="B3401" s="141" t="s">
        <v>2593</v>
      </c>
      <c r="C3401" s="118" t="s">
        <v>3817</v>
      </c>
      <c r="D3401" s="141"/>
      <c r="E3401" s="118"/>
      <c r="F3401" s="118"/>
      <c r="G3401" s="118" t="s">
        <v>7250</v>
      </c>
      <c r="H3401" s="118" t="s">
        <v>8133</v>
      </c>
      <c r="I3401" s="118" t="s">
        <v>5648</v>
      </c>
      <c r="J3401" s="118" t="s">
        <v>7364</v>
      </c>
      <c r="K3401" s="141"/>
      <c r="L3401" s="135" t="str">
        <f t="shared" si="197"/>
        <v>Hapalemur aureus</v>
      </c>
      <c r="M3401" s="133">
        <f t="shared" si="196"/>
        <v>3.1972805581256192</v>
      </c>
      <c r="N3401" s="133">
        <v>1575</v>
      </c>
      <c r="O3401" s="189" t="s">
        <v>6641</v>
      </c>
      <c r="P3401" s="108">
        <v>150</v>
      </c>
      <c r="Q3401" s="85" t="s">
        <v>7071</v>
      </c>
    </row>
    <row r="3402" spans="1:17">
      <c r="A3402" s="213" t="s">
        <v>2594</v>
      </c>
      <c r="B3402" s="141" t="s">
        <v>2232</v>
      </c>
      <c r="C3402" s="118" t="s">
        <v>3817</v>
      </c>
      <c r="D3402" s="141"/>
      <c r="E3402" s="118"/>
      <c r="F3402" s="118"/>
      <c r="G3402" s="118" t="s">
        <v>7250</v>
      </c>
      <c r="H3402" s="118" t="s">
        <v>8133</v>
      </c>
      <c r="I3402" s="118" t="s">
        <v>5648</v>
      </c>
      <c r="J3402" s="118" t="s">
        <v>2210</v>
      </c>
      <c r="K3402" s="141"/>
      <c r="L3402" s="135" t="str">
        <f t="shared" si="197"/>
        <v>Hapalemur griseus</v>
      </c>
      <c r="M3402" s="133">
        <f t="shared" si="196"/>
        <v>3.3010299956639813</v>
      </c>
      <c r="N3402" s="133">
        <v>2000</v>
      </c>
      <c r="O3402" s="179" t="s">
        <v>6736</v>
      </c>
      <c r="P3402" s="108">
        <v>74</v>
      </c>
    </row>
    <row r="3403" spans="1:17">
      <c r="A3403" s="213" t="s">
        <v>2594</v>
      </c>
      <c r="B3403" s="141" t="s">
        <v>2593</v>
      </c>
      <c r="C3403" s="118" t="s">
        <v>3817</v>
      </c>
      <c r="D3403" s="141"/>
      <c r="E3403" s="118"/>
      <c r="F3403" s="118"/>
      <c r="G3403" s="118" t="s">
        <v>7250</v>
      </c>
      <c r="H3403" s="118" t="s">
        <v>8133</v>
      </c>
      <c r="I3403" s="118" t="s">
        <v>5648</v>
      </c>
      <c r="J3403" s="118" t="s">
        <v>8213</v>
      </c>
      <c r="K3403" s="141"/>
      <c r="L3403" s="135" t="str">
        <f t="shared" si="197"/>
        <v>Hapalemur simus</v>
      </c>
      <c r="M3403" s="133">
        <f t="shared" si="196"/>
        <v>3.3710678622717363</v>
      </c>
      <c r="N3403" s="133">
        <v>2350</v>
      </c>
      <c r="O3403" s="189" t="s">
        <v>6641</v>
      </c>
      <c r="P3403" s="108">
        <v>150</v>
      </c>
      <c r="Q3403" s="85" t="s">
        <v>7071</v>
      </c>
    </row>
    <row r="3404" spans="1:17" ht="25.5">
      <c r="A3404" s="213" t="s">
        <v>2594</v>
      </c>
      <c r="B3404" s="141" t="s">
        <v>2593</v>
      </c>
      <c r="C3404" s="118" t="s">
        <v>3817</v>
      </c>
      <c r="D3404" s="141"/>
      <c r="E3404" s="118"/>
      <c r="F3404" s="118"/>
      <c r="G3404" s="118" t="s">
        <v>7250</v>
      </c>
      <c r="H3404" s="118" t="s">
        <v>8133</v>
      </c>
      <c r="I3404" s="118" t="s">
        <v>5645</v>
      </c>
      <c r="J3404" s="118" t="s">
        <v>8124</v>
      </c>
      <c r="K3404" s="141"/>
      <c r="L3404" s="135" t="str">
        <f t="shared" si="197"/>
        <v>Lemur catta</v>
      </c>
      <c r="M3404" s="133">
        <f t="shared" si="196"/>
        <v>3.4623979978989561</v>
      </c>
      <c r="N3404" s="133">
        <v>2900</v>
      </c>
      <c r="O3404" s="183" t="s">
        <v>6908</v>
      </c>
      <c r="P3404" s="108">
        <v>68</v>
      </c>
      <c r="Q3404" s="85" t="s">
        <v>6988</v>
      </c>
    </row>
    <row r="3405" spans="1:17">
      <c r="A3405" s="213" t="s">
        <v>2594</v>
      </c>
      <c r="B3405" s="141" t="s">
        <v>2593</v>
      </c>
      <c r="C3405" s="118" t="s">
        <v>3817</v>
      </c>
      <c r="D3405" s="141"/>
      <c r="E3405" s="118"/>
      <c r="F3405" s="118"/>
      <c r="G3405" s="118" t="s">
        <v>7250</v>
      </c>
      <c r="H3405" s="118" t="s">
        <v>8133</v>
      </c>
      <c r="I3405" s="118" t="s">
        <v>8125</v>
      </c>
      <c r="J3405" s="118" t="s">
        <v>5646</v>
      </c>
      <c r="K3405" s="141"/>
      <c r="L3405" s="135" t="str">
        <f t="shared" si="197"/>
        <v>Varecia variegata</v>
      </c>
      <c r="M3405" s="133">
        <f t="shared" si="196"/>
        <v>3.5854607295085006</v>
      </c>
      <c r="N3405" s="133">
        <v>3850</v>
      </c>
      <c r="O3405" s="179" t="s">
        <v>6736</v>
      </c>
      <c r="P3405" s="108">
        <v>68</v>
      </c>
    </row>
    <row r="3406" spans="1:17">
      <c r="A3406" s="213" t="s">
        <v>2594</v>
      </c>
      <c r="B3406" s="141" t="s">
        <v>2593</v>
      </c>
      <c r="C3406" s="118" t="s">
        <v>3817</v>
      </c>
      <c r="D3406" s="141"/>
      <c r="E3406" s="118"/>
      <c r="F3406" s="118"/>
      <c r="G3406" s="118" t="s">
        <v>7250</v>
      </c>
      <c r="H3406" s="118" t="s">
        <v>8133</v>
      </c>
      <c r="I3406" s="118" t="s">
        <v>8125</v>
      </c>
      <c r="J3406" s="118" t="s">
        <v>5646</v>
      </c>
      <c r="K3406" s="141"/>
      <c r="L3406" s="135" t="str">
        <f t="shared" si="197"/>
        <v>Varecia variegata</v>
      </c>
      <c r="M3406" s="133">
        <f t="shared" si="196"/>
        <v>3.5854607295085006</v>
      </c>
      <c r="N3406" s="133">
        <v>3850</v>
      </c>
      <c r="O3406" s="189" t="s">
        <v>7081</v>
      </c>
      <c r="P3406" s="108">
        <v>68</v>
      </c>
      <c r="Q3406" s="82" t="s">
        <v>6640</v>
      </c>
    </row>
    <row r="3407" spans="1:17">
      <c r="A3407" s="213" t="s">
        <v>2594</v>
      </c>
      <c r="B3407" s="130" t="s">
        <v>2435</v>
      </c>
      <c r="C3407" s="118" t="s">
        <v>3817</v>
      </c>
      <c r="D3407" s="141"/>
      <c r="E3407" s="118"/>
      <c r="F3407" s="118"/>
      <c r="G3407" s="118" t="s">
        <v>7250</v>
      </c>
      <c r="H3407" s="118" t="s">
        <v>3227</v>
      </c>
      <c r="I3407" s="118" t="s">
        <v>6003</v>
      </c>
      <c r="J3407" s="118" t="s">
        <v>5236</v>
      </c>
      <c r="K3407" s="141"/>
      <c r="L3407" s="135" t="str">
        <f t="shared" si="197"/>
        <v>Loris tardigradus</v>
      </c>
      <c r="M3407" s="133">
        <f t="shared" si="196"/>
        <v>2.3790320709599277</v>
      </c>
      <c r="N3407" s="133">
        <f>AVERAGE(189.167, 179.083, 272.4, 317.8, 264.833, 212.8125)</f>
        <v>239.34925000000001</v>
      </c>
      <c r="O3407" s="179" t="s">
        <v>6641</v>
      </c>
      <c r="P3407" s="108">
        <v>132</v>
      </c>
      <c r="Q3407" s="80" t="s">
        <v>6988</v>
      </c>
    </row>
    <row r="3408" spans="1:17" ht="15" customHeight="1">
      <c r="A3408" s="213" t="s">
        <v>2594</v>
      </c>
      <c r="B3408" s="130" t="s">
        <v>2109</v>
      </c>
      <c r="C3408" s="118" t="s">
        <v>3817</v>
      </c>
      <c r="D3408" s="141"/>
      <c r="E3408" s="118"/>
      <c r="F3408" s="118"/>
      <c r="G3408" s="118" t="s">
        <v>7250</v>
      </c>
      <c r="H3408" s="118" t="s">
        <v>3227</v>
      </c>
      <c r="I3408" s="118" t="s">
        <v>5270</v>
      </c>
      <c r="J3408" s="118" t="s">
        <v>5868</v>
      </c>
      <c r="K3408" s="141"/>
      <c r="L3408" s="135" t="str">
        <f t="shared" si="197"/>
        <v>Nycticebus coucang</v>
      </c>
      <c r="M3408" s="133">
        <f t="shared" ref="M3408:M3425" si="198">LOG(N3408)</f>
        <v>2.6232492903979003</v>
      </c>
      <c r="N3408" s="133">
        <f>AVERAGE(230, 610)</f>
        <v>420</v>
      </c>
      <c r="O3408" s="179"/>
      <c r="P3408" s="108">
        <v>118</v>
      </c>
      <c r="Q3408" s="80"/>
    </row>
    <row r="3409" spans="1:17">
      <c r="A3409" s="213" t="s">
        <v>2594</v>
      </c>
      <c r="B3409" s="141" t="s">
        <v>2593</v>
      </c>
      <c r="C3409" s="118" t="s">
        <v>3817</v>
      </c>
      <c r="D3409" s="141"/>
      <c r="E3409" s="118"/>
      <c r="F3409" s="118"/>
      <c r="G3409" s="118" t="s">
        <v>7250</v>
      </c>
      <c r="H3409" s="118" t="s">
        <v>3338</v>
      </c>
      <c r="I3409" s="118" t="s">
        <v>5871</v>
      </c>
      <c r="J3409" s="118" t="s">
        <v>3630</v>
      </c>
      <c r="K3409" s="141"/>
      <c r="L3409" s="135" t="str">
        <f t="shared" si="197"/>
        <v>Lepilemur dorsalis</v>
      </c>
      <c r="M3409" s="133">
        <f t="shared" si="198"/>
        <v>2.6989700043360187</v>
      </c>
      <c r="N3409" s="133">
        <v>500</v>
      </c>
      <c r="O3409" s="190" t="s">
        <v>6641</v>
      </c>
      <c r="P3409" s="108">
        <v>150</v>
      </c>
      <c r="Q3409" s="85" t="s">
        <v>6988</v>
      </c>
    </row>
    <row r="3410" spans="1:17" ht="15" customHeight="1">
      <c r="A3410" s="213" t="s">
        <v>2594</v>
      </c>
      <c r="B3410" s="141" t="s">
        <v>2593</v>
      </c>
      <c r="C3410" s="118" t="s">
        <v>3817</v>
      </c>
      <c r="D3410" s="141"/>
      <c r="E3410" s="118"/>
      <c r="F3410" s="118"/>
      <c r="G3410" s="118" t="s">
        <v>7250</v>
      </c>
      <c r="H3410" s="118" t="s">
        <v>3338</v>
      </c>
      <c r="I3410" s="118" t="s">
        <v>5871</v>
      </c>
      <c r="J3410" s="118" t="s">
        <v>7491</v>
      </c>
      <c r="K3410" s="141"/>
      <c r="L3410" s="135" t="str">
        <f t="shared" si="197"/>
        <v>Lepilemur leucopus</v>
      </c>
      <c r="M3410" s="133">
        <f t="shared" si="198"/>
        <v>2.7781512503836434</v>
      </c>
      <c r="N3410" s="133">
        <v>600</v>
      </c>
      <c r="O3410" s="190" t="s">
        <v>6641</v>
      </c>
      <c r="P3410" s="108">
        <v>150</v>
      </c>
      <c r="Q3410" s="85" t="s">
        <v>6642</v>
      </c>
    </row>
    <row r="3411" spans="1:17">
      <c r="A3411" s="213" t="s">
        <v>2594</v>
      </c>
      <c r="B3411" s="141" t="s">
        <v>2593</v>
      </c>
      <c r="C3411" s="118" t="s">
        <v>3817</v>
      </c>
      <c r="D3411" s="141"/>
      <c r="E3411" s="118"/>
      <c r="F3411" s="118"/>
      <c r="G3411" s="118" t="s">
        <v>7250</v>
      </c>
      <c r="H3411" s="118" t="s">
        <v>3338</v>
      </c>
      <c r="I3411" s="118" t="s">
        <v>5871</v>
      </c>
      <c r="J3411" s="118" t="s">
        <v>5701</v>
      </c>
      <c r="K3411" s="141"/>
      <c r="L3411" s="135" t="str">
        <f t="shared" si="197"/>
        <v>Lepilemur ruficaudatus</v>
      </c>
      <c r="M3411" s="133">
        <f t="shared" si="198"/>
        <v>2.8129133566428557</v>
      </c>
      <c r="N3411" s="133">
        <v>650</v>
      </c>
      <c r="O3411" s="190" t="s">
        <v>7081</v>
      </c>
      <c r="P3411" s="108">
        <v>150</v>
      </c>
      <c r="Q3411" s="85" t="s">
        <v>6642</v>
      </c>
    </row>
    <row r="3412" spans="1:17">
      <c r="A3412" s="213" t="s">
        <v>2594</v>
      </c>
      <c r="B3412" s="141" t="s">
        <v>2593</v>
      </c>
      <c r="C3412" s="118" t="s">
        <v>3817</v>
      </c>
      <c r="D3412" s="141"/>
      <c r="E3412" s="118"/>
      <c r="F3412" s="118"/>
      <c r="G3412" s="118" t="s">
        <v>7250</v>
      </c>
      <c r="H3412" s="118" t="s">
        <v>3338</v>
      </c>
      <c r="I3412" s="118" t="s">
        <v>5871</v>
      </c>
      <c r="J3412" s="118" t="s">
        <v>4060</v>
      </c>
      <c r="K3412" s="141"/>
      <c r="L3412" s="135" t="str">
        <f t="shared" si="197"/>
        <v>Lepilemur edwardsi</v>
      </c>
      <c r="M3412" s="133">
        <f t="shared" si="198"/>
        <v>2.8450980400142569</v>
      </c>
      <c r="N3412" s="133">
        <v>700</v>
      </c>
      <c r="O3412" s="190" t="s">
        <v>6641</v>
      </c>
      <c r="P3412" s="108">
        <v>150</v>
      </c>
      <c r="Q3412" s="85" t="s">
        <v>6642</v>
      </c>
    </row>
    <row r="3413" spans="1:17">
      <c r="A3413" s="213" t="s">
        <v>2594</v>
      </c>
      <c r="B3413" s="141" t="s">
        <v>2593</v>
      </c>
      <c r="C3413" s="118" t="s">
        <v>3817</v>
      </c>
      <c r="D3413" s="141"/>
      <c r="E3413" s="118"/>
      <c r="F3413" s="118"/>
      <c r="G3413" s="118" t="s">
        <v>7250</v>
      </c>
      <c r="H3413" s="118" t="s">
        <v>3338</v>
      </c>
      <c r="I3413" s="118" t="s">
        <v>5871</v>
      </c>
      <c r="J3413" s="118" t="s">
        <v>7491</v>
      </c>
      <c r="K3413" s="141"/>
      <c r="L3413" s="135" t="str">
        <f t="shared" si="197"/>
        <v>Lepilemur leucopus</v>
      </c>
      <c r="M3413" s="133">
        <f t="shared" si="198"/>
        <v>2.8450980400142569</v>
      </c>
      <c r="N3413" s="133">
        <v>700</v>
      </c>
      <c r="O3413" s="179" t="s">
        <v>3356</v>
      </c>
      <c r="P3413" s="108">
        <v>75</v>
      </c>
    </row>
    <row r="3414" spans="1:17">
      <c r="A3414" s="213" t="s">
        <v>2594</v>
      </c>
      <c r="B3414" s="141" t="s">
        <v>2593</v>
      </c>
      <c r="C3414" s="118" t="s">
        <v>3817</v>
      </c>
      <c r="D3414" s="141"/>
      <c r="E3414" s="118"/>
      <c r="F3414" s="118"/>
      <c r="G3414" s="118" t="s">
        <v>7250</v>
      </c>
      <c r="H3414" s="118" t="s">
        <v>3338</v>
      </c>
      <c r="I3414" s="118" t="s">
        <v>5871</v>
      </c>
      <c r="J3414" s="118" t="s">
        <v>5701</v>
      </c>
      <c r="K3414" s="141"/>
      <c r="L3414" s="135" t="str">
        <f t="shared" si="197"/>
        <v>Lepilemur ruficaudatus</v>
      </c>
      <c r="M3414" s="133">
        <f t="shared" si="198"/>
        <v>2.8750612633917001</v>
      </c>
      <c r="N3414" s="133">
        <v>750</v>
      </c>
      <c r="O3414" s="179" t="s">
        <v>3356</v>
      </c>
      <c r="P3414" s="108">
        <v>74</v>
      </c>
    </row>
    <row r="3415" spans="1:17">
      <c r="A3415" s="213" t="s">
        <v>2594</v>
      </c>
      <c r="B3415" s="141" t="s">
        <v>2593</v>
      </c>
      <c r="C3415" s="118" t="s">
        <v>3817</v>
      </c>
      <c r="D3415" s="141"/>
      <c r="E3415" s="118"/>
      <c r="F3415" s="118"/>
      <c r="G3415" s="118" t="s">
        <v>7250</v>
      </c>
      <c r="H3415" s="118" t="s">
        <v>3338</v>
      </c>
      <c r="I3415" s="118" t="s">
        <v>5871</v>
      </c>
      <c r="J3415" s="118" t="s">
        <v>5935</v>
      </c>
      <c r="K3415" s="141"/>
      <c r="L3415" s="135" t="str">
        <f t="shared" si="197"/>
        <v>Lepilemur septentrionalis</v>
      </c>
      <c r="M3415" s="133">
        <f t="shared" si="198"/>
        <v>2.8750612633917001</v>
      </c>
      <c r="N3415" s="133">
        <v>750</v>
      </c>
      <c r="O3415" s="190" t="s">
        <v>6641</v>
      </c>
      <c r="P3415" s="108">
        <v>150</v>
      </c>
      <c r="Q3415" s="85" t="s">
        <v>6988</v>
      </c>
    </row>
    <row r="3416" spans="1:17">
      <c r="A3416" s="213" t="s">
        <v>2594</v>
      </c>
      <c r="B3416" s="141" t="s">
        <v>2593</v>
      </c>
      <c r="C3416" s="118" t="s">
        <v>3817</v>
      </c>
      <c r="D3416" s="141"/>
      <c r="E3416" s="118"/>
      <c r="F3416" s="118"/>
      <c r="G3416" s="118" t="s">
        <v>7250</v>
      </c>
      <c r="H3416" s="118" t="s">
        <v>3338</v>
      </c>
      <c r="I3416" s="118" t="s">
        <v>5871</v>
      </c>
      <c r="J3416" s="118" t="s">
        <v>5872</v>
      </c>
      <c r="K3416" s="141"/>
      <c r="L3416" s="135" t="str">
        <f t="shared" si="197"/>
        <v>Lepilemur mustelinus</v>
      </c>
      <c r="M3416" s="133">
        <f t="shared" si="198"/>
        <v>2.888179493918325</v>
      </c>
      <c r="N3416" s="133">
        <v>773</v>
      </c>
      <c r="O3416" s="190" t="s">
        <v>6641</v>
      </c>
      <c r="P3416" s="108">
        <v>68</v>
      </c>
      <c r="Q3416" s="85" t="s">
        <v>6642</v>
      </c>
    </row>
    <row r="3417" spans="1:17">
      <c r="A3417" s="213" t="s">
        <v>2594</v>
      </c>
      <c r="B3417" s="141" t="s">
        <v>2593</v>
      </c>
      <c r="C3417" s="118" t="s">
        <v>3817</v>
      </c>
      <c r="D3417" s="141"/>
      <c r="E3417" s="118"/>
      <c r="F3417" s="118"/>
      <c r="G3417" s="118" t="s">
        <v>7250</v>
      </c>
      <c r="H3417" s="118" t="s">
        <v>3338</v>
      </c>
      <c r="I3417" s="118" t="s">
        <v>5871</v>
      </c>
      <c r="J3417" s="118" t="s">
        <v>1995</v>
      </c>
      <c r="K3417" s="141"/>
      <c r="L3417" s="135" t="str">
        <f t="shared" si="197"/>
        <v>Lepilemur microdon</v>
      </c>
      <c r="M3417" s="133">
        <f t="shared" si="198"/>
        <v>2.9542425094393248</v>
      </c>
      <c r="N3417" s="133">
        <v>900</v>
      </c>
      <c r="O3417" s="190" t="s">
        <v>6641</v>
      </c>
      <c r="P3417" s="108">
        <v>150</v>
      </c>
      <c r="Q3417" s="85" t="s">
        <v>6642</v>
      </c>
    </row>
    <row r="3418" spans="1:17">
      <c r="A3418" s="213" t="s">
        <v>2594</v>
      </c>
      <c r="B3418" s="141" t="s">
        <v>5805</v>
      </c>
      <c r="C3418" s="118" t="s">
        <v>3817</v>
      </c>
      <c r="D3418" s="141"/>
      <c r="E3418" s="118"/>
      <c r="F3418" s="118"/>
      <c r="G3418" s="118" t="s">
        <v>7250</v>
      </c>
      <c r="H3418" s="118" t="s">
        <v>3575</v>
      </c>
      <c r="I3418" s="118" t="s">
        <v>5873</v>
      </c>
      <c r="J3418" s="118" t="s">
        <v>5776</v>
      </c>
      <c r="K3418" s="141"/>
      <c r="L3418" s="135" t="str">
        <f t="shared" si="197"/>
        <v>Tarsius pumilus</v>
      </c>
      <c r="M3418" s="133">
        <f t="shared" si="198"/>
        <v>1.4393326938302626</v>
      </c>
      <c r="N3418" s="133">
        <f>1000*0.0275</f>
        <v>27.5</v>
      </c>
      <c r="O3418" s="179" t="s">
        <v>6641</v>
      </c>
      <c r="P3418" s="108">
        <v>60</v>
      </c>
      <c r="Q3418" s="80" t="s">
        <v>6987</v>
      </c>
    </row>
    <row r="3419" spans="1:17">
      <c r="A3419" s="213" t="s">
        <v>2594</v>
      </c>
      <c r="B3419" s="141" t="s">
        <v>5805</v>
      </c>
      <c r="C3419" s="118" t="s">
        <v>3817</v>
      </c>
      <c r="D3419" s="141"/>
      <c r="E3419" s="118"/>
      <c r="F3419" s="118"/>
      <c r="G3419" s="118" t="s">
        <v>7250</v>
      </c>
      <c r="H3419" s="118" t="s">
        <v>3575</v>
      </c>
      <c r="I3419" s="118" t="s">
        <v>5873</v>
      </c>
      <c r="J3419" s="118" t="s">
        <v>5934</v>
      </c>
      <c r="K3419" s="141"/>
      <c r="L3419" s="135" t="str">
        <f t="shared" si="197"/>
        <v>Tarsius dianae</v>
      </c>
      <c r="M3419" s="133">
        <f t="shared" si="198"/>
        <v>2.0293837776852097</v>
      </c>
      <c r="N3419" s="133">
        <v>107</v>
      </c>
      <c r="O3419" s="179" t="s">
        <v>6882</v>
      </c>
      <c r="P3419" s="108">
        <v>148</v>
      </c>
      <c r="Q3419" s="80" t="s">
        <v>6642</v>
      </c>
    </row>
    <row r="3420" spans="1:17">
      <c r="A3420" s="217" t="s">
        <v>2594</v>
      </c>
      <c r="B3420" s="130" t="s">
        <v>2600</v>
      </c>
      <c r="C3420" s="131" t="s">
        <v>3817</v>
      </c>
      <c r="D3420" s="130"/>
      <c r="E3420" s="131"/>
      <c r="F3420" s="131"/>
      <c r="G3420" s="131" t="s">
        <v>7250</v>
      </c>
      <c r="H3420" s="129" t="s">
        <v>3575</v>
      </c>
      <c r="I3420" s="131" t="s">
        <v>5873</v>
      </c>
      <c r="J3420" s="131" t="s">
        <v>5874</v>
      </c>
      <c r="K3420" s="130"/>
      <c r="L3420" s="135" t="str">
        <f t="shared" si="197"/>
        <v>Tarsius bancanus</v>
      </c>
      <c r="M3420" s="133">
        <f t="shared" si="198"/>
        <v>2.0433622780211294</v>
      </c>
      <c r="N3420" s="132">
        <f>AVERAGE(86, 135)</f>
        <v>110.5</v>
      </c>
      <c r="O3420" s="187"/>
      <c r="P3420" s="120">
        <v>118</v>
      </c>
      <c r="Q3420" s="78"/>
    </row>
    <row r="3421" spans="1:17" ht="15" customHeight="1">
      <c r="A3421" s="213" t="s">
        <v>2594</v>
      </c>
      <c r="B3421" s="141" t="s">
        <v>4888</v>
      </c>
      <c r="C3421" s="118" t="s">
        <v>3817</v>
      </c>
      <c r="D3421" s="141"/>
      <c r="E3421" s="118"/>
      <c r="F3421" s="118"/>
      <c r="G3421" s="118" t="s">
        <v>7250</v>
      </c>
      <c r="H3421" s="118" t="s">
        <v>3575</v>
      </c>
      <c r="I3421" s="118" t="s">
        <v>5873</v>
      </c>
      <c r="J3421" s="118" t="s">
        <v>5656</v>
      </c>
      <c r="K3421" s="141"/>
      <c r="L3421" s="135" t="str">
        <f t="shared" si="197"/>
        <v>Tarsius syrichta</v>
      </c>
      <c r="M3421" s="133">
        <f t="shared" si="198"/>
        <v>2.0549958615291417</v>
      </c>
      <c r="N3421" s="133">
        <f>AVERAGE(104, 123)</f>
        <v>113.5</v>
      </c>
      <c r="O3421" s="179" t="s">
        <v>6882</v>
      </c>
      <c r="P3421" s="108" t="s">
        <v>1840</v>
      </c>
      <c r="Q3421" s="90" t="s">
        <v>6987</v>
      </c>
    </row>
    <row r="3422" spans="1:17" ht="15" customHeight="1">
      <c r="A3422" s="213" t="s">
        <v>2594</v>
      </c>
      <c r="B3422" s="141" t="s">
        <v>5805</v>
      </c>
      <c r="C3422" s="118" t="s">
        <v>3817</v>
      </c>
      <c r="D3422" s="141"/>
      <c r="E3422" s="118"/>
      <c r="F3422" s="118"/>
      <c r="G3422" s="118" t="s">
        <v>7250</v>
      </c>
      <c r="H3422" s="118" t="s">
        <v>3575</v>
      </c>
      <c r="I3422" s="118" t="s">
        <v>5873</v>
      </c>
      <c r="J3422" s="118" t="s">
        <v>5777</v>
      </c>
      <c r="K3422" s="141"/>
      <c r="L3422" s="135" t="str">
        <f t="shared" si="197"/>
        <v>Tarsius spectrum</v>
      </c>
      <c r="M3422" s="133">
        <f t="shared" si="198"/>
        <v>2.3010299956639813</v>
      </c>
      <c r="N3422" s="133">
        <v>200</v>
      </c>
      <c r="O3422" s="179" t="s">
        <v>6641</v>
      </c>
      <c r="P3422" s="118">
        <v>74</v>
      </c>
      <c r="Q3422" s="90" t="s">
        <v>6642</v>
      </c>
    </row>
    <row r="3423" spans="1:17">
      <c r="A3423" s="213" t="s">
        <v>2594</v>
      </c>
      <c r="B3423" s="130" t="s">
        <v>2600</v>
      </c>
      <c r="C3423" s="118" t="s">
        <v>3817</v>
      </c>
      <c r="D3423" s="141"/>
      <c r="E3423" s="118"/>
      <c r="F3423" s="118"/>
      <c r="G3423" s="118" t="s">
        <v>4084</v>
      </c>
      <c r="H3423" s="118" t="s">
        <v>3613</v>
      </c>
      <c r="I3423" s="118" t="s">
        <v>5452</v>
      </c>
      <c r="J3423" s="118" t="s">
        <v>3429</v>
      </c>
      <c r="K3423" s="141"/>
      <c r="L3423" s="135" t="str">
        <f t="shared" si="197"/>
        <v>Elephas maximus</v>
      </c>
      <c r="M3423" s="133">
        <f t="shared" si="198"/>
        <v>6.4345689040341991</v>
      </c>
      <c r="N3423" s="133">
        <v>2720000</v>
      </c>
      <c r="O3423" s="179" t="s">
        <v>6736</v>
      </c>
      <c r="P3423" s="111" t="s">
        <v>5900</v>
      </c>
      <c r="Q3423" s="80" t="s">
        <v>6640</v>
      </c>
    </row>
    <row r="3424" spans="1:17">
      <c r="A3424" s="213" t="s">
        <v>2594</v>
      </c>
      <c r="B3424" s="130" t="s">
        <v>2435</v>
      </c>
      <c r="C3424" s="118" t="s">
        <v>3817</v>
      </c>
      <c r="D3424" s="141"/>
      <c r="E3424" s="118"/>
      <c r="F3424" s="118"/>
      <c r="G3424" s="118" t="s">
        <v>4084</v>
      </c>
      <c r="H3424" s="118" t="s">
        <v>3613</v>
      </c>
      <c r="I3424" s="118" t="s">
        <v>5452</v>
      </c>
      <c r="J3424" s="118" t="s">
        <v>3429</v>
      </c>
      <c r="K3424" s="141"/>
      <c r="L3424" s="135" t="str">
        <f t="shared" si="197"/>
        <v>Elephas maximus</v>
      </c>
      <c r="M3424" s="133">
        <f t="shared" si="198"/>
        <v>6.5191872321701414</v>
      </c>
      <c r="N3424" s="133">
        <f>7280*454</f>
        <v>3305120</v>
      </c>
      <c r="O3424" s="179">
        <f>2240*3 + 112*5</f>
        <v>7280</v>
      </c>
      <c r="P3424" s="108">
        <v>132</v>
      </c>
      <c r="Q3424" s="80" t="s">
        <v>6640</v>
      </c>
    </row>
    <row r="3425" spans="1:22" ht="25.5">
      <c r="A3425" s="213" t="s">
        <v>2594</v>
      </c>
      <c r="B3425" s="141" t="s">
        <v>2378</v>
      </c>
      <c r="C3425" s="118" t="s">
        <v>3931</v>
      </c>
      <c r="D3425" s="141"/>
      <c r="E3425" s="118"/>
      <c r="F3425" s="118"/>
      <c r="G3425" s="118" t="s">
        <v>3618</v>
      </c>
      <c r="H3425" s="118" t="s">
        <v>3779</v>
      </c>
      <c r="I3425" s="118" t="s">
        <v>6008</v>
      </c>
      <c r="J3425" s="118" t="s">
        <v>6652</v>
      </c>
      <c r="K3425" s="141"/>
      <c r="L3425" s="135" t="str">
        <f t="shared" si="197"/>
        <v>Geocapromys thoracatus</v>
      </c>
      <c r="M3425" s="133">
        <f t="shared" si="198"/>
        <v>3.1760912590556813</v>
      </c>
      <c r="N3425" s="133">
        <v>1500</v>
      </c>
      <c r="O3425" s="179" t="s">
        <v>62</v>
      </c>
      <c r="P3425" s="108">
        <v>3</v>
      </c>
      <c r="Q3425" s="90" t="s">
        <v>6907</v>
      </c>
    </row>
    <row r="3426" spans="1:22" ht="15" customHeight="1">
      <c r="A3426" s="213" t="s">
        <v>2594</v>
      </c>
      <c r="B3426" s="130" t="s">
        <v>2110</v>
      </c>
      <c r="C3426" s="118" t="s">
        <v>3931</v>
      </c>
      <c r="D3426" s="141"/>
      <c r="E3426" s="118"/>
      <c r="F3426" s="118"/>
      <c r="G3426" s="118" t="s">
        <v>3618</v>
      </c>
      <c r="H3426" s="118" t="s">
        <v>3779</v>
      </c>
      <c r="I3426" s="118" t="s">
        <v>5839</v>
      </c>
      <c r="J3426" s="118" t="s">
        <v>5199</v>
      </c>
      <c r="K3426" s="141"/>
      <c r="L3426" s="135" t="str">
        <f t="shared" si="197"/>
        <v>Plagiodontia araeum</v>
      </c>
      <c r="M3426" s="146">
        <v>-999</v>
      </c>
      <c r="N3426" s="146">
        <v>-999</v>
      </c>
      <c r="O3426" s="179" t="s">
        <v>3356</v>
      </c>
      <c r="P3426" s="110">
        <v>-999</v>
      </c>
      <c r="Q3426" s="80"/>
    </row>
    <row r="3427" spans="1:22">
      <c r="A3427" s="213" t="s">
        <v>2594</v>
      </c>
      <c r="B3427" s="130" t="s">
        <v>2110</v>
      </c>
      <c r="C3427" s="118" t="s">
        <v>3931</v>
      </c>
      <c r="D3427" s="141"/>
      <c r="E3427" s="118"/>
      <c r="F3427" s="118"/>
      <c r="G3427" s="118" t="s">
        <v>3618</v>
      </c>
      <c r="H3427" s="118" t="s">
        <v>3779</v>
      </c>
      <c r="I3427" s="118" t="s">
        <v>5839</v>
      </c>
      <c r="J3427" s="118" t="s">
        <v>7664</v>
      </c>
      <c r="K3427" s="141"/>
      <c r="L3427" s="135" t="str">
        <f t="shared" si="197"/>
        <v>Plagiodontia ipnaeum</v>
      </c>
      <c r="M3427" s="146">
        <v>-999</v>
      </c>
      <c r="N3427" s="146">
        <v>-999</v>
      </c>
      <c r="O3427" s="179" t="s">
        <v>3356</v>
      </c>
      <c r="P3427" s="110">
        <v>-999</v>
      </c>
      <c r="Q3427" s="80"/>
    </row>
    <row r="3428" spans="1:22">
      <c r="A3428" s="213" t="s">
        <v>2594</v>
      </c>
      <c r="B3428" s="141" t="s">
        <v>7627</v>
      </c>
      <c r="C3428" s="118" t="s">
        <v>3931</v>
      </c>
      <c r="D3428" s="141"/>
      <c r="E3428" s="118"/>
      <c r="F3428" s="118"/>
      <c r="G3428" s="118" t="s">
        <v>3618</v>
      </c>
      <c r="H3428" s="118" t="s">
        <v>3779</v>
      </c>
      <c r="I3428" s="118" t="s">
        <v>6457</v>
      </c>
      <c r="J3428" s="118" t="s">
        <v>6286</v>
      </c>
      <c r="K3428" s="141"/>
      <c r="L3428" s="135" t="str">
        <f t="shared" si="197"/>
        <v>Rhizoplagiodontia lemkei</v>
      </c>
      <c r="M3428" s="133">
        <v>-999</v>
      </c>
      <c r="N3428" s="133">
        <v>-999</v>
      </c>
      <c r="O3428" s="179" t="s">
        <v>3356</v>
      </c>
      <c r="P3428" s="108">
        <v>-999</v>
      </c>
      <c r="Q3428" s="80"/>
    </row>
    <row r="3429" spans="1:22">
      <c r="A3429" s="213" t="s">
        <v>2594</v>
      </c>
      <c r="B3429" s="141" t="s">
        <v>2240</v>
      </c>
      <c r="C3429" s="118" t="s">
        <v>3931</v>
      </c>
      <c r="D3429" s="141"/>
      <c r="E3429" s="118"/>
      <c r="F3429" s="118"/>
      <c r="G3429" s="118" t="s">
        <v>3618</v>
      </c>
      <c r="H3429" s="118" t="s">
        <v>5368</v>
      </c>
      <c r="I3429" s="118" t="s">
        <v>5866</v>
      </c>
      <c r="J3429" s="118" t="s">
        <v>5379</v>
      </c>
      <c r="K3429" s="141"/>
      <c r="L3429" s="135" t="str">
        <f t="shared" si="197"/>
        <v>Sphiggurus pallidus</v>
      </c>
      <c r="M3429" s="133">
        <v>-999</v>
      </c>
      <c r="N3429" s="133">
        <v>-999</v>
      </c>
      <c r="O3429" s="179" t="s">
        <v>3356</v>
      </c>
      <c r="P3429" s="108">
        <v>-999</v>
      </c>
      <c r="Q3429" s="80"/>
    </row>
    <row r="3430" spans="1:22">
      <c r="A3430" s="213" t="s">
        <v>2594</v>
      </c>
      <c r="B3430" s="141" t="s">
        <v>2382</v>
      </c>
      <c r="C3430" s="118" t="s">
        <v>3931</v>
      </c>
      <c r="D3430" s="141"/>
      <c r="E3430" s="118"/>
      <c r="F3430" s="118"/>
      <c r="G3430" s="118" t="s">
        <v>3618</v>
      </c>
      <c r="H3430" s="118" t="s">
        <v>6078</v>
      </c>
      <c r="I3430" s="118" t="s">
        <v>3146</v>
      </c>
      <c r="J3430" s="118" t="s">
        <v>3375</v>
      </c>
      <c r="K3430" s="141"/>
      <c r="L3430" s="135" t="str">
        <f t="shared" si="197"/>
        <v>Elasmodontomys obliquus</v>
      </c>
      <c r="M3430" s="133">
        <f>LOG(N3430)</f>
        <v>4.1367205671564067</v>
      </c>
      <c r="N3430" s="133">
        <v>13700</v>
      </c>
      <c r="O3430" s="179" t="s">
        <v>3356</v>
      </c>
      <c r="P3430" s="108">
        <v>145</v>
      </c>
      <c r="Q3430" s="80"/>
    </row>
    <row r="3431" spans="1:22">
      <c r="A3431" s="213" t="s">
        <v>2594</v>
      </c>
      <c r="B3431" s="141" t="s">
        <v>2110</v>
      </c>
      <c r="C3431" s="118" t="s">
        <v>3931</v>
      </c>
      <c r="D3431" s="141"/>
      <c r="E3431" s="118"/>
      <c r="F3431" s="118"/>
      <c r="G3431" s="118" t="s">
        <v>3618</v>
      </c>
      <c r="H3431" s="118" t="s">
        <v>6078</v>
      </c>
      <c r="I3431" s="118" t="s">
        <v>3376</v>
      </c>
      <c r="J3431" s="118" t="s">
        <v>6172</v>
      </c>
      <c r="K3431" s="141"/>
      <c r="L3431" s="135" t="str">
        <f t="shared" si="197"/>
        <v>Quemisia gravis</v>
      </c>
      <c r="M3431" s="133">
        <v>-999</v>
      </c>
      <c r="N3431" s="133">
        <v>-999</v>
      </c>
      <c r="O3431" s="179" t="s">
        <v>3356</v>
      </c>
      <c r="P3431" s="108">
        <v>-999</v>
      </c>
      <c r="Q3431" s="80"/>
    </row>
    <row r="3432" spans="1:22">
      <c r="A3432" s="213" t="s">
        <v>2594</v>
      </c>
      <c r="B3432" s="141" t="s">
        <v>6062</v>
      </c>
      <c r="C3432" s="118" t="s">
        <v>3931</v>
      </c>
      <c r="D3432" s="141"/>
      <c r="E3432" s="118"/>
      <c r="F3432" s="118"/>
      <c r="G3432" s="118" t="s">
        <v>3618</v>
      </c>
      <c r="H3432" s="118" t="s">
        <v>3638</v>
      </c>
      <c r="I3432" s="118" t="s">
        <v>6608</v>
      </c>
      <c r="J3432" s="118" t="s">
        <v>6609</v>
      </c>
      <c r="K3432" s="141"/>
      <c r="L3432" s="135" t="str">
        <f t="shared" si="197"/>
        <v>Crateromys paulus</v>
      </c>
      <c r="M3432" s="133">
        <f>LOG(N3432)</f>
        <v>2.6031443726201822</v>
      </c>
      <c r="N3432" s="133">
        <v>401</v>
      </c>
      <c r="O3432" s="179" t="s">
        <v>7036</v>
      </c>
      <c r="P3432" s="108">
        <v>60</v>
      </c>
      <c r="Q3432" s="80"/>
    </row>
    <row r="3433" spans="1:22" ht="15" customHeight="1">
      <c r="A3433" s="213" t="s">
        <v>2594</v>
      </c>
      <c r="B3433" s="141" t="s">
        <v>2198</v>
      </c>
      <c r="C3433" s="118" t="s">
        <v>3931</v>
      </c>
      <c r="D3433" s="141"/>
      <c r="E3433" s="118"/>
      <c r="F3433" s="118"/>
      <c r="G3433" s="118" t="s">
        <v>3618</v>
      </c>
      <c r="H3433" s="118" t="s">
        <v>3638</v>
      </c>
      <c r="I3433" s="118" t="s">
        <v>3203</v>
      </c>
      <c r="J3433" s="118" t="s">
        <v>8271</v>
      </c>
      <c r="K3433" s="141"/>
      <c r="L3433" s="135" t="str">
        <f t="shared" si="197"/>
        <v>Malpaisomys insularis</v>
      </c>
      <c r="M3433" s="133">
        <v>-999</v>
      </c>
      <c r="N3433" s="133">
        <v>-999</v>
      </c>
      <c r="O3433" s="179" t="s">
        <v>3356</v>
      </c>
      <c r="P3433" s="108">
        <v>-999</v>
      </c>
      <c r="Q3433" s="94" t="s">
        <v>6907</v>
      </c>
    </row>
    <row r="3434" spans="1:22" ht="38.25">
      <c r="A3434" s="213" t="s">
        <v>2594</v>
      </c>
      <c r="B3434" s="141" t="s">
        <v>6363</v>
      </c>
      <c r="C3434" s="118" t="s">
        <v>3931</v>
      </c>
      <c r="D3434" s="141"/>
      <c r="E3434" s="118"/>
      <c r="F3434" s="118"/>
      <c r="G3434" s="118" t="s">
        <v>3618</v>
      </c>
      <c r="H3434" s="118" t="s">
        <v>3638</v>
      </c>
      <c r="I3434" s="118" t="s">
        <v>6024</v>
      </c>
      <c r="J3434" s="118" t="s">
        <v>6025</v>
      </c>
      <c r="K3434" s="141"/>
      <c r="L3434" s="135" t="str">
        <f t="shared" si="197"/>
        <v>Megalomys desmarestii</v>
      </c>
      <c r="M3434" s="133">
        <v>-999</v>
      </c>
      <c r="N3434" s="133">
        <v>-999</v>
      </c>
      <c r="O3434" s="179" t="s">
        <v>6943</v>
      </c>
      <c r="P3434" s="108">
        <v>-999</v>
      </c>
      <c r="Q3434" s="80"/>
      <c r="U3434" s="20"/>
      <c r="V3434" s="20"/>
    </row>
    <row r="3435" spans="1:22" ht="25.5">
      <c r="A3435" s="213" t="s">
        <v>2594</v>
      </c>
      <c r="B3435" s="141" t="s">
        <v>6364</v>
      </c>
      <c r="C3435" s="118" t="s">
        <v>3931</v>
      </c>
      <c r="D3435" s="141"/>
      <c r="E3435" s="118"/>
      <c r="F3435" s="118"/>
      <c r="G3435" s="118" t="s">
        <v>3618</v>
      </c>
      <c r="H3435" s="118" t="s">
        <v>3638</v>
      </c>
      <c r="I3435" s="118" t="s">
        <v>6024</v>
      </c>
      <c r="J3435" s="118" t="s">
        <v>5662</v>
      </c>
      <c r="K3435" s="141"/>
      <c r="L3435" s="135" t="str">
        <f t="shared" si="197"/>
        <v>Megalomys luciae</v>
      </c>
      <c r="M3435" s="133">
        <v>-999</v>
      </c>
      <c r="N3435" s="133">
        <v>-999</v>
      </c>
      <c r="O3435" s="179" t="s">
        <v>6960</v>
      </c>
      <c r="P3435" s="108">
        <v>-999</v>
      </c>
      <c r="Q3435" s="80"/>
      <c r="U3435" s="20"/>
      <c r="V3435" s="20"/>
    </row>
    <row r="3436" spans="1:22" ht="24" customHeight="1">
      <c r="A3436" s="213" t="s">
        <v>2594</v>
      </c>
      <c r="B3436" s="141" t="s">
        <v>5156</v>
      </c>
      <c r="C3436" s="118" t="s">
        <v>3931</v>
      </c>
      <c r="D3436" s="141"/>
      <c r="E3436" s="118"/>
      <c r="F3436" s="118"/>
      <c r="G3436" s="118" t="s">
        <v>3618</v>
      </c>
      <c r="H3436" s="118" t="s">
        <v>3638</v>
      </c>
      <c r="I3436" s="118" t="s">
        <v>5323</v>
      </c>
      <c r="J3436" s="118" t="s">
        <v>3753</v>
      </c>
      <c r="K3436" s="141"/>
      <c r="L3436" s="135" t="str">
        <f t="shared" si="197"/>
        <v>Nesoryzomys darwini</v>
      </c>
      <c r="M3436" s="133">
        <v>-999</v>
      </c>
      <c r="N3436" s="133">
        <v>-999</v>
      </c>
      <c r="O3436" s="179" t="s">
        <v>7041</v>
      </c>
      <c r="P3436" s="108">
        <v>-999</v>
      </c>
      <c r="Q3436" s="80" t="s">
        <v>6907</v>
      </c>
    </row>
    <row r="3437" spans="1:22" ht="51">
      <c r="A3437" s="213" t="s">
        <v>2594</v>
      </c>
      <c r="B3437" s="141" t="s">
        <v>4884</v>
      </c>
      <c r="C3437" s="118" t="s">
        <v>3931</v>
      </c>
      <c r="D3437" s="141"/>
      <c r="E3437" s="118"/>
      <c r="F3437" s="118"/>
      <c r="G3437" s="118" t="s">
        <v>3618</v>
      </c>
      <c r="H3437" s="118" t="s">
        <v>3638</v>
      </c>
      <c r="I3437" s="118" t="s">
        <v>5323</v>
      </c>
      <c r="J3437" s="118" t="s">
        <v>5030</v>
      </c>
      <c r="K3437" s="141"/>
      <c r="L3437" s="135" t="str">
        <f t="shared" si="197"/>
        <v>Nesoryzomys indefessus</v>
      </c>
      <c r="M3437" s="133">
        <v>-999</v>
      </c>
      <c r="N3437" s="133">
        <v>-999</v>
      </c>
      <c r="O3437" s="179" t="s">
        <v>6840</v>
      </c>
      <c r="P3437" s="108">
        <v>-999</v>
      </c>
      <c r="Q3437" s="88" t="s">
        <v>6907</v>
      </c>
    </row>
    <row r="3438" spans="1:22" ht="25.5">
      <c r="A3438" s="213" t="s">
        <v>2594</v>
      </c>
      <c r="B3438" s="141" t="s">
        <v>4734</v>
      </c>
      <c r="C3438" s="118" t="s">
        <v>3931</v>
      </c>
      <c r="D3438" s="141"/>
      <c r="E3438" s="118"/>
      <c r="F3438" s="118"/>
      <c r="G3438" s="118" t="s">
        <v>3618</v>
      </c>
      <c r="H3438" s="118" t="s">
        <v>3638</v>
      </c>
      <c r="I3438" s="118" t="s">
        <v>5323</v>
      </c>
      <c r="J3438" s="118" t="s">
        <v>5494</v>
      </c>
      <c r="K3438" s="141"/>
      <c r="L3438" s="135" t="str">
        <f t="shared" si="197"/>
        <v>Nesoryzomys swarthi</v>
      </c>
      <c r="M3438" s="133">
        <v>-999</v>
      </c>
      <c r="N3438" s="133">
        <v>-999</v>
      </c>
      <c r="O3438" s="179" t="s">
        <v>6983</v>
      </c>
      <c r="P3438" s="108">
        <v>-999</v>
      </c>
      <c r="Q3438" s="80" t="s">
        <v>6988</v>
      </c>
    </row>
    <row r="3439" spans="1:22" ht="15" customHeight="1">
      <c r="A3439" s="213" t="s">
        <v>2594</v>
      </c>
      <c r="B3439" s="141" t="s">
        <v>6054</v>
      </c>
      <c r="C3439" s="118" t="s">
        <v>3931</v>
      </c>
      <c r="D3439" s="141"/>
      <c r="E3439" s="118"/>
      <c r="F3439" s="118"/>
      <c r="G3439" s="118" t="s">
        <v>3618</v>
      </c>
      <c r="H3439" s="118" t="s">
        <v>3638</v>
      </c>
      <c r="I3439" s="118" t="s">
        <v>3398</v>
      </c>
      <c r="J3439" s="118" t="s">
        <v>3155</v>
      </c>
      <c r="K3439" s="141"/>
      <c r="L3439" s="135" t="str">
        <f t="shared" si="197"/>
        <v>Oryzomys nelsoni</v>
      </c>
      <c r="M3439" s="133">
        <v>-999</v>
      </c>
      <c r="N3439" s="133">
        <v>-999</v>
      </c>
      <c r="O3439" s="179" t="s">
        <v>6883</v>
      </c>
      <c r="P3439" s="108">
        <v>-999</v>
      </c>
      <c r="Q3439" s="80" t="s">
        <v>6907</v>
      </c>
    </row>
    <row r="3440" spans="1:22" ht="24" customHeight="1">
      <c r="A3440" s="213" t="s">
        <v>2594</v>
      </c>
      <c r="B3440" s="141" t="s">
        <v>7046</v>
      </c>
      <c r="C3440" s="118" t="s">
        <v>3931</v>
      </c>
      <c r="D3440" s="141"/>
      <c r="E3440" s="118"/>
      <c r="F3440" s="118"/>
      <c r="G3440" s="118" t="s">
        <v>3618</v>
      </c>
      <c r="H3440" s="118" t="s">
        <v>3638</v>
      </c>
      <c r="I3440" s="118" t="s">
        <v>5083</v>
      </c>
      <c r="J3440" s="118" t="s">
        <v>7088</v>
      </c>
      <c r="K3440" s="141"/>
      <c r="L3440" s="135" t="str">
        <f t="shared" si="197"/>
        <v>Paulamys naso</v>
      </c>
      <c r="M3440" s="133">
        <v>-999</v>
      </c>
      <c r="N3440" s="133">
        <v>-999</v>
      </c>
      <c r="O3440" s="179" t="s">
        <v>3356</v>
      </c>
      <c r="P3440" s="108">
        <v>-999</v>
      </c>
      <c r="Q3440" s="80" t="s">
        <v>6907</v>
      </c>
    </row>
    <row r="3441" spans="1:18" ht="25.5">
      <c r="A3441" s="213" t="s">
        <v>2594</v>
      </c>
      <c r="B3441" s="141" t="s">
        <v>8184</v>
      </c>
      <c r="C3441" s="118" t="s">
        <v>3931</v>
      </c>
      <c r="D3441" s="141"/>
      <c r="E3441" s="118"/>
      <c r="F3441" s="118"/>
      <c r="G3441" s="118" t="s">
        <v>3618</v>
      </c>
      <c r="H3441" s="118" t="s">
        <v>3638</v>
      </c>
      <c r="I3441" s="118" t="s">
        <v>3167</v>
      </c>
      <c r="J3441" s="118" t="s">
        <v>6999</v>
      </c>
      <c r="K3441" s="141"/>
      <c r="L3441" s="135" t="str">
        <f t="shared" si="197"/>
        <v>Peromyscus nesodytes</v>
      </c>
      <c r="M3441" s="133">
        <v>-999</v>
      </c>
      <c r="N3441" s="133">
        <v>-999</v>
      </c>
      <c r="O3441" s="179" t="s">
        <v>6848</v>
      </c>
      <c r="P3441" s="108">
        <v>3</v>
      </c>
      <c r="Q3441" s="80"/>
    </row>
    <row r="3442" spans="1:18">
      <c r="A3442" s="213" t="s">
        <v>2594</v>
      </c>
      <c r="B3442" s="141" t="s">
        <v>5299</v>
      </c>
      <c r="C3442" s="118" t="s">
        <v>3931</v>
      </c>
      <c r="D3442" s="141"/>
      <c r="E3442" s="118"/>
      <c r="F3442" s="118"/>
      <c r="G3442" s="118" t="s">
        <v>3618</v>
      </c>
      <c r="H3442" s="118" t="s">
        <v>3638</v>
      </c>
      <c r="I3442" s="118" t="s">
        <v>3167</v>
      </c>
      <c r="J3442" s="118" t="s">
        <v>5745</v>
      </c>
      <c r="K3442" s="141"/>
      <c r="L3442" s="135" t="str">
        <f t="shared" si="197"/>
        <v>Peromyscus pembertoni</v>
      </c>
      <c r="M3442" s="133">
        <v>-999</v>
      </c>
      <c r="N3442" s="133">
        <v>-999</v>
      </c>
      <c r="O3442" s="179" t="s">
        <v>7042</v>
      </c>
      <c r="P3442" s="111">
        <v>-999</v>
      </c>
      <c r="Q3442" s="80" t="s">
        <v>6907</v>
      </c>
    </row>
    <row r="3443" spans="1:18" ht="25.5">
      <c r="A3443" s="213" t="s">
        <v>2594</v>
      </c>
      <c r="B3443" s="141" t="s">
        <v>4947</v>
      </c>
      <c r="C3443" s="118" t="s">
        <v>3931</v>
      </c>
      <c r="D3443" s="141"/>
      <c r="E3443" s="118"/>
      <c r="F3443" s="118"/>
      <c r="G3443" s="118" t="s">
        <v>3618</v>
      </c>
      <c r="H3443" s="118" t="s">
        <v>3638</v>
      </c>
      <c r="I3443" s="118" t="s">
        <v>7644</v>
      </c>
      <c r="J3443" s="118" t="s">
        <v>5242</v>
      </c>
      <c r="K3443" s="141"/>
      <c r="L3443" s="135" t="str">
        <f t="shared" si="197"/>
        <v>Rattus macleari</v>
      </c>
      <c r="M3443" s="133">
        <v>-999</v>
      </c>
      <c r="N3443" s="133">
        <v>-999</v>
      </c>
      <c r="O3443" s="179" t="s">
        <v>8250</v>
      </c>
      <c r="P3443" s="111">
        <v>-999</v>
      </c>
      <c r="Q3443" s="80"/>
    </row>
    <row r="3444" spans="1:18" ht="25.5">
      <c r="A3444" s="213" t="s">
        <v>2594</v>
      </c>
      <c r="B3444" s="141" t="s">
        <v>4947</v>
      </c>
      <c r="C3444" s="118" t="s">
        <v>3931</v>
      </c>
      <c r="D3444" s="141"/>
      <c r="E3444" s="118"/>
      <c r="F3444" s="118"/>
      <c r="G3444" s="118" t="s">
        <v>3618</v>
      </c>
      <c r="H3444" s="118" t="s">
        <v>3638</v>
      </c>
      <c r="I3444" s="118" t="s">
        <v>7644</v>
      </c>
      <c r="J3444" s="118" t="s">
        <v>7512</v>
      </c>
      <c r="K3444" s="141"/>
      <c r="L3444" s="135" t="str">
        <f t="shared" si="197"/>
        <v>Rattus nativitatis</v>
      </c>
      <c r="M3444" s="133">
        <v>-999</v>
      </c>
      <c r="N3444" s="133">
        <v>-999</v>
      </c>
      <c r="O3444" s="179" t="s">
        <v>8250</v>
      </c>
      <c r="P3444" s="108">
        <v>-999</v>
      </c>
      <c r="Q3444" s="80"/>
    </row>
    <row r="3445" spans="1:18">
      <c r="A3445" s="213" t="s">
        <v>2594</v>
      </c>
      <c r="B3445" s="141" t="s">
        <v>2382</v>
      </c>
      <c r="C3445" s="118" t="s">
        <v>5092</v>
      </c>
      <c r="D3445" s="141"/>
      <c r="E3445" s="118"/>
      <c r="F3445" s="118"/>
      <c r="G3445" s="118" t="s">
        <v>3618</v>
      </c>
      <c r="H3445" s="118" t="s">
        <v>6464</v>
      </c>
      <c r="I3445" s="118" t="s">
        <v>3552</v>
      </c>
      <c r="J3445" s="118" t="s">
        <v>3141</v>
      </c>
      <c r="K3445" s="141"/>
      <c r="L3445" s="135" t="str">
        <f t="shared" si="197"/>
        <v>Puertoricomys corozalus</v>
      </c>
      <c r="M3445" s="133">
        <v>-999</v>
      </c>
      <c r="N3445" s="133">
        <v>-999</v>
      </c>
      <c r="O3445" s="179" t="s">
        <v>3356</v>
      </c>
      <c r="P3445" s="109">
        <v>-999</v>
      </c>
      <c r="Q3445" s="80"/>
    </row>
    <row r="3446" spans="1:18" ht="25.5">
      <c r="A3446" s="213" t="s">
        <v>2594</v>
      </c>
      <c r="B3446" s="141" t="s">
        <v>2593</v>
      </c>
      <c r="C3446" s="136" t="s">
        <v>5092</v>
      </c>
      <c r="D3446" s="220"/>
      <c r="E3446" s="136"/>
      <c r="F3446" s="136"/>
      <c r="G3446" s="118" t="s">
        <v>3618</v>
      </c>
      <c r="H3446" s="118" t="s">
        <v>3638</v>
      </c>
      <c r="I3446" s="118" t="s">
        <v>8203</v>
      </c>
      <c r="J3446" s="118" t="s">
        <v>3789</v>
      </c>
      <c r="K3446" s="141"/>
      <c r="L3446" s="135" t="str">
        <f t="shared" si="197"/>
        <v>Hypogeomys australis</v>
      </c>
      <c r="M3446" s="146">
        <v>-999</v>
      </c>
      <c r="N3446" s="146">
        <v>-999</v>
      </c>
      <c r="O3446" s="179" t="s">
        <v>1228</v>
      </c>
      <c r="P3446" s="109">
        <v>150</v>
      </c>
      <c r="Q3446" s="82"/>
    </row>
    <row r="3447" spans="1:18">
      <c r="A3447" s="213" t="s">
        <v>2594</v>
      </c>
      <c r="B3447" s="130" t="s">
        <v>4419</v>
      </c>
      <c r="C3447" s="227" t="s">
        <v>8293</v>
      </c>
      <c r="D3447" s="141"/>
      <c r="E3447" s="118"/>
      <c r="F3447" s="118"/>
      <c r="G3447" s="118" t="s">
        <v>3618</v>
      </c>
      <c r="H3447" s="118" t="s">
        <v>3638</v>
      </c>
      <c r="I3447" s="118" t="s">
        <v>3154</v>
      </c>
      <c r="J3447" s="118" t="s">
        <v>6010</v>
      </c>
      <c r="K3447" s="141"/>
      <c r="L3447" s="135" t="str">
        <f t="shared" si="197"/>
        <v>Neotoma bunkeri</v>
      </c>
      <c r="M3447" s="133">
        <f>LOG(N3447)</f>
        <v>2.5740312677277188</v>
      </c>
      <c r="N3447" s="133">
        <v>375</v>
      </c>
      <c r="O3447" s="179" t="s">
        <v>3356</v>
      </c>
      <c r="P3447" s="109" t="s">
        <v>254</v>
      </c>
      <c r="Q3447" s="80" t="s">
        <v>6640</v>
      </c>
      <c r="R3447" s="82"/>
    </row>
    <row r="3448" spans="1:18" ht="25.5">
      <c r="A3448" s="213" t="s">
        <v>2594</v>
      </c>
      <c r="B3448" s="141" t="s">
        <v>4801</v>
      </c>
      <c r="C3448" s="118" t="s">
        <v>5092</v>
      </c>
      <c r="D3448" s="141"/>
      <c r="E3448" s="118"/>
      <c r="F3448" s="118"/>
      <c r="G3448" s="118" t="s">
        <v>3618</v>
      </c>
      <c r="H3448" s="118" t="s">
        <v>3638</v>
      </c>
      <c r="I3448" s="118" t="s">
        <v>7644</v>
      </c>
      <c r="J3448" s="118" t="s">
        <v>5186</v>
      </c>
      <c r="K3448" s="141"/>
      <c r="L3448" s="135" t="str">
        <f t="shared" si="197"/>
        <v>Rattus sanila</v>
      </c>
      <c r="M3448" s="133">
        <v>-999</v>
      </c>
      <c r="N3448" s="133">
        <v>-999</v>
      </c>
      <c r="O3448" s="179" t="s">
        <v>3356</v>
      </c>
      <c r="P3448" s="109">
        <v>-999</v>
      </c>
      <c r="Q3448" s="80"/>
    </row>
    <row r="3449" spans="1:18">
      <c r="A3449" s="213" t="s">
        <v>2594</v>
      </c>
      <c r="B3449" s="141" t="s">
        <v>3098</v>
      </c>
      <c r="C3449" s="118" t="s">
        <v>5092</v>
      </c>
      <c r="D3449" s="141"/>
      <c r="E3449" s="118"/>
      <c r="F3449" s="118"/>
      <c r="G3449" s="118" t="s">
        <v>3618</v>
      </c>
      <c r="H3449" s="118" t="s">
        <v>3638</v>
      </c>
      <c r="I3449" s="118" t="s">
        <v>3738</v>
      </c>
      <c r="J3449" s="118" t="s">
        <v>4648</v>
      </c>
      <c r="K3449" s="141"/>
      <c r="L3449" s="135" t="str">
        <f t="shared" si="197"/>
        <v>Uromys imperator</v>
      </c>
      <c r="M3449" s="133">
        <f>LOG(N3449)</f>
        <v>3</v>
      </c>
      <c r="N3449" s="133">
        <v>1000</v>
      </c>
      <c r="O3449" s="179" t="s">
        <v>3356</v>
      </c>
      <c r="P3449" s="109">
        <v>110</v>
      </c>
      <c r="Q3449" s="80" t="s">
        <v>5092</v>
      </c>
    </row>
    <row r="3450" spans="1:18">
      <c r="A3450" s="213" t="s">
        <v>2594</v>
      </c>
      <c r="B3450" s="141" t="s">
        <v>2537</v>
      </c>
      <c r="C3450" s="118" t="s">
        <v>3817</v>
      </c>
      <c r="D3450" s="141"/>
      <c r="E3450" s="118"/>
      <c r="F3450" s="118"/>
      <c r="G3450" s="118" t="s">
        <v>3618</v>
      </c>
      <c r="H3450" s="118" t="s">
        <v>3779</v>
      </c>
      <c r="I3450" s="118" t="s">
        <v>5293</v>
      </c>
      <c r="J3450" s="118" t="s">
        <v>6032</v>
      </c>
      <c r="K3450" s="141"/>
      <c r="L3450" s="135" t="str">
        <f t="shared" si="197"/>
        <v>Capromys pilorides</v>
      </c>
      <c r="M3450" s="133">
        <f>LOG(N3450)</f>
        <v>3.7520484478194387</v>
      </c>
      <c r="N3450" s="133">
        <v>5650</v>
      </c>
      <c r="O3450" s="179" t="s">
        <v>6736</v>
      </c>
      <c r="P3450" s="108">
        <v>68</v>
      </c>
    </row>
    <row r="3451" spans="1:18">
      <c r="A3451" s="213" t="s">
        <v>2594</v>
      </c>
      <c r="B3451" s="141" t="s">
        <v>1532</v>
      </c>
      <c r="C3451" s="118" t="s">
        <v>3817</v>
      </c>
      <c r="D3451" s="141"/>
      <c r="E3451" s="118"/>
      <c r="F3451" s="118"/>
      <c r="G3451" s="118" t="s">
        <v>3618</v>
      </c>
      <c r="H3451" s="118" t="s">
        <v>3779</v>
      </c>
      <c r="I3451" s="118" t="s">
        <v>6008</v>
      </c>
      <c r="J3451" s="118" t="s">
        <v>6651</v>
      </c>
      <c r="K3451" s="141"/>
      <c r="L3451" s="135" t="str">
        <f t="shared" si="197"/>
        <v>Geocapromys ingrahami</v>
      </c>
      <c r="M3451" s="133">
        <f>LOG(N3451)</f>
        <v>2.9030899869919438</v>
      </c>
      <c r="N3451" s="133">
        <f>AVERAGE(700, 900)</f>
        <v>800</v>
      </c>
      <c r="O3451" s="179" t="s">
        <v>3356</v>
      </c>
      <c r="P3451" s="108">
        <v>138</v>
      </c>
      <c r="Q3451" s="80"/>
    </row>
    <row r="3452" spans="1:18">
      <c r="A3452" s="213" t="s">
        <v>2594</v>
      </c>
      <c r="B3452" s="141" t="s">
        <v>1987</v>
      </c>
      <c r="C3452" s="118" t="s">
        <v>3817</v>
      </c>
      <c r="D3452" s="141"/>
      <c r="E3452" s="118"/>
      <c r="F3452" s="118"/>
      <c r="G3452" s="118" t="s">
        <v>3618</v>
      </c>
      <c r="H3452" s="118" t="s">
        <v>3779</v>
      </c>
      <c r="I3452" s="118" t="s">
        <v>6008</v>
      </c>
      <c r="J3452" s="118" t="s">
        <v>6034</v>
      </c>
      <c r="K3452" s="141"/>
      <c r="L3452" s="135" t="str">
        <f t="shared" si="197"/>
        <v>Geocapromys brownii</v>
      </c>
      <c r="M3452" s="133">
        <f>LOG(N3452)</f>
        <v>3.1760912590556813</v>
      </c>
      <c r="N3452" s="133">
        <v>1500</v>
      </c>
      <c r="O3452" s="179" t="s">
        <v>7081</v>
      </c>
      <c r="P3452" s="108">
        <v>68</v>
      </c>
      <c r="Q3452" s="90" t="s">
        <v>6988</v>
      </c>
    </row>
    <row r="3453" spans="1:18" ht="25.5">
      <c r="A3453" s="213" t="s">
        <v>2594</v>
      </c>
      <c r="B3453" s="141" t="s">
        <v>5808</v>
      </c>
      <c r="C3453" s="118" t="s">
        <v>3817</v>
      </c>
      <c r="D3453" s="141"/>
      <c r="E3453" s="118"/>
      <c r="F3453" s="118"/>
      <c r="G3453" s="118" t="s">
        <v>3618</v>
      </c>
      <c r="H3453" s="118" t="s">
        <v>3779</v>
      </c>
      <c r="I3453" s="118" t="s">
        <v>5196</v>
      </c>
      <c r="J3453" s="118" t="s">
        <v>2983</v>
      </c>
      <c r="K3453" s="141"/>
      <c r="L3453" s="135" t="str">
        <f t="shared" si="197"/>
        <v>Hexolobodon phenax</v>
      </c>
      <c r="M3453" s="133">
        <v>-999</v>
      </c>
      <c r="N3453" s="133">
        <v>-999</v>
      </c>
      <c r="O3453" s="179" t="s">
        <v>3356</v>
      </c>
      <c r="P3453" s="108">
        <v>-999</v>
      </c>
      <c r="Q3453" s="80"/>
    </row>
    <row r="3454" spans="1:18" ht="108.95" customHeight="1">
      <c r="A3454" s="213" t="s">
        <v>2594</v>
      </c>
      <c r="B3454" s="141" t="s">
        <v>5808</v>
      </c>
      <c r="C3454" s="118" t="s">
        <v>3817</v>
      </c>
      <c r="D3454" s="141"/>
      <c r="E3454" s="118"/>
      <c r="F3454" s="118"/>
      <c r="G3454" s="118" t="s">
        <v>3618</v>
      </c>
      <c r="H3454" s="118" t="s">
        <v>3779</v>
      </c>
      <c r="I3454" s="118" t="s">
        <v>5197</v>
      </c>
      <c r="J3454" s="118" t="s">
        <v>3985</v>
      </c>
      <c r="K3454" s="141"/>
      <c r="L3454" s="135" t="str">
        <f t="shared" si="197"/>
        <v>Isolobodon montanus</v>
      </c>
      <c r="M3454" s="133">
        <v>-999</v>
      </c>
      <c r="N3454" s="133">
        <v>-999</v>
      </c>
      <c r="O3454" s="179" t="s">
        <v>3356</v>
      </c>
      <c r="P3454" s="108">
        <v>-999</v>
      </c>
      <c r="Q3454" s="80"/>
    </row>
    <row r="3455" spans="1:18">
      <c r="A3455" s="213" t="s">
        <v>2594</v>
      </c>
      <c r="B3455" s="141" t="s">
        <v>5809</v>
      </c>
      <c r="C3455" s="118" t="s">
        <v>3817</v>
      </c>
      <c r="D3455" s="141"/>
      <c r="E3455" s="118"/>
      <c r="F3455" s="118"/>
      <c r="G3455" s="118" t="s">
        <v>3618</v>
      </c>
      <c r="H3455" s="118" t="s">
        <v>3779</v>
      </c>
      <c r="I3455" s="118" t="s">
        <v>5197</v>
      </c>
      <c r="J3455" s="118" t="s">
        <v>5198</v>
      </c>
      <c r="K3455" s="141"/>
      <c r="L3455" s="135" t="str">
        <f t="shared" si="197"/>
        <v>Isolobodon portoricensis</v>
      </c>
      <c r="M3455" s="133">
        <v>-999</v>
      </c>
      <c r="N3455" s="133">
        <v>-999</v>
      </c>
      <c r="O3455" s="179" t="s">
        <v>3356</v>
      </c>
      <c r="P3455" s="108">
        <v>-999</v>
      </c>
      <c r="Q3455" s="80"/>
    </row>
    <row r="3456" spans="1:18">
      <c r="A3456" s="213" t="s">
        <v>2594</v>
      </c>
      <c r="B3456" s="130" t="s">
        <v>2537</v>
      </c>
      <c r="C3456" s="118" t="s">
        <v>3817</v>
      </c>
      <c r="D3456" s="141"/>
      <c r="E3456" s="118"/>
      <c r="F3456" s="118"/>
      <c r="G3456" s="118" t="s">
        <v>3618</v>
      </c>
      <c r="H3456" s="118" t="s">
        <v>3779</v>
      </c>
      <c r="I3456" s="118" t="s">
        <v>3555</v>
      </c>
      <c r="J3456" s="118" t="s">
        <v>5189</v>
      </c>
      <c r="K3456" s="141"/>
      <c r="L3456" s="135" t="str">
        <f t="shared" si="197"/>
        <v>Mesocapromys angelcabrerai</v>
      </c>
      <c r="M3456" s="133">
        <v>-999</v>
      </c>
      <c r="N3456" s="133">
        <v>-999</v>
      </c>
      <c r="O3456" s="179" t="s">
        <v>3356</v>
      </c>
      <c r="P3456" s="108">
        <v>-999</v>
      </c>
      <c r="Q3456" s="80"/>
    </row>
    <row r="3457" spans="1:17">
      <c r="A3457" s="213" t="s">
        <v>2594</v>
      </c>
      <c r="B3457" s="141" t="s">
        <v>2537</v>
      </c>
      <c r="C3457" s="121" t="s">
        <v>3817</v>
      </c>
      <c r="D3457" s="156"/>
      <c r="E3457" s="121"/>
      <c r="F3457" s="121"/>
      <c r="G3457" s="121" t="s">
        <v>3618</v>
      </c>
      <c r="H3457" s="121" t="s">
        <v>3779</v>
      </c>
      <c r="I3457" s="121" t="s">
        <v>3555</v>
      </c>
      <c r="J3457" s="121" t="s">
        <v>7385</v>
      </c>
      <c r="K3457" s="156"/>
      <c r="L3457" s="135" t="str">
        <f t="shared" si="197"/>
        <v>Mesocapromys auritus</v>
      </c>
      <c r="M3457" s="133">
        <v>-999</v>
      </c>
      <c r="N3457" s="143">
        <v>-999</v>
      </c>
      <c r="O3457" s="182" t="s">
        <v>3356</v>
      </c>
      <c r="P3457" s="111">
        <v>-999</v>
      </c>
      <c r="Q3457" s="80"/>
    </row>
    <row r="3458" spans="1:17">
      <c r="A3458" s="213" t="s">
        <v>2594</v>
      </c>
      <c r="B3458" s="141" t="s">
        <v>2537</v>
      </c>
      <c r="C3458" s="118" t="s">
        <v>3817</v>
      </c>
      <c r="D3458" s="141"/>
      <c r="E3458" s="118"/>
      <c r="F3458" s="118"/>
      <c r="G3458" s="118" t="s">
        <v>3618</v>
      </c>
      <c r="H3458" s="118" t="s">
        <v>3779</v>
      </c>
      <c r="I3458" s="118" t="s">
        <v>3555</v>
      </c>
      <c r="J3458" s="118" t="s">
        <v>2177</v>
      </c>
      <c r="K3458" s="141"/>
      <c r="L3458" s="135" t="str">
        <f t="shared" si="197"/>
        <v>Mesocapromys nanus</v>
      </c>
      <c r="M3458" s="133">
        <v>-999</v>
      </c>
      <c r="N3458" s="133">
        <v>-999</v>
      </c>
      <c r="O3458" s="179" t="s">
        <v>3356</v>
      </c>
      <c r="P3458" s="108">
        <v>-999</v>
      </c>
      <c r="Q3458" s="80"/>
    </row>
    <row r="3459" spans="1:17">
      <c r="A3459" s="213" t="s">
        <v>2594</v>
      </c>
      <c r="B3459" s="141" t="s">
        <v>2537</v>
      </c>
      <c r="C3459" s="118" t="s">
        <v>3817</v>
      </c>
      <c r="D3459" s="141"/>
      <c r="E3459" s="118"/>
      <c r="F3459" s="118"/>
      <c r="G3459" s="118" t="s">
        <v>3618</v>
      </c>
      <c r="H3459" s="118" t="s">
        <v>3779</v>
      </c>
      <c r="I3459" s="118" t="s">
        <v>3555</v>
      </c>
      <c r="J3459" s="118" t="s">
        <v>5035</v>
      </c>
      <c r="K3459" s="141"/>
      <c r="L3459" s="135" t="str">
        <f t="shared" si="197"/>
        <v>Mesocapromys sanfelipensis</v>
      </c>
      <c r="M3459" s="133">
        <v>-999</v>
      </c>
      <c r="N3459" s="133">
        <v>-999</v>
      </c>
      <c r="O3459" s="179" t="s">
        <v>3356</v>
      </c>
      <c r="P3459" s="108">
        <v>-999</v>
      </c>
      <c r="Q3459" s="80"/>
    </row>
    <row r="3460" spans="1:17">
      <c r="A3460" s="213" t="s">
        <v>2594</v>
      </c>
      <c r="B3460" s="141" t="s">
        <v>2537</v>
      </c>
      <c r="C3460" s="118" t="s">
        <v>3817</v>
      </c>
      <c r="D3460" s="141"/>
      <c r="E3460" s="118"/>
      <c r="F3460" s="118"/>
      <c r="G3460" s="118" t="s">
        <v>3618</v>
      </c>
      <c r="H3460" s="118" t="s">
        <v>3779</v>
      </c>
      <c r="I3460" s="118" t="s">
        <v>5204</v>
      </c>
      <c r="J3460" s="118" t="s">
        <v>5205</v>
      </c>
      <c r="K3460" s="141"/>
      <c r="L3460" s="135" t="str">
        <f t="shared" si="197"/>
        <v>Mysateles garridoi</v>
      </c>
      <c r="M3460" s="133">
        <v>-999</v>
      </c>
      <c r="N3460" s="133">
        <v>-999</v>
      </c>
      <c r="O3460" s="179" t="s">
        <v>3356</v>
      </c>
      <c r="P3460" s="108">
        <v>-999</v>
      </c>
      <c r="Q3460" s="80"/>
    </row>
    <row r="3461" spans="1:17">
      <c r="A3461" s="213" t="s">
        <v>2594</v>
      </c>
      <c r="B3461" s="141" t="s">
        <v>2782</v>
      </c>
      <c r="C3461" s="121" t="s">
        <v>3817</v>
      </c>
      <c r="D3461" s="156"/>
      <c r="E3461" s="121"/>
      <c r="F3461" s="121"/>
      <c r="G3461" s="121" t="s">
        <v>3618</v>
      </c>
      <c r="H3461" s="121" t="s">
        <v>3779</v>
      </c>
      <c r="I3461" s="121" t="s">
        <v>5204</v>
      </c>
      <c r="J3461" s="121" t="s">
        <v>5206</v>
      </c>
      <c r="K3461" s="156"/>
      <c r="L3461" s="135" t="str">
        <f t="shared" ref="L3461:L3524" si="199">I3461&amp;" "&amp;J3461</f>
        <v>Mysateles gundlachi</v>
      </c>
      <c r="M3461" s="133">
        <v>-999</v>
      </c>
      <c r="N3461" s="143">
        <v>-999</v>
      </c>
      <c r="O3461" s="179" t="s">
        <v>3356</v>
      </c>
      <c r="P3461" s="108">
        <v>-999</v>
      </c>
      <c r="Q3461" s="80"/>
    </row>
    <row r="3462" spans="1:17">
      <c r="A3462" s="213" t="s">
        <v>2594</v>
      </c>
      <c r="B3462" s="141" t="s">
        <v>2537</v>
      </c>
      <c r="C3462" s="118" t="s">
        <v>3817</v>
      </c>
      <c r="D3462" s="141"/>
      <c r="E3462" s="118"/>
      <c r="F3462" s="118"/>
      <c r="G3462" s="118" t="s">
        <v>3618</v>
      </c>
      <c r="H3462" s="121" t="s">
        <v>3779</v>
      </c>
      <c r="I3462" s="118" t="s">
        <v>5204</v>
      </c>
      <c r="J3462" s="118" t="s">
        <v>3607</v>
      </c>
      <c r="K3462" s="141"/>
      <c r="L3462" s="135" t="str">
        <f t="shared" si="199"/>
        <v>Mysateles melanurus</v>
      </c>
      <c r="M3462" s="133">
        <v>-999</v>
      </c>
      <c r="N3462" s="133">
        <v>-999</v>
      </c>
      <c r="O3462" s="179" t="s">
        <v>3356</v>
      </c>
      <c r="P3462" s="108">
        <v>-999</v>
      </c>
      <c r="Q3462" s="80"/>
    </row>
    <row r="3463" spans="1:17">
      <c r="A3463" s="213" t="s">
        <v>2594</v>
      </c>
      <c r="B3463" s="141" t="s">
        <v>2782</v>
      </c>
      <c r="C3463" s="118" t="s">
        <v>3817</v>
      </c>
      <c r="D3463" s="141"/>
      <c r="E3463" s="118"/>
      <c r="F3463" s="118"/>
      <c r="G3463" s="118" t="s">
        <v>3618</v>
      </c>
      <c r="H3463" s="118" t="s">
        <v>3779</v>
      </c>
      <c r="I3463" s="118" t="s">
        <v>5204</v>
      </c>
      <c r="J3463" s="118" t="s">
        <v>5207</v>
      </c>
      <c r="K3463" s="141"/>
      <c r="L3463" s="135" t="str">
        <f t="shared" si="199"/>
        <v>Mysateles meridionalis</v>
      </c>
      <c r="M3463" s="133">
        <v>-999</v>
      </c>
      <c r="N3463" s="133">
        <v>-999</v>
      </c>
      <c r="O3463" s="179" t="s">
        <v>3356</v>
      </c>
      <c r="P3463" s="108">
        <v>-999</v>
      </c>
      <c r="Q3463" s="80"/>
    </row>
    <row r="3464" spans="1:17">
      <c r="A3464" s="213" t="s">
        <v>2594</v>
      </c>
      <c r="B3464" s="141" t="s">
        <v>2537</v>
      </c>
      <c r="C3464" s="118" t="s">
        <v>3817</v>
      </c>
      <c r="D3464" s="141"/>
      <c r="E3464" s="118"/>
      <c r="F3464" s="118"/>
      <c r="G3464" s="118" t="s">
        <v>3618</v>
      </c>
      <c r="H3464" s="118" t="s">
        <v>3779</v>
      </c>
      <c r="I3464" s="118" t="s">
        <v>5204</v>
      </c>
      <c r="J3464" s="118" t="s">
        <v>5864</v>
      </c>
      <c r="K3464" s="141"/>
      <c r="L3464" s="135" t="str">
        <f t="shared" si="199"/>
        <v>Mysateles prehensilis</v>
      </c>
      <c r="M3464" s="133">
        <v>-999</v>
      </c>
      <c r="N3464" s="133">
        <v>-999</v>
      </c>
      <c r="O3464" s="179" t="s">
        <v>3356</v>
      </c>
      <c r="P3464" s="108">
        <v>-999</v>
      </c>
      <c r="Q3464" s="80"/>
    </row>
    <row r="3465" spans="1:17">
      <c r="A3465" s="213" t="s">
        <v>2594</v>
      </c>
      <c r="B3465" s="141" t="s">
        <v>2110</v>
      </c>
      <c r="C3465" s="118" t="s">
        <v>3817</v>
      </c>
      <c r="D3465" s="141"/>
      <c r="E3465" s="118"/>
      <c r="F3465" s="118"/>
      <c r="G3465" s="118" t="s">
        <v>3618</v>
      </c>
      <c r="H3465" s="118" t="s">
        <v>3779</v>
      </c>
      <c r="I3465" s="118" t="s">
        <v>5839</v>
      </c>
      <c r="J3465" s="118" t="s">
        <v>5840</v>
      </c>
      <c r="K3465" s="141"/>
      <c r="L3465" s="135" t="str">
        <f t="shared" si="199"/>
        <v>Plagiodontia aedium</v>
      </c>
      <c r="M3465" s="133">
        <f>LOG(N3465)</f>
        <v>3.1027766148834415</v>
      </c>
      <c r="N3465" s="133">
        <v>1267</v>
      </c>
      <c r="O3465" s="179" t="s">
        <v>6736</v>
      </c>
      <c r="P3465" s="108">
        <v>68</v>
      </c>
    </row>
    <row r="3466" spans="1:17">
      <c r="A3466" s="213" t="s">
        <v>2594</v>
      </c>
      <c r="B3466" s="141" t="s">
        <v>2593</v>
      </c>
      <c r="C3466" s="118" t="s">
        <v>3817</v>
      </c>
      <c r="D3466" s="141"/>
      <c r="E3466" s="118"/>
      <c r="F3466" s="118"/>
      <c r="G3466" s="118" t="s">
        <v>3618</v>
      </c>
      <c r="H3466" s="118" t="s">
        <v>3340</v>
      </c>
      <c r="I3466" s="118" t="s">
        <v>5032</v>
      </c>
      <c r="J3466" s="118" t="s">
        <v>5033</v>
      </c>
      <c r="K3466" s="141"/>
      <c r="L3466" s="135" t="str">
        <f t="shared" si="199"/>
        <v>Massoutiera mzabi</v>
      </c>
      <c r="M3466" s="133">
        <f>LOG(N3466)</f>
        <v>2.287801729930226</v>
      </c>
      <c r="N3466" s="133">
        <v>194</v>
      </c>
      <c r="O3466" s="179" t="s">
        <v>6736</v>
      </c>
      <c r="P3466" s="108">
        <v>68</v>
      </c>
      <c r="Q3466" s="85"/>
    </row>
    <row r="3467" spans="1:17">
      <c r="A3467" s="213" t="s">
        <v>2594</v>
      </c>
      <c r="B3467" s="130" t="s">
        <v>2784</v>
      </c>
      <c r="C3467" s="118" t="s">
        <v>3817</v>
      </c>
      <c r="D3467" s="141"/>
      <c r="E3467" s="118"/>
      <c r="F3467" s="118"/>
      <c r="G3467" s="118" t="s">
        <v>3618</v>
      </c>
      <c r="H3467" s="118" t="s">
        <v>3246</v>
      </c>
      <c r="I3467" s="118" t="s">
        <v>2936</v>
      </c>
      <c r="J3467" s="118" t="s">
        <v>7697</v>
      </c>
      <c r="K3467" s="141"/>
      <c r="L3467" s="135" t="str">
        <f t="shared" si="199"/>
        <v>Dasyprocta coibae</v>
      </c>
      <c r="M3467" s="133">
        <v>-999</v>
      </c>
      <c r="N3467" s="133">
        <v>-999</v>
      </c>
      <c r="O3467" s="179" t="s">
        <v>7081</v>
      </c>
      <c r="P3467" s="108">
        <v>-999</v>
      </c>
      <c r="Q3467" s="80" t="s">
        <v>6640</v>
      </c>
    </row>
    <row r="3468" spans="1:17">
      <c r="A3468" s="213" t="s">
        <v>2594</v>
      </c>
      <c r="B3468" s="141" t="s">
        <v>2258</v>
      </c>
      <c r="C3468" s="118" t="s">
        <v>3817</v>
      </c>
      <c r="D3468" s="141"/>
      <c r="E3468" s="118"/>
      <c r="F3468" s="118"/>
      <c r="G3468" s="118" t="s">
        <v>3618</v>
      </c>
      <c r="H3468" s="118" t="s">
        <v>3246</v>
      </c>
      <c r="I3468" s="118" t="s">
        <v>2936</v>
      </c>
      <c r="J3468" s="118" t="s">
        <v>5103</v>
      </c>
      <c r="K3468" s="141"/>
      <c r="L3468" s="135" t="str">
        <f t="shared" si="199"/>
        <v>Dasyprocta ruatanica</v>
      </c>
      <c r="M3468" s="133">
        <v>-999</v>
      </c>
      <c r="N3468" s="133">
        <v>-999</v>
      </c>
      <c r="O3468" s="179" t="s">
        <v>7081</v>
      </c>
      <c r="P3468" s="108">
        <v>-999</v>
      </c>
      <c r="Q3468" s="80" t="s">
        <v>6640</v>
      </c>
    </row>
    <row r="3469" spans="1:17" ht="12" customHeight="1">
      <c r="A3469" s="213" t="s">
        <v>2594</v>
      </c>
      <c r="B3469" s="141" t="s">
        <v>8098</v>
      </c>
      <c r="C3469" s="118" t="s">
        <v>3817</v>
      </c>
      <c r="D3469" s="141"/>
      <c r="E3469" s="118"/>
      <c r="F3469" s="118"/>
      <c r="G3469" s="118" t="s">
        <v>3618</v>
      </c>
      <c r="H3469" s="118" t="s">
        <v>6223</v>
      </c>
      <c r="I3469" s="118" t="s">
        <v>5250</v>
      </c>
      <c r="J3469" s="118" t="s">
        <v>8216</v>
      </c>
      <c r="K3469" s="141"/>
      <c r="L3469" s="135" t="str">
        <f t="shared" si="199"/>
        <v>Sicista caudata</v>
      </c>
      <c r="M3469" s="133">
        <v>-999</v>
      </c>
      <c r="N3469" s="133">
        <v>-999</v>
      </c>
      <c r="O3469" s="179" t="s">
        <v>3356</v>
      </c>
      <c r="P3469" s="108">
        <v>-999</v>
      </c>
      <c r="Q3469" s="88"/>
    </row>
    <row r="3470" spans="1:17">
      <c r="A3470" s="213" t="s">
        <v>2594</v>
      </c>
      <c r="B3470" s="130" t="s">
        <v>2669</v>
      </c>
      <c r="C3470" s="118" t="s">
        <v>3817</v>
      </c>
      <c r="D3470" s="141"/>
      <c r="E3470" s="118"/>
      <c r="F3470" s="118"/>
      <c r="G3470" s="118" t="s">
        <v>3618</v>
      </c>
      <c r="H3470" s="118" t="s">
        <v>6464</v>
      </c>
      <c r="I3470" s="118" t="s">
        <v>7746</v>
      </c>
      <c r="J3470" s="118" t="s">
        <v>4830</v>
      </c>
      <c r="K3470" s="141"/>
      <c r="L3470" s="135" t="str">
        <f t="shared" si="199"/>
        <v>Boromys offella</v>
      </c>
      <c r="M3470" s="133">
        <v>-999</v>
      </c>
      <c r="N3470" s="133">
        <v>-999</v>
      </c>
      <c r="O3470" s="179" t="s">
        <v>3356</v>
      </c>
      <c r="P3470" s="108">
        <v>-999</v>
      </c>
      <c r="Q3470" s="80"/>
    </row>
    <row r="3471" spans="1:17">
      <c r="A3471" s="213" t="s">
        <v>2594</v>
      </c>
      <c r="B3471" s="130" t="s">
        <v>2669</v>
      </c>
      <c r="C3471" s="118" t="s">
        <v>3817</v>
      </c>
      <c r="D3471" s="141"/>
      <c r="E3471" s="118"/>
      <c r="F3471" s="118"/>
      <c r="G3471" s="118" t="s">
        <v>3618</v>
      </c>
      <c r="H3471" s="118" t="s">
        <v>6464</v>
      </c>
      <c r="I3471" s="118" t="s">
        <v>7746</v>
      </c>
      <c r="J3471" s="118" t="s">
        <v>4831</v>
      </c>
      <c r="K3471" s="141"/>
      <c r="L3471" s="135" t="str">
        <f t="shared" si="199"/>
        <v>Boromys torrei</v>
      </c>
      <c r="M3471" s="133">
        <v>-999</v>
      </c>
      <c r="N3471" s="133">
        <v>-999</v>
      </c>
      <c r="O3471" s="179" t="s">
        <v>3356</v>
      </c>
      <c r="P3471" s="108">
        <v>-999</v>
      </c>
      <c r="Q3471" s="80"/>
    </row>
    <row r="3472" spans="1:17">
      <c r="A3472" s="213" t="s">
        <v>2594</v>
      </c>
      <c r="B3472" s="141" t="s">
        <v>2402</v>
      </c>
      <c r="C3472" s="118" t="s">
        <v>3817</v>
      </c>
      <c r="D3472" s="141"/>
      <c r="E3472" s="118"/>
      <c r="F3472" s="118"/>
      <c r="G3472" s="118" t="s">
        <v>3618</v>
      </c>
      <c r="H3472" s="121" t="s">
        <v>6464</v>
      </c>
      <c r="I3472" s="118" t="s">
        <v>4832</v>
      </c>
      <c r="J3472" s="118" t="s">
        <v>4833</v>
      </c>
      <c r="K3472" s="141"/>
      <c r="L3472" s="135" t="str">
        <f t="shared" si="199"/>
        <v>Brotomys contractus</v>
      </c>
      <c r="M3472" s="133">
        <v>-999</v>
      </c>
      <c r="N3472" s="133">
        <v>-999</v>
      </c>
      <c r="O3472" s="179" t="s">
        <v>3356</v>
      </c>
      <c r="P3472" s="108">
        <v>-999</v>
      </c>
      <c r="Q3472" s="80"/>
    </row>
    <row r="3473" spans="1:17" ht="25.5">
      <c r="A3473" s="213" t="s">
        <v>2594</v>
      </c>
      <c r="B3473" s="141" t="s">
        <v>2381</v>
      </c>
      <c r="C3473" s="121" t="s">
        <v>3817</v>
      </c>
      <c r="D3473" s="156"/>
      <c r="E3473" s="121"/>
      <c r="F3473" s="121"/>
      <c r="G3473" s="121" t="s">
        <v>3618</v>
      </c>
      <c r="H3473" s="121" t="s">
        <v>6464</v>
      </c>
      <c r="I3473" s="121" t="s">
        <v>4832</v>
      </c>
      <c r="J3473" s="121" t="s">
        <v>4834</v>
      </c>
      <c r="K3473" s="156"/>
      <c r="L3473" s="135" t="str">
        <f t="shared" si="199"/>
        <v>Brotomys voratus</v>
      </c>
      <c r="M3473" s="133">
        <v>-999</v>
      </c>
      <c r="N3473" s="143">
        <v>-999</v>
      </c>
      <c r="O3473" s="179" t="s">
        <v>3356</v>
      </c>
      <c r="P3473" s="108">
        <v>-999</v>
      </c>
      <c r="Q3473" s="80"/>
    </row>
    <row r="3474" spans="1:17">
      <c r="A3474" s="213" t="s">
        <v>2594</v>
      </c>
      <c r="B3474" s="141" t="s">
        <v>2382</v>
      </c>
      <c r="C3474" s="118" t="s">
        <v>3817</v>
      </c>
      <c r="D3474" s="141"/>
      <c r="E3474" s="118"/>
      <c r="F3474" s="118"/>
      <c r="G3474" s="118" t="s">
        <v>3618</v>
      </c>
      <c r="H3474" s="121" t="s">
        <v>6464</v>
      </c>
      <c r="I3474" s="118" t="s">
        <v>3145</v>
      </c>
      <c r="J3474" s="118" t="s">
        <v>5381</v>
      </c>
      <c r="K3474" s="141"/>
      <c r="L3474" s="135" t="str">
        <f t="shared" si="199"/>
        <v>Heteropsomys antillensis</v>
      </c>
      <c r="M3474" s="133">
        <v>-999</v>
      </c>
      <c r="N3474" s="133">
        <v>-999</v>
      </c>
      <c r="O3474" s="179" t="s">
        <v>3356</v>
      </c>
      <c r="P3474" s="108">
        <v>-999</v>
      </c>
      <c r="Q3474" s="80"/>
    </row>
    <row r="3475" spans="1:17">
      <c r="A3475" s="213" t="s">
        <v>2594</v>
      </c>
      <c r="B3475" s="141" t="s">
        <v>2382</v>
      </c>
      <c r="C3475" s="118" t="s">
        <v>3817</v>
      </c>
      <c r="D3475" s="141"/>
      <c r="E3475" s="118"/>
      <c r="F3475" s="118"/>
      <c r="G3475" s="118" t="s">
        <v>3618</v>
      </c>
      <c r="H3475" s="118" t="s">
        <v>6464</v>
      </c>
      <c r="I3475" s="118" t="s">
        <v>3145</v>
      </c>
      <c r="J3475" s="118" t="s">
        <v>5382</v>
      </c>
      <c r="K3475" s="141"/>
      <c r="L3475" s="135" t="str">
        <f t="shared" si="199"/>
        <v>Heteropsomys insulans</v>
      </c>
      <c r="M3475" s="133">
        <v>-999</v>
      </c>
      <c r="N3475" s="133">
        <v>-999</v>
      </c>
      <c r="O3475" s="179" t="s">
        <v>3356</v>
      </c>
      <c r="P3475" s="108">
        <v>-999</v>
      </c>
      <c r="Q3475" s="80"/>
    </row>
    <row r="3476" spans="1:17">
      <c r="A3476" s="213" t="s">
        <v>2594</v>
      </c>
      <c r="B3476" s="141" t="s">
        <v>5202</v>
      </c>
      <c r="C3476" s="118" t="s">
        <v>3817</v>
      </c>
      <c r="D3476" s="141"/>
      <c r="E3476" s="118"/>
      <c r="F3476" s="118"/>
      <c r="G3476" s="118" t="s">
        <v>3618</v>
      </c>
      <c r="H3476" s="118" t="s">
        <v>6464</v>
      </c>
      <c r="I3476" s="118" t="s">
        <v>4029</v>
      </c>
      <c r="J3476" s="118" t="s">
        <v>4848</v>
      </c>
      <c r="K3476" s="141"/>
      <c r="L3476" s="135" t="str">
        <f t="shared" si="199"/>
        <v>Proechimys trinitatis</v>
      </c>
      <c r="M3476" s="133">
        <v>-999</v>
      </c>
      <c r="N3476" s="133">
        <v>-999</v>
      </c>
      <c r="O3476" s="179" t="s">
        <v>3356</v>
      </c>
      <c r="P3476" s="108">
        <v>-999</v>
      </c>
      <c r="Q3476" s="80"/>
    </row>
    <row r="3477" spans="1:17" ht="48.95" customHeight="1">
      <c r="A3477" s="213" t="s">
        <v>2594</v>
      </c>
      <c r="B3477" s="130" t="s">
        <v>2240</v>
      </c>
      <c r="C3477" s="118" t="s">
        <v>3817</v>
      </c>
      <c r="D3477" s="141"/>
      <c r="E3477" s="118"/>
      <c r="F3477" s="118"/>
      <c r="G3477" s="118" t="s">
        <v>3618</v>
      </c>
      <c r="H3477" s="118" t="s">
        <v>6078</v>
      </c>
      <c r="I3477" s="118" t="s">
        <v>6647</v>
      </c>
      <c r="J3477" s="118" t="s">
        <v>6623</v>
      </c>
      <c r="K3477" s="141"/>
      <c r="L3477" s="135" t="str">
        <f t="shared" si="199"/>
        <v>Amblyrhiza inundata</v>
      </c>
      <c r="M3477" s="133">
        <v>-999</v>
      </c>
      <c r="N3477" s="133">
        <v>-999</v>
      </c>
      <c r="O3477" s="179" t="s">
        <v>3356</v>
      </c>
      <c r="P3477" s="108">
        <v>-999</v>
      </c>
      <c r="Q3477" s="80"/>
    </row>
    <row r="3478" spans="1:17">
      <c r="A3478" s="213" t="s">
        <v>2594</v>
      </c>
      <c r="B3478" s="141" t="s">
        <v>1987</v>
      </c>
      <c r="C3478" s="118" t="s">
        <v>3817</v>
      </c>
      <c r="D3478" s="141"/>
      <c r="E3478" s="118"/>
      <c r="F3478" s="118"/>
      <c r="G3478" s="118" t="s">
        <v>3618</v>
      </c>
      <c r="H3478" s="118" t="s">
        <v>6078</v>
      </c>
      <c r="I3478" s="118" t="s">
        <v>6645</v>
      </c>
      <c r="J3478" s="118" t="s">
        <v>6646</v>
      </c>
      <c r="K3478" s="141"/>
      <c r="L3478" s="135" t="str">
        <f t="shared" si="199"/>
        <v>Clidomys osborni</v>
      </c>
      <c r="M3478" s="133">
        <v>-999</v>
      </c>
      <c r="N3478" s="133">
        <v>-999</v>
      </c>
      <c r="O3478" s="179" t="s">
        <v>3356</v>
      </c>
      <c r="P3478" s="108">
        <v>-999</v>
      </c>
      <c r="Q3478" s="80"/>
    </row>
    <row r="3479" spans="1:17">
      <c r="A3479" s="213" t="s">
        <v>2594</v>
      </c>
      <c r="B3479" s="141" t="s">
        <v>1987</v>
      </c>
      <c r="C3479" s="118" t="s">
        <v>3817</v>
      </c>
      <c r="D3479" s="141"/>
      <c r="E3479" s="118"/>
      <c r="F3479" s="118"/>
      <c r="G3479" s="118" t="s">
        <v>3618</v>
      </c>
      <c r="H3479" s="118" t="s">
        <v>6078</v>
      </c>
      <c r="I3479" s="118" t="s">
        <v>6645</v>
      </c>
      <c r="J3479" s="118" t="s">
        <v>7332</v>
      </c>
      <c r="K3479" s="141"/>
      <c r="L3479" s="135" t="str">
        <f t="shared" si="199"/>
        <v>Clidomys parvus</v>
      </c>
      <c r="M3479" s="133">
        <v>-999</v>
      </c>
      <c r="N3479" s="133">
        <v>-999</v>
      </c>
      <c r="O3479" s="179" t="s">
        <v>3356</v>
      </c>
      <c r="P3479" s="108">
        <v>-999</v>
      </c>
      <c r="Q3479" s="80"/>
    </row>
    <row r="3480" spans="1:17" ht="12" customHeight="1">
      <c r="A3480" s="213" t="s">
        <v>2594</v>
      </c>
      <c r="B3480" s="141" t="s">
        <v>2583</v>
      </c>
      <c r="C3480" s="121" t="s">
        <v>3817</v>
      </c>
      <c r="D3480" s="156"/>
      <c r="E3480" s="121"/>
      <c r="F3480" s="121"/>
      <c r="G3480" s="121" t="s">
        <v>3618</v>
      </c>
      <c r="H3480" s="121" t="s">
        <v>4007</v>
      </c>
      <c r="I3480" s="121" t="s">
        <v>3011</v>
      </c>
      <c r="J3480" s="121" t="s">
        <v>8126</v>
      </c>
      <c r="K3480" s="156"/>
      <c r="L3480" s="135" t="str">
        <f t="shared" si="199"/>
        <v>Dipodomys margaritae</v>
      </c>
      <c r="M3480" s="133">
        <v>-999</v>
      </c>
      <c r="N3480" s="143">
        <v>-999</v>
      </c>
      <c r="O3480" s="179" t="s">
        <v>8149</v>
      </c>
      <c r="P3480" s="122">
        <v>-999</v>
      </c>
      <c r="Q3480" s="88" t="s">
        <v>7071</v>
      </c>
    </row>
    <row r="3481" spans="1:17" ht="25.5">
      <c r="A3481" s="213" t="s">
        <v>6914</v>
      </c>
      <c r="B3481" s="141" t="s">
        <v>6915</v>
      </c>
      <c r="C3481" s="118" t="s">
        <v>3817</v>
      </c>
      <c r="D3481" s="141"/>
      <c r="E3481" s="118"/>
      <c r="F3481" s="118"/>
      <c r="G3481" s="118" t="s">
        <v>3618</v>
      </c>
      <c r="H3481" s="118" t="s">
        <v>4007</v>
      </c>
      <c r="I3481" s="118" t="s">
        <v>3011</v>
      </c>
      <c r="J3481" s="118" t="s">
        <v>8271</v>
      </c>
      <c r="K3481" s="141"/>
      <c r="L3481" s="135" t="str">
        <f t="shared" si="199"/>
        <v>Dipodomys insularis</v>
      </c>
      <c r="M3481" s="133">
        <f t="shared" ref="M3481:M3490" si="200">LOG(N3481)</f>
        <v>1.5826314394896364</v>
      </c>
      <c r="N3481" s="133">
        <f>AVERAGE(42.2, 34.3)</f>
        <v>38.25</v>
      </c>
      <c r="O3481" s="179" t="s">
        <v>8149</v>
      </c>
      <c r="P3481" s="108">
        <v>84</v>
      </c>
      <c r="Q3481" s="90" t="s">
        <v>7071</v>
      </c>
    </row>
    <row r="3482" spans="1:17" ht="38.25">
      <c r="A3482" s="213" t="s">
        <v>2594</v>
      </c>
      <c r="B3482" s="141" t="s">
        <v>2689</v>
      </c>
      <c r="C3482" s="118" t="s">
        <v>3817</v>
      </c>
      <c r="D3482" s="141"/>
      <c r="E3482" s="118"/>
      <c r="F3482" s="118"/>
      <c r="G3482" s="118" t="s">
        <v>3618</v>
      </c>
      <c r="H3482" s="118" t="s">
        <v>4007</v>
      </c>
      <c r="I3482" s="118" t="s">
        <v>3011</v>
      </c>
      <c r="J3482" s="118" t="s">
        <v>3124</v>
      </c>
      <c r="K3482" s="141"/>
      <c r="L3482" s="135" t="str">
        <f t="shared" si="199"/>
        <v>Dipodomys compactus</v>
      </c>
      <c r="M3482" s="133">
        <f t="shared" si="200"/>
        <v>1.6924062348336306</v>
      </c>
      <c r="N3482" s="133">
        <f>AVERAGE(46, 44, 47, 60)</f>
        <v>49.25</v>
      </c>
      <c r="O3482" s="179" t="s">
        <v>6847</v>
      </c>
      <c r="P3482" s="108">
        <v>83</v>
      </c>
    </row>
    <row r="3483" spans="1:17" ht="15" customHeight="1">
      <c r="A3483" s="213" t="s">
        <v>2594</v>
      </c>
      <c r="B3483" s="141" t="s">
        <v>4888</v>
      </c>
      <c r="C3483" s="118" t="s">
        <v>3817</v>
      </c>
      <c r="D3483" s="141"/>
      <c r="E3483" s="118"/>
      <c r="F3483" s="118"/>
      <c r="G3483" s="118" t="s">
        <v>3618</v>
      </c>
      <c r="H3483" s="118" t="s">
        <v>7240</v>
      </c>
      <c r="I3483" s="118" t="s">
        <v>7243</v>
      </c>
      <c r="J3483" s="118" t="s">
        <v>5487</v>
      </c>
      <c r="K3483" s="141"/>
      <c r="L3483" s="135" t="str">
        <f t="shared" si="199"/>
        <v>Hystrix pumila</v>
      </c>
      <c r="M3483" s="133">
        <f t="shared" si="200"/>
        <v>3.4377505628203879</v>
      </c>
      <c r="N3483" s="133">
        <v>2740</v>
      </c>
      <c r="O3483" s="179" t="s">
        <v>6736</v>
      </c>
      <c r="P3483" s="108">
        <v>68</v>
      </c>
    </row>
    <row r="3484" spans="1:17">
      <c r="A3484" s="213" t="s">
        <v>2594</v>
      </c>
      <c r="B3484" s="141" t="s">
        <v>2275</v>
      </c>
      <c r="C3484" s="118" t="s">
        <v>3817</v>
      </c>
      <c r="D3484" s="141"/>
      <c r="E3484" s="118"/>
      <c r="F3484" s="118"/>
      <c r="G3484" s="118" t="s">
        <v>3618</v>
      </c>
      <c r="H3484" s="118" t="s">
        <v>7240</v>
      </c>
      <c r="I3484" s="118" t="s">
        <v>7243</v>
      </c>
      <c r="J3484" s="118" t="s">
        <v>7578</v>
      </c>
      <c r="K3484" s="141"/>
      <c r="L3484" s="135" t="str">
        <f t="shared" si="199"/>
        <v>Hystrix sumatrae</v>
      </c>
      <c r="M3484" s="133">
        <f t="shared" si="200"/>
        <v>3.5132176000679389</v>
      </c>
      <c r="N3484" s="133">
        <f>1000*3.26</f>
        <v>3260</v>
      </c>
      <c r="O3484" s="179" t="s">
        <v>3356</v>
      </c>
      <c r="P3484" s="108">
        <v>60</v>
      </c>
      <c r="Q3484" s="80"/>
    </row>
    <row r="3485" spans="1:17">
      <c r="A3485" s="213" t="s">
        <v>2594</v>
      </c>
      <c r="B3485" s="141" t="s">
        <v>2109</v>
      </c>
      <c r="C3485" s="118" t="s">
        <v>3817</v>
      </c>
      <c r="D3485" s="141"/>
      <c r="E3485" s="118"/>
      <c r="F3485" s="118"/>
      <c r="G3485" s="118" t="s">
        <v>3618</v>
      </c>
      <c r="H3485" s="118" t="s">
        <v>7240</v>
      </c>
      <c r="I3485" s="118" t="s">
        <v>7243</v>
      </c>
      <c r="J3485" s="118" t="s">
        <v>5282</v>
      </c>
      <c r="K3485" s="141"/>
      <c r="L3485" s="135" t="str">
        <f t="shared" si="199"/>
        <v>Hystrix crassispinis</v>
      </c>
      <c r="M3485" s="133">
        <f t="shared" si="200"/>
        <v>3.7359999999999989</v>
      </c>
      <c r="N3485" s="133">
        <v>5445.0265284241996</v>
      </c>
      <c r="O3485" s="179" t="s">
        <v>3356</v>
      </c>
      <c r="P3485" s="108">
        <v>165</v>
      </c>
      <c r="Q3485" s="80" t="s">
        <v>6642</v>
      </c>
    </row>
    <row r="3486" spans="1:17">
      <c r="A3486" s="213" t="s">
        <v>2594</v>
      </c>
      <c r="B3486" s="130" t="s">
        <v>2109</v>
      </c>
      <c r="C3486" s="118" t="s">
        <v>3817</v>
      </c>
      <c r="D3486" s="141"/>
      <c r="E3486" s="118"/>
      <c r="F3486" s="118"/>
      <c r="G3486" s="118" t="s">
        <v>3618</v>
      </c>
      <c r="H3486" s="118" t="s">
        <v>7240</v>
      </c>
      <c r="I3486" s="118" t="s">
        <v>7243</v>
      </c>
      <c r="J3486" s="118" t="s">
        <v>5486</v>
      </c>
      <c r="K3486" s="141"/>
      <c r="L3486" s="135" t="str">
        <f t="shared" si="199"/>
        <v>Hystrix brachyura</v>
      </c>
      <c r="M3486" s="133">
        <f t="shared" si="200"/>
        <v>3.9493900066449128</v>
      </c>
      <c r="N3486" s="133">
        <f>AVERAGE(8000, 9800)</f>
        <v>8900</v>
      </c>
      <c r="O3486" s="179" t="s">
        <v>6736</v>
      </c>
      <c r="P3486" s="108" t="s">
        <v>7809</v>
      </c>
      <c r="Q3486" s="80" t="s">
        <v>6988</v>
      </c>
    </row>
    <row r="3487" spans="1:17">
      <c r="A3487" s="213" t="s">
        <v>2594</v>
      </c>
      <c r="B3487" s="130" t="s">
        <v>2435</v>
      </c>
      <c r="C3487" s="118" t="s">
        <v>3817</v>
      </c>
      <c r="D3487" s="141"/>
      <c r="E3487" s="118"/>
      <c r="F3487" s="118"/>
      <c r="G3487" s="118" t="s">
        <v>3618</v>
      </c>
      <c r="H3487" s="118" t="s">
        <v>7240</v>
      </c>
      <c r="I3487" s="118" t="s">
        <v>7243</v>
      </c>
      <c r="J3487" s="118" t="s">
        <v>4108</v>
      </c>
      <c r="K3487" s="141"/>
      <c r="L3487" s="135" t="str">
        <f t="shared" si="199"/>
        <v>Hystrix indica</v>
      </c>
      <c r="M3487" s="133">
        <f t="shared" si="200"/>
        <v>4.0095212717240525</v>
      </c>
      <c r="N3487" s="133">
        <f>AVERAGE((29*454), (32*454), (29*454), (26.625))</f>
        <v>10221.65625</v>
      </c>
      <c r="O3487" s="179"/>
      <c r="P3487" s="108">
        <v>132</v>
      </c>
      <c r="Q3487" s="80"/>
    </row>
    <row r="3488" spans="1:17" ht="12" customHeight="1">
      <c r="A3488" s="213" t="s">
        <v>2594</v>
      </c>
      <c r="B3488" s="141" t="s">
        <v>1378</v>
      </c>
      <c r="C3488" s="118" t="s">
        <v>3817</v>
      </c>
      <c r="D3488" s="141"/>
      <c r="E3488" s="118"/>
      <c r="F3488" s="118"/>
      <c r="G3488" s="118" t="s">
        <v>3618</v>
      </c>
      <c r="H3488" s="118" t="s">
        <v>7240</v>
      </c>
      <c r="I3488" s="118" t="s">
        <v>7243</v>
      </c>
      <c r="J3488" s="118" t="s">
        <v>5614</v>
      </c>
      <c r="K3488" s="141"/>
      <c r="L3488" s="135" t="str">
        <f t="shared" si="199"/>
        <v>Hystrix javanica</v>
      </c>
      <c r="M3488" s="133">
        <f t="shared" si="200"/>
        <v>4.3620000000000001</v>
      </c>
      <c r="N3488" s="133">
        <v>23014.418174085102</v>
      </c>
      <c r="O3488" s="179" t="s">
        <v>3356</v>
      </c>
      <c r="P3488" s="108">
        <v>165</v>
      </c>
      <c r="Q3488" s="88"/>
    </row>
    <row r="3489" spans="1:18">
      <c r="A3489" s="213" t="s">
        <v>2594</v>
      </c>
      <c r="B3489" s="141" t="s">
        <v>8186</v>
      </c>
      <c r="C3489" s="118" t="s">
        <v>3817</v>
      </c>
      <c r="D3489" s="141"/>
      <c r="E3489" s="118"/>
      <c r="F3489" s="118"/>
      <c r="G3489" s="118" t="s">
        <v>3618</v>
      </c>
      <c r="H3489" s="118" t="s">
        <v>7240</v>
      </c>
      <c r="I3489" s="118" t="s">
        <v>7579</v>
      </c>
      <c r="J3489" s="118" t="s">
        <v>7580</v>
      </c>
      <c r="K3489" s="141"/>
      <c r="L3489" s="135" t="str">
        <f t="shared" si="199"/>
        <v>Trichys fasciculata</v>
      </c>
      <c r="M3489" s="133">
        <f t="shared" si="200"/>
        <v>3.2430380486862944</v>
      </c>
      <c r="N3489" s="133">
        <f>AVERAGE(1500, 2000)</f>
        <v>1750</v>
      </c>
      <c r="O3489" s="179" t="s">
        <v>3356</v>
      </c>
      <c r="P3489" s="108" t="s">
        <v>7805</v>
      </c>
      <c r="Q3489" s="80"/>
    </row>
    <row r="3490" spans="1:18">
      <c r="A3490" s="213" t="s">
        <v>2594</v>
      </c>
      <c r="B3490" s="130" t="s">
        <v>6062</v>
      </c>
      <c r="C3490" s="118" t="s">
        <v>3817</v>
      </c>
      <c r="D3490" s="141"/>
      <c r="E3490" s="118"/>
      <c r="F3490" s="118"/>
      <c r="G3490" s="118" t="s">
        <v>3618</v>
      </c>
      <c r="H3490" s="118" t="s">
        <v>3638</v>
      </c>
      <c r="I3490" s="118" t="s">
        <v>3074</v>
      </c>
      <c r="J3490" s="118" t="s">
        <v>3075</v>
      </c>
      <c r="K3490" s="141"/>
      <c r="L3490" s="135" t="str">
        <f t="shared" si="199"/>
        <v>Abditomys latidens</v>
      </c>
      <c r="M3490" s="133">
        <f t="shared" si="200"/>
        <v>2.4297522800024081</v>
      </c>
      <c r="N3490" s="133">
        <f>1000*0.269</f>
        <v>269</v>
      </c>
      <c r="O3490" s="179" t="s">
        <v>6882</v>
      </c>
      <c r="P3490" s="108">
        <v>60</v>
      </c>
      <c r="Q3490" s="80" t="s">
        <v>6988</v>
      </c>
    </row>
    <row r="3491" spans="1:18">
      <c r="A3491" s="213" t="s">
        <v>2594</v>
      </c>
      <c r="B3491" s="130" t="s">
        <v>2569</v>
      </c>
      <c r="C3491" s="118" t="s">
        <v>3817</v>
      </c>
      <c r="D3491" s="141"/>
      <c r="E3491" s="118"/>
      <c r="F3491" s="118"/>
      <c r="G3491" s="118" t="s">
        <v>3618</v>
      </c>
      <c r="H3491" s="118" t="s">
        <v>3638</v>
      </c>
      <c r="I3491" s="118" t="s">
        <v>3639</v>
      </c>
      <c r="J3491" s="118" t="s">
        <v>4099</v>
      </c>
      <c r="K3491" s="141"/>
      <c r="L3491" s="135" t="str">
        <f t="shared" si="199"/>
        <v>Acomys nesiotes</v>
      </c>
      <c r="M3491" s="133">
        <v>-999</v>
      </c>
      <c r="N3491" s="133">
        <v>-999</v>
      </c>
      <c r="O3491" s="179" t="s">
        <v>6882</v>
      </c>
      <c r="P3491" s="108">
        <v>-999</v>
      </c>
      <c r="Q3491" s="80" t="s">
        <v>6987</v>
      </c>
    </row>
    <row r="3492" spans="1:18" ht="25.5">
      <c r="A3492" s="213" t="s">
        <v>2594</v>
      </c>
      <c r="B3492" s="130" t="s">
        <v>2568</v>
      </c>
      <c r="C3492" s="118" t="s">
        <v>3817</v>
      </c>
      <c r="D3492" s="141"/>
      <c r="E3492" s="118"/>
      <c r="F3492" s="118"/>
      <c r="G3492" s="118" t="s">
        <v>3618</v>
      </c>
      <c r="H3492" s="118" t="s">
        <v>3638</v>
      </c>
      <c r="I3492" s="118" t="s">
        <v>3639</v>
      </c>
      <c r="J3492" s="118" t="s">
        <v>6396</v>
      </c>
      <c r="K3492" s="141"/>
      <c r="L3492" s="135" t="str">
        <f t="shared" si="199"/>
        <v>Acomys minous</v>
      </c>
      <c r="M3492" s="133">
        <f>LOG(N3492)</f>
        <v>1.7958800173440752</v>
      </c>
      <c r="N3492" s="133">
        <f>(40+85)/2</f>
        <v>62.5</v>
      </c>
      <c r="O3492" s="179" t="s">
        <v>3356</v>
      </c>
      <c r="P3492" s="108">
        <v>134</v>
      </c>
      <c r="Q3492" s="80" t="s">
        <v>6780</v>
      </c>
      <c r="R3492" s="87"/>
    </row>
    <row r="3493" spans="1:18">
      <c r="A3493" s="213" t="s">
        <v>2594</v>
      </c>
      <c r="B3493" s="130" t="s">
        <v>2363</v>
      </c>
      <c r="C3493" s="118" t="s">
        <v>3817</v>
      </c>
      <c r="D3493" s="141"/>
      <c r="E3493" s="118"/>
      <c r="F3493" s="118"/>
      <c r="G3493" s="118" t="s">
        <v>3618</v>
      </c>
      <c r="H3493" s="118" t="s">
        <v>3638</v>
      </c>
      <c r="I3493" s="118" t="s">
        <v>7214</v>
      </c>
      <c r="J3493" s="118" t="s">
        <v>2410</v>
      </c>
      <c r="K3493" s="141"/>
      <c r="L3493" s="135" t="str">
        <f t="shared" si="199"/>
        <v>Akodon hershkovitzi</v>
      </c>
      <c r="M3493" s="133">
        <v>-999</v>
      </c>
      <c r="N3493" s="133">
        <v>-999</v>
      </c>
      <c r="O3493" s="179" t="s">
        <v>3356</v>
      </c>
      <c r="P3493" s="108">
        <v>-999</v>
      </c>
      <c r="Q3493" s="80"/>
    </row>
    <row r="3494" spans="1:18">
      <c r="A3494" s="213" t="s">
        <v>2594</v>
      </c>
      <c r="B3494" s="141" t="s">
        <v>2230</v>
      </c>
      <c r="C3494" s="118" t="s">
        <v>3817</v>
      </c>
      <c r="D3494" s="141"/>
      <c r="E3494" s="118"/>
      <c r="F3494" s="118"/>
      <c r="G3494" s="118" t="s">
        <v>3618</v>
      </c>
      <c r="H3494" s="118" t="s">
        <v>3638</v>
      </c>
      <c r="I3494" s="118" t="s">
        <v>7214</v>
      </c>
      <c r="J3494" s="118" t="s">
        <v>5419</v>
      </c>
      <c r="K3494" s="141"/>
      <c r="L3494" s="135" t="str">
        <f t="shared" si="199"/>
        <v>Akodon markhami</v>
      </c>
      <c r="M3494" s="133">
        <v>-999</v>
      </c>
      <c r="N3494" s="133">
        <v>-999</v>
      </c>
      <c r="O3494" s="179" t="s">
        <v>3356</v>
      </c>
      <c r="P3494" s="108">
        <v>-999</v>
      </c>
      <c r="Q3494" s="80"/>
    </row>
    <row r="3495" spans="1:18" ht="25.5">
      <c r="A3495" s="213" t="s">
        <v>2594</v>
      </c>
      <c r="B3495" s="141" t="s">
        <v>2170</v>
      </c>
      <c r="C3495" s="118" t="s">
        <v>3817</v>
      </c>
      <c r="D3495" s="141"/>
      <c r="E3495" s="118"/>
      <c r="F3495" s="118"/>
      <c r="G3495" s="118" t="s">
        <v>3618</v>
      </c>
      <c r="H3495" s="118" t="s">
        <v>3638</v>
      </c>
      <c r="I3495" s="118" t="s">
        <v>8247</v>
      </c>
      <c r="J3495" s="118" t="s">
        <v>8084</v>
      </c>
      <c r="K3495" s="141"/>
      <c r="L3495" s="135" t="str">
        <f t="shared" si="199"/>
        <v>Anisomys imitator</v>
      </c>
      <c r="M3495" s="133">
        <f>LOG(N3495)</f>
        <v>2.7079957464229292</v>
      </c>
      <c r="N3495" s="133">
        <f>AVERAGE(508, 513)</f>
        <v>510.5</v>
      </c>
      <c r="O3495" s="179" t="s">
        <v>7025</v>
      </c>
      <c r="P3495" s="108">
        <v>151</v>
      </c>
      <c r="Q3495" s="85"/>
    </row>
    <row r="3496" spans="1:18" ht="12" customHeight="1">
      <c r="A3496" s="213" t="s">
        <v>2594</v>
      </c>
      <c r="B3496" s="141" t="s">
        <v>6062</v>
      </c>
      <c r="C3496" s="118" t="s">
        <v>3817</v>
      </c>
      <c r="D3496" s="141"/>
      <c r="E3496" s="118"/>
      <c r="F3496" s="118"/>
      <c r="G3496" s="118" t="s">
        <v>3618</v>
      </c>
      <c r="H3496" s="118" t="s">
        <v>3638</v>
      </c>
      <c r="I3496" s="118" t="s">
        <v>8085</v>
      </c>
      <c r="J3496" s="118" t="s">
        <v>5877</v>
      </c>
      <c r="K3496" s="141"/>
      <c r="L3496" s="135" t="str">
        <f t="shared" si="199"/>
        <v>Anonymomys mindorensis</v>
      </c>
      <c r="M3496" s="133">
        <v>-999</v>
      </c>
      <c r="N3496" s="133">
        <v>-999</v>
      </c>
      <c r="O3496" s="179" t="s">
        <v>6641</v>
      </c>
      <c r="P3496" s="108">
        <v>-999</v>
      </c>
      <c r="Q3496" s="88" t="s">
        <v>6988</v>
      </c>
    </row>
    <row r="3497" spans="1:18">
      <c r="A3497" s="213" t="s">
        <v>2594</v>
      </c>
      <c r="B3497" s="141" t="s">
        <v>6002</v>
      </c>
      <c r="C3497" s="118" t="s">
        <v>3817</v>
      </c>
      <c r="D3497" s="141"/>
      <c r="E3497" s="118"/>
      <c r="F3497" s="118"/>
      <c r="G3497" s="118" t="s">
        <v>3618</v>
      </c>
      <c r="H3497" s="121" t="s">
        <v>3638</v>
      </c>
      <c r="I3497" s="118" t="s">
        <v>5261</v>
      </c>
      <c r="J3497" s="118" t="s">
        <v>6249</v>
      </c>
      <c r="K3497" s="141"/>
      <c r="L3497" s="135" t="str">
        <f t="shared" si="199"/>
        <v>Apodemus argenteus</v>
      </c>
      <c r="M3497" s="133">
        <v>-999</v>
      </c>
      <c r="N3497" s="133">
        <v>-999</v>
      </c>
      <c r="O3497" s="179" t="s">
        <v>3356</v>
      </c>
      <c r="P3497" s="108">
        <v>-999</v>
      </c>
      <c r="Q3497" s="80"/>
    </row>
    <row r="3498" spans="1:18" ht="24" customHeight="1">
      <c r="A3498" s="213" t="s">
        <v>2594</v>
      </c>
      <c r="B3498" s="130" t="s">
        <v>1942</v>
      </c>
      <c r="C3498" s="118" t="s">
        <v>3817</v>
      </c>
      <c r="D3498" s="141"/>
      <c r="E3498" s="118"/>
      <c r="F3498" s="118"/>
      <c r="G3498" s="118" t="s">
        <v>3618</v>
      </c>
      <c r="H3498" s="118" t="s">
        <v>3638</v>
      </c>
      <c r="I3498" s="118" t="s">
        <v>5261</v>
      </c>
      <c r="J3498" s="118" t="s">
        <v>6258</v>
      </c>
      <c r="K3498" s="141"/>
      <c r="L3498" s="135" t="str">
        <f t="shared" si="199"/>
        <v>Apodemus semotus</v>
      </c>
      <c r="M3498" s="133">
        <v>-999</v>
      </c>
      <c r="N3498" s="133">
        <v>-999</v>
      </c>
      <c r="O3498" s="179" t="s">
        <v>6882</v>
      </c>
      <c r="P3498" s="108">
        <v>-999</v>
      </c>
      <c r="Q3498" s="80" t="s">
        <v>6642</v>
      </c>
      <c r="R3498" s="89"/>
    </row>
    <row r="3499" spans="1:18">
      <c r="A3499" s="213" t="s">
        <v>2594</v>
      </c>
      <c r="B3499" s="130" t="s">
        <v>6002</v>
      </c>
      <c r="C3499" s="118" t="s">
        <v>3817</v>
      </c>
      <c r="D3499" s="141"/>
      <c r="E3499" s="118"/>
      <c r="F3499" s="118"/>
      <c r="G3499" s="118" t="s">
        <v>3618</v>
      </c>
      <c r="H3499" s="118" t="s">
        <v>3638</v>
      </c>
      <c r="I3499" s="118" t="s">
        <v>5261</v>
      </c>
      <c r="J3499" s="118" t="s">
        <v>4666</v>
      </c>
      <c r="K3499" s="141"/>
      <c r="L3499" s="135" t="str">
        <f t="shared" si="199"/>
        <v>Apodemus speciosus</v>
      </c>
      <c r="M3499" s="133">
        <f t="shared" ref="M3499:M3526" si="201">LOG(N3499)</f>
        <v>1.5289167002776547</v>
      </c>
      <c r="N3499" s="133">
        <v>33.799999999999997</v>
      </c>
      <c r="O3499" s="179" t="s">
        <v>3356</v>
      </c>
      <c r="P3499" s="108">
        <v>173</v>
      </c>
      <c r="Q3499" s="80"/>
    </row>
    <row r="3500" spans="1:18">
      <c r="A3500" s="213" t="s">
        <v>2594</v>
      </c>
      <c r="B3500" s="141" t="s">
        <v>6062</v>
      </c>
      <c r="C3500" s="118" t="s">
        <v>3817</v>
      </c>
      <c r="D3500" s="141"/>
      <c r="E3500" s="118"/>
      <c r="F3500" s="118"/>
      <c r="G3500" s="118" t="s">
        <v>3618</v>
      </c>
      <c r="H3500" s="118" t="s">
        <v>3638</v>
      </c>
      <c r="I3500" s="118" t="s">
        <v>7981</v>
      </c>
      <c r="J3500" s="118" t="s">
        <v>4307</v>
      </c>
      <c r="K3500" s="141"/>
      <c r="L3500" s="135" t="str">
        <f t="shared" si="199"/>
        <v>Apomys musculus</v>
      </c>
      <c r="M3500" s="133">
        <f t="shared" si="201"/>
        <v>1.3263358609287514</v>
      </c>
      <c r="N3500" s="133">
        <v>21.2</v>
      </c>
      <c r="O3500" s="179" t="s">
        <v>3356</v>
      </c>
      <c r="P3500" s="108">
        <v>121</v>
      </c>
      <c r="Q3500" s="80"/>
    </row>
    <row r="3501" spans="1:18">
      <c r="A3501" s="213" t="s">
        <v>2594</v>
      </c>
      <c r="B3501" s="141" t="s">
        <v>6062</v>
      </c>
      <c r="C3501" s="118" t="s">
        <v>3817</v>
      </c>
      <c r="D3501" s="141"/>
      <c r="E3501" s="118"/>
      <c r="F3501" s="118"/>
      <c r="G3501" s="118" t="s">
        <v>3618</v>
      </c>
      <c r="H3501" s="118" t="s">
        <v>3638</v>
      </c>
      <c r="I3501" s="118" t="s">
        <v>7981</v>
      </c>
      <c r="J3501" s="118" t="s">
        <v>6460</v>
      </c>
      <c r="K3501" s="141"/>
      <c r="L3501" s="135" t="str">
        <f t="shared" si="199"/>
        <v>Apomys insignis</v>
      </c>
      <c r="M3501" s="133">
        <f t="shared" si="201"/>
        <v>1.4756711883244296</v>
      </c>
      <c r="N3501" s="133">
        <f>1000*0.0299</f>
        <v>29.9</v>
      </c>
      <c r="O3501" s="179" t="s">
        <v>3356</v>
      </c>
      <c r="P3501" s="108">
        <v>60</v>
      </c>
      <c r="Q3501" s="80"/>
    </row>
    <row r="3502" spans="1:18" ht="12" customHeight="1">
      <c r="A3502" s="213" t="s">
        <v>2594</v>
      </c>
      <c r="B3502" s="141" t="s">
        <v>6062</v>
      </c>
      <c r="C3502" s="118" t="s">
        <v>3817</v>
      </c>
      <c r="D3502" s="141"/>
      <c r="E3502" s="118"/>
      <c r="F3502" s="118"/>
      <c r="G3502" s="118" t="s">
        <v>3618</v>
      </c>
      <c r="H3502" s="118" t="s">
        <v>3638</v>
      </c>
      <c r="I3502" s="118" t="s">
        <v>7981</v>
      </c>
      <c r="J3502" s="118" t="s">
        <v>5770</v>
      </c>
      <c r="K3502" s="141"/>
      <c r="L3502" s="135" t="str">
        <f t="shared" si="199"/>
        <v>Apomys littoralis</v>
      </c>
      <c r="M3502" s="133">
        <f t="shared" si="201"/>
        <v>1.4906606533561368</v>
      </c>
      <c r="N3502" s="133">
        <f>AVERAGE(30.3, 32.5, 30, 31)</f>
        <v>30.95</v>
      </c>
      <c r="O3502" s="179" t="s">
        <v>3356</v>
      </c>
      <c r="P3502" s="108">
        <v>122</v>
      </c>
      <c r="Q3502" s="88"/>
    </row>
    <row r="3503" spans="1:18">
      <c r="A3503" s="213" t="s">
        <v>2594</v>
      </c>
      <c r="B3503" s="141" t="s">
        <v>6062</v>
      </c>
      <c r="C3503" s="118" t="s">
        <v>3817</v>
      </c>
      <c r="D3503" s="141"/>
      <c r="E3503" s="118"/>
      <c r="F3503" s="118"/>
      <c r="G3503" s="118" t="s">
        <v>3618</v>
      </c>
      <c r="H3503" s="118" t="s">
        <v>3638</v>
      </c>
      <c r="I3503" s="118" t="s">
        <v>7981</v>
      </c>
      <c r="J3503" s="118" t="s">
        <v>1995</v>
      </c>
      <c r="K3503" s="141"/>
      <c r="L3503" s="135" t="str">
        <f t="shared" si="199"/>
        <v>Apomys microdon</v>
      </c>
      <c r="M3503" s="133">
        <f t="shared" si="201"/>
        <v>1.5453071164658241</v>
      </c>
      <c r="N3503" s="133">
        <v>35.1</v>
      </c>
      <c r="O3503" s="179" t="s">
        <v>3356</v>
      </c>
      <c r="P3503" s="108">
        <v>121</v>
      </c>
      <c r="Q3503" s="80"/>
    </row>
    <row r="3504" spans="1:18" ht="24" customHeight="1">
      <c r="A3504" s="213" t="s">
        <v>2594</v>
      </c>
      <c r="B3504" s="141" t="s">
        <v>6062</v>
      </c>
      <c r="C3504" s="118" t="s">
        <v>3817</v>
      </c>
      <c r="D3504" s="141"/>
      <c r="E3504" s="118"/>
      <c r="F3504" s="118"/>
      <c r="G3504" s="118" t="s">
        <v>3618</v>
      </c>
      <c r="H3504" s="118" t="s">
        <v>3638</v>
      </c>
      <c r="I3504" s="118" t="s">
        <v>7981</v>
      </c>
      <c r="J3504" s="118" t="s">
        <v>7979</v>
      </c>
      <c r="K3504" s="141"/>
      <c r="L3504" s="135" t="str">
        <f t="shared" si="199"/>
        <v>Apomys hylocoetes</v>
      </c>
      <c r="M3504" s="133">
        <f t="shared" si="201"/>
        <v>1.6541765418779606</v>
      </c>
      <c r="N3504" s="133">
        <f>1000*0.0451</f>
        <v>45.1</v>
      </c>
      <c r="O3504" s="179" t="s">
        <v>3356</v>
      </c>
      <c r="P3504" s="108">
        <v>60</v>
      </c>
      <c r="Q3504" s="88"/>
    </row>
    <row r="3505" spans="1:17" ht="12" customHeight="1">
      <c r="A3505" s="213" t="s">
        <v>2594</v>
      </c>
      <c r="B3505" s="141" t="s">
        <v>6062</v>
      </c>
      <c r="C3505" s="118" t="s">
        <v>3817</v>
      </c>
      <c r="D3505" s="141"/>
      <c r="E3505" s="118"/>
      <c r="F3505" s="118"/>
      <c r="G3505" s="118" t="s">
        <v>3618</v>
      </c>
      <c r="H3505" s="118" t="s">
        <v>3638</v>
      </c>
      <c r="I3505" s="118" t="s">
        <v>7981</v>
      </c>
      <c r="J3505" s="118" t="s">
        <v>7982</v>
      </c>
      <c r="K3505" s="141"/>
      <c r="L3505" s="135" t="str">
        <f t="shared" si="199"/>
        <v>Apomys abrae</v>
      </c>
      <c r="M3505" s="133">
        <f t="shared" si="201"/>
        <v>1.7528164311882715</v>
      </c>
      <c r="N3505" s="133">
        <f>1000*0.0566</f>
        <v>56.599999999999994</v>
      </c>
      <c r="O3505" s="179" t="s">
        <v>3356</v>
      </c>
      <c r="P3505" s="108">
        <v>60</v>
      </c>
      <c r="Q3505" s="88"/>
    </row>
    <row r="3506" spans="1:17">
      <c r="A3506" s="213" t="s">
        <v>2594</v>
      </c>
      <c r="B3506" s="141" t="s">
        <v>6062</v>
      </c>
      <c r="C3506" s="118" t="s">
        <v>3817</v>
      </c>
      <c r="D3506" s="141"/>
      <c r="E3506" s="118"/>
      <c r="F3506" s="118"/>
      <c r="G3506" s="118" t="s">
        <v>3618</v>
      </c>
      <c r="H3506" s="118" t="s">
        <v>3638</v>
      </c>
      <c r="I3506" s="118" t="s">
        <v>7981</v>
      </c>
      <c r="J3506" s="118" t="s">
        <v>7980</v>
      </c>
      <c r="K3506" s="141"/>
      <c r="L3506" s="135" t="str">
        <f t="shared" si="199"/>
        <v>Apomys sacobianus</v>
      </c>
      <c r="M3506" s="133">
        <f t="shared" si="201"/>
        <v>1.9159272116971158</v>
      </c>
      <c r="N3506" s="133">
        <f>1000*0.0824</f>
        <v>82.4</v>
      </c>
      <c r="O3506" s="179" t="s">
        <v>6641</v>
      </c>
      <c r="P3506" s="108">
        <v>60</v>
      </c>
      <c r="Q3506" s="80" t="s">
        <v>6988</v>
      </c>
    </row>
    <row r="3507" spans="1:17" ht="24" customHeight="1">
      <c r="A3507" s="213" t="s">
        <v>2594</v>
      </c>
      <c r="B3507" s="141" t="s">
        <v>6062</v>
      </c>
      <c r="C3507" s="121" t="s">
        <v>3817</v>
      </c>
      <c r="D3507" s="156"/>
      <c r="E3507" s="121"/>
      <c r="F3507" s="121"/>
      <c r="G3507" s="121" t="s">
        <v>3618</v>
      </c>
      <c r="H3507" s="118" t="s">
        <v>3638</v>
      </c>
      <c r="I3507" s="121" t="s">
        <v>7981</v>
      </c>
      <c r="J3507" s="121" t="s">
        <v>7978</v>
      </c>
      <c r="K3507" s="156"/>
      <c r="L3507" s="135" t="str">
        <f t="shared" si="199"/>
        <v>Apomys datae</v>
      </c>
      <c r="M3507" s="133">
        <f t="shared" si="201"/>
        <v>2.0253058652647704</v>
      </c>
      <c r="N3507" s="133">
        <v>106</v>
      </c>
      <c r="O3507" s="179" t="s">
        <v>3356</v>
      </c>
      <c r="P3507" s="108">
        <v>60</v>
      </c>
      <c r="Q3507" s="88"/>
    </row>
    <row r="3508" spans="1:17">
      <c r="A3508" s="212" t="s">
        <v>2594</v>
      </c>
      <c r="B3508" s="145" t="s">
        <v>6062</v>
      </c>
      <c r="C3508" s="118" t="s">
        <v>3817</v>
      </c>
      <c r="D3508" s="141"/>
      <c r="E3508" s="118"/>
      <c r="F3508" s="118"/>
      <c r="G3508" s="118" t="s">
        <v>3618</v>
      </c>
      <c r="H3508" s="118" t="s">
        <v>3638</v>
      </c>
      <c r="I3508" s="118" t="s">
        <v>5354</v>
      </c>
      <c r="J3508" s="118" t="s">
        <v>5355</v>
      </c>
      <c r="K3508" s="141"/>
      <c r="L3508" s="135" t="str">
        <f t="shared" si="199"/>
        <v>Archboldomys luzonensis</v>
      </c>
      <c r="M3508" s="133">
        <f t="shared" si="201"/>
        <v>1.5490032620257879</v>
      </c>
      <c r="N3508" s="133">
        <v>35.4</v>
      </c>
      <c r="O3508" s="179" t="s">
        <v>6641</v>
      </c>
      <c r="P3508" s="108">
        <v>121</v>
      </c>
      <c r="Q3508" s="80" t="s">
        <v>6640</v>
      </c>
    </row>
    <row r="3509" spans="1:17">
      <c r="A3509" s="213" t="s">
        <v>2594</v>
      </c>
      <c r="B3509" s="130" t="s">
        <v>2435</v>
      </c>
      <c r="C3509" s="118" t="s">
        <v>3817</v>
      </c>
      <c r="D3509" s="141"/>
      <c r="E3509" s="118"/>
      <c r="F3509" s="118"/>
      <c r="G3509" s="118" t="s">
        <v>3618</v>
      </c>
      <c r="H3509" s="118" t="s">
        <v>3638</v>
      </c>
      <c r="I3509" s="118" t="s">
        <v>5736</v>
      </c>
      <c r="J3509" s="118" t="s">
        <v>6178</v>
      </c>
      <c r="K3509" s="141"/>
      <c r="L3509" s="135" t="str">
        <f t="shared" si="199"/>
        <v>Bandicota bengalensis</v>
      </c>
      <c r="M3509" s="133">
        <f t="shared" si="201"/>
        <v>2.3560258571931225</v>
      </c>
      <c r="N3509" s="133">
        <f>454*0.5</f>
        <v>227</v>
      </c>
      <c r="O3509" s="179"/>
      <c r="P3509" s="108">
        <v>132</v>
      </c>
      <c r="Q3509" s="80"/>
    </row>
    <row r="3510" spans="1:17">
      <c r="A3510" s="213" t="s">
        <v>2594</v>
      </c>
      <c r="B3510" s="130" t="s">
        <v>2435</v>
      </c>
      <c r="C3510" s="118" t="s">
        <v>3817</v>
      </c>
      <c r="D3510" s="141"/>
      <c r="E3510" s="118"/>
      <c r="F3510" s="118"/>
      <c r="G3510" s="118" t="s">
        <v>3618</v>
      </c>
      <c r="H3510" s="118" t="s">
        <v>3638</v>
      </c>
      <c r="I3510" s="118" t="s">
        <v>5736</v>
      </c>
      <c r="J3510" s="118" t="s">
        <v>4108</v>
      </c>
      <c r="K3510" s="141"/>
      <c r="L3510" s="135" t="str">
        <f t="shared" si="199"/>
        <v>Bandicota indica</v>
      </c>
      <c r="M3510" s="133">
        <f t="shared" si="201"/>
        <v>2.9730917571460433</v>
      </c>
      <c r="N3510" s="133">
        <f>AVERAGE((454*1.75), (454*2.375), (454*1.90625), (454*2.25))</f>
        <v>939.921875</v>
      </c>
      <c r="O3510" s="179"/>
      <c r="P3510" s="108">
        <v>132</v>
      </c>
      <c r="Q3510" s="80"/>
    </row>
    <row r="3511" spans="1:17" ht="15" customHeight="1">
      <c r="A3511" s="212" t="s">
        <v>2594</v>
      </c>
      <c r="B3511" s="145" t="s">
        <v>6062</v>
      </c>
      <c r="C3511" s="118" t="s">
        <v>3817</v>
      </c>
      <c r="D3511" s="141"/>
      <c r="E3511" s="118"/>
      <c r="F3511" s="118"/>
      <c r="G3511" s="118" t="s">
        <v>3618</v>
      </c>
      <c r="H3511" s="118" t="s">
        <v>3638</v>
      </c>
      <c r="I3511" s="118" t="s">
        <v>5358</v>
      </c>
      <c r="J3511" s="118" t="s">
        <v>7281</v>
      </c>
      <c r="K3511" s="141"/>
      <c r="L3511" s="135" t="str">
        <f t="shared" si="199"/>
        <v>Batomys granti</v>
      </c>
      <c r="M3511" s="133">
        <f t="shared" si="201"/>
        <v>2.249931756634195</v>
      </c>
      <c r="N3511" s="133">
        <v>177.8</v>
      </c>
      <c r="O3511" s="179" t="s">
        <v>3356</v>
      </c>
      <c r="P3511" s="108">
        <v>121</v>
      </c>
      <c r="Q3511" s="80"/>
    </row>
    <row r="3512" spans="1:17">
      <c r="A3512" s="212" t="s">
        <v>2594</v>
      </c>
      <c r="B3512" s="145" t="s">
        <v>6062</v>
      </c>
      <c r="C3512" s="118" t="s">
        <v>3817</v>
      </c>
      <c r="D3512" s="141"/>
      <c r="E3512" s="118"/>
      <c r="F3512" s="118"/>
      <c r="G3512" s="118" t="s">
        <v>3618</v>
      </c>
      <c r="H3512" s="118" t="s">
        <v>3638</v>
      </c>
      <c r="I3512" s="118" t="s">
        <v>5358</v>
      </c>
      <c r="J3512" s="118" t="s">
        <v>5352</v>
      </c>
      <c r="K3512" s="141"/>
      <c r="L3512" s="135" t="str">
        <f t="shared" si="199"/>
        <v>Batomys salomonseni</v>
      </c>
      <c r="M3512" s="133">
        <f t="shared" si="201"/>
        <v>2.271841606536499</v>
      </c>
      <c r="N3512" s="133">
        <f>AVERAGE(205, 178, 220, 145)</f>
        <v>187</v>
      </c>
      <c r="O3512" s="179" t="s">
        <v>3356</v>
      </c>
      <c r="P3512" s="108">
        <v>122</v>
      </c>
      <c r="Q3512" s="80"/>
    </row>
    <row r="3513" spans="1:17">
      <c r="A3513" s="213" t="s">
        <v>2594</v>
      </c>
      <c r="B3513" s="130" t="s">
        <v>6062</v>
      </c>
      <c r="C3513" s="118" t="s">
        <v>3817</v>
      </c>
      <c r="D3513" s="141"/>
      <c r="E3513" s="118"/>
      <c r="F3513" s="118"/>
      <c r="G3513" s="118" t="s">
        <v>3618</v>
      </c>
      <c r="H3513" s="118" t="s">
        <v>3638</v>
      </c>
      <c r="I3513" s="118" t="s">
        <v>5358</v>
      </c>
      <c r="J3513" s="118" t="s">
        <v>5351</v>
      </c>
      <c r="K3513" s="141"/>
      <c r="L3513" s="135" t="str">
        <f t="shared" si="199"/>
        <v>Batomys dentatus</v>
      </c>
      <c r="M3513" s="133">
        <f t="shared" si="201"/>
        <v>2.2922560713564759</v>
      </c>
      <c r="N3513" s="133">
        <v>196</v>
      </c>
      <c r="O3513" s="179" t="s">
        <v>6882</v>
      </c>
      <c r="P3513" s="108">
        <v>60</v>
      </c>
      <c r="Q3513" s="80" t="s">
        <v>6987</v>
      </c>
    </row>
    <row r="3514" spans="1:17">
      <c r="A3514" s="213" t="s">
        <v>2594</v>
      </c>
      <c r="B3514" s="130" t="s">
        <v>2593</v>
      </c>
      <c r="C3514" s="118" t="s">
        <v>3817</v>
      </c>
      <c r="D3514" s="141"/>
      <c r="E3514" s="118"/>
      <c r="F3514" s="118"/>
      <c r="G3514" s="118" t="s">
        <v>3618</v>
      </c>
      <c r="H3514" s="118" t="s">
        <v>3638</v>
      </c>
      <c r="I3514" s="118" t="s">
        <v>4146</v>
      </c>
      <c r="J3514" s="118" t="s">
        <v>7096</v>
      </c>
      <c r="K3514" s="141"/>
      <c r="L3514" s="135" t="str">
        <f t="shared" si="199"/>
        <v>Brachytarsomys albicauda</v>
      </c>
      <c r="M3514" s="133">
        <f t="shared" si="201"/>
        <v>2.3010299956639813</v>
      </c>
      <c r="N3514" s="133">
        <v>200</v>
      </c>
      <c r="O3514" s="179" t="s">
        <v>6151</v>
      </c>
      <c r="P3514" s="108">
        <v>150</v>
      </c>
      <c r="Q3514" s="85"/>
    </row>
    <row r="3515" spans="1:17" ht="63.75">
      <c r="A3515" s="213" t="s">
        <v>2594</v>
      </c>
      <c r="B3515" s="130" t="s">
        <v>2593</v>
      </c>
      <c r="C3515" s="118" t="s">
        <v>3817</v>
      </c>
      <c r="D3515" s="141"/>
      <c r="E3515" s="118"/>
      <c r="F3515" s="118"/>
      <c r="G3515" s="118" t="s">
        <v>3618</v>
      </c>
      <c r="H3515" s="118" t="s">
        <v>3638</v>
      </c>
      <c r="I3515" s="118" t="s">
        <v>4146</v>
      </c>
      <c r="J3515" s="118" t="s">
        <v>6153</v>
      </c>
      <c r="K3515" s="141"/>
      <c r="L3515" s="135" t="str">
        <f t="shared" si="199"/>
        <v>Brachytarsomys villosa</v>
      </c>
      <c r="M3515" s="133">
        <f t="shared" si="201"/>
        <v>2.3424226808222062</v>
      </c>
      <c r="N3515" s="133">
        <v>220</v>
      </c>
      <c r="O3515" s="179" t="s">
        <v>6151</v>
      </c>
      <c r="P3515" s="108">
        <v>150</v>
      </c>
      <c r="Q3515" s="85" t="s">
        <v>2616</v>
      </c>
    </row>
    <row r="3516" spans="1:17">
      <c r="A3516" s="213" t="s">
        <v>2594</v>
      </c>
      <c r="B3516" s="130" t="s">
        <v>2593</v>
      </c>
      <c r="C3516" s="118" t="s">
        <v>3817</v>
      </c>
      <c r="D3516" s="141"/>
      <c r="E3516" s="118"/>
      <c r="F3516" s="118"/>
      <c r="G3516" s="118" t="s">
        <v>3618</v>
      </c>
      <c r="H3516" s="118" t="s">
        <v>3638</v>
      </c>
      <c r="I3516" s="118" t="s">
        <v>6072</v>
      </c>
      <c r="J3516" s="118" t="s">
        <v>3458</v>
      </c>
      <c r="K3516" s="141"/>
      <c r="L3516" s="135" t="str">
        <f t="shared" si="199"/>
        <v>Brachyuromys ramirohitra</v>
      </c>
      <c r="M3516" s="133">
        <f t="shared" si="201"/>
        <v>1.954242509439325</v>
      </c>
      <c r="N3516" s="133">
        <v>90</v>
      </c>
      <c r="O3516" s="190" t="s">
        <v>6882</v>
      </c>
      <c r="P3516" s="108">
        <v>150</v>
      </c>
      <c r="Q3516" s="85" t="s">
        <v>6642</v>
      </c>
    </row>
    <row r="3517" spans="1:17">
      <c r="A3517" s="213" t="s">
        <v>2594</v>
      </c>
      <c r="B3517" s="130" t="s">
        <v>2593</v>
      </c>
      <c r="C3517" s="118" t="s">
        <v>3817</v>
      </c>
      <c r="D3517" s="141"/>
      <c r="E3517" s="118"/>
      <c r="F3517" s="118"/>
      <c r="G3517" s="118" t="s">
        <v>3618</v>
      </c>
      <c r="H3517" s="118" t="s">
        <v>3638</v>
      </c>
      <c r="I3517" s="118" t="s">
        <v>6072</v>
      </c>
      <c r="J3517" s="118" t="s">
        <v>3457</v>
      </c>
      <c r="K3517" s="141"/>
      <c r="L3517" s="135" t="str">
        <f t="shared" si="199"/>
        <v>Brachyuromys betsileoensis</v>
      </c>
      <c r="M3517" s="133">
        <f t="shared" si="201"/>
        <v>1.9661417327390327</v>
      </c>
      <c r="N3517" s="133">
        <v>92.5</v>
      </c>
      <c r="O3517" s="190" t="s">
        <v>6882</v>
      </c>
      <c r="P3517" s="108">
        <v>150</v>
      </c>
      <c r="Q3517" s="85" t="s">
        <v>6642</v>
      </c>
    </row>
    <row r="3518" spans="1:17">
      <c r="A3518" s="213" t="s">
        <v>2594</v>
      </c>
      <c r="B3518" s="141" t="s">
        <v>6062</v>
      </c>
      <c r="C3518" s="118" t="s">
        <v>3817</v>
      </c>
      <c r="D3518" s="141"/>
      <c r="E3518" s="118"/>
      <c r="F3518" s="118"/>
      <c r="G3518" s="118" t="s">
        <v>3618</v>
      </c>
      <c r="H3518" s="118" t="s">
        <v>3638</v>
      </c>
      <c r="I3518" s="118" t="s">
        <v>6239</v>
      </c>
      <c r="J3518" s="118" t="s">
        <v>6412</v>
      </c>
      <c r="K3518" s="141"/>
      <c r="L3518" s="135" t="str">
        <f t="shared" si="199"/>
        <v>Bullimus bagobus</v>
      </c>
      <c r="M3518" s="133">
        <f t="shared" si="201"/>
        <v>2.635986111800833</v>
      </c>
      <c r="N3518" s="133">
        <f>AVERAGE(445, 425, 520, 340)</f>
        <v>432.5</v>
      </c>
      <c r="O3518" s="179" t="s">
        <v>3356</v>
      </c>
      <c r="P3518" s="108">
        <v>122</v>
      </c>
      <c r="Q3518" s="80"/>
    </row>
    <row r="3519" spans="1:17">
      <c r="A3519" s="213" t="s">
        <v>2594</v>
      </c>
      <c r="B3519" s="141" t="s">
        <v>6062</v>
      </c>
      <c r="C3519" s="118" t="s">
        <v>3817</v>
      </c>
      <c r="D3519" s="141"/>
      <c r="E3519" s="118"/>
      <c r="F3519" s="118"/>
      <c r="G3519" s="118" t="s">
        <v>3618</v>
      </c>
      <c r="H3519" s="118" t="s">
        <v>3638</v>
      </c>
      <c r="I3519" s="118" t="s">
        <v>6239</v>
      </c>
      <c r="J3519" s="118" t="s">
        <v>8105</v>
      </c>
      <c r="K3519" s="141"/>
      <c r="L3519" s="135" t="str">
        <f t="shared" si="199"/>
        <v>Bullimus luzonicus</v>
      </c>
      <c r="M3519" s="133">
        <f t="shared" si="201"/>
        <v>2.6483600109809315</v>
      </c>
      <c r="N3519" s="133">
        <v>445</v>
      </c>
      <c r="O3519" s="179" t="s">
        <v>3356</v>
      </c>
      <c r="P3519" s="108">
        <v>60</v>
      </c>
      <c r="Q3519" s="80"/>
    </row>
    <row r="3520" spans="1:17" ht="60" customHeight="1">
      <c r="A3520" s="213" t="s">
        <v>2594</v>
      </c>
      <c r="B3520" s="141" t="s">
        <v>2540</v>
      </c>
      <c r="C3520" s="118" t="s">
        <v>3817</v>
      </c>
      <c r="D3520" s="141"/>
      <c r="E3520" s="118"/>
      <c r="F3520" s="118"/>
      <c r="G3520" s="118" t="s">
        <v>3618</v>
      </c>
      <c r="H3520" s="118" t="s">
        <v>3638</v>
      </c>
      <c r="I3520" s="118" t="s">
        <v>8106</v>
      </c>
      <c r="J3520" s="118" t="s">
        <v>6566</v>
      </c>
      <c r="K3520" s="141"/>
      <c r="L3520" s="135" t="str">
        <f t="shared" si="199"/>
        <v>Bunomys heinrichi</v>
      </c>
      <c r="M3520" s="133">
        <f t="shared" si="201"/>
        <v>1.9881128402683519</v>
      </c>
      <c r="N3520" s="133">
        <f>1000*0.0973</f>
        <v>97.3</v>
      </c>
      <c r="O3520" s="179" t="s">
        <v>6641</v>
      </c>
      <c r="P3520" s="115">
        <v>60</v>
      </c>
      <c r="Q3520" s="88" t="s">
        <v>6642</v>
      </c>
    </row>
    <row r="3521" spans="1:17">
      <c r="A3521" s="213" t="s">
        <v>2594</v>
      </c>
      <c r="B3521" s="141" t="s">
        <v>2540</v>
      </c>
      <c r="C3521" s="118" t="s">
        <v>3817</v>
      </c>
      <c r="D3521" s="141"/>
      <c r="E3521" s="118"/>
      <c r="F3521" s="118"/>
      <c r="G3521" s="118" t="s">
        <v>3618</v>
      </c>
      <c r="H3521" s="121" t="s">
        <v>3638</v>
      </c>
      <c r="I3521" s="118" t="s">
        <v>8106</v>
      </c>
      <c r="J3521" s="118" t="s">
        <v>8107</v>
      </c>
      <c r="K3521" s="141"/>
      <c r="L3521" s="135" t="str">
        <f t="shared" si="199"/>
        <v>Bunomys chrysocomus</v>
      </c>
      <c r="M3521" s="133">
        <f t="shared" si="201"/>
        <v>2.0644579892269186</v>
      </c>
      <c r="N3521" s="133">
        <v>116</v>
      </c>
      <c r="O3521" s="179" t="s">
        <v>3356</v>
      </c>
      <c r="P3521" s="115">
        <v>60</v>
      </c>
      <c r="Q3521" s="80"/>
    </row>
    <row r="3522" spans="1:17" ht="15" customHeight="1">
      <c r="A3522" s="213" t="s">
        <v>2594</v>
      </c>
      <c r="B3522" s="141" t="s">
        <v>2540</v>
      </c>
      <c r="C3522" s="118" t="s">
        <v>3817</v>
      </c>
      <c r="D3522" s="141"/>
      <c r="E3522" s="118"/>
      <c r="F3522" s="118"/>
      <c r="G3522" s="118" t="s">
        <v>3618</v>
      </c>
      <c r="H3522" s="118" t="s">
        <v>3638</v>
      </c>
      <c r="I3522" s="118" t="s">
        <v>8106</v>
      </c>
      <c r="J3522" s="118" t="s">
        <v>8108</v>
      </c>
      <c r="K3522" s="141"/>
      <c r="L3522" s="135" t="str">
        <f t="shared" si="199"/>
        <v>Bunomys coelestis</v>
      </c>
      <c r="M3522" s="133">
        <f t="shared" si="201"/>
        <v>2.0791812460476247</v>
      </c>
      <c r="N3522" s="133">
        <v>120</v>
      </c>
      <c r="O3522" s="179" t="s">
        <v>6641</v>
      </c>
      <c r="P3522" s="115">
        <v>60</v>
      </c>
      <c r="Q3522" s="80" t="s">
        <v>6640</v>
      </c>
    </row>
    <row r="3523" spans="1:17" ht="15">
      <c r="A3523" s="213" t="s">
        <v>2594</v>
      </c>
      <c r="B3523" s="141" t="s">
        <v>2540</v>
      </c>
      <c r="C3523" s="118" t="s">
        <v>3817</v>
      </c>
      <c r="D3523" s="141"/>
      <c r="E3523" s="118"/>
      <c r="F3523" s="118"/>
      <c r="G3523" s="118" t="s">
        <v>3618</v>
      </c>
      <c r="H3523" s="118" t="s">
        <v>3638</v>
      </c>
      <c r="I3523" s="118" t="s">
        <v>8106</v>
      </c>
      <c r="J3523" s="118" t="s">
        <v>3576</v>
      </c>
      <c r="K3523" s="141"/>
      <c r="L3523" s="135" t="str">
        <f t="shared" si="199"/>
        <v>Bunomys andrewsi</v>
      </c>
      <c r="M3523" s="133">
        <f t="shared" si="201"/>
        <v>2.0969100130080562</v>
      </c>
      <c r="N3523" s="133">
        <v>125</v>
      </c>
      <c r="O3523" s="179" t="s">
        <v>3356</v>
      </c>
      <c r="P3523" s="108">
        <v>60</v>
      </c>
      <c r="Q3523" s="88"/>
    </row>
    <row r="3524" spans="1:17">
      <c r="A3524" s="213" t="s">
        <v>2594</v>
      </c>
      <c r="B3524" s="141" t="s">
        <v>2540</v>
      </c>
      <c r="C3524" s="118" t="s">
        <v>3817</v>
      </c>
      <c r="D3524" s="141"/>
      <c r="E3524" s="118"/>
      <c r="F3524" s="118"/>
      <c r="G3524" s="118" t="s">
        <v>3618</v>
      </c>
      <c r="H3524" s="118" t="s">
        <v>3638</v>
      </c>
      <c r="I3524" s="118" t="s">
        <v>8106</v>
      </c>
      <c r="J3524" s="118" t="s">
        <v>8111</v>
      </c>
      <c r="K3524" s="141"/>
      <c r="L3524" s="135" t="str">
        <f t="shared" si="199"/>
        <v>Bunomys prolatus</v>
      </c>
      <c r="M3524" s="133">
        <f t="shared" si="201"/>
        <v>2.1172712956557644</v>
      </c>
      <c r="N3524" s="133">
        <v>131</v>
      </c>
      <c r="O3524" s="179" t="s">
        <v>6641</v>
      </c>
      <c r="P3524" s="115">
        <v>60</v>
      </c>
      <c r="Q3524" s="80" t="s">
        <v>6640</v>
      </c>
    </row>
    <row r="3525" spans="1:17">
      <c r="A3525" s="213" t="s">
        <v>2594</v>
      </c>
      <c r="B3525" s="141" t="s">
        <v>2540</v>
      </c>
      <c r="C3525" s="118" t="s">
        <v>3817</v>
      </c>
      <c r="D3525" s="141"/>
      <c r="E3525" s="118"/>
      <c r="F3525" s="118"/>
      <c r="G3525" s="118" t="s">
        <v>3618</v>
      </c>
      <c r="H3525" s="118" t="s">
        <v>3638</v>
      </c>
      <c r="I3525" s="118" t="s">
        <v>8106</v>
      </c>
      <c r="J3525" s="118" t="s">
        <v>8109</v>
      </c>
      <c r="K3525" s="141"/>
      <c r="L3525" s="135" t="str">
        <f t="shared" ref="L3525:L3588" si="202">I3525&amp;" "&amp;J3525</f>
        <v>Bunomys fratrorum</v>
      </c>
      <c r="M3525" s="133">
        <f t="shared" si="201"/>
        <v>2.1303337684950061</v>
      </c>
      <c r="N3525" s="133">
        <v>135</v>
      </c>
      <c r="O3525" s="179" t="s">
        <v>3356</v>
      </c>
      <c r="P3525" s="115">
        <v>60</v>
      </c>
      <c r="Q3525" s="80" t="s">
        <v>6642</v>
      </c>
    </row>
    <row r="3526" spans="1:17" ht="24" customHeight="1">
      <c r="A3526" s="213" t="s">
        <v>2594</v>
      </c>
      <c r="B3526" s="141" t="s">
        <v>2540</v>
      </c>
      <c r="C3526" s="118" t="s">
        <v>3817</v>
      </c>
      <c r="D3526" s="141"/>
      <c r="E3526" s="118"/>
      <c r="F3526" s="118"/>
      <c r="G3526" s="118" t="s">
        <v>3618</v>
      </c>
      <c r="H3526" s="118" t="s">
        <v>3638</v>
      </c>
      <c r="I3526" s="118" t="s">
        <v>8106</v>
      </c>
      <c r="J3526" s="118" t="s">
        <v>8110</v>
      </c>
      <c r="K3526" s="141"/>
      <c r="L3526" s="135" t="str">
        <f t="shared" si="202"/>
        <v>Bunomys penitus</v>
      </c>
      <c r="M3526" s="133">
        <f t="shared" si="201"/>
        <v>2.2304489213782741</v>
      </c>
      <c r="N3526" s="133">
        <v>170</v>
      </c>
      <c r="O3526" s="179" t="s">
        <v>3356</v>
      </c>
      <c r="P3526" s="115">
        <v>60</v>
      </c>
      <c r="Q3526" s="88"/>
    </row>
    <row r="3527" spans="1:17">
      <c r="A3527" s="213" t="s">
        <v>2594</v>
      </c>
      <c r="B3527" s="130" t="s">
        <v>2385</v>
      </c>
      <c r="C3527" s="121" t="s">
        <v>3817</v>
      </c>
      <c r="D3527" s="156"/>
      <c r="E3527" s="121"/>
      <c r="F3527" s="121"/>
      <c r="G3527" s="121" t="s">
        <v>3618</v>
      </c>
      <c r="H3527" s="121" t="s">
        <v>3638</v>
      </c>
      <c r="I3527" s="121" t="s">
        <v>8112</v>
      </c>
      <c r="J3527" s="121" t="s">
        <v>8113</v>
      </c>
      <c r="K3527" s="156"/>
      <c r="L3527" s="135" t="str">
        <f t="shared" si="202"/>
        <v>Canariomys tamarani</v>
      </c>
      <c r="M3527" s="133">
        <v>-999</v>
      </c>
      <c r="N3527" s="143">
        <v>-999</v>
      </c>
      <c r="O3527" s="179" t="s">
        <v>3356</v>
      </c>
      <c r="P3527" s="108">
        <v>-999</v>
      </c>
      <c r="Q3527" s="80"/>
    </row>
    <row r="3528" spans="1:17">
      <c r="A3528" s="213" t="s">
        <v>2594</v>
      </c>
      <c r="B3528" s="130" t="s">
        <v>6062</v>
      </c>
      <c r="C3528" s="118" t="s">
        <v>3817</v>
      </c>
      <c r="D3528" s="141"/>
      <c r="E3528" s="118"/>
      <c r="F3528" s="118"/>
      <c r="G3528" s="118" t="s">
        <v>3618</v>
      </c>
      <c r="H3528" s="118" t="s">
        <v>3638</v>
      </c>
      <c r="I3528" s="118" t="s">
        <v>8114</v>
      </c>
      <c r="J3528" s="118" t="s">
        <v>3607</v>
      </c>
      <c r="K3528" s="141"/>
      <c r="L3528" s="135" t="str">
        <f t="shared" si="202"/>
        <v>Carpomys melanurus</v>
      </c>
      <c r="M3528" s="133">
        <v>-999</v>
      </c>
      <c r="N3528" s="133">
        <v>-999</v>
      </c>
      <c r="O3528" s="179" t="s">
        <v>6882</v>
      </c>
      <c r="P3528" s="108">
        <v>-999</v>
      </c>
      <c r="Q3528" s="80" t="s">
        <v>6987</v>
      </c>
    </row>
    <row r="3529" spans="1:17">
      <c r="A3529" s="213" t="s">
        <v>2594</v>
      </c>
      <c r="B3529" s="130" t="s">
        <v>6062</v>
      </c>
      <c r="C3529" s="121" t="s">
        <v>3817</v>
      </c>
      <c r="D3529" s="156"/>
      <c r="E3529" s="121"/>
      <c r="F3529" s="121"/>
      <c r="G3529" s="121" t="s">
        <v>3618</v>
      </c>
      <c r="H3529" s="121" t="s">
        <v>3638</v>
      </c>
      <c r="I3529" s="121" t="s">
        <v>8114</v>
      </c>
      <c r="J3529" s="121" t="s">
        <v>8115</v>
      </c>
      <c r="K3529" s="156"/>
      <c r="L3529" s="135" t="str">
        <f t="shared" si="202"/>
        <v>Carpomys phaeurus</v>
      </c>
      <c r="M3529" s="133">
        <v>-999</v>
      </c>
      <c r="N3529" s="143">
        <v>-999</v>
      </c>
      <c r="O3529" s="179" t="s">
        <v>6882</v>
      </c>
      <c r="P3529" s="108">
        <v>-999</v>
      </c>
      <c r="Q3529" s="80" t="s">
        <v>6987</v>
      </c>
    </row>
    <row r="3530" spans="1:17">
      <c r="A3530" s="213" t="s">
        <v>2594</v>
      </c>
      <c r="B3530" s="130" t="s">
        <v>6062</v>
      </c>
      <c r="C3530" s="121" t="s">
        <v>3817</v>
      </c>
      <c r="D3530" s="156"/>
      <c r="E3530" s="121"/>
      <c r="F3530" s="121"/>
      <c r="G3530" s="121" t="s">
        <v>3618</v>
      </c>
      <c r="H3530" s="121" t="s">
        <v>3638</v>
      </c>
      <c r="I3530" s="121" t="s">
        <v>8116</v>
      </c>
      <c r="J3530" s="121" t="s">
        <v>8117</v>
      </c>
      <c r="K3530" s="156"/>
      <c r="L3530" s="135" t="str">
        <f t="shared" si="202"/>
        <v>Celaenomys silaceus</v>
      </c>
      <c r="M3530" s="133">
        <v>-999</v>
      </c>
      <c r="N3530" s="143">
        <v>-999</v>
      </c>
      <c r="O3530" s="179" t="s">
        <v>6882</v>
      </c>
      <c r="P3530" s="108">
        <v>-999</v>
      </c>
      <c r="Q3530" s="80" t="s">
        <v>6642</v>
      </c>
    </row>
    <row r="3531" spans="1:17" ht="15" customHeight="1">
      <c r="A3531" s="213" t="s">
        <v>2594</v>
      </c>
      <c r="B3531" s="141" t="s">
        <v>2109</v>
      </c>
      <c r="C3531" s="118" t="s">
        <v>3817</v>
      </c>
      <c r="D3531" s="141"/>
      <c r="E3531" s="118"/>
      <c r="F3531" s="118"/>
      <c r="G3531" s="118" t="s">
        <v>3618</v>
      </c>
      <c r="H3531" s="118" t="s">
        <v>3638</v>
      </c>
      <c r="I3531" s="118" t="s">
        <v>6001</v>
      </c>
      <c r="J3531" s="118" t="s">
        <v>4473</v>
      </c>
      <c r="K3531" s="141"/>
      <c r="L3531" s="135" t="str">
        <f t="shared" si="202"/>
        <v>Chiropodomys pusillus</v>
      </c>
      <c r="M3531" s="133">
        <v>-999</v>
      </c>
      <c r="N3531" s="133">
        <v>-999</v>
      </c>
      <c r="O3531" s="179" t="s">
        <v>3356</v>
      </c>
      <c r="P3531" s="108">
        <v>-999</v>
      </c>
      <c r="Q3531" s="80"/>
    </row>
    <row r="3532" spans="1:17">
      <c r="A3532" s="213" t="s">
        <v>2594</v>
      </c>
      <c r="B3532" s="141" t="s">
        <v>2109</v>
      </c>
      <c r="C3532" s="118" t="s">
        <v>3817</v>
      </c>
      <c r="D3532" s="141"/>
      <c r="E3532" s="118"/>
      <c r="F3532" s="118"/>
      <c r="G3532" s="118" t="s">
        <v>3618</v>
      </c>
      <c r="H3532" s="118" t="s">
        <v>3638</v>
      </c>
      <c r="I3532" s="118" t="s">
        <v>6001</v>
      </c>
      <c r="J3532" s="118" t="s">
        <v>6420</v>
      </c>
      <c r="K3532" s="141"/>
      <c r="L3532" s="135" t="str">
        <f t="shared" si="202"/>
        <v>Chiropodomys muroides</v>
      </c>
      <c r="M3532" s="133">
        <f t="shared" ref="M3532:M3540" si="203">LOG(N3532)</f>
        <v>1.214843848047698</v>
      </c>
      <c r="N3532" s="133">
        <f>1000*0.0164</f>
        <v>16.400000000000002</v>
      </c>
      <c r="O3532" s="179" t="s">
        <v>6641</v>
      </c>
      <c r="P3532" s="108">
        <v>60</v>
      </c>
      <c r="Q3532" s="80" t="s">
        <v>6642</v>
      </c>
    </row>
    <row r="3533" spans="1:17" ht="15" customHeight="1">
      <c r="A3533" s="213" t="s">
        <v>2594</v>
      </c>
      <c r="B3533" s="130" t="s">
        <v>2600</v>
      </c>
      <c r="C3533" s="118" t="s">
        <v>3817</v>
      </c>
      <c r="D3533" s="141"/>
      <c r="E3533" s="118"/>
      <c r="F3533" s="118"/>
      <c r="G3533" s="118" t="s">
        <v>3618</v>
      </c>
      <c r="H3533" s="118" t="s">
        <v>3638</v>
      </c>
      <c r="I3533" s="118" t="s">
        <v>6001</v>
      </c>
      <c r="J3533" s="118" t="s">
        <v>7265</v>
      </c>
      <c r="K3533" s="141"/>
      <c r="L3533" s="135" t="str">
        <f t="shared" si="202"/>
        <v>Chiropodomys gliroides</v>
      </c>
      <c r="M3533" s="133">
        <f t="shared" si="203"/>
        <v>1.255272505103306</v>
      </c>
      <c r="N3533" s="133">
        <f>AVERAGE(14, 22)</f>
        <v>18</v>
      </c>
      <c r="O3533" s="179"/>
      <c r="P3533" s="108">
        <v>118</v>
      </c>
      <c r="Q3533" s="80"/>
    </row>
    <row r="3534" spans="1:17">
      <c r="A3534" s="213" t="s">
        <v>2594</v>
      </c>
      <c r="B3534" s="141" t="s">
        <v>2600</v>
      </c>
      <c r="C3534" s="118" t="s">
        <v>3817</v>
      </c>
      <c r="D3534" s="141"/>
      <c r="E3534" s="118"/>
      <c r="F3534" s="118"/>
      <c r="G3534" s="118" t="s">
        <v>3618</v>
      </c>
      <c r="H3534" s="118" t="s">
        <v>3638</v>
      </c>
      <c r="I3534" s="118" t="s">
        <v>6001</v>
      </c>
      <c r="J3534" s="118" t="s">
        <v>6428</v>
      </c>
      <c r="K3534" s="141"/>
      <c r="L3534" s="135" t="str">
        <f t="shared" si="202"/>
        <v>Chiropodomys karlkoopmani</v>
      </c>
      <c r="M3534" s="133">
        <f t="shared" si="203"/>
        <v>1.4638929889859074</v>
      </c>
      <c r="N3534" s="133">
        <f>1000*0.0291</f>
        <v>29.1</v>
      </c>
      <c r="O3534" s="179" t="s">
        <v>6641</v>
      </c>
      <c r="P3534" s="108">
        <v>60</v>
      </c>
      <c r="Q3534" s="80" t="s">
        <v>6640</v>
      </c>
    </row>
    <row r="3535" spans="1:17">
      <c r="A3535" s="213" t="s">
        <v>2594</v>
      </c>
      <c r="B3535" s="141" t="s">
        <v>6062</v>
      </c>
      <c r="C3535" s="121" t="s">
        <v>3817</v>
      </c>
      <c r="D3535" s="156"/>
      <c r="E3535" s="121"/>
      <c r="F3535" s="121"/>
      <c r="G3535" s="121" t="s">
        <v>3618</v>
      </c>
      <c r="H3535" s="121" t="s">
        <v>3638</v>
      </c>
      <c r="I3535" s="121" t="s">
        <v>6001</v>
      </c>
      <c r="J3535" s="121" t="s">
        <v>5438</v>
      </c>
      <c r="K3535" s="156"/>
      <c r="L3535" s="135" t="str">
        <f t="shared" si="202"/>
        <v>Chiropodomys calamianensis</v>
      </c>
      <c r="M3535" s="133">
        <f t="shared" si="203"/>
        <v>1.6074550232146685</v>
      </c>
      <c r="N3535" s="133">
        <f>1000*0.0405</f>
        <v>40.5</v>
      </c>
      <c r="O3535" s="179" t="s">
        <v>3356</v>
      </c>
      <c r="P3535" s="108">
        <v>60</v>
      </c>
      <c r="Q3535" s="80"/>
    </row>
    <row r="3536" spans="1:17">
      <c r="A3536" s="213" t="s">
        <v>2594</v>
      </c>
      <c r="B3536" s="141" t="s">
        <v>2109</v>
      </c>
      <c r="C3536" s="121" t="s">
        <v>3817</v>
      </c>
      <c r="D3536" s="156"/>
      <c r="E3536" s="121"/>
      <c r="F3536" s="121"/>
      <c r="G3536" s="121" t="s">
        <v>3618</v>
      </c>
      <c r="H3536" s="121" t="s">
        <v>3638</v>
      </c>
      <c r="I3536" s="121" t="s">
        <v>6001</v>
      </c>
      <c r="J3536" s="121" t="s">
        <v>5838</v>
      </c>
      <c r="K3536" s="156"/>
      <c r="L3536" s="135" t="str">
        <f t="shared" si="202"/>
        <v>Chiropodomys major</v>
      </c>
      <c r="M3536" s="133">
        <f t="shared" si="203"/>
        <v>1.6232492903979006</v>
      </c>
      <c r="N3536" s="133">
        <v>42</v>
      </c>
      <c r="O3536" s="179" t="s">
        <v>3356</v>
      </c>
      <c r="P3536" s="108">
        <v>257</v>
      </c>
      <c r="Q3536" s="80"/>
    </row>
    <row r="3537" spans="1:18" ht="25.5">
      <c r="A3537" s="213" t="s">
        <v>2594</v>
      </c>
      <c r="B3537" s="141" t="s">
        <v>2170</v>
      </c>
      <c r="C3537" s="118" t="s">
        <v>3817</v>
      </c>
      <c r="D3537" s="141"/>
      <c r="E3537" s="118"/>
      <c r="F3537" s="118"/>
      <c r="G3537" s="118" t="s">
        <v>3618</v>
      </c>
      <c r="H3537" s="118" t="s">
        <v>3638</v>
      </c>
      <c r="I3537" s="118" t="s">
        <v>6424</v>
      </c>
      <c r="J3537" s="118" t="s">
        <v>6426</v>
      </c>
      <c r="K3537" s="141"/>
      <c r="L3537" s="135" t="str">
        <f t="shared" si="202"/>
        <v>Chiruromys vates</v>
      </c>
      <c r="M3537" s="133">
        <f t="shared" si="203"/>
        <v>1.658488381309017</v>
      </c>
      <c r="N3537" s="133">
        <f>AVERAGE(47.7, 43.4)</f>
        <v>45.55</v>
      </c>
      <c r="O3537" s="179" t="s">
        <v>6839</v>
      </c>
      <c r="P3537" s="108">
        <v>151</v>
      </c>
      <c r="Q3537" s="85"/>
    </row>
    <row r="3538" spans="1:18" ht="38.25">
      <c r="A3538" s="213" t="s">
        <v>2594</v>
      </c>
      <c r="B3538" s="141" t="s">
        <v>2170</v>
      </c>
      <c r="C3538" s="118" t="s">
        <v>3817</v>
      </c>
      <c r="D3538" s="141"/>
      <c r="E3538" s="118"/>
      <c r="F3538" s="118"/>
      <c r="G3538" s="118" t="s">
        <v>3618</v>
      </c>
      <c r="H3538" s="118" t="s">
        <v>3638</v>
      </c>
      <c r="I3538" s="118" t="s">
        <v>6424</v>
      </c>
      <c r="J3538" s="118" t="s">
        <v>7328</v>
      </c>
      <c r="K3538" s="141"/>
      <c r="L3538" s="135" t="str">
        <f t="shared" si="202"/>
        <v>Chiruromys lamia</v>
      </c>
      <c r="M3538" s="133">
        <f t="shared" si="203"/>
        <v>1.6739419986340878</v>
      </c>
      <c r="N3538" s="133">
        <f>AVERAGE(50.4, 44)</f>
        <v>47.2</v>
      </c>
      <c r="O3538" s="179" t="s">
        <v>7106</v>
      </c>
      <c r="P3538" s="108">
        <v>151</v>
      </c>
      <c r="Q3538" s="85" t="s">
        <v>7141</v>
      </c>
    </row>
    <row r="3539" spans="1:18" ht="25.5">
      <c r="A3539" s="213" t="s">
        <v>2594</v>
      </c>
      <c r="B3539" s="141" t="s">
        <v>1248</v>
      </c>
      <c r="C3539" s="118" t="s">
        <v>3817</v>
      </c>
      <c r="D3539" s="141"/>
      <c r="E3539" s="118"/>
      <c r="F3539" s="118"/>
      <c r="G3539" s="118" t="s">
        <v>3618</v>
      </c>
      <c r="H3539" s="118" t="s">
        <v>3638</v>
      </c>
      <c r="I3539" s="118" t="s">
        <v>6424</v>
      </c>
      <c r="J3539" s="118" t="s">
        <v>6425</v>
      </c>
      <c r="K3539" s="141"/>
      <c r="L3539" s="135" t="str">
        <f t="shared" si="202"/>
        <v>Chiruromys forbesi</v>
      </c>
      <c r="M3539" s="133">
        <f t="shared" si="203"/>
        <v>2.0218092770223399</v>
      </c>
      <c r="N3539" s="133">
        <f>(106+104.3)/2</f>
        <v>105.15</v>
      </c>
      <c r="O3539" s="179" t="s">
        <v>3356</v>
      </c>
      <c r="P3539" s="108">
        <v>110</v>
      </c>
      <c r="Q3539" s="80" t="s">
        <v>1512</v>
      </c>
    </row>
    <row r="3540" spans="1:18" ht="127.5">
      <c r="A3540" s="213" t="s">
        <v>2594</v>
      </c>
      <c r="B3540" s="141" t="s">
        <v>2170</v>
      </c>
      <c r="C3540" s="118" t="s">
        <v>3817</v>
      </c>
      <c r="D3540" s="141"/>
      <c r="E3540" s="118"/>
      <c r="F3540" s="118"/>
      <c r="G3540" s="118" t="s">
        <v>3618</v>
      </c>
      <c r="H3540" s="118" t="s">
        <v>3638</v>
      </c>
      <c r="I3540" s="118" t="s">
        <v>6424</v>
      </c>
      <c r="J3540" s="118" t="s">
        <v>6425</v>
      </c>
      <c r="K3540" s="141"/>
      <c r="L3540" s="135" t="str">
        <f t="shared" si="202"/>
        <v>Chiruromys forbesi</v>
      </c>
      <c r="M3540" s="133">
        <f t="shared" si="203"/>
        <v>2.0218092770223399</v>
      </c>
      <c r="N3540" s="133">
        <f>(106+104.3)/2</f>
        <v>105.15</v>
      </c>
      <c r="O3540" s="179" t="s">
        <v>7026</v>
      </c>
      <c r="P3540" s="108">
        <v>110</v>
      </c>
      <c r="Q3540" s="79" t="s">
        <v>7551</v>
      </c>
    </row>
    <row r="3541" spans="1:18">
      <c r="A3541" s="213" t="s">
        <v>2594</v>
      </c>
      <c r="B3541" s="141" t="s">
        <v>6062</v>
      </c>
      <c r="C3541" s="118" t="s">
        <v>3817</v>
      </c>
      <c r="D3541" s="141"/>
      <c r="E3541" s="118"/>
      <c r="F3541" s="118"/>
      <c r="G3541" s="118" t="s">
        <v>3618</v>
      </c>
      <c r="H3541" s="118" t="s">
        <v>3638</v>
      </c>
      <c r="I3541" s="118" t="s">
        <v>6600</v>
      </c>
      <c r="J3541" s="118" t="s">
        <v>5877</v>
      </c>
      <c r="K3541" s="141"/>
      <c r="L3541" s="135" t="str">
        <f t="shared" si="202"/>
        <v>Chrotomys mindorensis</v>
      </c>
      <c r="M3541" s="133">
        <v>-999</v>
      </c>
      <c r="N3541" s="133">
        <v>-999</v>
      </c>
      <c r="O3541" s="179" t="s">
        <v>3356</v>
      </c>
      <c r="P3541" s="108">
        <v>-999</v>
      </c>
      <c r="Q3541" s="80"/>
    </row>
    <row r="3542" spans="1:18">
      <c r="A3542" s="213" t="s">
        <v>2594</v>
      </c>
      <c r="B3542" s="141" t="s">
        <v>6062</v>
      </c>
      <c r="C3542" s="118" t="s">
        <v>3817</v>
      </c>
      <c r="D3542" s="141"/>
      <c r="E3542" s="118"/>
      <c r="F3542" s="118"/>
      <c r="G3542" s="118" t="s">
        <v>3618</v>
      </c>
      <c r="H3542" s="118" t="s">
        <v>3638</v>
      </c>
      <c r="I3542" s="118" t="s">
        <v>6600</v>
      </c>
      <c r="J3542" s="118" t="s">
        <v>6601</v>
      </c>
      <c r="K3542" s="141"/>
      <c r="L3542" s="135" t="str">
        <f t="shared" si="202"/>
        <v>Chrotomys gonzalesi</v>
      </c>
      <c r="M3542" s="133">
        <f>LOG(N3542)</f>
        <v>2.1467480136306398</v>
      </c>
      <c r="N3542" s="133">
        <v>140.19999999999999</v>
      </c>
      <c r="O3542" s="179" t="s">
        <v>6882</v>
      </c>
      <c r="P3542" s="108">
        <v>121</v>
      </c>
      <c r="Q3542" s="94" t="s">
        <v>7071</v>
      </c>
    </row>
    <row r="3543" spans="1:18">
      <c r="A3543" s="213" t="s">
        <v>2594</v>
      </c>
      <c r="B3543" s="141" t="s">
        <v>6062</v>
      </c>
      <c r="C3543" s="118" t="s">
        <v>3817</v>
      </c>
      <c r="D3543" s="141"/>
      <c r="E3543" s="118"/>
      <c r="F3543" s="118"/>
      <c r="G3543" s="118" t="s">
        <v>3618</v>
      </c>
      <c r="H3543" s="118" t="s">
        <v>3638</v>
      </c>
      <c r="I3543" s="118" t="s">
        <v>6600</v>
      </c>
      <c r="J3543" s="118" t="s">
        <v>5495</v>
      </c>
      <c r="K3543" s="141"/>
      <c r="L3543" s="135" t="str">
        <f t="shared" si="202"/>
        <v>Chrotomys whiteheadi</v>
      </c>
      <c r="M3543" s="133">
        <f>LOG(N3543)</f>
        <v>2.1481911962420113</v>
      </c>
      <c r="N3543" s="133">
        <f>1000*AVERAGE(0.141, 0.145, 0.136)</f>
        <v>140.66666666666666</v>
      </c>
      <c r="O3543" s="179" t="s">
        <v>6882</v>
      </c>
      <c r="P3543" s="108">
        <v>60</v>
      </c>
      <c r="Q3543" s="80" t="s">
        <v>6988</v>
      </c>
    </row>
    <row r="3544" spans="1:18">
      <c r="A3544" s="213" t="s">
        <v>2594</v>
      </c>
      <c r="B3544" s="141" t="s">
        <v>2243</v>
      </c>
      <c r="C3544" s="118" t="s">
        <v>3817</v>
      </c>
      <c r="D3544" s="141"/>
      <c r="E3544" s="118"/>
      <c r="F3544" s="118"/>
      <c r="G3544" s="118" t="s">
        <v>3618</v>
      </c>
      <c r="H3544" s="118" t="s">
        <v>3638</v>
      </c>
      <c r="I3544" s="118" t="s">
        <v>4221</v>
      </c>
      <c r="J3544" s="118" t="s">
        <v>6480</v>
      </c>
      <c r="K3544" s="141"/>
      <c r="L3544" s="135" t="str">
        <f t="shared" si="202"/>
        <v>Clethrionomys sikotanensis</v>
      </c>
      <c r="M3544" s="133">
        <v>-999</v>
      </c>
      <c r="N3544" s="133">
        <v>-999</v>
      </c>
      <c r="O3544" s="179" t="s">
        <v>6882</v>
      </c>
      <c r="P3544" s="108">
        <v>-999</v>
      </c>
      <c r="Q3544" s="80" t="s">
        <v>6642</v>
      </c>
    </row>
    <row r="3545" spans="1:18" ht="89.25">
      <c r="A3545" s="213" t="s">
        <v>2594</v>
      </c>
      <c r="B3545" s="141" t="s">
        <v>2170</v>
      </c>
      <c r="C3545" s="118" t="s">
        <v>3817</v>
      </c>
      <c r="D3545" s="141"/>
      <c r="E3545" s="118"/>
      <c r="F3545" s="118"/>
      <c r="G3545" s="118" t="s">
        <v>3618</v>
      </c>
      <c r="H3545" s="118" t="s">
        <v>3638</v>
      </c>
      <c r="I3545" s="118" t="s">
        <v>6602</v>
      </c>
      <c r="J3545" s="118" t="s">
        <v>6603</v>
      </c>
      <c r="K3545" s="141"/>
      <c r="L3545" s="135" t="str">
        <f t="shared" si="202"/>
        <v>Coccymys albidens</v>
      </c>
      <c r="M3545" s="133">
        <v>-999</v>
      </c>
      <c r="N3545" s="133">
        <v>-999</v>
      </c>
      <c r="O3545" s="179" t="s">
        <v>6882</v>
      </c>
      <c r="P3545" s="108">
        <v>151</v>
      </c>
      <c r="Q3545" s="85" t="s">
        <v>6640</v>
      </c>
      <c r="R3545" s="79" t="s">
        <v>6926</v>
      </c>
    </row>
    <row r="3546" spans="1:18" ht="25.5">
      <c r="A3546" s="213" t="s">
        <v>2594</v>
      </c>
      <c r="B3546" s="141" t="s">
        <v>2170</v>
      </c>
      <c r="C3546" s="118" t="s">
        <v>3817</v>
      </c>
      <c r="D3546" s="141"/>
      <c r="E3546" s="118"/>
      <c r="F3546" s="118"/>
      <c r="G3546" s="118" t="s">
        <v>3618</v>
      </c>
      <c r="H3546" s="118" t="s">
        <v>3638</v>
      </c>
      <c r="I3546" s="118" t="s">
        <v>6602</v>
      </c>
      <c r="J3546" s="118" t="s">
        <v>6604</v>
      </c>
      <c r="K3546" s="141"/>
      <c r="L3546" s="135" t="str">
        <f t="shared" si="202"/>
        <v>Coccymys ruemmleri</v>
      </c>
      <c r="M3546" s="133">
        <f>LOG(N3546)</f>
        <v>1.4727564493172123</v>
      </c>
      <c r="N3546" s="133">
        <f>AVERAGE(33.4, 26)</f>
        <v>29.7</v>
      </c>
      <c r="O3546" s="179" t="s">
        <v>7057</v>
      </c>
      <c r="P3546" s="108">
        <v>151</v>
      </c>
      <c r="Q3546" s="85"/>
    </row>
    <row r="3547" spans="1:18" ht="51">
      <c r="A3547" s="212" t="s">
        <v>2594</v>
      </c>
      <c r="B3547" s="141" t="s">
        <v>2170</v>
      </c>
      <c r="C3547" s="110" t="s">
        <v>3817</v>
      </c>
      <c r="D3547" s="145"/>
      <c r="E3547" s="110"/>
      <c r="F3547" s="110"/>
      <c r="G3547" s="110" t="s">
        <v>3618</v>
      </c>
      <c r="H3547" s="110" t="s">
        <v>3638</v>
      </c>
      <c r="I3547" s="110" t="s">
        <v>3737</v>
      </c>
      <c r="J3547" s="110" t="s">
        <v>3156</v>
      </c>
      <c r="K3547" s="145"/>
      <c r="L3547" s="135" t="str">
        <f t="shared" si="202"/>
        <v>Conilurus penicillatus</v>
      </c>
      <c r="M3547" s="133">
        <f>LOG(N3547)</f>
        <v>2.1861083798132053</v>
      </c>
      <c r="N3547" s="146">
        <v>153.5</v>
      </c>
      <c r="O3547" s="189" t="s">
        <v>5218</v>
      </c>
      <c r="P3547" s="115">
        <v>59</v>
      </c>
      <c r="Q3547" s="82" t="s">
        <v>7021</v>
      </c>
    </row>
    <row r="3548" spans="1:18">
      <c r="A3548" s="213" t="s">
        <v>2594</v>
      </c>
      <c r="B3548" s="141" t="s">
        <v>2579</v>
      </c>
      <c r="C3548" s="118" t="s">
        <v>3817</v>
      </c>
      <c r="D3548" s="141"/>
      <c r="E3548" s="118"/>
      <c r="F3548" s="118"/>
      <c r="G3548" s="118" t="s">
        <v>3618</v>
      </c>
      <c r="H3548" s="121" t="s">
        <v>3638</v>
      </c>
      <c r="I3548" s="118" t="s">
        <v>6605</v>
      </c>
      <c r="J3548" s="118" t="s">
        <v>6606</v>
      </c>
      <c r="K3548" s="141"/>
      <c r="L3548" s="135" t="str">
        <f t="shared" si="202"/>
        <v>Coryphomys buhleri</v>
      </c>
      <c r="M3548" s="133">
        <v>-999</v>
      </c>
      <c r="N3548" s="133">
        <v>-999</v>
      </c>
      <c r="O3548" s="179" t="s">
        <v>3356</v>
      </c>
      <c r="P3548" s="108">
        <v>-999</v>
      </c>
      <c r="Q3548" s="80"/>
    </row>
    <row r="3549" spans="1:18">
      <c r="A3549" s="213" t="s">
        <v>2594</v>
      </c>
      <c r="B3549" s="141" t="s">
        <v>6062</v>
      </c>
      <c r="C3549" s="118" t="s">
        <v>3817</v>
      </c>
      <c r="D3549" s="141"/>
      <c r="E3549" s="118"/>
      <c r="F3549" s="118"/>
      <c r="G3549" s="118" t="s">
        <v>3618</v>
      </c>
      <c r="H3549" s="118" t="s">
        <v>3638</v>
      </c>
      <c r="I3549" s="118" t="s">
        <v>6608</v>
      </c>
      <c r="J3549" s="118" t="s">
        <v>3789</v>
      </c>
      <c r="K3549" s="141"/>
      <c r="L3549" s="135" t="str">
        <f t="shared" si="202"/>
        <v>Crateromys australis</v>
      </c>
      <c r="M3549" s="133">
        <f>LOG(N3549)</f>
        <v>2.6483600109809315</v>
      </c>
      <c r="N3549" s="133">
        <v>445</v>
      </c>
      <c r="O3549" s="179" t="s">
        <v>3356</v>
      </c>
      <c r="P3549" s="108">
        <v>60</v>
      </c>
      <c r="Q3549" s="80"/>
    </row>
    <row r="3550" spans="1:18">
      <c r="A3550" s="213" t="s">
        <v>2594</v>
      </c>
      <c r="B3550" s="141" t="s">
        <v>6062</v>
      </c>
      <c r="C3550" s="118" t="s">
        <v>3817</v>
      </c>
      <c r="D3550" s="141"/>
      <c r="E3550" s="118"/>
      <c r="F3550" s="118"/>
      <c r="G3550" s="118" t="s">
        <v>3618</v>
      </c>
      <c r="H3550" s="118" t="s">
        <v>3638</v>
      </c>
      <c r="I3550" s="118" t="s">
        <v>6608</v>
      </c>
      <c r="J3550" s="118" t="s">
        <v>3289</v>
      </c>
      <c r="K3550" s="141"/>
      <c r="L3550" s="135" t="str">
        <f t="shared" si="202"/>
        <v>Crateromys schadenbergi</v>
      </c>
      <c r="M3550" s="133">
        <f>LOG(N3550)</f>
        <v>3.0211892990699383</v>
      </c>
      <c r="N3550" s="133">
        <f>1000*1.05</f>
        <v>1050</v>
      </c>
      <c r="O3550" s="179" t="s">
        <v>3356</v>
      </c>
      <c r="P3550" s="115">
        <v>60</v>
      </c>
      <c r="Q3550" s="80"/>
    </row>
    <row r="3551" spans="1:18">
      <c r="A3551" s="213" t="s">
        <v>2594</v>
      </c>
      <c r="B3551" s="141" t="s">
        <v>2170</v>
      </c>
      <c r="C3551" s="118" t="s">
        <v>3817</v>
      </c>
      <c r="D3551" s="141"/>
      <c r="E3551" s="118"/>
      <c r="F3551" s="118"/>
      <c r="G3551" s="118" t="s">
        <v>3618</v>
      </c>
      <c r="H3551" s="118" t="s">
        <v>3638</v>
      </c>
      <c r="I3551" s="118" t="s">
        <v>3122</v>
      </c>
      <c r="J3551" s="118" t="s">
        <v>3125</v>
      </c>
      <c r="K3551" s="141"/>
      <c r="L3551" s="135" t="str">
        <f t="shared" si="202"/>
        <v>Crossomys moncktoni</v>
      </c>
      <c r="M3551" s="133">
        <f>LOG(N3551)</f>
        <v>2.2174839442139063</v>
      </c>
      <c r="N3551" s="133">
        <v>165</v>
      </c>
      <c r="O3551" s="179" t="s">
        <v>6551</v>
      </c>
      <c r="P3551" s="108">
        <v>151</v>
      </c>
      <c r="Q3551" s="85"/>
    </row>
    <row r="3552" spans="1:18">
      <c r="A3552" s="213" t="s">
        <v>2594</v>
      </c>
      <c r="B3552" s="141" t="s">
        <v>6062</v>
      </c>
      <c r="C3552" s="118" t="s">
        <v>3817</v>
      </c>
      <c r="D3552" s="141"/>
      <c r="E3552" s="118"/>
      <c r="F3552" s="118"/>
      <c r="G3552" s="118" t="s">
        <v>3618</v>
      </c>
      <c r="H3552" s="118" t="s">
        <v>3638</v>
      </c>
      <c r="I3552" s="118" t="s">
        <v>6445</v>
      </c>
      <c r="J3552" s="118" t="s">
        <v>6254</v>
      </c>
      <c r="K3552" s="141"/>
      <c r="L3552" s="135" t="str">
        <f t="shared" si="202"/>
        <v>Crunomys rabori</v>
      </c>
      <c r="M3552" s="133">
        <v>-999</v>
      </c>
      <c r="N3552" s="133">
        <v>-999</v>
      </c>
      <c r="O3552" s="179" t="s">
        <v>3356</v>
      </c>
      <c r="P3552" s="108">
        <v>-999</v>
      </c>
      <c r="Q3552" s="80"/>
    </row>
    <row r="3553" spans="1:18" ht="12" customHeight="1">
      <c r="A3553" s="213" t="s">
        <v>2594</v>
      </c>
      <c r="B3553" s="141" t="s">
        <v>6062</v>
      </c>
      <c r="C3553" s="118" t="s">
        <v>3817</v>
      </c>
      <c r="D3553" s="141"/>
      <c r="E3553" s="118"/>
      <c r="F3553" s="118"/>
      <c r="G3553" s="118" t="s">
        <v>3618</v>
      </c>
      <c r="H3553" s="118" t="s">
        <v>3638</v>
      </c>
      <c r="I3553" s="118" t="s">
        <v>6445</v>
      </c>
      <c r="J3553" s="118" t="s">
        <v>3782</v>
      </c>
      <c r="K3553" s="141"/>
      <c r="L3553" s="135" t="str">
        <f t="shared" si="202"/>
        <v>Crunomys fallax</v>
      </c>
      <c r="M3553" s="133">
        <f>LOG(N3553)</f>
        <v>1.5740312677277188</v>
      </c>
      <c r="N3553" s="133">
        <f>1000*0.0375</f>
        <v>37.5</v>
      </c>
      <c r="O3553" s="179" t="s">
        <v>6641</v>
      </c>
      <c r="P3553" s="108">
        <v>60</v>
      </c>
      <c r="Q3553" s="88" t="s">
        <v>7071</v>
      </c>
    </row>
    <row r="3554" spans="1:18">
      <c r="A3554" s="213" t="s">
        <v>2594</v>
      </c>
      <c r="B3554" s="141" t="s">
        <v>6062</v>
      </c>
      <c r="C3554" s="121" t="s">
        <v>3817</v>
      </c>
      <c r="D3554" s="156"/>
      <c r="E3554" s="121"/>
      <c r="F3554" s="121"/>
      <c r="G3554" s="121" t="s">
        <v>3618</v>
      </c>
      <c r="H3554" s="121" t="s">
        <v>3638</v>
      </c>
      <c r="I3554" s="121" t="s">
        <v>6445</v>
      </c>
      <c r="J3554" s="121" t="s">
        <v>3127</v>
      </c>
      <c r="K3554" s="156"/>
      <c r="L3554" s="135" t="str">
        <f t="shared" si="202"/>
        <v>Crunomys melanius</v>
      </c>
      <c r="M3554" s="133">
        <f>LOG(N3554)</f>
        <v>1.6283889300503116</v>
      </c>
      <c r="N3554" s="133">
        <f>1000*0.0425</f>
        <v>42.5</v>
      </c>
      <c r="O3554" s="179" t="s">
        <v>3356</v>
      </c>
      <c r="P3554" s="108">
        <v>60</v>
      </c>
      <c r="Q3554" s="80"/>
    </row>
    <row r="3555" spans="1:18">
      <c r="A3555" s="213" t="s">
        <v>2594</v>
      </c>
      <c r="B3555" s="141" t="s">
        <v>2621</v>
      </c>
      <c r="C3555" s="118" t="s">
        <v>3817</v>
      </c>
      <c r="D3555" s="141"/>
      <c r="E3555" s="118"/>
      <c r="F3555" s="118"/>
      <c r="G3555" s="118" t="s">
        <v>3618</v>
      </c>
      <c r="H3555" s="118" t="s">
        <v>3638</v>
      </c>
      <c r="I3555" s="118" t="s">
        <v>6445</v>
      </c>
      <c r="J3555" s="118" t="s">
        <v>6485</v>
      </c>
      <c r="K3555" s="141"/>
      <c r="L3555" s="135" t="str">
        <f t="shared" si="202"/>
        <v>Crunomys celebensis</v>
      </c>
      <c r="M3555" s="133">
        <f>LOG(N3555)</f>
        <v>1.7403626894942439</v>
      </c>
      <c r="N3555" s="133">
        <f>1000*AVERAGE(0.055, 0.055)</f>
        <v>55</v>
      </c>
      <c r="O3555" s="179" t="s">
        <v>6641</v>
      </c>
      <c r="P3555" s="108">
        <v>60</v>
      </c>
      <c r="Q3555" s="80" t="s">
        <v>6640</v>
      </c>
    </row>
    <row r="3556" spans="1:18" ht="12" customHeight="1">
      <c r="A3556" s="213" t="s">
        <v>2594</v>
      </c>
      <c r="B3556" s="141" t="s">
        <v>2155</v>
      </c>
      <c r="C3556" s="118" t="s">
        <v>3817</v>
      </c>
      <c r="D3556" s="141"/>
      <c r="E3556" s="118"/>
      <c r="F3556" s="118"/>
      <c r="G3556" s="118" t="s">
        <v>3618</v>
      </c>
      <c r="H3556" s="118" t="s">
        <v>3638</v>
      </c>
      <c r="I3556" s="118" t="s">
        <v>4408</v>
      </c>
      <c r="J3556" s="118" t="s">
        <v>6481</v>
      </c>
      <c r="K3556" s="141"/>
      <c r="L3556" s="135" t="str">
        <f t="shared" si="202"/>
        <v>Dicrostonyx exsul</v>
      </c>
      <c r="M3556" s="133">
        <v>-999</v>
      </c>
      <c r="N3556" s="133">
        <v>-999</v>
      </c>
      <c r="O3556" s="179" t="s">
        <v>3356</v>
      </c>
      <c r="P3556" s="108">
        <v>-999</v>
      </c>
      <c r="Q3556" s="88" t="s">
        <v>6987</v>
      </c>
    </row>
    <row r="3557" spans="1:18" ht="24" customHeight="1">
      <c r="A3557" s="213" t="s">
        <v>2594</v>
      </c>
      <c r="B3557" s="141" t="s">
        <v>2293</v>
      </c>
      <c r="C3557" s="121" t="s">
        <v>3817</v>
      </c>
      <c r="D3557" s="156"/>
      <c r="E3557" s="121"/>
      <c r="F3557" s="121"/>
      <c r="G3557" s="121" t="s">
        <v>3618</v>
      </c>
      <c r="H3557" s="121" t="s">
        <v>3638</v>
      </c>
      <c r="I3557" s="121" t="s">
        <v>4408</v>
      </c>
      <c r="J3557" s="121" t="s">
        <v>5998</v>
      </c>
      <c r="K3557" s="156"/>
      <c r="L3557" s="135" t="str">
        <f t="shared" si="202"/>
        <v>Dicrostonyx kilangmiutak</v>
      </c>
      <c r="M3557" s="133">
        <v>-999</v>
      </c>
      <c r="N3557" s="143">
        <v>-999</v>
      </c>
      <c r="O3557" s="179" t="s">
        <v>3356</v>
      </c>
      <c r="P3557" s="108">
        <v>-999</v>
      </c>
      <c r="Q3557" s="88"/>
      <c r="R3557" s="89"/>
    </row>
    <row r="3558" spans="1:18" ht="12" customHeight="1">
      <c r="A3558" s="213" t="s">
        <v>2594</v>
      </c>
      <c r="B3558" s="141" t="s">
        <v>2512</v>
      </c>
      <c r="C3558" s="118" t="s">
        <v>3817</v>
      </c>
      <c r="D3558" s="141"/>
      <c r="E3558" s="118"/>
      <c r="F3558" s="118"/>
      <c r="G3558" s="118" t="s">
        <v>3618</v>
      </c>
      <c r="H3558" s="118" t="s">
        <v>3638</v>
      </c>
      <c r="I3558" s="118" t="s">
        <v>4408</v>
      </c>
      <c r="J3558" s="118" t="s">
        <v>6490</v>
      </c>
      <c r="K3558" s="141"/>
      <c r="L3558" s="135" t="str">
        <f t="shared" si="202"/>
        <v>Dicrostonyx unalascensis</v>
      </c>
      <c r="M3558" s="133">
        <v>-999</v>
      </c>
      <c r="N3558" s="133">
        <v>-999</v>
      </c>
      <c r="O3558" s="179" t="s">
        <v>3356</v>
      </c>
      <c r="P3558" s="108">
        <v>-999</v>
      </c>
      <c r="Q3558" s="88" t="s">
        <v>6987</v>
      </c>
    </row>
    <row r="3559" spans="1:18" ht="96" customHeight="1">
      <c r="A3559" s="213" t="s">
        <v>2594</v>
      </c>
      <c r="B3559" s="141" t="s">
        <v>2156</v>
      </c>
      <c r="C3559" s="118" t="s">
        <v>3817</v>
      </c>
      <c r="D3559" s="141"/>
      <c r="E3559" s="118"/>
      <c r="F3559" s="118"/>
      <c r="G3559" s="118" t="s">
        <v>3618</v>
      </c>
      <c r="H3559" s="121" t="s">
        <v>3638</v>
      </c>
      <c r="I3559" s="118" t="s">
        <v>4408</v>
      </c>
      <c r="J3559" s="118" t="s">
        <v>8132</v>
      </c>
      <c r="K3559" s="141"/>
      <c r="L3559" s="135" t="str">
        <f t="shared" si="202"/>
        <v>Dicrostonyx vinogradovi</v>
      </c>
      <c r="M3559" s="133">
        <v>-999</v>
      </c>
      <c r="N3559" s="133">
        <v>-999</v>
      </c>
      <c r="O3559" s="179" t="s">
        <v>8149</v>
      </c>
      <c r="P3559" s="108">
        <v>-999</v>
      </c>
      <c r="Q3559" s="88" t="s">
        <v>7071</v>
      </c>
    </row>
    <row r="3560" spans="1:18" ht="12" customHeight="1">
      <c r="A3560" s="213" t="s">
        <v>2594</v>
      </c>
      <c r="B3560" s="141" t="s">
        <v>6002</v>
      </c>
      <c r="C3560" s="118" t="s">
        <v>3817</v>
      </c>
      <c r="D3560" s="141"/>
      <c r="E3560" s="118"/>
      <c r="F3560" s="118"/>
      <c r="G3560" s="118" t="s">
        <v>3618</v>
      </c>
      <c r="H3560" s="121" t="s">
        <v>3638</v>
      </c>
      <c r="I3560" s="118" t="s">
        <v>8134</v>
      </c>
      <c r="J3560" s="118" t="s">
        <v>7329</v>
      </c>
      <c r="K3560" s="141"/>
      <c r="L3560" s="135" t="str">
        <f t="shared" si="202"/>
        <v>Diplothrix legatus</v>
      </c>
      <c r="M3560" s="133">
        <v>-999</v>
      </c>
      <c r="N3560" s="133">
        <v>-999</v>
      </c>
      <c r="O3560" s="179" t="s">
        <v>6641</v>
      </c>
      <c r="P3560" s="108">
        <v>-999</v>
      </c>
      <c r="Q3560" s="88" t="s">
        <v>6640</v>
      </c>
    </row>
    <row r="3561" spans="1:18">
      <c r="A3561" s="213" t="s">
        <v>2594</v>
      </c>
      <c r="B3561" s="141" t="s">
        <v>2621</v>
      </c>
      <c r="C3561" s="118" t="s">
        <v>3817</v>
      </c>
      <c r="D3561" s="141"/>
      <c r="E3561" s="118"/>
      <c r="F3561" s="118"/>
      <c r="G3561" s="118" t="s">
        <v>3618</v>
      </c>
      <c r="H3561" s="118" t="s">
        <v>3638</v>
      </c>
      <c r="I3561" s="118" t="s">
        <v>8135</v>
      </c>
      <c r="J3561" s="118" t="s">
        <v>2556</v>
      </c>
      <c r="K3561" s="141"/>
      <c r="L3561" s="135" t="str">
        <f t="shared" si="202"/>
        <v>Echiothrix leucura</v>
      </c>
      <c r="M3561" s="133">
        <v>-999</v>
      </c>
      <c r="N3561" s="133">
        <v>-999</v>
      </c>
      <c r="O3561" s="179" t="s">
        <v>3356</v>
      </c>
      <c r="P3561" s="108">
        <v>-999</v>
      </c>
      <c r="Q3561" s="80"/>
    </row>
    <row r="3562" spans="1:18">
      <c r="A3562" s="213" t="s">
        <v>2594</v>
      </c>
      <c r="B3562" s="141" t="s">
        <v>2593</v>
      </c>
      <c r="C3562" s="118" t="s">
        <v>3817</v>
      </c>
      <c r="D3562" s="141"/>
      <c r="E3562" s="118"/>
      <c r="F3562" s="118"/>
      <c r="G3562" s="118" t="s">
        <v>3618</v>
      </c>
      <c r="H3562" s="118" t="s">
        <v>3638</v>
      </c>
      <c r="I3562" s="118" t="s">
        <v>3459</v>
      </c>
      <c r="J3562" s="118" t="s">
        <v>3078</v>
      </c>
      <c r="K3562" s="141"/>
      <c r="L3562" s="135" t="str">
        <f t="shared" si="202"/>
        <v>Eliurus minor</v>
      </c>
      <c r="M3562" s="133">
        <f t="shared" ref="M3562:M3570" si="204">LOG(N3562)</f>
        <v>1.5740312677277188</v>
      </c>
      <c r="N3562" s="133">
        <v>37.5</v>
      </c>
      <c r="O3562" s="179" t="s">
        <v>6295</v>
      </c>
      <c r="P3562" s="108">
        <v>150</v>
      </c>
      <c r="Q3562" s="85"/>
    </row>
    <row r="3563" spans="1:18">
      <c r="A3563" s="213" t="s">
        <v>2594</v>
      </c>
      <c r="B3563" s="141" t="s">
        <v>2593</v>
      </c>
      <c r="C3563" s="118" t="s">
        <v>3817</v>
      </c>
      <c r="D3563" s="141"/>
      <c r="E3563" s="118"/>
      <c r="F3563" s="118"/>
      <c r="G3563" s="118" t="s">
        <v>3618</v>
      </c>
      <c r="H3563" s="118" t="s">
        <v>3638</v>
      </c>
      <c r="I3563" s="118" t="s">
        <v>3459</v>
      </c>
      <c r="J3563" s="118" t="s">
        <v>3460</v>
      </c>
      <c r="K3563" s="141"/>
      <c r="L3563" s="135" t="str">
        <f t="shared" si="202"/>
        <v>Eliurus myoxinus</v>
      </c>
      <c r="M3563" s="133">
        <f t="shared" si="204"/>
        <v>1.8450980400142569</v>
      </c>
      <c r="N3563" s="133">
        <v>70</v>
      </c>
      <c r="O3563" s="179" t="s">
        <v>6193</v>
      </c>
      <c r="P3563" s="108">
        <v>150</v>
      </c>
      <c r="Q3563" s="85"/>
    </row>
    <row r="3564" spans="1:18" ht="51">
      <c r="A3564" s="213" t="s">
        <v>2594</v>
      </c>
      <c r="B3564" s="141" t="s">
        <v>2593</v>
      </c>
      <c r="C3564" s="118" t="s">
        <v>3817</v>
      </c>
      <c r="D3564" s="141"/>
      <c r="E3564" s="118"/>
      <c r="F3564" s="118"/>
      <c r="G3564" s="118" t="s">
        <v>3618</v>
      </c>
      <c r="H3564" s="118" t="s">
        <v>3638</v>
      </c>
      <c r="I3564" s="118" t="s">
        <v>3459</v>
      </c>
      <c r="J3564" s="118" t="s">
        <v>3073</v>
      </c>
      <c r="K3564" s="141"/>
      <c r="L3564" s="135" t="str">
        <f t="shared" si="202"/>
        <v>Eliurus petteri</v>
      </c>
      <c r="M3564" s="133">
        <f t="shared" si="204"/>
        <v>1.8750612633917001</v>
      </c>
      <c r="N3564" s="133">
        <v>75</v>
      </c>
      <c r="O3564" s="179"/>
      <c r="P3564" s="108">
        <v>150</v>
      </c>
      <c r="Q3564" s="85" t="s">
        <v>6152</v>
      </c>
    </row>
    <row r="3565" spans="1:18">
      <c r="A3565" s="213" t="s">
        <v>2594</v>
      </c>
      <c r="B3565" s="141" t="s">
        <v>2593</v>
      </c>
      <c r="C3565" s="118" t="s">
        <v>3817</v>
      </c>
      <c r="D3565" s="141"/>
      <c r="E3565" s="118"/>
      <c r="F3565" s="118"/>
      <c r="G3565" s="118" t="s">
        <v>3618</v>
      </c>
      <c r="H3565" s="118" t="s">
        <v>3638</v>
      </c>
      <c r="I3565" s="118" t="s">
        <v>3459</v>
      </c>
      <c r="J3565" s="118" t="s">
        <v>3655</v>
      </c>
      <c r="K3565" s="141"/>
      <c r="L3565" s="135" t="str">
        <f t="shared" si="202"/>
        <v>Eliurus webbi</v>
      </c>
      <c r="M3565" s="133">
        <f t="shared" si="204"/>
        <v>1.8750612633917001</v>
      </c>
      <c r="N3565" s="133">
        <v>75</v>
      </c>
      <c r="O3565" s="190" t="s">
        <v>6641</v>
      </c>
      <c r="P3565" s="108">
        <v>150</v>
      </c>
      <c r="Q3565" s="85" t="s">
        <v>6642</v>
      </c>
    </row>
    <row r="3566" spans="1:18" ht="38.25">
      <c r="A3566" s="213" t="s">
        <v>2594</v>
      </c>
      <c r="B3566" s="141" t="s">
        <v>2593</v>
      </c>
      <c r="C3566" s="118" t="s">
        <v>3817</v>
      </c>
      <c r="D3566" s="141"/>
      <c r="E3566" s="118"/>
      <c r="F3566" s="118"/>
      <c r="G3566" s="118" t="s">
        <v>3618</v>
      </c>
      <c r="H3566" s="118" t="s">
        <v>3638</v>
      </c>
      <c r="I3566" s="118" t="s">
        <v>3459</v>
      </c>
      <c r="J3566" s="118" t="s">
        <v>3461</v>
      </c>
      <c r="K3566" s="141"/>
      <c r="L3566" s="135" t="str">
        <f t="shared" si="202"/>
        <v>Eliurus tanala</v>
      </c>
      <c r="M3566" s="133">
        <f t="shared" si="204"/>
        <v>1.954242509439325</v>
      </c>
      <c r="N3566" s="133">
        <v>90</v>
      </c>
      <c r="O3566" s="179" t="s">
        <v>2708</v>
      </c>
      <c r="P3566" s="108">
        <v>150</v>
      </c>
      <c r="Q3566" s="85"/>
    </row>
    <row r="3567" spans="1:18" ht="51">
      <c r="A3567" s="213" t="s">
        <v>2594</v>
      </c>
      <c r="B3567" s="141" t="s">
        <v>2593</v>
      </c>
      <c r="C3567" s="118" t="s">
        <v>3817</v>
      </c>
      <c r="D3567" s="141"/>
      <c r="E3567" s="118"/>
      <c r="F3567" s="118"/>
      <c r="G3567" s="118" t="s">
        <v>3618</v>
      </c>
      <c r="H3567" s="118" t="s">
        <v>3638</v>
      </c>
      <c r="I3567" s="118" t="s">
        <v>3459</v>
      </c>
      <c r="J3567" s="118" t="s">
        <v>8200</v>
      </c>
      <c r="K3567" s="141"/>
      <c r="L3567" s="135" t="str">
        <f t="shared" si="202"/>
        <v>Eliurus ellermani</v>
      </c>
      <c r="M3567" s="133">
        <f t="shared" si="204"/>
        <v>2</v>
      </c>
      <c r="N3567" s="133">
        <v>100</v>
      </c>
      <c r="O3567" s="179" t="s">
        <v>6151</v>
      </c>
      <c r="P3567" s="108">
        <v>150</v>
      </c>
      <c r="Q3567" s="85" t="s">
        <v>6152</v>
      </c>
    </row>
    <row r="3568" spans="1:18">
      <c r="A3568" s="213" t="s">
        <v>2594</v>
      </c>
      <c r="B3568" s="141" t="s">
        <v>2593</v>
      </c>
      <c r="C3568" s="118" t="s">
        <v>3817</v>
      </c>
      <c r="D3568" s="141"/>
      <c r="E3568" s="118"/>
      <c r="F3568" s="118"/>
      <c r="G3568" s="118" t="s">
        <v>3618</v>
      </c>
      <c r="H3568" s="118" t="s">
        <v>3638</v>
      </c>
      <c r="I3568" s="118" t="s">
        <v>3459</v>
      </c>
      <c r="J3568" s="118" t="s">
        <v>5475</v>
      </c>
      <c r="K3568" s="141"/>
      <c r="L3568" s="135" t="str">
        <f t="shared" si="202"/>
        <v>Eliurus majori</v>
      </c>
      <c r="M3568" s="133">
        <f t="shared" si="204"/>
        <v>2</v>
      </c>
      <c r="N3568" s="133">
        <v>100</v>
      </c>
      <c r="O3568" s="190" t="s">
        <v>6641</v>
      </c>
      <c r="P3568" s="108">
        <v>150</v>
      </c>
      <c r="Q3568" s="85" t="s">
        <v>6640</v>
      </c>
    </row>
    <row r="3569" spans="1:19">
      <c r="A3569" s="213" t="s">
        <v>2594</v>
      </c>
      <c r="B3569" s="141" t="s">
        <v>2593</v>
      </c>
      <c r="C3569" s="118" t="s">
        <v>3817</v>
      </c>
      <c r="D3569" s="141"/>
      <c r="E3569" s="118"/>
      <c r="F3569" s="118"/>
      <c r="G3569" s="118" t="s">
        <v>3618</v>
      </c>
      <c r="H3569" s="118" t="s">
        <v>3638</v>
      </c>
      <c r="I3569" s="118" t="s">
        <v>3459</v>
      </c>
      <c r="J3569" s="118" t="s">
        <v>3156</v>
      </c>
      <c r="K3569" s="141"/>
      <c r="L3569" s="135" t="str">
        <f t="shared" si="202"/>
        <v>Eliurus penicillatus</v>
      </c>
      <c r="M3569" s="133">
        <f t="shared" si="204"/>
        <v>2</v>
      </c>
      <c r="N3569" s="133">
        <v>100</v>
      </c>
      <c r="O3569" s="190" t="s">
        <v>6641</v>
      </c>
      <c r="P3569" s="108">
        <v>150</v>
      </c>
      <c r="Q3569" s="85" t="s">
        <v>7071</v>
      </c>
    </row>
    <row r="3570" spans="1:19">
      <c r="A3570" s="217" t="s">
        <v>2594</v>
      </c>
      <c r="B3570" s="141" t="s">
        <v>2112</v>
      </c>
      <c r="C3570" s="118" t="s">
        <v>3817</v>
      </c>
      <c r="D3570" s="141"/>
      <c r="E3570" s="118"/>
      <c r="F3570" s="118"/>
      <c r="G3570" s="118" t="s">
        <v>3618</v>
      </c>
      <c r="H3570" s="118" t="s">
        <v>3638</v>
      </c>
      <c r="I3570" s="118" t="s">
        <v>4001</v>
      </c>
      <c r="J3570" s="118" t="s">
        <v>6793</v>
      </c>
      <c r="K3570" s="141"/>
      <c r="L3570" s="135" t="str">
        <f t="shared" si="202"/>
        <v>Eothenomys melanogaster</v>
      </c>
      <c r="M3570" s="133">
        <f t="shared" si="204"/>
        <v>1.4313637641589874</v>
      </c>
      <c r="N3570" s="133">
        <v>27</v>
      </c>
      <c r="O3570" s="179" t="s">
        <v>3356</v>
      </c>
      <c r="P3570" s="118" t="s">
        <v>6946</v>
      </c>
      <c r="Q3570" s="80"/>
    </row>
    <row r="3571" spans="1:19">
      <c r="A3571" s="213" t="s">
        <v>2594</v>
      </c>
      <c r="B3571" s="141" t="s">
        <v>2621</v>
      </c>
      <c r="C3571" s="118" t="s">
        <v>3817</v>
      </c>
      <c r="D3571" s="141"/>
      <c r="E3571" s="118"/>
      <c r="F3571" s="118"/>
      <c r="G3571" s="118" t="s">
        <v>3618</v>
      </c>
      <c r="H3571" s="118" t="s">
        <v>3638</v>
      </c>
      <c r="I3571" s="118" t="s">
        <v>6454</v>
      </c>
      <c r="J3571" s="118" t="s">
        <v>6247</v>
      </c>
      <c r="K3571" s="141"/>
      <c r="L3571" s="135" t="str">
        <f t="shared" si="202"/>
        <v>Eropeplus canus</v>
      </c>
      <c r="M3571" s="133">
        <v>-999</v>
      </c>
      <c r="N3571" s="133">
        <v>-999</v>
      </c>
      <c r="O3571" s="179" t="s">
        <v>6641</v>
      </c>
      <c r="P3571" s="108">
        <v>-999</v>
      </c>
      <c r="Q3571" s="80" t="s">
        <v>6640</v>
      </c>
    </row>
    <row r="3572" spans="1:19">
      <c r="A3572" s="213" t="s">
        <v>2594</v>
      </c>
      <c r="B3572" s="130" t="s">
        <v>2435</v>
      </c>
      <c r="C3572" s="118" t="s">
        <v>3817</v>
      </c>
      <c r="D3572" s="141"/>
      <c r="E3572" s="118"/>
      <c r="F3572" s="118"/>
      <c r="G3572" s="118" t="s">
        <v>3618</v>
      </c>
      <c r="H3572" s="118" t="s">
        <v>3638</v>
      </c>
      <c r="I3572" s="118" t="s">
        <v>8300</v>
      </c>
      <c r="J3572" s="118" t="s">
        <v>6011</v>
      </c>
      <c r="K3572" s="141"/>
      <c r="L3572" s="135" t="str">
        <f t="shared" si="202"/>
        <v>Golunda ellioti</v>
      </c>
      <c r="M3572" s="133">
        <f>LOG(N3572)</f>
        <v>1.8129133566428555</v>
      </c>
      <c r="N3572" s="133">
        <f>AVERAGE(50, 80)</f>
        <v>65</v>
      </c>
      <c r="O3572" s="179" t="s">
        <v>3356</v>
      </c>
      <c r="P3572" s="108">
        <v>117</v>
      </c>
      <c r="Q3572" s="80"/>
    </row>
    <row r="3573" spans="1:19" ht="15" customHeight="1">
      <c r="A3573" s="213" t="s">
        <v>2594</v>
      </c>
      <c r="B3573" s="141" t="s">
        <v>2593</v>
      </c>
      <c r="C3573" s="118" t="s">
        <v>3817</v>
      </c>
      <c r="D3573" s="141"/>
      <c r="E3573" s="118"/>
      <c r="F3573" s="118"/>
      <c r="G3573" s="118" t="s">
        <v>3618</v>
      </c>
      <c r="H3573" s="118" t="s">
        <v>3638</v>
      </c>
      <c r="I3573" s="118" t="s">
        <v>3656</v>
      </c>
      <c r="J3573" s="118" t="s">
        <v>4665</v>
      </c>
      <c r="K3573" s="141"/>
      <c r="L3573" s="135" t="str">
        <f t="shared" si="202"/>
        <v>Gymnuromys roberti</v>
      </c>
      <c r="M3573" s="133">
        <f>LOG(N3573)</f>
        <v>1.9890046156985368</v>
      </c>
      <c r="N3573" s="133">
        <v>97.5</v>
      </c>
      <c r="O3573" s="190" t="s">
        <v>6708</v>
      </c>
      <c r="P3573" s="108">
        <v>150</v>
      </c>
      <c r="Q3573" s="85" t="s">
        <v>6988</v>
      </c>
    </row>
    <row r="3574" spans="1:19">
      <c r="A3574" s="213" t="s">
        <v>2594</v>
      </c>
      <c r="B3574" s="130" t="s">
        <v>3238</v>
      </c>
      <c r="C3574" s="118" t="s">
        <v>3817</v>
      </c>
      <c r="D3574" s="141"/>
      <c r="E3574" s="118"/>
      <c r="F3574" s="118"/>
      <c r="G3574" s="118" t="s">
        <v>3618</v>
      </c>
      <c r="H3574" s="118" t="s">
        <v>3638</v>
      </c>
      <c r="I3574" s="118" t="s">
        <v>6012</v>
      </c>
      <c r="J3574" s="118" t="s">
        <v>4473</v>
      </c>
      <c r="K3574" s="141"/>
      <c r="L3574" s="135" t="str">
        <f t="shared" si="202"/>
        <v>Haeromys pusillus</v>
      </c>
      <c r="M3574" s="133">
        <f>LOG(N3574)</f>
        <v>1.0170333392987803</v>
      </c>
      <c r="N3574" s="133">
        <v>10.4</v>
      </c>
      <c r="O3574" s="179" t="s">
        <v>6882</v>
      </c>
      <c r="P3574" s="115">
        <v>60</v>
      </c>
      <c r="Q3574" s="80" t="s">
        <v>6988</v>
      </c>
    </row>
    <row r="3575" spans="1:19">
      <c r="A3575" s="213" t="s">
        <v>2594</v>
      </c>
      <c r="B3575" s="130" t="s">
        <v>2109</v>
      </c>
      <c r="C3575" s="118" t="s">
        <v>3817</v>
      </c>
      <c r="D3575" s="141"/>
      <c r="E3575" s="118"/>
      <c r="F3575" s="118"/>
      <c r="G3575" s="118" t="s">
        <v>3618</v>
      </c>
      <c r="H3575" s="121" t="s">
        <v>3638</v>
      </c>
      <c r="I3575" s="118" t="s">
        <v>6012</v>
      </c>
      <c r="J3575" s="118" t="s">
        <v>6013</v>
      </c>
      <c r="K3575" s="141"/>
      <c r="L3575" s="135" t="str">
        <f t="shared" si="202"/>
        <v>Haeromys margarettae</v>
      </c>
      <c r="M3575" s="133">
        <f>LOG(N3575)</f>
        <v>1.1038037209559568</v>
      </c>
      <c r="N3575" s="133">
        <f>1000*0.0127</f>
        <v>12.7</v>
      </c>
      <c r="O3575" s="179" t="s">
        <v>6882</v>
      </c>
      <c r="P3575" s="108">
        <v>60</v>
      </c>
      <c r="Q3575" s="80" t="s">
        <v>6988</v>
      </c>
    </row>
    <row r="3576" spans="1:19">
      <c r="A3576" s="213" t="s">
        <v>2594</v>
      </c>
      <c r="B3576" s="130" t="s">
        <v>5982</v>
      </c>
      <c r="C3576" s="121" t="s">
        <v>3817</v>
      </c>
      <c r="D3576" s="156"/>
      <c r="E3576" s="121"/>
      <c r="F3576" s="121"/>
      <c r="G3576" s="121" t="s">
        <v>3618</v>
      </c>
      <c r="H3576" s="121" t="s">
        <v>3638</v>
      </c>
      <c r="I3576" s="121" t="s">
        <v>6012</v>
      </c>
      <c r="J3576" s="121" t="s">
        <v>6014</v>
      </c>
      <c r="K3576" s="156"/>
      <c r="L3576" s="135" t="str">
        <f t="shared" si="202"/>
        <v>Haeromys minahassae</v>
      </c>
      <c r="M3576" s="133">
        <f>LOG(N3576)</f>
        <v>1.167317334748176</v>
      </c>
      <c r="N3576" s="133">
        <v>14.7</v>
      </c>
      <c r="O3576" s="179" t="s">
        <v>3356</v>
      </c>
      <c r="P3576" s="108">
        <v>60</v>
      </c>
      <c r="Q3576" s="80"/>
    </row>
    <row r="3577" spans="1:19">
      <c r="A3577" s="213" t="s">
        <v>2594</v>
      </c>
      <c r="B3577" s="141" t="s">
        <v>6142</v>
      </c>
      <c r="C3577" s="118" t="s">
        <v>3817</v>
      </c>
      <c r="D3577" s="141"/>
      <c r="E3577" s="118"/>
      <c r="F3577" s="118"/>
      <c r="G3577" s="118" t="s">
        <v>3618</v>
      </c>
      <c r="H3577" s="118" t="s">
        <v>3638</v>
      </c>
      <c r="I3577" s="118" t="s">
        <v>3421</v>
      </c>
      <c r="J3577" s="118" t="s">
        <v>5811</v>
      </c>
      <c r="K3577" s="141"/>
      <c r="L3577" s="135" t="str">
        <f t="shared" si="202"/>
        <v>Hybomys basilii</v>
      </c>
      <c r="M3577" s="133">
        <v>-999</v>
      </c>
      <c r="N3577" s="133">
        <v>-999</v>
      </c>
      <c r="O3577" s="179" t="s">
        <v>6882</v>
      </c>
      <c r="P3577" s="108">
        <v>-999</v>
      </c>
      <c r="Q3577" s="80" t="s">
        <v>6642</v>
      </c>
    </row>
    <row r="3578" spans="1:19" ht="63.75">
      <c r="A3578" s="213" t="s">
        <v>2594</v>
      </c>
      <c r="B3578" s="141" t="s">
        <v>2170</v>
      </c>
      <c r="C3578" s="118" t="s">
        <v>3817</v>
      </c>
      <c r="D3578" s="141"/>
      <c r="E3578" s="118"/>
      <c r="F3578" s="118"/>
      <c r="G3578" s="118" t="s">
        <v>3618</v>
      </c>
      <c r="H3578" s="118" t="s">
        <v>3638</v>
      </c>
      <c r="I3578" s="118" t="s">
        <v>4275</v>
      </c>
      <c r="J3578" s="118" t="s">
        <v>5812</v>
      </c>
      <c r="K3578" s="141"/>
      <c r="L3578" s="135" t="str">
        <f t="shared" si="202"/>
        <v>Hydromys habbema</v>
      </c>
      <c r="M3578" s="151">
        <v>-999</v>
      </c>
      <c r="N3578" s="133">
        <v>-999</v>
      </c>
      <c r="O3578" s="179" t="s">
        <v>6882</v>
      </c>
      <c r="P3578" s="108">
        <v>151</v>
      </c>
      <c r="Q3578" s="85" t="s">
        <v>6642</v>
      </c>
      <c r="R3578" s="79" t="s">
        <v>7004</v>
      </c>
      <c r="S3578" s="85" t="s">
        <v>7143</v>
      </c>
    </row>
    <row r="3579" spans="1:19" ht="191.25">
      <c r="A3579" s="213" t="s">
        <v>2594</v>
      </c>
      <c r="B3579" s="141" t="s">
        <v>2170</v>
      </c>
      <c r="C3579" s="118" t="s">
        <v>3817</v>
      </c>
      <c r="D3579" s="141"/>
      <c r="E3579" s="118"/>
      <c r="F3579" s="118"/>
      <c r="G3579" s="118" t="s">
        <v>3618</v>
      </c>
      <c r="H3579" s="118" t="s">
        <v>3638</v>
      </c>
      <c r="I3579" s="118" t="s">
        <v>4275</v>
      </c>
      <c r="J3579" s="118" t="s">
        <v>5813</v>
      </c>
      <c r="K3579" s="141"/>
      <c r="L3579" s="135" t="str">
        <f t="shared" si="202"/>
        <v>Hydromys hussoni</v>
      </c>
      <c r="M3579" s="151">
        <v>-999</v>
      </c>
      <c r="N3579" s="133">
        <v>-999</v>
      </c>
      <c r="O3579" s="179" t="s">
        <v>6641</v>
      </c>
      <c r="P3579" s="108">
        <v>151</v>
      </c>
      <c r="Q3579" s="90" t="s">
        <v>6642</v>
      </c>
      <c r="R3579" s="79" t="s">
        <v>7657</v>
      </c>
    </row>
    <row r="3580" spans="1:19" ht="63.75">
      <c r="A3580" s="213" t="s">
        <v>2594</v>
      </c>
      <c r="B3580" s="141" t="s">
        <v>1466</v>
      </c>
      <c r="C3580" s="118" t="s">
        <v>3817</v>
      </c>
      <c r="D3580" s="141"/>
      <c r="E3580" s="118"/>
      <c r="F3580" s="118"/>
      <c r="G3580" s="118" t="s">
        <v>3618</v>
      </c>
      <c r="H3580" s="121" t="s">
        <v>3638</v>
      </c>
      <c r="I3580" s="118" t="s">
        <v>4275</v>
      </c>
      <c r="J3580" s="118" t="s">
        <v>6759</v>
      </c>
      <c r="K3580" s="141"/>
      <c r="L3580" s="135" t="str">
        <f t="shared" si="202"/>
        <v>Hydromys neobrittanicus</v>
      </c>
      <c r="M3580" s="133">
        <v>-999</v>
      </c>
      <c r="N3580" s="133">
        <v>-999</v>
      </c>
      <c r="O3580" s="179" t="s">
        <v>3356</v>
      </c>
      <c r="P3580" s="108">
        <v>-999</v>
      </c>
      <c r="Q3580" s="80"/>
      <c r="S3580" s="85" t="s">
        <v>7288</v>
      </c>
    </row>
    <row r="3581" spans="1:19" ht="114.75">
      <c r="A3581" s="213" t="s">
        <v>2594</v>
      </c>
      <c r="B3581" s="141" t="s">
        <v>2170</v>
      </c>
      <c r="C3581" s="118" t="s">
        <v>3817</v>
      </c>
      <c r="D3581" s="141"/>
      <c r="E3581" s="118"/>
      <c r="F3581" s="118"/>
      <c r="G3581" s="118" t="s">
        <v>3618</v>
      </c>
      <c r="H3581" s="121" t="s">
        <v>3638</v>
      </c>
      <c r="I3581" s="118" t="s">
        <v>4275</v>
      </c>
      <c r="J3581" s="118" t="s">
        <v>6760</v>
      </c>
      <c r="K3581" s="141"/>
      <c r="L3581" s="135" t="str">
        <f t="shared" si="202"/>
        <v>Hydromys shawmayeri</v>
      </c>
      <c r="M3581" s="151">
        <v>-999</v>
      </c>
      <c r="N3581" s="133">
        <v>-999</v>
      </c>
      <c r="O3581" s="179" t="s">
        <v>6882</v>
      </c>
      <c r="P3581" s="108">
        <v>151</v>
      </c>
      <c r="Q3581" s="90" t="s">
        <v>6642</v>
      </c>
      <c r="R3581" s="79" t="s">
        <v>7564</v>
      </c>
    </row>
    <row r="3582" spans="1:19" ht="25.5">
      <c r="A3582" s="213" t="s">
        <v>2594</v>
      </c>
      <c r="B3582" s="141" t="s">
        <v>2170</v>
      </c>
      <c r="C3582" s="118" t="s">
        <v>3817</v>
      </c>
      <c r="D3582" s="141"/>
      <c r="E3582" s="118"/>
      <c r="F3582" s="118"/>
      <c r="G3582" s="118" t="s">
        <v>3618</v>
      </c>
      <c r="H3582" s="118" t="s">
        <v>3638</v>
      </c>
      <c r="I3582" s="118" t="s">
        <v>4275</v>
      </c>
      <c r="J3582" s="118" t="s">
        <v>4276</v>
      </c>
      <c r="K3582" s="141"/>
      <c r="L3582" s="135" t="str">
        <f t="shared" si="202"/>
        <v>Hydromys chrysogaster</v>
      </c>
      <c r="M3582" s="133">
        <f>LOG(N3582)</f>
        <v>2.5483894181329183</v>
      </c>
      <c r="N3582" s="133">
        <f>AVERAGE(397, 310)</f>
        <v>353.5</v>
      </c>
      <c r="O3582" s="179" t="s">
        <v>6710</v>
      </c>
      <c r="P3582" s="108">
        <v>151</v>
      </c>
      <c r="Q3582" s="85"/>
    </row>
    <row r="3583" spans="1:19" ht="25.5">
      <c r="A3583" s="213" t="s">
        <v>2594</v>
      </c>
      <c r="B3583" s="141" t="s">
        <v>2170</v>
      </c>
      <c r="C3583" s="118" t="s">
        <v>3817</v>
      </c>
      <c r="D3583" s="141"/>
      <c r="E3583" s="118"/>
      <c r="F3583" s="118"/>
      <c r="G3583" s="118" t="s">
        <v>3618</v>
      </c>
      <c r="H3583" s="118" t="s">
        <v>3638</v>
      </c>
      <c r="I3583" s="118" t="s">
        <v>6619</v>
      </c>
      <c r="J3583" s="118" t="s">
        <v>6621</v>
      </c>
      <c r="K3583" s="141"/>
      <c r="L3583" s="135" t="str">
        <f t="shared" si="202"/>
        <v>Hyomys goliath</v>
      </c>
      <c r="M3583" s="133">
        <f>LOG(N3583)</f>
        <v>2.9124877613323239</v>
      </c>
      <c r="N3583" s="133">
        <f>AVERAGE(753, 882)</f>
        <v>817.5</v>
      </c>
      <c r="O3583" s="179" t="s">
        <v>6849</v>
      </c>
      <c r="P3583" s="108">
        <v>151</v>
      </c>
      <c r="Q3583" s="85"/>
    </row>
    <row r="3584" spans="1:19" ht="25.5">
      <c r="A3584" s="213" t="s">
        <v>2594</v>
      </c>
      <c r="B3584" s="141" t="s">
        <v>2170</v>
      </c>
      <c r="C3584" s="118" t="s">
        <v>3817</v>
      </c>
      <c r="D3584" s="141"/>
      <c r="E3584" s="118"/>
      <c r="F3584" s="118"/>
      <c r="G3584" s="118" t="s">
        <v>3618</v>
      </c>
      <c r="H3584" s="118" t="s">
        <v>3638</v>
      </c>
      <c r="I3584" s="118" t="s">
        <v>6619</v>
      </c>
      <c r="J3584" s="118" t="s">
        <v>6620</v>
      </c>
      <c r="K3584" s="141"/>
      <c r="L3584" s="135" t="str">
        <f t="shared" si="202"/>
        <v>Hyomys dammermani</v>
      </c>
      <c r="M3584" s="133">
        <f>LOG(N3584)</f>
        <v>2.9696488404807253</v>
      </c>
      <c r="N3584" s="133">
        <f>AVERAGE(880, 985)</f>
        <v>932.5</v>
      </c>
      <c r="O3584" s="179" t="s">
        <v>6978</v>
      </c>
      <c r="P3584" s="108">
        <v>151</v>
      </c>
      <c r="Q3584" s="85"/>
    </row>
    <row r="3585" spans="1:22">
      <c r="A3585" s="213" t="s">
        <v>2594</v>
      </c>
      <c r="B3585" s="141" t="s">
        <v>2232</v>
      </c>
      <c r="C3585" s="118" t="s">
        <v>3817</v>
      </c>
      <c r="D3585" s="141"/>
      <c r="E3585" s="118"/>
      <c r="F3585" s="118"/>
      <c r="G3585" s="118" t="s">
        <v>3618</v>
      </c>
      <c r="H3585" s="118" t="s">
        <v>3638</v>
      </c>
      <c r="I3585" s="118" t="s">
        <v>8203</v>
      </c>
      <c r="J3585" s="118" t="s">
        <v>8321</v>
      </c>
      <c r="K3585" s="141"/>
      <c r="L3585" s="135" t="str">
        <f t="shared" si="202"/>
        <v>Hypogeomys antimena</v>
      </c>
      <c r="M3585" s="133">
        <f>LOG(N3585)</f>
        <v>3.0969100130080562</v>
      </c>
      <c r="N3585" s="133">
        <v>1250</v>
      </c>
      <c r="O3585" s="179" t="s">
        <v>6736</v>
      </c>
      <c r="P3585" s="108">
        <v>68</v>
      </c>
    </row>
    <row r="3586" spans="1:22">
      <c r="A3586" s="213" t="s">
        <v>2594</v>
      </c>
      <c r="B3586" s="141" t="s">
        <v>2593</v>
      </c>
      <c r="C3586" s="118" t="s">
        <v>3817</v>
      </c>
      <c r="D3586" s="141"/>
      <c r="E3586" s="118"/>
      <c r="F3586" s="118"/>
      <c r="G3586" s="118" t="s">
        <v>3618</v>
      </c>
      <c r="H3586" s="118" t="s">
        <v>3638</v>
      </c>
      <c r="I3586" s="118" t="s">
        <v>8203</v>
      </c>
      <c r="J3586" s="118" t="s">
        <v>8321</v>
      </c>
      <c r="K3586" s="141"/>
      <c r="L3586" s="135" t="str">
        <f t="shared" si="202"/>
        <v>Hypogeomys antimena</v>
      </c>
      <c r="M3586" s="133">
        <f>LOG(N3586)</f>
        <v>3.0969100130080562</v>
      </c>
      <c r="N3586" s="133">
        <v>1250</v>
      </c>
      <c r="O3586" s="183" t="s">
        <v>6641</v>
      </c>
      <c r="P3586" s="108">
        <v>68</v>
      </c>
      <c r="Q3586" s="85" t="s">
        <v>6640</v>
      </c>
    </row>
    <row r="3587" spans="1:22">
      <c r="A3587" s="213" t="s">
        <v>2594</v>
      </c>
      <c r="B3587" s="141" t="s">
        <v>2538</v>
      </c>
      <c r="C3587" s="118" t="s">
        <v>3817</v>
      </c>
      <c r="D3587" s="141"/>
      <c r="E3587" s="118"/>
      <c r="F3587" s="118"/>
      <c r="G3587" s="118" t="s">
        <v>3618</v>
      </c>
      <c r="H3587" s="118" t="s">
        <v>3638</v>
      </c>
      <c r="I3587" s="118" t="s">
        <v>3137</v>
      </c>
      <c r="J3587" s="118" t="s">
        <v>4004</v>
      </c>
      <c r="K3587" s="141"/>
      <c r="L3587" s="135" t="str">
        <f t="shared" si="202"/>
        <v>Kadarsanomys sodyi</v>
      </c>
      <c r="M3587" s="133">
        <v>-999</v>
      </c>
      <c r="N3587" s="133">
        <v>-999</v>
      </c>
      <c r="O3587" s="179" t="s">
        <v>6882</v>
      </c>
      <c r="P3587" s="108">
        <v>-999</v>
      </c>
      <c r="Q3587" s="80" t="s">
        <v>6642</v>
      </c>
      <c r="U3587" s="20"/>
      <c r="V3587" s="20"/>
    </row>
    <row r="3588" spans="1:22" ht="76.5">
      <c r="A3588" s="213" t="s">
        <v>2594</v>
      </c>
      <c r="B3588" s="130" t="s">
        <v>4642</v>
      </c>
      <c r="C3588" s="118" t="s">
        <v>3817</v>
      </c>
      <c r="D3588" s="141"/>
      <c r="E3588" s="118"/>
      <c r="F3588" s="118"/>
      <c r="G3588" s="118" t="s">
        <v>3618</v>
      </c>
      <c r="H3588" s="118" t="s">
        <v>3638</v>
      </c>
      <c r="I3588" s="118" t="s">
        <v>4200</v>
      </c>
      <c r="J3588" s="118" t="s">
        <v>4199</v>
      </c>
      <c r="K3588" s="141"/>
      <c r="L3588" s="135" t="str">
        <f t="shared" si="202"/>
        <v>Komodomys rintjanus</v>
      </c>
      <c r="M3588" s="133">
        <v>-999</v>
      </c>
      <c r="N3588" s="133">
        <v>-999</v>
      </c>
      <c r="O3588" s="179" t="s">
        <v>6641</v>
      </c>
      <c r="P3588" s="108">
        <v>-999</v>
      </c>
      <c r="Q3588" s="80" t="s">
        <v>6988</v>
      </c>
      <c r="U3588" s="20"/>
      <c r="V3588" s="20"/>
    </row>
    <row r="3589" spans="1:22">
      <c r="A3589" s="213" t="s">
        <v>2594</v>
      </c>
      <c r="B3589" s="141" t="s">
        <v>5805</v>
      </c>
      <c r="C3589" s="118" t="s">
        <v>3817</v>
      </c>
      <c r="D3589" s="141"/>
      <c r="E3589" s="118"/>
      <c r="F3589" s="118"/>
      <c r="G3589" s="118" t="s">
        <v>3618</v>
      </c>
      <c r="H3589" s="118" t="s">
        <v>3638</v>
      </c>
      <c r="I3589" s="118" t="s">
        <v>3347</v>
      </c>
      <c r="J3589" s="118" t="s">
        <v>5999</v>
      </c>
      <c r="K3589" s="141"/>
      <c r="L3589" s="135" t="str">
        <f t="shared" ref="L3589:L3652" si="205">I3589&amp;" "&amp;J3589</f>
        <v>Lenomys meyeri</v>
      </c>
      <c r="M3589" s="133">
        <v>-999</v>
      </c>
      <c r="N3589" s="133">
        <v>-999</v>
      </c>
      <c r="O3589" s="179" t="s">
        <v>3356</v>
      </c>
      <c r="P3589" s="108">
        <v>-999</v>
      </c>
      <c r="Q3589" s="80"/>
      <c r="U3589" s="20"/>
      <c r="V3589" s="20"/>
    </row>
    <row r="3590" spans="1:22" ht="12" customHeight="1">
      <c r="A3590" s="213" t="s">
        <v>2594</v>
      </c>
      <c r="B3590" s="141" t="s">
        <v>2051</v>
      </c>
      <c r="C3590" s="118" t="s">
        <v>3817</v>
      </c>
      <c r="D3590" s="141"/>
      <c r="E3590" s="118"/>
      <c r="F3590" s="118"/>
      <c r="G3590" s="118" t="s">
        <v>3618</v>
      </c>
      <c r="H3590" s="118" t="s">
        <v>3638</v>
      </c>
      <c r="I3590" s="118" t="s">
        <v>6491</v>
      </c>
      <c r="J3590" s="118" t="s">
        <v>6247</v>
      </c>
      <c r="K3590" s="141"/>
      <c r="L3590" s="135" t="str">
        <f t="shared" si="205"/>
        <v>Lenothrix canus</v>
      </c>
      <c r="M3590" s="133">
        <f>LOG(N3590)</f>
        <v>2.1760912590556813</v>
      </c>
      <c r="N3590" s="133">
        <f>AVERAGE(80, 220)</f>
        <v>150</v>
      </c>
      <c r="O3590" s="179" t="s">
        <v>3356</v>
      </c>
      <c r="P3590" s="108" t="s">
        <v>7805</v>
      </c>
      <c r="Q3590" s="80"/>
      <c r="R3590" s="89"/>
      <c r="U3590" s="20"/>
      <c r="V3590" s="20"/>
    </row>
    <row r="3591" spans="1:22">
      <c r="A3591" s="213" t="s">
        <v>2594</v>
      </c>
      <c r="B3591" s="141" t="s">
        <v>2275</v>
      </c>
      <c r="C3591" s="118" t="s">
        <v>3817</v>
      </c>
      <c r="D3591" s="141"/>
      <c r="E3591" s="118"/>
      <c r="F3591" s="118"/>
      <c r="G3591" s="118" t="s">
        <v>3618</v>
      </c>
      <c r="H3591" s="118" t="s">
        <v>3638</v>
      </c>
      <c r="I3591" s="118" t="s">
        <v>6492</v>
      </c>
      <c r="J3591" s="118" t="s">
        <v>4060</v>
      </c>
      <c r="K3591" s="141"/>
      <c r="L3591" s="135" t="str">
        <f t="shared" si="205"/>
        <v>Leopoldamys edwardsi</v>
      </c>
      <c r="M3591" s="133">
        <f>LOG(N3591)</f>
        <v>2.4771212547196626</v>
      </c>
      <c r="N3591" s="133">
        <v>300</v>
      </c>
      <c r="O3591" s="179" t="s">
        <v>3356</v>
      </c>
      <c r="P3591" s="108">
        <v>119</v>
      </c>
      <c r="Q3591" s="80"/>
      <c r="U3591"/>
      <c r="V3591"/>
    </row>
    <row r="3592" spans="1:22">
      <c r="A3592" s="213" t="s">
        <v>2594</v>
      </c>
      <c r="B3592" s="141" t="s">
        <v>2433</v>
      </c>
      <c r="C3592" s="118" t="s">
        <v>3817</v>
      </c>
      <c r="D3592" s="141"/>
      <c r="E3592" s="118"/>
      <c r="F3592" s="118"/>
      <c r="G3592" s="118" t="s">
        <v>3618</v>
      </c>
      <c r="H3592" s="118" t="s">
        <v>3638</v>
      </c>
      <c r="I3592" s="118" t="s">
        <v>6492</v>
      </c>
      <c r="J3592" s="118" t="s">
        <v>3387</v>
      </c>
      <c r="K3592" s="141"/>
      <c r="L3592" s="135" t="str">
        <f t="shared" si="205"/>
        <v>Leopoldamys sabanus</v>
      </c>
      <c r="M3592" s="133">
        <f>LOG(N3592)</f>
        <v>2.5220092865677088</v>
      </c>
      <c r="N3592" s="133">
        <f>AVERAGE(216, 250, 532)</f>
        <v>332.66666666666669</v>
      </c>
      <c r="O3592" s="179" t="s">
        <v>3356</v>
      </c>
      <c r="P3592" s="118" t="s">
        <v>7805</v>
      </c>
      <c r="Q3592" s="80"/>
      <c r="U3592"/>
      <c r="V3592"/>
    </row>
    <row r="3593" spans="1:22" ht="25.5">
      <c r="A3593" s="213" t="s">
        <v>2594</v>
      </c>
      <c r="B3593" s="141" t="s">
        <v>2316</v>
      </c>
      <c r="C3593" s="118" t="s">
        <v>3817</v>
      </c>
      <c r="D3593" s="141"/>
      <c r="E3593" s="118"/>
      <c r="F3593" s="118"/>
      <c r="G3593" s="118" t="s">
        <v>3618</v>
      </c>
      <c r="H3593" s="118" t="s">
        <v>3638</v>
      </c>
      <c r="I3593" s="118" t="s">
        <v>6492</v>
      </c>
      <c r="J3593" s="118" t="s">
        <v>3388</v>
      </c>
      <c r="K3593" s="141"/>
      <c r="L3593" s="135" t="str">
        <f t="shared" si="205"/>
        <v>Leopoldamys siporanus</v>
      </c>
      <c r="M3593" s="133">
        <f>LOG(N3593)</f>
        <v>2.7604224834232118</v>
      </c>
      <c r="N3593" s="133">
        <v>576</v>
      </c>
      <c r="O3593" s="179" t="s">
        <v>6641</v>
      </c>
      <c r="P3593" s="108">
        <v>60</v>
      </c>
      <c r="Q3593" s="80" t="s">
        <v>6988</v>
      </c>
      <c r="U3593"/>
      <c r="V3593"/>
    </row>
    <row r="3594" spans="1:22" ht="38.25">
      <c r="A3594" s="213" t="s">
        <v>2594</v>
      </c>
      <c r="B3594" s="141" t="s">
        <v>2170</v>
      </c>
      <c r="C3594" s="121" t="s">
        <v>3817</v>
      </c>
      <c r="D3594" s="156"/>
      <c r="E3594" s="121"/>
      <c r="F3594" s="121"/>
      <c r="G3594" s="121" t="s">
        <v>3618</v>
      </c>
      <c r="H3594" s="121" t="s">
        <v>3638</v>
      </c>
      <c r="I3594" s="121" t="s">
        <v>2996</v>
      </c>
      <c r="J3594" s="121" t="s">
        <v>4038</v>
      </c>
      <c r="K3594" s="156"/>
      <c r="L3594" s="135" t="str">
        <f t="shared" si="205"/>
        <v>Leptomys signatus</v>
      </c>
      <c r="M3594" s="151">
        <v>-999</v>
      </c>
      <c r="N3594" s="143">
        <v>-999</v>
      </c>
      <c r="O3594" s="179" t="s">
        <v>7680</v>
      </c>
      <c r="P3594" s="108">
        <v>151</v>
      </c>
      <c r="Q3594" s="85"/>
      <c r="U3594"/>
      <c r="V3594"/>
    </row>
    <row r="3595" spans="1:22" ht="25.5">
      <c r="A3595" s="213" t="s">
        <v>2594</v>
      </c>
      <c r="B3595" s="141" t="s">
        <v>2170</v>
      </c>
      <c r="C3595" s="118" t="s">
        <v>3817</v>
      </c>
      <c r="D3595" s="141"/>
      <c r="E3595" s="118"/>
      <c r="F3595" s="118"/>
      <c r="G3595" s="118" t="s">
        <v>3618</v>
      </c>
      <c r="H3595" s="118" t="s">
        <v>3638</v>
      </c>
      <c r="I3595" s="118" t="s">
        <v>2996</v>
      </c>
      <c r="J3595" s="118" t="s">
        <v>2994</v>
      </c>
      <c r="K3595" s="141"/>
      <c r="L3595" s="135" t="str">
        <f t="shared" si="205"/>
        <v>Leptomys ernstmayri</v>
      </c>
      <c r="M3595" s="133">
        <f>LOG(N3595)</f>
        <v>1.6319508262592171</v>
      </c>
      <c r="N3595" s="133">
        <f>AVERAGE(43.7, 42)</f>
        <v>42.85</v>
      </c>
      <c r="O3595" s="179" t="s">
        <v>7679</v>
      </c>
      <c r="P3595" s="108">
        <v>151</v>
      </c>
      <c r="Q3595" s="85"/>
      <c r="U3595"/>
      <c r="V3595"/>
    </row>
    <row r="3596" spans="1:22" ht="51">
      <c r="A3596" s="213" t="s">
        <v>2594</v>
      </c>
      <c r="B3596" s="141" t="s">
        <v>2170</v>
      </c>
      <c r="C3596" s="118" t="s">
        <v>3817</v>
      </c>
      <c r="D3596" s="141"/>
      <c r="E3596" s="118"/>
      <c r="F3596" s="118"/>
      <c r="G3596" s="118" t="s">
        <v>3618</v>
      </c>
      <c r="H3596" s="118" t="s">
        <v>3638</v>
      </c>
      <c r="I3596" s="118" t="s">
        <v>2996</v>
      </c>
      <c r="J3596" s="118" t="s">
        <v>2076</v>
      </c>
      <c r="K3596" s="141"/>
      <c r="L3596" s="135" t="str">
        <f t="shared" si="205"/>
        <v>Leptomys elegans</v>
      </c>
      <c r="M3596" s="133">
        <f>LOG(N3596)</f>
        <v>1.9281397068751198</v>
      </c>
      <c r="N3596" s="133">
        <f>AVERAGE(90.5, 79)</f>
        <v>84.75</v>
      </c>
      <c r="O3596" s="179" t="s">
        <v>6641</v>
      </c>
      <c r="P3596" s="108">
        <v>151</v>
      </c>
      <c r="Q3596" s="85" t="s">
        <v>7071</v>
      </c>
      <c r="R3596" s="79" t="s">
        <v>8290</v>
      </c>
      <c r="U3596"/>
      <c r="V3596"/>
    </row>
    <row r="3597" spans="1:22">
      <c r="A3597" s="213" t="s">
        <v>2594</v>
      </c>
      <c r="B3597" s="141" t="s">
        <v>6062</v>
      </c>
      <c r="C3597" s="118" t="s">
        <v>3817</v>
      </c>
      <c r="D3597" s="141"/>
      <c r="E3597" s="118"/>
      <c r="F3597" s="118"/>
      <c r="G3597" s="118" t="s">
        <v>3618</v>
      </c>
      <c r="H3597" s="118" t="s">
        <v>3638</v>
      </c>
      <c r="I3597" s="118" t="s">
        <v>3581</v>
      </c>
      <c r="J3597" s="118" t="s">
        <v>3582</v>
      </c>
      <c r="K3597" s="141"/>
      <c r="L3597" s="135" t="str">
        <f t="shared" si="205"/>
        <v>Limnomys sibuanus</v>
      </c>
      <c r="M3597" s="133">
        <v>-999</v>
      </c>
      <c r="N3597" s="133">
        <v>-999</v>
      </c>
      <c r="O3597" s="179" t="s">
        <v>3356</v>
      </c>
      <c r="P3597" s="108">
        <v>-999</v>
      </c>
      <c r="Q3597" s="80"/>
      <c r="U3597"/>
      <c r="V3597"/>
    </row>
    <row r="3598" spans="1:22" ht="25.5">
      <c r="A3598" s="213" t="s">
        <v>2594</v>
      </c>
      <c r="B3598" s="141" t="s">
        <v>2170</v>
      </c>
      <c r="C3598" s="118" t="s">
        <v>3817</v>
      </c>
      <c r="D3598" s="141"/>
      <c r="E3598" s="118"/>
      <c r="F3598" s="118"/>
      <c r="G3598" s="118" t="s">
        <v>3618</v>
      </c>
      <c r="H3598" s="118" t="s">
        <v>3638</v>
      </c>
      <c r="I3598" s="118" t="s">
        <v>3165</v>
      </c>
      <c r="J3598" s="118" t="s">
        <v>3166</v>
      </c>
      <c r="K3598" s="141"/>
      <c r="L3598" s="135" t="str">
        <f t="shared" si="205"/>
        <v>Lorentzimys nouhuysi</v>
      </c>
      <c r="M3598" s="133">
        <f>LOG(N3598)</f>
        <v>1.1522883443830565</v>
      </c>
      <c r="N3598" s="133">
        <f>AVERAGE(14.3, 14.1)</f>
        <v>14.2</v>
      </c>
      <c r="O3598" s="179" t="s">
        <v>8177</v>
      </c>
      <c r="P3598" s="108">
        <v>151</v>
      </c>
      <c r="Q3598" s="85"/>
      <c r="U3598"/>
      <c r="V3598"/>
    </row>
    <row r="3599" spans="1:22">
      <c r="A3599" s="213" t="s">
        <v>2594</v>
      </c>
      <c r="B3599" s="141" t="s">
        <v>2593</v>
      </c>
      <c r="C3599" s="118" t="s">
        <v>3817</v>
      </c>
      <c r="D3599" s="141"/>
      <c r="E3599" s="118"/>
      <c r="F3599" s="118"/>
      <c r="G3599" s="118" t="s">
        <v>3618</v>
      </c>
      <c r="H3599" s="118" t="s">
        <v>3638</v>
      </c>
      <c r="I3599" s="118" t="s">
        <v>3657</v>
      </c>
      <c r="J3599" s="118" t="s">
        <v>5594</v>
      </c>
      <c r="K3599" s="141"/>
      <c r="L3599" s="135" t="str">
        <f t="shared" si="205"/>
        <v>Macrotarsomys bastardi</v>
      </c>
      <c r="M3599" s="133">
        <f>LOG(N3599)</f>
        <v>1.3979400086720377</v>
      </c>
      <c r="N3599" s="133">
        <v>25</v>
      </c>
      <c r="O3599" s="179" t="s">
        <v>1190</v>
      </c>
      <c r="P3599" s="118">
        <v>150</v>
      </c>
      <c r="Q3599" s="85"/>
    </row>
    <row r="3600" spans="1:22">
      <c r="A3600" s="213" t="s">
        <v>2594</v>
      </c>
      <c r="B3600" s="141" t="s">
        <v>2593</v>
      </c>
      <c r="C3600" s="118" t="s">
        <v>3817</v>
      </c>
      <c r="D3600" s="141"/>
      <c r="E3600" s="118"/>
      <c r="F3600" s="118"/>
      <c r="G3600" s="118" t="s">
        <v>3618</v>
      </c>
      <c r="H3600" s="118" t="s">
        <v>3638</v>
      </c>
      <c r="I3600" s="118" t="s">
        <v>3657</v>
      </c>
      <c r="J3600" s="118" t="s">
        <v>3159</v>
      </c>
      <c r="K3600" s="141"/>
      <c r="L3600" s="135" t="str">
        <f t="shared" si="205"/>
        <v>Macrotarsomys ingens</v>
      </c>
      <c r="M3600" s="133">
        <f>LOG(N3600)</f>
        <v>1.7403626894942439</v>
      </c>
      <c r="N3600" s="133">
        <v>55</v>
      </c>
      <c r="O3600" s="190" t="s">
        <v>6641</v>
      </c>
      <c r="P3600" s="118">
        <v>150</v>
      </c>
      <c r="Q3600" s="85" t="s">
        <v>7071</v>
      </c>
    </row>
    <row r="3601" spans="1:17" ht="76.5">
      <c r="A3601" s="213" t="s">
        <v>2594</v>
      </c>
      <c r="B3601" s="141" t="s">
        <v>2170</v>
      </c>
      <c r="C3601" s="121" t="s">
        <v>3817</v>
      </c>
      <c r="D3601" s="156"/>
      <c r="E3601" s="121"/>
      <c r="F3601" s="121"/>
      <c r="G3601" s="121" t="s">
        <v>3618</v>
      </c>
      <c r="H3601" s="121" t="s">
        <v>3638</v>
      </c>
      <c r="I3601" s="121" t="s">
        <v>3207</v>
      </c>
      <c r="J3601" s="121" t="s">
        <v>2076</v>
      </c>
      <c r="K3601" s="156"/>
      <c r="L3601" s="135" t="str">
        <f t="shared" si="205"/>
        <v>Macruromys elegans</v>
      </c>
      <c r="M3601" s="151">
        <v>-999</v>
      </c>
      <c r="N3601" s="143">
        <v>-999</v>
      </c>
      <c r="O3601" s="179" t="s">
        <v>6870</v>
      </c>
      <c r="P3601" s="108">
        <v>151</v>
      </c>
      <c r="Q3601" s="85" t="s">
        <v>7071</v>
      </c>
    </row>
    <row r="3602" spans="1:17">
      <c r="A3602" s="213" t="s">
        <v>2594</v>
      </c>
      <c r="B3602" s="141" t="s">
        <v>2170</v>
      </c>
      <c r="C3602" s="118" t="s">
        <v>3817</v>
      </c>
      <c r="D3602" s="141"/>
      <c r="E3602" s="118"/>
      <c r="F3602" s="118"/>
      <c r="G3602" s="118" t="s">
        <v>3618</v>
      </c>
      <c r="H3602" s="118" t="s">
        <v>3638</v>
      </c>
      <c r="I3602" s="118" t="s">
        <v>3207</v>
      </c>
      <c r="J3602" s="118" t="s">
        <v>5838</v>
      </c>
      <c r="K3602" s="141"/>
      <c r="L3602" s="135" t="str">
        <f t="shared" si="205"/>
        <v>Macruromys major</v>
      </c>
      <c r="M3602" s="133">
        <f t="shared" ref="M3602:M3626" si="206">LOG(N3602)</f>
        <v>2.5440680443502757</v>
      </c>
      <c r="N3602" s="133">
        <v>350</v>
      </c>
      <c r="O3602" s="179" t="s">
        <v>7703</v>
      </c>
      <c r="P3602" s="108">
        <v>151</v>
      </c>
      <c r="Q3602" s="85" t="s">
        <v>6640</v>
      </c>
    </row>
    <row r="3603" spans="1:17" ht="38.25">
      <c r="A3603" s="213" t="s">
        <v>2594</v>
      </c>
      <c r="B3603" s="141" t="s">
        <v>2170</v>
      </c>
      <c r="C3603" s="118" t="s">
        <v>3817</v>
      </c>
      <c r="D3603" s="141"/>
      <c r="E3603" s="118"/>
      <c r="F3603" s="118"/>
      <c r="G3603" s="118" t="s">
        <v>3618</v>
      </c>
      <c r="H3603" s="118" t="s">
        <v>3638</v>
      </c>
      <c r="I3603" s="118" t="s">
        <v>6311</v>
      </c>
      <c r="J3603" s="118" t="s">
        <v>4178</v>
      </c>
      <c r="K3603" s="141"/>
      <c r="L3603" s="135" t="str">
        <f t="shared" si="205"/>
        <v>Mallomys rothschildi</v>
      </c>
      <c r="M3603" s="133">
        <f t="shared" si="206"/>
        <v>3.0635209996899908</v>
      </c>
      <c r="N3603" s="133">
        <f>AVERAGE(1087, 1228)</f>
        <v>1157.5</v>
      </c>
      <c r="O3603" s="179" t="s">
        <v>6994</v>
      </c>
      <c r="P3603" s="108">
        <v>151</v>
      </c>
      <c r="Q3603" s="85"/>
    </row>
    <row r="3604" spans="1:17" ht="38.25">
      <c r="A3604" s="213" t="s">
        <v>2594</v>
      </c>
      <c r="B3604" s="141" t="s">
        <v>2170</v>
      </c>
      <c r="C3604" s="118" t="s">
        <v>3817</v>
      </c>
      <c r="D3604" s="141"/>
      <c r="E3604" s="118"/>
      <c r="F3604" s="118"/>
      <c r="G3604" s="118" t="s">
        <v>3618</v>
      </c>
      <c r="H3604" s="118" t="s">
        <v>3638</v>
      </c>
      <c r="I3604" s="118" t="s">
        <v>6311</v>
      </c>
      <c r="J3604" s="118" t="s">
        <v>3200</v>
      </c>
      <c r="K3604" s="141"/>
      <c r="L3604" s="135" t="str">
        <f t="shared" si="205"/>
        <v>Mallomys aroaensis</v>
      </c>
      <c r="M3604" s="133">
        <f t="shared" si="206"/>
        <v>3.2211533219547053</v>
      </c>
      <c r="N3604" s="133">
        <f>AVERAGE(1800, 1528)</f>
        <v>1664</v>
      </c>
      <c r="O3604" s="179" t="s">
        <v>7005</v>
      </c>
      <c r="P3604" s="108">
        <v>151</v>
      </c>
      <c r="Q3604" s="85"/>
    </row>
    <row r="3605" spans="1:17">
      <c r="A3605" s="213" t="s">
        <v>2594</v>
      </c>
      <c r="B3605" s="141" t="s">
        <v>2170</v>
      </c>
      <c r="C3605" s="118" t="s">
        <v>3817</v>
      </c>
      <c r="D3605" s="141"/>
      <c r="E3605" s="118"/>
      <c r="F3605" s="118"/>
      <c r="G3605" s="118" t="s">
        <v>3618</v>
      </c>
      <c r="H3605" s="118" t="s">
        <v>3638</v>
      </c>
      <c r="I3605" s="118" t="s">
        <v>6311</v>
      </c>
      <c r="J3605" s="118" t="s">
        <v>3202</v>
      </c>
      <c r="K3605" s="141"/>
      <c r="L3605" s="135" t="str">
        <f t="shared" si="205"/>
        <v>Mallomys istapantap</v>
      </c>
      <c r="M3605" s="133">
        <f t="shared" si="206"/>
        <v>3.2900346113625178</v>
      </c>
      <c r="N3605" s="133">
        <v>1950</v>
      </c>
      <c r="O3605" s="179" t="s">
        <v>7418</v>
      </c>
      <c r="P3605" s="108">
        <v>151</v>
      </c>
      <c r="Q3605" s="85" t="s">
        <v>6642</v>
      </c>
    </row>
    <row r="3606" spans="1:17">
      <c r="A3606" s="213" t="s">
        <v>2594</v>
      </c>
      <c r="B3606" s="141" t="s">
        <v>2170</v>
      </c>
      <c r="C3606" s="118" t="s">
        <v>3817</v>
      </c>
      <c r="D3606" s="141"/>
      <c r="E3606" s="118"/>
      <c r="F3606" s="118"/>
      <c r="G3606" s="118" t="s">
        <v>3618</v>
      </c>
      <c r="H3606" s="118" t="s">
        <v>3638</v>
      </c>
      <c r="I3606" s="118" t="s">
        <v>6311</v>
      </c>
      <c r="J3606" s="118" t="s">
        <v>3201</v>
      </c>
      <c r="K3606" s="141"/>
      <c r="L3606" s="135" t="str">
        <f t="shared" si="205"/>
        <v>Mallomys gunung</v>
      </c>
      <c r="M3606" s="133">
        <f t="shared" si="206"/>
        <v>3.3010299956639813</v>
      </c>
      <c r="N3606" s="133">
        <v>2000</v>
      </c>
      <c r="O3606" s="179" t="s">
        <v>7417</v>
      </c>
      <c r="P3606" s="108">
        <v>151</v>
      </c>
      <c r="Q3606" s="85" t="s">
        <v>7071</v>
      </c>
    </row>
    <row r="3607" spans="1:17">
      <c r="A3607" s="213" t="s">
        <v>2594</v>
      </c>
      <c r="B3607" s="141" t="s">
        <v>5805</v>
      </c>
      <c r="C3607" s="118" t="s">
        <v>3817</v>
      </c>
      <c r="D3607" s="141"/>
      <c r="E3607" s="118"/>
      <c r="F3607" s="118"/>
      <c r="G3607" s="118" t="s">
        <v>3618</v>
      </c>
      <c r="H3607" s="118" t="s">
        <v>3638</v>
      </c>
      <c r="I3607" s="118" t="s">
        <v>3204</v>
      </c>
      <c r="J3607" s="118" t="s">
        <v>7332</v>
      </c>
      <c r="K3607" s="141"/>
      <c r="L3607" s="135" t="str">
        <f t="shared" si="205"/>
        <v>Margaretamys parvus</v>
      </c>
      <c r="M3607" s="133">
        <f t="shared" si="206"/>
        <v>1.5065050324048721</v>
      </c>
      <c r="N3607" s="133">
        <f>1000*AVERAGE(0.0346, 0.0296)</f>
        <v>32.1</v>
      </c>
      <c r="O3607" s="179" t="s">
        <v>3356</v>
      </c>
      <c r="P3607" s="108">
        <v>60</v>
      </c>
      <c r="Q3607" s="80" t="s">
        <v>6988</v>
      </c>
    </row>
    <row r="3608" spans="1:17">
      <c r="A3608" s="213" t="s">
        <v>2594</v>
      </c>
      <c r="B3608" s="141" t="s">
        <v>5805</v>
      </c>
      <c r="C3608" s="118" t="s">
        <v>3817</v>
      </c>
      <c r="D3608" s="141"/>
      <c r="E3608" s="118"/>
      <c r="F3608" s="118"/>
      <c r="G3608" s="118" t="s">
        <v>3618</v>
      </c>
      <c r="H3608" s="118" t="s">
        <v>3638</v>
      </c>
      <c r="I3608" s="118" t="s">
        <v>3204</v>
      </c>
      <c r="J3608" s="118" t="s">
        <v>8172</v>
      </c>
      <c r="K3608" s="141"/>
      <c r="L3608" s="135" t="str">
        <f t="shared" si="205"/>
        <v>Margaretamys beccarii</v>
      </c>
      <c r="M3608" s="133">
        <f t="shared" si="206"/>
        <v>1.8472641017707645</v>
      </c>
      <c r="N3608" s="133">
        <f>1000*AVERAGE(0.0783, 0.0624)</f>
        <v>70.349999999999994</v>
      </c>
      <c r="O3608" s="179" t="s">
        <v>3356</v>
      </c>
      <c r="P3608" s="108">
        <v>60</v>
      </c>
      <c r="Q3608" s="80"/>
    </row>
    <row r="3609" spans="1:17">
      <c r="A3609" s="213" t="s">
        <v>2594</v>
      </c>
      <c r="B3609" s="141" t="s">
        <v>5805</v>
      </c>
      <c r="C3609" s="118" t="s">
        <v>3817</v>
      </c>
      <c r="D3609" s="141"/>
      <c r="E3609" s="118"/>
      <c r="F3609" s="118"/>
      <c r="G3609" s="118" t="s">
        <v>3618</v>
      </c>
      <c r="H3609" s="118" t="s">
        <v>3638</v>
      </c>
      <c r="I3609" s="118" t="s">
        <v>3204</v>
      </c>
      <c r="J3609" s="118" t="s">
        <v>2076</v>
      </c>
      <c r="K3609" s="141"/>
      <c r="L3609" s="135" t="str">
        <f t="shared" si="205"/>
        <v>Margaretamys elegans</v>
      </c>
      <c r="M3609" s="133">
        <f t="shared" si="206"/>
        <v>2.0827853703164503</v>
      </c>
      <c r="N3609" s="133">
        <f>1000*AVERAGE(0.125, 0.117)</f>
        <v>121</v>
      </c>
      <c r="O3609" s="179" t="s">
        <v>3356</v>
      </c>
      <c r="P3609" s="108">
        <v>60</v>
      </c>
      <c r="Q3609" s="80" t="s">
        <v>6988</v>
      </c>
    </row>
    <row r="3610" spans="1:17">
      <c r="A3610" s="213" t="s">
        <v>2594</v>
      </c>
      <c r="B3610" s="141" t="s">
        <v>2275</v>
      </c>
      <c r="C3610" s="118" t="s">
        <v>3817</v>
      </c>
      <c r="D3610" s="141"/>
      <c r="E3610" s="118"/>
      <c r="F3610" s="118"/>
      <c r="G3610" s="118" t="s">
        <v>3618</v>
      </c>
      <c r="H3610" s="121" t="s">
        <v>3638</v>
      </c>
      <c r="I3610" s="118" t="s">
        <v>8323</v>
      </c>
      <c r="J3610" s="118" t="s">
        <v>3223</v>
      </c>
      <c r="K3610" s="141"/>
      <c r="L3610" s="135" t="str">
        <f t="shared" si="205"/>
        <v>Maxomys hylomyoides</v>
      </c>
      <c r="M3610" s="133">
        <f t="shared" si="206"/>
        <v>1.7528164311882715</v>
      </c>
      <c r="N3610" s="133">
        <f>1000*0.0566</f>
        <v>56.599999999999994</v>
      </c>
      <c r="O3610" s="179" t="s">
        <v>3356</v>
      </c>
      <c r="P3610" s="108">
        <v>60</v>
      </c>
      <c r="Q3610" s="80" t="s">
        <v>6642</v>
      </c>
    </row>
    <row r="3611" spans="1:17">
      <c r="A3611" s="213" t="s">
        <v>2594</v>
      </c>
      <c r="B3611" s="130" t="s">
        <v>2600</v>
      </c>
      <c r="C3611" s="118" t="s">
        <v>3817</v>
      </c>
      <c r="D3611" s="141"/>
      <c r="E3611" s="118"/>
      <c r="F3611" s="118"/>
      <c r="G3611" s="118" t="s">
        <v>3618</v>
      </c>
      <c r="H3611" s="118" t="s">
        <v>3638</v>
      </c>
      <c r="I3611" s="118" t="s">
        <v>8323</v>
      </c>
      <c r="J3611" s="118" t="s">
        <v>5495</v>
      </c>
      <c r="K3611" s="141"/>
      <c r="L3611" s="135" t="str">
        <f t="shared" si="205"/>
        <v>Maxomys whiteheadi</v>
      </c>
      <c r="M3611" s="133">
        <f t="shared" si="206"/>
        <v>1.7610921743529879</v>
      </c>
      <c r="N3611" s="133">
        <f>AVERAGE(30, 83, 50, 52.3, 51.9, 74.3, 62.4, 67.7, 47.6)</f>
        <v>57.688888888888883</v>
      </c>
      <c r="O3611" s="179"/>
      <c r="P3611" s="108" t="s">
        <v>1475</v>
      </c>
      <c r="Q3611" s="80"/>
    </row>
    <row r="3612" spans="1:17">
      <c r="A3612" s="213" t="s">
        <v>2594</v>
      </c>
      <c r="B3612" s="141" t="s">
        <v>2109</v>
      </c>
      <c r="C3612" s="118" t="s">
        <v>3817</v>
      </c>
      <c r="D3612" s="141"/>
      <c r="E3612" s="118"/>
      <c r="F3612" s="118"/>
      <c r="G3612" s="118" t="s">
        <v>3618</v>
      </c>
      <c r="H3612" s="118" t="s">
        <v>3638</v>
      </c>
      <c r="I3612" s="118" t="s">
        <v>8323</v>
      </c>
      <c r="J3612" s="118" t="s">
        <v>3992</v>
      </c>
      <c r="K3612" s="141"/>
      <c r="L3612" s="135" t="str">
        <f t="shared" si="205"/>
        <v>Maxomys baeodon</v>
      </c>
      <c r="M3612" s="133">
        <f t="shared" si="206"/>
        <v>1.8438554226231612</v>
      </c>
      <c r="N3612" s="133">
        <f>1000*0.0698</f>
        <v>69.8</v>
      </c>
      <c r="O3612" s="179" t="s">
        <v>3356</v>
      </c>
      <c r="P3612" s="108">
        <v>60</v>
      </c>
      <c r="Q3612" s="80" t="s">
        <v>6640</v>
      </c>
    </row>
    <row r="3613" spans="1:17">
      <c r="A3613" s="213" t="s">
        <v>2594</v>
      </c>
      <c r="B3613" s="141" t="s">
        <v>5805</v>
      </c>
      <c r="C3613" s="121" t="s">
        <v>3817</v>
      </c>
      <c r="D3613" s="156"/>
      <c r="E3613" s="121"/>
      <c r="F3613" s="121"/>
      <c r="G3613" s="121" t="s">
        <v>3618</v>
      </c>
      <c r="H3613" s="121" t="s">
        <v>3638</v>
      </c>
      <c r="I3613" s="121" t="s">
        <v>8323</v>
      </c>
      <c r="J3613" s="121" t="s">
        <v>5703</v>
      </c>
      <c r="K3613" s="156"/>
      <c r="L3613" s="135" t="str">
        <f t="shared" si="205"/>
        <v>Maxomys musschenbroekii</v>
      </c>
      <c r="M3613" s="133">
        <f t="shared" si="206"/>
        <v>1.9283958522567137</v>
      </c>
      <c r="N3613" s="133">
        <f>1000*0.0848</f>
        <v>84.8</v>
      </c>
      <c r="O3613" s="182" t="s">
        <v>3356</v>
      </c>
      <c r="P3613" s="108">
        <v>60</v>
      </c>
      <c r="Q3613" s="80"/>
    </row>
    <row r="3614" spans="1:17">
      <c r="A3614" s="213" t="s">
        <v>2594</v>
      </c>
      <c r="B3614" s="141" t="s">
        <v>2109</v>
      </c>
      <c r="C3614" s="118" t="s">
        <v>3817</v>
      </c>
      <c r="D3614" s="141"/>
      <c r="E3614" s="118"/>
      <c r="F3614" s="118"/>
      <c r="G3614" s="118" t="s">
        <v>3618</v>
      </c>
      <c r="H3614" s="118" t="s">
        <v>3638</v>
      </c>
      <c r="I3614" s="118" t="s">
        <v>8323</v>
      </c>
      <c r="J3614" s="118" t="s">
        <v>5373</v>
      </c>
      <c r="K3614" s="141"/>
      <c r="L3614" s="135" t="str">
        <f t="shared" si="205"/>
        <v>Maxomys alticola</v>
      </c>
      <c r="M3614" s="133">
        <f t="shared" si="206"/>
        <v>1.954242509439325</v>
      </c>
      <c r="N3614" s="133">
        <v>90</v>
      </c>
      <c r="O3614" s="179" t="s">
        <v>3356</v>
      </c>
      <c r="P3614" s="108">
        <v>257</v>
      </c>
      <c r="Q3614" s="80" t="s">
        <v>6640</v>
      </c>
    </row>
    <row r="3615" spans="1:17">
      <c r="A3615" s="213" t="s">
        <v>2594</v>
      </c>
      <c r="B3615" s="141" t="s">
        <v>2109</v>
      </c>
      <c r="C3615" s="118" t="s">
        <v>3817</v>
      </c>
      <c r="D3615" s="141"/>
      <c r="E3615" s="118"/>
      <c r="F3615" s="118"/>
      <c r="G3615" s="118" t="s">
        <v>3618</v>
      </c>
      <c r="H3615" s="118" t="s">
        <v>3638</v>
      </c>
      <c r="I3615" s="118" t="s">
        <v>8323</v>
      </c>
      <c r="J3615" s="118" t="s">
        <v>5875</v>
      </c>
      <c r="K3615" s="141"/>
      <c r="L3615" s="135" t="str">
        <f t="shared" si="205"/>
        <v>Maxomys ochraceiventer</v>
      </c>
      <c r="M3615" s="133">
        <f t="shared" si="206"/>
        <v>1.9867717342662448</v>
      </c>
      <c r="N3615" s="133">
        <f>AVERAGE(92.5, 101.5)</f>
        <v>97</v>
      </c>
      <c r="O3615" s="179" t="s">
        <v>3356</v>
      </c>
      <c r="P3615" s="108">
        <v>257</v>
      </c>
      <c r="Q3615" s="80"/>
    </row>
    <row r="3616" spans="1:17">
      <c r="A3616" s="213" t="s">
        <v>2594</v>
      </c>
      <c r="B3616" s="141" t="s">
        <v>2538</v>
      </c>
      <c r="C3616" s="118" t="s">
        <v>3817</v>
      </c>
      <c r="D3616" s="141"/>
      <c r="E3616" s="118"/>
      <c r="F3616" s="118"/>
      <c r="G3616" s="118" t="s">
        <v>3618</v>
      </c>
      <c r="H3616" s="118" t="s">
        <v>3638</v>
      </c>
      <c r="I3616" s="118" t="s">
        <v>8323</v>
      </c>
      <c r="J3616" s="118" t="s">
        <v>3993</v>
      </c>
      <c r="K3616" s="141"/>
      <c r="L3616" s="135" t="str">
        <f t="shared" si="205"/>
        <v>Maxomys bartelsii</v>
      </c>
      <c r="M3616" s="133">
        <f t="shared" si="206"/>
        <v>2.0086001717619175</v>
      </c>
      <c r="N3616" s="133">
        <v>102</v>
      </c>
      <c r="O3616" s="179" t="s">
        <v>3356</v>
      </c>
      <c r="P3616" s="108">
        <v>60</v>
      </c>
      <c r="Q3616" s="80"/>
    </row>
    <row r="3617" spans="1:22">
      <c r="A3617" s="213" t="s">
        <v>2594</v>
      </c>
      <c r="B3617" s="141" t="s">
        <v>5805</v>
      </c>
      <c r="C3617" s="118" t="s">
        <v>3817</v>
      </c>
      <c r="D3617" s="141"/>
      <c r="E3617" s="118"/>
      <c r="F3617" s="118"/>
      <c r="G3617" s="118" t="s">
        <v>3618</v>
      </c>
      <c r="H3617" s="118" t="s">
        <v>3638</v>
      </c>
      <c r="I3617" s="118" t="s">
        <v>8323</v>
      </c>
      <c r="J3617" s="118" t="s">
        <v>3994</v>
      </c>
      <c r="K3617" s="141"/>
      <c r="L3617" s="135" t="str">
        <f t="shared" si="205"/>
        <v>Maxomys dollmani</v>
      </c>
      <c r="M3617" s="133">
        <f t="shared" si="206"/>
        <v>2.0791812460476247</v>
      </c>
      <c r="N3617" s="133">
        <v>120</v>
      </c>
      <c r="O3617" s="179" t="s">
        <v>3356</v>
      </c>
      <c r="P3617" s="108">
        <v>60</v>
      </c>
      <c r="Q3617" s="80" t="s">
        <v>6988</v>
      </c>
    </row>
    <row r="3618" spans="1:22">
      <c r="A3618" s="213" t="s">
        <v>2594</v>
      </c>
      <c r="B3618" s="141" t="s">
        <v>5805</v>
      </c>
      <c r="C3618" s="118" t="s">
        <v>3817</v>
      </c>
      <c r="D3618" s="141"/>
      <c r="E3618" s="118"/>
      <c r="F3618" s="118"/>
      <c r="G3618" s="118" t="s">
        <v>3618</v>
      </c>
      <c r="H3618" s="121" t="s">
        <v>3638</v>
      </c>
      <c r="I3618" s="118" t="s">
        <v>8323</v>
      </c>
      <c r="J3618" s="118" t="s">
        <v>5676</v>
      </c>
      <c r="K3618" s="141"/>
      <c r="L3618" s="135" t="str">
        <f t="shared" si="205"/>
        <v>Maxomys wattsi</v>
      </c>
      <c r="M3618" s="133">
        <f t="shared" si="206"/>
        <v>2.167317334748176</v>
      </c>
      <c r="N3618" s="133">
        <v>147</v>
      </c>
      <c r="O3618" s="179" t="s">
        <v>3356</v>
      </c>
      <c r="P3618" s="108">
        <v>60</v>
      </c>
      <c r="Q3618" s="80" t="s">
        <v>6640</v>
      </c>
    </row>
    <row r="3619" spans="1:22" ht="25.5">
      <c r="A3619" s="213" t="s">
        <v>2594</v>
      </c>
      <c r="B3619" s="141" t="s">
        <v>2434</v>
      </c>
      <c r="C3619" s="118" t="s">
        <v>3817</v>
      </c>
      <c r="D3619" s="141"/>
      <c r="E3619" s="118"/>
      <c r="F3619" s="118"/>
      <c r="G3619" s="118" t="s">
        <v>3618</v>
      </c>
      <c r="H3619" s="118" t="s">
        <v>3638</v>
      </c>
      <c r="I3619" s="118" t="s">
        <v>8323</v>
      </c>
      <c r="J3619" s="118" t="s">
        <v>5674</v>
      </c>
      <c r="K3619" s="141"/>
      <c r="L3619" s="135" t="str">
        <f t="shared" si="205"/>
        <v>Maxomys rajah</v>
      </c>
      <c r="M3619" s="133">
        <f t="shared" si="206"/>
        <v>2.1775364999298623</v>
      </c>
      <c r="N3619" s="133">
        <f>AVERAGE(95, 218, 71, 218)</f>
        <v>150.5</v>
      </c>
      <c r="O3619" s="179" t="s">
        <v>3356</v>
      </c>
      <c r="P3619" s="118" t="s">
        <v>7805</v>
      </c>
      <c r="Q3619" s="80"/>
    </row>
    <row r="3620" spans="1:22">
      <c r="A3620" s="213" t="s">
        <v>2594</v>
      </c>
      <c r="B3620" s="141" t="s">
        <v>2275</v>
      </c>
      <c r="C3620" s="118" t="s">
        <v>3817</v>
      </c>
      <c r="D3620" s="141"/>
      <c r="E3620" s="118"/>
      <c r="F3620" s="118"/>
      <c r="G3620" s="118" t="s">
        <v>3618</v>
      </c>
      <c r="H3620" s="121" t="s">
        <v>3638</v>
      </c>
      <c r="I3620" s="118" t="s">
        <v>8323</v>
      </c>
      <c r="J3620" s="118" t="s">
        <v>6052</v>
      </c>
      <c r="K3620" s="141"/>
      <c r="L3620" s="135" t="str">
        <f t="shared" si="205"/>
        <v>Maxomys inflatus</v>
      </c>
      <c r="M3620" s="133">
        <f t="shared" si="206"/>
        <v>2.1818435879447726</v>
      </c>
      <c r="N3620" s="133">
        <v>152</v>
      </c>
      <c r="O3620" s="179" t="s">
        <v>3356</v>
      </c>
      <c r="P3620" s="108">
        <v>60</v>
      </c>
      <c r="Q3620" s="80"/>
    </row>
    <row r="3621" spans="1:22" ht="25.5">
      <c r="A3621" s="213" t="s">
        <v>2594</v>
      </c>
      <c r="B3621" s="141" t="s">
        <v>3256</v>
      </c>
      <c r="C3621" s="118" t="s">
        <v>3817</v>
      </c>
      <c r="D3621" s="141"/>
      <c r="E3621" s="118"/>
      <c r="F3621" s="118"/>
      <c r="G3621" s="118" t="s">
        <v>3618</v>
      </c>
      <c r="H3621" s="121" t="s">
        <v>3638</v>
      </c>
      <c r="I3621" s="118" t="s">
        <v>8323</v>
      </c>
      <c r="J3621" s="118" t="s">
        <v>5675</v>
      </c>
      <c r="K3621" s="141"/>
      <c r="L3621" s="135" t="str">
        <f t="shared" si="205"/>
        <v>Maxomys surifer</v>
      </c>
      <c r="M3621" s="133">
        <f t="shared" si="206"/>
        <v>2.2087483868379958</v>
      </c>
      <c r="N3621" s="133">
        <f>1000*AVERAGE(0.17, 0.177, 0.15, 0.13, 0.155, 0.15, 0.2)</f>
        <v>161.71428571428572</v>
      </c>
      <c r="O3621" s="179" t="s">
        <v>3356</v>
      </c>
      <c r="P3621" s="108" t="s">
        <v>7812</v>
      </c>
      <c r="Q3621" s="80"/>
      <c r="U3621" s="20"/>
      <c r="V3621" s="20"/>
    </row>
    <row r="3622" spans="1:22" ht="63.75">
      <c r="A3622" s="213" t="s">
        <v>2594</v>
      </c>
      <c r="B3622" s="141" t="s">
        <v>3240</v>
      </c>
      <c r="C3622" s="118" t="s">
        <v>3817</v>
      </c>
      <c r="D3622" s="141"/>
      <c r="E3622" s="118"/>
      <c r="F3622" s="118"/>
      <c r="G3622" s="118" t="s">
        <v>3618</v>
      </c>
      <c r="H3622" s="118" t="s">
        <v>3638</v>
      </c>
      <c r="I3622" s="118" t="s">
        <v>8323</v>
      </c>
      <c r="J3622" s="118" t="s">
        <v>5673</v>
      </c>
      <c r="K3622" s="141"/>
      <c r="L3622" s="135" t="str">
        <f t="shared" si="205"/>
        <v>Maxomys panglima</v>
      </c>
      <c r="M3622" s="133">
        <f t="shared" si="206"/>
        <v>2.2764618041732443</v>
      </c>
      <c r="N3622" s="133">
        <v>189</v>
      </c>
      <c r="O3622" s="179" t="s">
        <v>3356</v>
      </c>
      <c r="P3622" s="108">
        <v>60</v>
      </c>
      <c r="Q3622" s="80" t="s">
        <v>6642</v>
      </c>
      <c r="U3622" s="20"/>
      <c r="V3622" s="20"/>
    </row>
    <row r="3623" spans="1:22" ht="25.5">
      <c r="A3623" s="217" t="s">
        <v>2594</v>
      </c>
      <c r="B3623" s="141" t="s">
        <v>2316</v>
      </c>
      <c r="C3623" s="118" t="s">
        <v>3817</v>
      </c>
      <c r="D3623" s="141"/>
      <c r="E3623" s="118"/>
      <c r="F3623" s="118"/>
      <c r="G3623" s="118" t="s">
        <v>3618</v>
      </c>
      <c r="H3623" s="118" t="s">
        <v>3638</v>
      </c>
      <c r="I3623" s="118" t="s">
        <v>8323</v>
      </c>
      <c r="J3623" s="118" t="s">
        <v>5672</v>
      </c>
      <c r="K3623" s="141"/>
      <c r="L3623" s="135" t="str">
        <f t="shared" si="205"/>
        <v>Maxomys pagensis</v>
      </c>
      <c r="M3623" s="133">
        <f t="shared" si="206"/>
        <v>2.2922560713564759</v>
      </c>
      <c r="N3623" s="133">
        <v>196</v>
      </c>
      <c r="O3623" s="179" t="s">
        <v>3356</v>
      </c>
      <c r="P3623" s="108">
        <v>60</v>
      </c>
      <c r="Q3623" s="80" t="s">
        <v>6642</v>
      </c>
      <c r="U3623" s="20"/>
      <c r="V3623" s="20"/>
    </row>
    <row r="3624" spans="1:22">
      <c r="A3624" s="213" t="s">
        <v>2594</v>
      </c>
      <c r="B3624" s="141" t="s">
        <v>5805</v>
      </c>
      <c r="C3624" s="118" t="s">
        <v>3817</v>
      </c>
      <c r="D3624" s="141"/>
      <c r="E3624" s="118"/>
      <c r="F3624" s="118"/>
      <c r="G3624" s="118" t="s">
        <v>3618</v>
      </c>
      <c r="H3624" s="118" t="s">
        <v>3638</v>
      </c>
      <c r="I3624" s="118" t="s">
        <v>8323</v>
      </c>
      <c r="J3624" s="118" t="s">
        <v>3222</v>
      </c>
      <c r="K3624" s="141"/>
      <c r="L3624" s="135" t="str">
        <f t="shared" si="205"/>
        <v>Maxomys hellwaldii</v>
      </c>
      <c r="M3624" s="133">
        <f t="shared" si="206"/>
        <v>2.307496037913213</v>
      </c>
      <c r="N3624" s="133">
        <v>203</v>
      </c>
      <c r="O3624" s="179" t="s">
        <v>3356</v>
      </c>
      <c r="P3624" s="108">
        <v>60</v>
      </c>
      <c r="Q3624" s="80"/>
      <c r="U3624" s="20"/>
      <c r="V3624" s="20"/>
    </row>
    <row r="3625" spans="1:22" ht="25.5">
      <c r="A3625" s="213" t="s">
        <v>2594</v>
      </c>
      <c r="B3625" s="141" t="s">
        <v>2170</v>
      </c>
      <c r="C3625" s="118" t="s">
        <v>3817</v>
      </c>
      <c r="D3625" s="141"/>
      <c r="E3625" s="118"/>
      <c r="F3625" s="118"/>
      <c r="G3625" s="118" t="s">
        <v>3618</v>
      </c>
      <c r="H3625" s="118" t="s">
        <v>3638</v>
      </c>
      <c r="I3625" s="118" t="s">
        <v>8199</v>
      </c>
      <c r="J3625" s="118" t="s">
        <v>8200</v>
      </c>
      <c r="K3625" s="141"/>
      <c r="L3625" s="135" t="str">
        <f t="shared" si="205"/>
        <v>Mayermys ellermani</v>
      </c>
      <c r="M3625" s="133">
        <f t="shared" si="206"/>
        <v>1.3521825181113625</v>
      </c>
      <c r="N3625" s="133">
        <v>22.5</v>
      </c>
      <c r="O3625" s="179" t="s">
        <v>7284</v>
      </c>
      <c r="P3625" s="108">
        <v>151</v>
      </c>
      <c r="Q3625" s="85" t="s">
        <v>6988</v>
      </c>
      <c r="U3625" s="20"/>
      <c r="V3625" s="20"/>
    </row>
    <row r="3626" spans="1:22" ht="15" customHeight="1">
      <c r="A3626" s="213" t="s">
        <v>2594</v>
      </c>
      <c r="B3626" s="141" t="s">
        <v>5805</v>
      </c>
      <c r="C3626" s="118" t="s">
        <v>3817</v>
      </c>
      <c r="D3626" s="141"/>
      <c r="E3626" s="118"/>
      <c r="F3626" s="118"/>
      <c r="G3626" s="118" t="s">
        <v>3618</v>
      </c>
      <c r="H3626" s="118" t="s">
        <v>3638</v>
      </c>
      <c r="I3626" s="118" t="s">
        <v>8201</v>
      </c>
      <c r="J3626" s="118" t="s">
        <v>7088</v>
      </c>
      <c r="K3626" s="141"/>
      <c r="L3626" s="135" t="str">
        <f t="shared" si="205"/>
        <v>Melasmothrix naso</v>
      </c>
      <c r="M3626" s="133">
        <f t="shared" si="206"/>
        <v>1.6762362167633114</v>
      </c>
      <c r="N3626" s="133">
        <f>1000*AVERAGE(0.0508, 0.0441)</f>
        <v>47.449999999999996</v>
      </c>
      <c r="O3626" s="179" t="s">
        <v>3356</v>
      </c>
      <c r="P3626" s="108">
        <v>60</v>
      </c>
      <c r="Q3626" s="80" t="s">
        <v>6640</v>
      </c>
      <c r="U3626" s="20"/>
      <c r="V3626" s="20"/>
    </row>
    <row r="3627" spans="1:22" ht="102">
      <c r="A3627" s="213" t="s">
        <v>2594</v>
      </c>
      <c r="B3627" s="141" t="s">
        <v>2170</v>
      </c>
      <c r="C3627" s="118" t="s">
        <v>3817</v>
      </c>
      <c r="D3627" s="141"/>
      <c r="E3627" s="118"/>
      <c r="F3627" s="118"/>
      <c r="G3627" s="118" t="s">
        <v>3618</v>
      </c>
      <c r="H3627" s="118" t="s">
        <v>3638</v>
      </c>
      <c r="I3627" s="118" t="s">
        <v>3941</v>
      </c>
      <c r="J3627" s="118" t="s">
        <v>3786</v>
      </c>
      <c r="K3627" s="141"/>
      <c r="L3627" s="135" t="str">
        <f t="shared" si="205"/>
        <v>Melomys gracilis</v>
      </c>
      <c r="M3627" s="151">
        <v>-999</v>
      </c>
      <c r="N3627" s="133">
        <v>-999</v>
      </c>
      <c r="O3627" s="179" t="s">
        <v>6787</v>
      </c>
      <c r="P3627" s="108">
        <v>151</v>
      </c>
      <c r="Q3627" s="85"/>
      <c r="U3627" s="20"/>
      <c r="V3627" s="20"/>
    </row>
    <row r="3628" spans="1:22">
      <c r="A3628" s="213" t="s">
        <v>2594</v>
      </c>
      <c r="B3628" s="130" t="s">
        <v>6122</v>
      </c>
      <c r="C3628" s="118" t="s">
        <v>3817</v>
      </c>
      <c r="D3628" s="141"/>
      <c r="E3628" s="118"/>
      <c r="F3628" s="118"/>
      <c r="G3628" s="118" t="s">
        <v>3618</v>
      </c>
      <c r="H3628" s="118" t="s">
        <v>3638</v>
      </c>
      <c r="I3628" s="118" t="s">
        <v>3941</v>
      </c>
      <c r="J3628" s="118" t="s">
        <v>8027</v>
      </c>
      <c r="K3628" s="141"/>
      <c r="L3628" s="135" t="str">
        <f t="shared" si="205"/>
        <v>Melomys spechti</v>
      </c>
      <c r="M3628" s="133">
        <v>-999</v>
      </c>
      <c r="N3628" s="133">
        <v>-999</v>
      </c>
      <c r="O3628" s="179" t="s">
        <v>3356</v>
      </c>
      <c r="P3628" s="108">
        <v>-999</v>
      </c>
      <c r="Q3628" s="80"/>
      <c r="U3628" s="20"/>
      <c r="V3628" s="20"/>
    </row>
    <row r="3629" spans="1:22" ht="25.5">
      <c r="A3629" s="212" t="s">
        <v>2594</v>
      </c>
      <c r="B3629" s="141" t="s">
        <v>2170</v>
      </c>
      <c r="C3629" s="118" t="s">
        <v>3817</v>
      </c>
      <c r="D3629" s="141"/>
      <c r="E3629" s="118"/>
      <c r="F3629" s="118"/>
      <c r="G3629" s="118" t="s">
        <v>3618</v>
      </c>
      <c r="H3629" s="118" t="s">
        <v>3638</v>
      </c>
      <c r="I3629" s="118" t="s">
        <v>3941</v>
      </c>
      <c r="J3629" s="118" t="s">
        <v>5448</v>
      </c>
      <c r="K3629" s="141"/>
      <c r="L3629" s="135" t="str">
        <f t="shared" si="205"/>
        <v>Melomys rubex</v>
      </c>
      <c r="M3629" s="133">
        <f t="shared" ref="M3629:M3650" si="207">LOG(N3629)</f>
        <v>1.6679196853173615</v>
      </c>
      <c r="N3629" s="133">
        <f>AVERAGE(48.2, 44.9)</f>
        <v>46.55</v>
      </c>
      <c r="O3629" s="179" t="s">
        <v>7056</v>
      </c>
      <c r="P3629" s="108">
        <v>151</v>
      </c>
      <c r="Q3629" s="85"/>
      <c r="U3629" s="20"/>
      <c r="V3629" s="20"/>
    </row>
    <row r="3630" spans="1:22" ht="24" customHeight="1">
      <c r="A3630" s="213" t="s">
        <v>2594</v>
      </c>
      <c r="B3630" s="130" t="s">
        <v>6376</v>
      </c>
      <c r="C3630" s="121" t="s">
        <v>3817</v>
      </c>
      <c r="D3630" s="156"/>
      <c r="E3630" s="121"/>
      <c r="F3630" s="121"/>
      <c r="G3630" s="121" t="s">
        <v>3618</v>
      </c>
      <c r="H3630" s="121" t="s">
        <v>3638</v>
      </c>
      <c r="I3630" s="121" t="s">
        <v>3941</v>
      </c>
      <c r="J3630" s="121" t="s">
        <v>5341</v>
      </c>
      <c r="K3630" s="156"/>
      <c r="L3630" s="135" t="str">
        <f t="shared" si="205"/>
        <v>Melomys fraterculus</v>
      </c>
      <c r="M3630" s="133">
        <f t="shared" si="207"/>
        <v>1.679427896612119</v>
      </c>
      <c r="N3630" s="133">
        <f>1000*0.0478</f>
        <v>47.800000000000004</v>
      </c>
      <c r="O3630" s="182" t="s">
        <v>3356</v>
      </c>
      <c r="P3630" s="115">
        <v>60</v>
      </c>
      <c r="Q3630" s="88" t="s">
        <v>6642</v>
      </c>
      <c r="U3630" s="20"/>
      <c r="V3630" s="20"/>
    </row>
    <row r="3631" spans="1:22" ht="12" customHeight="1">
      <c r="A3631" s="212" t="s">
        <v>2594</v>
      </c>
      <c r="B3631" s="141" t="s">
        <v>2170</v>
      </c>
      <c r="C3631" s="118" t="s">
        <v>3817</v>
      </c>
      <c r="D3631" s="141"/>
      <c r="E3631" s="118"/>
      <c r="F3631" s="118"/>
      <c r="G3631" s="118" t="s">
        <v>3618</v>
      </c>
      <c r="H3631" s="118" t="s">
        <v>3638</v>
      </c>
      <c r="I3631" s="118" t="s">
        <v>3941</v>
      </c>
      <c r="J3631" s="118" t="s">
        <v>4446</v>
      </c>
      <c r="K3631" s="141"/>
      <c r="L3631" s="135" t="str">
        <f t="shared" si="205"/>
        <v>Melomys rufescens</v>
      </c>
      <c r="M3631" s="133">
        <f t="shared" si="207"/>
        <v>1.7788744720027394</v>
      </c>
      <c r="N3631" s="133">
        <f>AVERAGE(60.4, 59.8)</f>
        <v>60.099999999999994</v>
      </c>
      <c r="O3631" s="179" t="s">
        <v>7016</v>
      </c>
      <c r="P3631" s="108">
        <v>151</v>
      </c>
      <c r="Q3631" s="89"/>
      <c r="U3631" s="20"/>
      <c r="V3631" s="20"/>
    </row>
    <row r="3632" spans="1:22" ht="102">
      <c r="A3632" s="212" t="s">
        <v>2594</v>
      </c>
      <c r="B3632" s="141" t="s">
        <v>2170</v>
      </c>
      <c r="C3632" s="109" t="s">
        <v>3817</v>
      </c>
      <c r="D3632" s="163"/>
      <c r="E3632" s="109"/>
      <c r="F3632" s="109"/>
      <c r="G3632" s="109" t="s">
        <v>3618</v>
      </c>
      <c r="H3632" s="109" t="s">
        <v>3638</v>
      </c>
      <c r="I3632" s="109" t="s">
        <v>3941</v>
      </c>
      <c r="J3632" s="109" t="s">
        <v>3942</v>
      </c>
      <c r="K3632" s="163"/>
      <c r="L3632" s="135" t="str">
        <f t="shared" si="205"/>
        <v>Melomys burtoni</v>
      </c>
      <c r="M3632" s="133">
        <f t="shared" si="207"/>
        <v>1.8356905714924256</v>
      </c>
      <c r="N3632" s="151">
        <v>68.5</v>
      </c>
      <c r="O3632" s="179" t="s">
        <v>7526</v>
      </c>
      <c r="P3632" s="115">
        <v>59</v>
      </c>
      <c r="Q3632" s="82" t="s">
        <v>7726</v>
      </c>
      <c r="U3632" s="20"/>
      <c r="V3632" s="20"/>
    </row>
    <row r="3633" spans="1:18">
      <c r="A3633" s="213" t="s">
        <v>2594</v>
      </c>
      <c r="B3633" s="141" t="s">
        <v>2600</v>
      </c>
      <c r="C3633" s="118" t="s">
        <v>3817</v>
      </c>
      <c r="D3633" s="141"/>
      <c r="E3633" s="118"/>
      <c r="F3633" s="118"/>
      <c r="G3633" s="118" t="s">
        <v>3618</v>
      </c>
      <c r="H3633" s="118" t="s">
        <v>3638</v>
      </c>
      <c r="I3633" s="118" t="s">
        <v>3941</v>
      </c>
      <c r="J3633" s="118" t="s">
        <v>5446</v>
      </c>
      <c r="K3633" s="141"/>
      <c r="L3633" s="135" t="str">
        <f t="shared" si="205"/>
        <v>Melomys obiensis</v>
      </c>
      <c r="M3633" s="133">
        <f t="shared" si="207"/>
        <v>1.8512583487190752</v>
      </c>
      <c r="N3633" s="133">
        <f>(74+68)/2</f>
        <v>71</v>
      </c>
      <c r="O3633" s="179" t="s">
        <v>3356</v>
      </c>
      <c r="P3633" s="108">
        <v>110</v>
      </c>
      <c r="Q3633" s="80" t="s">
        <v>6642</v>
      </c>
      <c r="R3633" s="80" t="s">
        <v>1512</v>
      </c>
    </row>
    <row r="3634" spans="1:18" ht="12" customHeight="1">
      <c r="A3634" s="212" t="s">
        <v>2594</v>
      </c>
      <c r="B3634" s="141" t="s">
        <v>2170</v>
      </c>
      <c r="C3634" s="118" t="s">
        <v>3817</v>
      </c>
      <c r="D3634" s="141"/>
      <c r="E3634" s="118"/>
      <c r="F3634" s="118"/>
      <c r="G3634" s="118" t="s">
        <v>3618</v>
      </c>
      <c r="H3634" s="118" t="s">
        <v>3638</v>
      </c>
      <c r="I3634" s="118" t="s">
        <v>3941</v>
      </c>
      <c r="J3634" s="118" t="s">
        <v>8045</v>
      </c>
      <c r="K3634" s="141"/>
      <c r="L3634" s="135" t="str">
        <f t="shared" si="205"/>
        <v>Melomys platyops</v>
      </c>
      <c r="M3634" s="133">
        <f t="shared" si="207"/>
        <v>1.885926339801431</v>
      </c>
      <c r="N3634" s="133">
        <f>AVERAGE(84.7, 69.1)</f>
        <v>76.900000000000006</v>
      </c>
      <c r="O3634" s="179" t="s">
        <v>6923</v>
      </c>
      <c r="P3634" s="108">
        <v>151</v>
      </c>
      <c r="Q3634" s="89"/>
      <c r="R3634" s="89"/>
    </row>
    <row r="3635" spans="1:18">
      <c r="A3635" s="213" t="s">
        <v>2594</v>
      </c>
      <c r="B3635" s="141" t="s">
        <v>2170</v>
      </c>
      <c r="C3635" s="118" t="s">
        <v>3817</v>
      </c>
      <c r="D3635" s="141"/>
      <c r="E3635" s="118"/>
      <c r="F3635" s="118"/>
      <c r="G3635" s="118" t="s">
        <v>3618</v>
      </c>
      <c r="H3635" s="118" t="s">
        <v>3638</v>
      </c>
      <c r="I3635" s="118" t="s">
        <v>3941</v>
      </c>
      <c r="J3635" s="118" t="s">
        <v>8202</v>
      </c>
      <c r="K3635" s="141"/>
      <c r="L3635" s="135" t="str">
        <f t="shared" si="205"/>
        <v>Melomys fellowsi</v>
      </c>
      <c r="M3635" s="133">
        <f t="shared" si="207"/>
        <v>1.9084850188786497</v>
      </c>
      <c r="N3635" s="133">
        <v>81</v>
      </c>
      <c r="O3635" s="179" t="s">
        <v>7705</v>
      </c>
      <c r="P3635" s="108">
        <v>151</v>
      </c>
      <c r="Q3635" s="85"/>
    </row>
    <row r="3636" spans="1:18" ht="63.75">
      <c r="A3636" s="212" t="s">
        <v>2594</v>
      </c>
      <c r="B3636" s="145" t="s">
        <v>1612</v>
      </c>
      <c r="C3636" s="118" t="s">
        <v>3817</v>
      </c>
      <c r="D3636" s="141"/>
      <c r="E3636" s="118"/>
      <c r="F3636" s="118"/>
      <c r="G3636" s="118" t="s">
        <v>3618</v>
      </c>
      <c r="H3636" s="118" t="s">
        <v>3638</v>
      </c>
      <c r="I3636" s="118" t="s">
        <v>3941</v>
      </c>
      <c r="J3636" s="118" t="s">
        <v>4446</v>
      </c>
      <c r="K3636" s="141"/>
      <c r="L3636" s="135" t="str">
        <f t="shared" si="205"/>
        <v>Melomys rufescens</v>
      </c>
      <c r="M3636" s="133">
        <f t="shared" si="207"/>
        <v>1.9084850188786497</v>
      </c>
      <c r="N3636" s="133">
        <f>(78+84)/2</f>
        <v>81</v>
      </c>
      <c r="O3636" s="179" t="s">
        <v>3356</v>
      </c>
      <c r="P3636" s="108">
        <v>110</v>
      </c>
      <c r="Q3636" s="80" t="s">
        <v>1512</v>
      </c>
    </row>
    <row r="3637" spans="1:18" ht="24" customHeight="1">
      <c r="A3637" s="213" t="s">
        <v>2594</v>
      </c>
      <c r="B3637" s="130" t="s">
        <v>1297</v>
      </c>
      <c r="C3637" s="118" t="s">
        <v>3817</v>
      </c>
      <c r="D3637" s="141"/>
      <c r="E3637" s="118"/>
      <c r="F3637" s="118"/>
      <c r="G3637" s="118" t="s">
        <v>3618</v>
      </c>
      <c r="H3637" s="118" t="s">
        <v>3638</v>
      </c>
      <c r="I3637" s="118" t="s">
        <v>3941</v>
      </c>
      <c r="J3637" s="118" t="s">
        <v>2554</v>
      </c>
      <c r="K3637" s="141"/>
      <c r="L3637" s="135" t="str">
        <f t="shared" si="205"/>
        <v>Melomys bougainville</v>
      </c>
      <c r="M3637" s="133">
        <f t="shared" si="207"/>
        <v>1.9344984512435677</v>
      </c>
      <c r="N3637" s="133">
        <v>86</v>
      </c>
      <c r="O3637" s="179" t="s">
        <v>3356</v>
      </c>
      <c r="P3637" s="108">
        <v>110</v>
      </c>
      <c r="Q3637" s="80" t="s">
        <v>1298</v>
      </c>
    </row>
    <row r="3638" spans="1:18" ht="38.25">
      <c r="A3638" s="213" t="s">
        <v>2594</v>
      </c>
      <c r="B3638" s="141" t="s">
        <v>2170</v>
      </c>
      <c r="C3638" s="118" t="s">
        <v>3817</v>
      </c>
      <c r="D3638" s="141"/>
      <c r="E3638" s="118"/>
      <c r="F3638" s="118"/>
      <c r="G3638" s="118" t="s">
        <v>3618</v>
      </c>
      <c r="H3638" s="118" t="s">
        <v>3638</v>
      </c>
      <c r="I3638" s="118" t="s">
        <v>3941</v>
      </c>
      <c r="J3638" s="118" t="s">
        <v>2183</v>
      </c>
      <c r="K3638" s="141"/>
      <c r="L3638" s="135" t="str">
        <f t="shared" si="205"/>
        <v>Melomys levipes</v>
      </c>
      <c r="M3638" s="133">
        <f t="shared" si="207"/>
        <v>1.9380190974762104</v>
      </c>
      <c r="N3638" s="151">
        <f>1000*AVERAGE(0.0885, 0.0782, 0.0951, 0.085)</f>
        <v>86.700000000000017</v>
      </c>
      <c r="O3638" s="179" t="s">
        <v>6715</v>
      </c>
      <c r="P3638" s="108" t="s">
        <v>1824</v>
      </c>
      <c r="Q3638" s="85" t="s">
        <v>6716</v>
      </c>
    </row>
    <row r="3639" spans="1:18" ht="25.5">
      <c r="A3639" s="213" t="s">
        <v>2594</v>
      </c>
      <c r="B3639" s="141" t="s">
        <v>2170</v>
      </c>
      <c r="C3639" s="118" t="s">
        <v>3817</v>
      </c>
      <c r="D3639" s="141"/>
      <c r="E3639" s="118"/>
      <c r="F3639" s="118"/>
      <c r="G3639" s="118" t="s">
        <v>3618</v>
      </c>
      <c r="H3639" s="118" t="s">
        <v>3638</v>
      </c>
      <c r="I3639" s="118" t="s">
        <v>3941</v>
      </c>
      <c r="J3639" s="118" t="s">
        <v>6675</v>
      </c>
      <c r="K3639" s="141"/>
      <c r="L3639" s="135" t="str">
        <f t="shared" si="205"/>
        <v>Melomys mollis</v>
      </c>
      <c r="M3639" s="133">
        <f t="shared" si="207"/>
        <v>1.954483717155552</v>
      </c>
      <c r="N3639" s="133">
        <f>AVERAGE(95.1, 85)</f>
        <v>90.05</v>
      </c>
      <c r="O3639" s="179" t="s">
        <v>4739</v>
      </c>
      <c r="P3639" s="108">
        <v>151</v>
      </c>
      <c r="Q3639" s="85"/>
    </row>
    <row r="3640" spans="1:18" ht="25.5">
      <c r="A3640" s="213" t="s">
        <v>2594</v>
      </c>
      <c r="B3640" s="141" t="s">
        <v>1404</v>
      </c>
      <c r="C3640" s="118" t="s">
        <v>3817</v>
      </c>
      <c r="D3640" s="141"/>
      <c r="E3640" s="118"/>
      <c r="F3640" s="118"/>
      <c r="G3640" s="118" t="s">
        <v>3618</v>
      </c>
      <c r="H3640" s="118" t="s">
        <v>3638</v>
      </c>
      <c r="I3640" s="118" t="s">
        <v>3941</v>
      </c>
      <c r="J3640" s="118" t="s">
        <v>3125</v>
      </c>
      <c r="K3640" s="141"/>
      <c r="L3640" s="135" t="str">
        <f t="shared" si="205"/>
        <v>Melomys moncktoni</v>
      </c>
      <c r="M3640" s="133">
        <f t="shared" si="207"/>
        <v>1.9795483747040952</v>
      </c>
      <c r="N3640" s="133">
        <f>(101+89.8)/2</f>
        <v>95.4</v>
      </c>
      <c r="O3640" s="179" t="s">
        <v>3356</v>
      </c>
      <c r="P3640" s="108">
        <v>110</v>
      </c>
      <c r="Q3640" s="80" t="s">
        <v>1512</v>
      </c>
    </row>
    <row r="3641" spans="1:18" ht="38.25">
      <c r="A3641" s="213" t="s">
        <v>2594</v>
      </c>
      <c r="B3641" s="141" t="s">
        <v>2170</v>
      </c>
      <c r="C3641" s="118" t="s">
        <v>3817</v>
      </c>
      <c r="D3641" s="141"/>
      <c r="E3641" s="118"/>
      <c r="F3641" s="118"/>
      <c r="G3641" s="118" t="s">
        <v>3618</v>
      </c>
      <c r="H3641" s="118" t="s">
        <v>3638</v>
      </c>
      <c r="I3641" s="118" t="s">
        <v>3941</v>
      </c>
      <c r="J3641" s="118" t="s">
        <v>3125</v>
      </c>
      <c r="K3641" s="141"/>
      <c r="L3641" s="135" t="str">
        <f t="shared" si="205"/>
        <v>Melomys moncktoni</v>
      </c>
      <c r="M3641" s="133">
        <f t="shared" si="207"/>
        <v>1.9795483747040952</v>
      </c>
      <c r="N3641" s="133">
        <f>(101+89.8)/2</f>
        <v>95.4</v>
      </c>
      <c r="O3641" s="179" t="s">
        <v>7304</v>
      </c>
      <c r="P3641" s="108">
        <v>110</v>
      </c>
      <c r="Q3641" s="85"/>
    </row>
    <row r="3642" spans="1:18" ht="12" customHeight="1">
      <c r="A3642" s="213" t="s">
        <v>2594</v>
      </c>
      <c r="B3642" s="130" t="s">
        <v>6376</v>
      </c>
      <c r="C3642" s="118" t="s">
        <v>3817</v>
      </c>
      <c r="D3642" s="141"/>
      <c r="E3642" s="118"/>
      <c r="F3642" s="118"/>
      <c r="G3642" s="118" t="s">
        <v>3618</v>
      </c>
      <c r="H3642" s="121" t="s">
        <v>3638</v>
      </c>
      <c r="I3642" s="118" t="s">
        <v>3941</v>
      </c>
      <c r="J3642" s="118" t="s">
        <v>7452</v>
      </c>
      <c r="K3642" s="141"/>
      <c r="L3642" s="135" t="str">
        <f t="shared" si="205"/>
        <v>Melomys aerosus</v>
      </c>
      <c r="M3642" s="133">
        <f t="shared" si="207"/>
        <v>1.9881128402683519</v>
      </c>
      <c r="N3642" s="133">
        <f>1000*0.0973</f>
        <v>97.3</v>
      </c>
      <c r="O3642" s="179" t="s">
        <v>3356</v>
      </c>
      <c r="P3642" s="115">
        <v>60</v>
      </c>
      <c r="Q3642" s="88" t="s">
        <v>6642</v>
      </c>
    </row>
    <row r="3643" spans="1:18" ht="25.5">
      <c r="A3643" s="213" t="s">
        <v>2594</v>
      </c>
      <c r="B3643" s="130" t="s">
        <v>2600</v>
      </c>
      <c r="C3643" s="118" t="s">
        <v>3817</v>
      </c>
      <c r="D3643" s="141"/>
      <c r="E3643" s="118"/>
      <c r="F3643" s="118"/>
      <c r="G3643" s="118" t="s">
        <v>3618</v>
      </c>
      <c r="H3643" s="118" t="s">
        <v>3638</v>
      </c>
      <c r="I3643" s="118" t="s">
        <v>3941</v>
      </c>
      <c r="J3643" s="118" t="s">
        <v>4045</v>
      </c>
      <c r="K3643" s="141"/>
      <c r="L3643" s="135" t="str">
        <f t="shared" si="205"/>
        <v>Melomys leucogaster</v>
      </c>
      <c r="M3643" s="133">
        <f t="shared" si="207"/>
        <v>2.0354297381845483</v>
      </c>
      <c r="N3643" s="133">
        <f>AVERAGE(121, 96)</f>
        <v>108.5</v>
      </c>
      <c r="O3643" s="179" t="s">
        <v>6714</v>
      </c>
      <c r="P3643" s="108">
        <v>151</v>
      </c>
      <c r="Q3643" s="80"/>
    </row>
    <row r="3644" spans="1:18" ht="25.5">
      <c r="A3644" s="213" t="s">
        <v>2594</v>
      </c>
      <c r="B3644" s="141" t="s">
        <v>2170</v>
      </c>
      <c r="C3644" s="118" t="s">
        <v>3817</v>
      </c>
      <c r="D3644" s="141"/>
      <c r="E3644" s="118"/>
      <c r="F3644" s="118"/>
      <c r="G3644" s="118" t="s">
        <v>3618</v>
      </c>
      <c r="H3644" s="118" t="s">
        <v>3638</v>
      </c>
      <c r="I3644" s="118" t="s">
        <v>3941</v>
      </c>
      <c r="J3644" s="118" t="s">
        <v>4045</v>
      </c>
      <c r="K3644" s="141"/>
      <c r="L3644" s="135" t="str">
        <f t="shared" si="205"/>
        <v>Melomys leucogaster</v>
      </c>
      <c r="M3644" s="133">
        <f t="shared" si="207"/>
        <v>2.0354297381845483</v>
      </c>
      <c r="N3644" s="133">
        <f>AVERAGE(121, 96)</f>
        <v>108.5</v>
      </c>
      <c r="O3644" s="179" t="s">
        <v>6714</v>
      </c>
      <c r="P3644" s="108">
        <v>151</v>
      </c>
      <c r="Q3644" s="85"/>
    </row>
    <row r="3645" spans="1:18" ht="15" customHeight="1">
      <c r="A3645" s="213" t="s">
        <v>2594</v>
      </c>
      <c r="B3645" s="141" t="s">
        <v>2170</v>
      </c>
      <c r="C3645" s="118" t="s">
        <v>3817</v>
      </c>
      <c r="D3645" s="141"/>
      <c r="E3645" s="118"/>
      <c r="F3645" s="118"/>
      <c r="G3645" s="118" t="s">
        <v>3618</v>
      </c>
      <c r="H3645" s="118" t="s">
        <v>3638</v>
      </c>
      <c r="I3645" s="118" t="s">
        <v>3941</v>
      </c>
      <c r="J3645" s="118" t="s">
        <v>3426</v>
      </c>
      <c r="K3645" s="141"/>
      <c r="L3645" s="135" t="str">
        <f t="shared" si="205"/>
        <v>Melomys lanosus</v>
      </c>
      <c r="M3645" s="133">
        <f t="shared" si="207"/>
        <v>2.0689276116820721</v>
      </c>
      <c r="N3645" s="133">
        <f>AVERAGE(122, 112.4)</f>
        <v>117.2</v>
      </c>
      <c r="O3645" s="179" t="s">
        <v>6723</v>
      </c>
      <c r="P3645" s="108">
        <v>151</v>
      </c>
      <c r="Q3645" s="85"/>
    </row>
    <row r="3646" spans="1:18" ht="51">
      <c r="A3646" s="212" t="s">
        <v>2594</v>
      </c>
      <c r="B3646" s="145" t="s">
        <v>1584</v>
      </c>
      <c r="C3646" s="118" t="s">
        <v>3817</v>
      </c>
      <c r="D3646" s="141"/>
      <c r="E3646" s="118"/>
      <c r="F3646" s="118"/>
      <c r="G3646" s="118" t="s">
        <v>3618</v>
      </c>
      <c r="H3646" s="118" t="s">
        <v>3638</v>
      </c>
      <c r="I3646" s="118" t="s">
        <v>3941</v>
      </c>
      <c r="J3646" s="118" t="s">
        <v>8045</v>
      </c>
      <c r="K3646" s="141"/>
      <c r="L3646" s="135" t="str">
        <f t="shared" si="205"/>
        <v>Melomys platyops</v>
      </c>
      <c r="M3646" s="133">
        <f t="shared" si="207"/>
        <v>2.1189257528257768</v>
      </c>
      <c r="N3646" s="133">
        <f>(130+133)/2</f>
        <v>131.5</v>
      </c>
      <c r="O3646" s="179" t="s">
        <v>3356</v>
      </c>
      <c r="P3646" s="108">
        <v>110</v>
      </c>
      <c r="Q3646" s="80" t="s">
        <v>1512</v>
      </c>
    </row>
    <row r="3647" spans="1:18">
      <c r="A3647" s="212" t="s">
        <v>2594</v>
      </c>
      <c r="B3647" s="145" t="s">
        <v>1585</v>
      </c>
      <c r="C3647" s="118" t="s">
        <v>3817</v>
      </c>
      <c r="D3647" s="141"/>
      <c r="E3647" s="118"/>
      <c r="F3647" s="118"/>
      <c r="G3647" s="118" t="s">
        <v>3618</v>
      </c>
      <c r="H3647" s="118" t="s">
        <v>3638</v>
      </c>
      <c r="I3647" s="118" t="s">
        <v>3941</v>
      </c>
      <c r="J3647" s="118" t="s">
        <v>1595</v>
      </c>
      <c r="K3647" s="141"/>
      <c r="L3647" s="135" t="str">
        <f t="shared" si="205"/>
        <v>Melomys matambuai</v>
      </c>
      <c r="M3647" s="133">
        <f t="shared" si="207"/>
        <v>2.1613680022349748</v>
      </c>
      <c r="N3647" s="133">
        <v>145</v>
      </c>
      <c r="O3647" s="179" t="s">
        <v>3356</v>
      </c>
      <c r="P3647" s="118">
        <v>110</v>
      </c>
      <c r="Q3647" s="80" t="s">
        <v>1469</v>
      </c>
    </row>
    <row r="3648" spans="1:18">
      <c r="A3648" s="213" t="s">
        <v>2594</v>
      </c>
      <c r="B3648" s="141" t="s">
        <v>1382</v>
      </c>
      <c r="C3648" s="121" t="s">
        <v>3817</v>
      </c>
      <c r="D3648" s="156"/>
      <c r="E3648" s="121"/>
      <c r="F3648" s="121"/>
      <c r="G3648" s="121" t="s">
        <v>3618</v>
      </c>
      <c r="H3648" s="118" t="s">
        <v>3638</v>
      </c>
      <c r="I3648" s="121" t="s">
        <v>3941</v>
      </c>
      <c r="J3648" s="121" t="s">
        <v>6312</v>
      </c>
      <c r="K3648" s="156"/>
      <c r="L3648" s="135" t="str">
        <f t="shared" si="205"/>
        <v>Melomys lorentzii</v>
      </c>
      <c r="M3648" s="133">
        <f t="shared" si="207"/>
        <v>2.1760912590556813</v>
      </c>
      <c r="N3648" s="133">
        <v>150</v>
      </c>
      <c r="O3648" s="179" t="s">
        <v>3356</v>
      </c>
      <c r="P3648" s="108">
        <v>110</v>
      </c>
      <c r="Q3648" s="80" t="s">
        <v>1469</v>
      </c>
    </row>
    <row r="3649" spans="1:18" ht="102">
      <c r="A3649" s="213" t="s">
        <v>2594</v>
      </c>
      <c r="B3649" s="141" t="s">
        <v>2170</v>
      </c>
      <c r="C3649" s="118" t="s">
        <v>3817</v>
      </c>
      <c r="D3649" s="141"/>
      <c r="E3649" s="118"/>
      <c r="F3649" s="118"/>
      <c r="G3649" s="118" t="s">
        <v>3618</v>
      </c>
      <c r="H3649" s="118" t="s">
        <v>3638</v>
      </c>
      <c r="I3649" s="118" t="s">
        <v>3941</v>
      </c>
      <c r="J3649" s="118" t="s">
        <v>6312</v>
      </c>
      <c r="K3649" s="141"/>
      <c r="L3649" s="135" t="str">
        <f t="shared" si="205"/>
        <v>Melomys lorentzii</v>
      </c>
      <c r="M3649" s="133">
        <f t="shared" si="207"/>
        <v>2.1760912590556813</v>
      </c>
      <c r="N3649" s="133">
        <v>150</v>
      </c>
      <c r="O3649" s="179" t="s">
        <v>6921</v>
      </c>
      <c r="P3649" s="108">
        <v>110</v>
      </c>
      <c r="Q3649" s="85"/>
    </row>
    <row r="3650" spans="1:18" ht="12" customHeight="1">
      <c r="A3650" s="212" t="s">
        <v>2594</v>
      </c>
      <c r="B3650" s="141" t="s">
        <v>2170</v>
      </c>
      <c r="C3650" s="118" t="s">
        <v>3817</v>
      </c>
      <c r="D3650" s="141"/>
      <c r="E3650" s="118"/>
      <c r="F3650" s="118"/>
      <c r="G3650" s="118" t="s">
        <v>3618</v>
      </c>
      <c r="H3650" s="118" t="s">
        <v>3638</v>
      </c>
      <c r="I3650" s="118" t="s">
        <v>3941</v>
      </c>
      <c r="J3650" s="118" t="s">
        <v>5447</v>
      </c>
      <c r="K3650" s="141"/>
      <c r="L3650" s="135" t="str">
        <f t="shared" si="205"/>
        <v>Melomys rattoides</v>
      </c>
      <c r="M3650" s="133">
        <f t="shared" si="207"/>
        <v>2.3211840273023143</v>
      </c>
      <c r="N3650" s="133">
        <f>AVERAGE(215, 204)</f>
        <v>209.5</v>
      </c>
      <c r="O3650" s="179" t="s">
        <v>7585</v>
      </c>
      <c r="P3650" s="108">
        <v>151</v>
      </c>
      <c r="Q3650" s="89"/>
    </row>
    <row r="3651" spans="1:18" ht="12" customHeight="1">
      <c r="A3651" s="213" t="s">
        <v>2594</v>
      </c>
      <c r="B3651" s="141" t="s">
        <v>2170</v>
      </c>
      <c r="C3651" s="121" t="s">
        <v>3817</v>
      </c>
      <c r="D3651" s="156"/>
      <c r="E3651" s="121"/>
      <c r="F3651" s="121"/>
      <c r="G3651" s="121" t="s">
        <v>3618</v>
      </c>
      <c r="H3651" s="121" t="s">
        <v>3638</v>
      </c>
      <c r="I3651" s="121" t="s">
        <v>5169</v>
      </c>
      <c r="J3651" s="121" t="s">
        <v>6697</v>
      </c>
      <c r="K3651" s="156"/>
      <c r="L3651" s="135" t="str">
        <f t="shared" si="205"/>
        <v>Microhydromys musseri</v>
      </c>
      <c r="M3651" s="151">
        <v>-999</v>
      </c>
      <c r="N3651" s="143">
        <v>-999</v>
      </c>
      <c r="O3651" s="197" t="s">
        <v>5383</v>
      </c>
      <c r="P3651" s="108">
        <v>151</v>
      </c>
      <c r="Q3651" s="89"/>
      <c r="R3651" s="89"/>
    </row>
    <row r="3652" spans="1:18" ht="24" customHeight="1">
      <c r="A3652" s="213" t="s">
        <v>2594</v>
      </c>
      <c r="B3652" s="141" t="s">
        <v>2170</v>
      </c>
      <c r="C3652" s="118" t="s">
        <v>3817</v>
      </c>
      <c r="D3652" s="141"/>
      <c r="E3652" s="118"/>
      <c r="F3652" s="118"/>
      <c r="G3652" s="118" t="s">
        <v>3618</v>
      </c>
      <c r="H3652" s="118" t="s">
        <v>3638</v>
      </c>
      <c r="I3652" s="118" t="s">
        <v>5169</v>
      </c>
      <c r="J3652" s="118" t="s">
        <v>4206</v>
      </c>
      <c r="K3652" s="141"/>
      <c r="L3652" s="135" t="str">
        <f t="shared" si="205"/>
        <v>Microhydromys richardsoni</v>
      </c>
      <c r="M3652" s="133">
        <f>LOG(N3652)</f>
        <v>1.0107238653917732</v>
      </c>
      <c r="N3652" s="133">
        <f>AVERAGE(9, 11.5)</f>
        <v>10.25</v>
      </c>
      <c r="O3652" s="179" t="s">
        <v>5190</v>
      </c>
      <c r="P3652" s="108">
        <v>151</v>
      </c>
      <c r="Q3652" s="89" t="s">
        <v>6642</v>
      </c>
    </row>
    <row r="3653" spans="1:18" ht="15">
      <c r="A3653" s="213" t="s">
        <v>2594</v>
      </c>
      <c r="B3653" s="141" t="s">
        <v>2397</v>
      </c>
      <c r="C3653" s="121" t="s">
        <v>3817</v>
      </c>
      <c r="D3653" s="156"/>
      <c r="E3653" s="121"/>
      <c r="F3653" s="121"/>
      <c r="G3653" s="121" t="s">
        <v>3618</v>
      </c>
      <c r="H3653" s="118" t="s">
        <v>3638</v>
      </c>
      <c r="I3653" s="121" t="s">
        <v>4228</v>
      </c>
      <c r="J3653" s="121" t="s">
        <v>5682</v>
      </c>
      <c r="K3653" s="156"/>
      <c r="L3653" s="135" t="str">
        <f t="shared" ref="L3653:L3716" si="208">I3653&amp;" "&amp;J3653</f>
        <v>Microtus sachalinensis</v>
      </c>
      <c r="M3653" s="133">
        <v>-999</v>
      </c>
      <c r="N3653" s="143">
        <v>-999</v>
      </c>
      <c r="O3653" s="179" t="s">
        <v>3356</v>
      </c>
      <c r="P3653" s="108">
        <v>-999</v>
      </c>
      <c r="Q3653" s="88" t="s">
        <v>6642</v>
      </c>
    </row>
    <row r="3654" spans="1:18">
      <c r="A3654" s="213" t="s">
        <v>2594</v>
      </c>
      <c r="B3654" s="141" t="s">
        <v>2399</v>
      </c>
      <c r="C3654" s="118" t="s">
        <v>3817</v>
      </c>
      <c r="D3654" s="141"/>
      <c r="E3654" s="118"/>
      <c r="F3654" s="118"/>
      <c r="G3654" s="118" t="s">
        <v>3618</v>
      </c>
      <c r="H3654" s="118" t="s">
        <v>3638</v>
      </c>
      <c r="I3654" s="118" t="s">
        <v>4228</v>
      </c>
      <c r="J3654" s="118" t="s">
        <v>5683</v>
      </c>
      <c r="K3654" s="141"/>
      <c r="L3654" s="135" t="str">
        <f t="shared" si="208"/>
        <v>Microtus savii</v>
      </c>
      <c r="M3654" s="133">
        <f>LOG(N3654)</f>
        <v>1.3010299956639813</v>
      </c>
      <c r="N3654" s="133">
        <v>20</v>
      </c>
      <c r="O3654" s="179" t="s">
        <v>3356</v>
      </c>
      <c r="P3654" s="108">
        <v>134</v>
      </c>
      <c r="Q3654" s="80" t="s">
        <v>6731</v>
      </c>
      <c r="R3654" s="87"/>
    </row>
    <row r="3655" spans="1:18" ht="15" customHeight="1">
      <c r="A3655" s="213" t="s">
        <v>2594</v>
      </c>
      <c r="B3655" s="141" t="s">
        <v>6002</v>
      </c>
      <c r="C3655" s="118" t="s">
        <v>3817</v>
      </c>
      <c r="D3655" s="141"/>
      <c r="E3655" s="118"/>
      <c r="F3655" s="118"/>
      <c r="G3655" s="118" t="s">
        <v>3618</v>
      </c>
      <c r="H3655" s="118" t="s">
        <v>3638</v>
      </c>
      <c r="I3655" s="118" t="s">
        <v>4228</v>
      </c>
      <c r="J3655" s="118" t="s">
        <v>8041</v>
      </c>
      <c r="K3655" s="141"/>
      <c r="L3655" s="135" t="str">
        <f t="shared" si="208"/>
        <v>Microtus montebelli</v>
      </c>
      <c r="M3655" s="133">
        <f>LOG(N3655)</f>
        <v>1.600428325732131</v>
      </c>
      <c r="N3655" s="133">
        <f>1000*AVERAGE(0.0419, 0.0378)</f>
        <v>39.849999999999994</v>
      </c>
      <c r="O3655" s="179" t="s">
        <v>3356</v>
      </c>
      <c r="P3655" s="108">
        <v>60</v>
      </c>
      <c r="Q3655" s="80"/>
    </row>
    <row r="3656" spans="1:18" ht="12" customHeight="1">
      <c r="A3656" s="213" t="s">
        <v>2594</v>
      </c>
      <c r="B3656" s="141" t="s">
        <v>2106</v>
      </c>
      <c r="C3656" s="118" t="s">
        <v>3817</v>
      </c>
      <c r="D3656" s="141"/>
      <c r="E3656" s="118"/>
      <c r="F3656" s="118"/>
      <c r="G3656" s="118" t="s">
        <v>3618</v>
      </c>
      <c r="H3656" s="118" t="s">
        <v>3638</v>
      </c>
      <c r="I3656" s="118" t="s">
        <v>4228</v>
      </c>
      <c r="J3656" s="118" t="s">
        <v>2334</v>
      </c>
      <c r="K3656" s="141"/>
      <c r="L3656" s="135" t="str">
        <f t="shared" si="208"/>
        <v>Microtus breweri</v>
      </c>
      <c r="M3656" s="133">
        <f>LOG(N3656)</f>
        <v>1.7323937598229686</v>
      </c>
      <c r="N3656" s="133">
        <f>AVERAGE(45.1, 62.9)</f>
        <v>54</v>
      </c>
      <c r="O3656" s="179" t="s">
        <v>7080</v>
      </c>
      <c r="P3656" s="108" t="s">
        <v>258</v>
      </c>
      <c r="Q3656" s="88" t="s">
        <v>6642</v>
      </c>
    </row>
    <row r="3657" spans="1:18" ht="25.5">
      <c r="A3657" s="213" t="s">
        <v>2594</v>
      </c>
      <c r="B3657" s="141" t="s">
        <v>5951</v>
      </c>
      <c r="C3657" s="121" t="s">
        <v>3817</v>
      </c>
      <c r="D3657" s="156"/>
      <c r="E3657" s="121"/>
      <c r="F3657" s="121"/>
      <c r="G3657" s="121" t="s">
        <v>3618</v>
      </c>
      <c r="H3657" s="121" t="s">
        <v>3638</v>
      </c>
      <c r="I3657" s="121" t="s">
        <v>4228</v>
      </c>
      <c r="J3657" s="121" t="s">
        <v>6305</v>
      </c>
      <c r="K3657" s="156"/>
      <c r="L3657" s="135" t="str">
        <f t="shared" si="208"/>
        <v>Microtus abbreviatus</v>
      </c>
      <c r="M3657" s="133">
        <f>LOG(N3657)</f>
        <v>1.7923916894982539</v>
      </c>
      <c r="N3657" s="143">
        <f>AVERAGE(45,79)</f>
        <v>62</v>
      </c>
      <c r="O3657" s="179" t="s">
        <v>3356</v>
      </c>
      <c r="P3657" s="108" t="s">
        <v>258</v>
      </c>
      <c r="Q3657" s="80" t="s">
        <v>6987</v>
      </c>
    </row>
    <row r="3658" spans="1:18" ht="76.5">
      <c r="A3658" s="213" t="s">
        <v>2594</v>
      </c>
      <c r="B3658" s="141" t="s">
        <v>2593</v>
      </c>
      <c r="C3658" s="118" t="s">
        <v>3817</v>
      </c>
      <c r="D3658" s="141"/>
      <c r="E3658" s="118"/>
      <c r="F3658" s="118"/>
      <c r="G3658" s="118" t="s">
        <v>3618</v>
      </c>
      <c r="H3658" s="118" t="s">
        <v>3638</v>
      </c>
      <c r="I3658" s="118" t="s">
        <v>6372</v>
      </c>
      <c r="J3658" s="118" t="s">
        <v>6292</v>
      </c>
      <c r="K3658" s="141"/>
      <c r="L3658" s="135" t="str">
        <f t="shared" si="208"/>
        <v>Monticolomys koopmani</v>
      </c>
      <c r="M3658" s="133">
        <f>LOG(N3658)</f>
        <v>1.3979400086720377</v>
      </c>
      <c r="N3658" s="133">
        <v>25</v>
      </c>
      <c r="O3658" s="179"/>
      <c r="P3658" s="118">
        <v>150</v>
      </c>
      <c r="Q3658" s="85" t="s">
        <v>5901</v>
      </c>
    </row>
    <row r="3659" spans="1:18" ht="15" customHeight="1">
      <c r="A3659" s="213" t="s">
        <v>2594</v>
      </c>
      <c r="B3659" s="141" t="s">
        <v>2435</v>
      </c>
      <c r="C3659" s="121" t="s">
        <v>3817</v>
      </c>
      <c r="D3659" s="156"/>
      <c r="E3659" s="121"/>
      <c r="F3659" s="121"/>
      <c r="G3659" s="121" t="s">
        <v>3618</v>
      </c>
      <c r="H3659" s="121" t="s">
        <v>3638</v>
      </c>
      <c r="I3659" s="121" t="s">
        <v>6536</v>
      </c>
      <c r="J3659" s="121" t="s">
        <v>6176</v>
      </c>
      <c r="K3659" s="156"/>
      <c r="L3659" s="135" t="str">
        <f t="shared" si="208"/>
        <v>Mus fernandoni</v>
      </c>
      <c r="M3659" s="133">
        <v>-999</v>
      </c>
      <c r="N3659" s="133">
        <v>-999</v>
      </c>
      <c r="O3659" s="179" t="s">
        <v>3356</v>
      </c>
      <c r="P3659" s="108">
        <v>-999</v>
      </c>
      <c r="Q3659" s="80"/>
    </row>
    <row r="3660" spans="1:18">
      <c r="A3660" s="213" t="s">
        <v>2594</v>
      </c>
      <c r="B3660" s="141" t="s">
        <v>2435</v>
      </c>
      <c r="C3660" s="121" t="s">
        <v>3817</v>
      </c>
      <c r="D3660" s="156"/>
      <c r="E3660" s="121"/>
      <c r="F3660" s="121"/>
      <c r="G3660" s="121" t="s">
        <v>3618</v>
      </c>
      <c r="H3660" s="121" t="s">
        <v>3638</v>
      </c>
      <c r="I3660" s="121" t="s">
        <v>6536</v>
      </c>
      <c r="J3660" s="121" t="s">
        <v>4792</v>
      </c>
      <c r="K3660" s="156"/>
      <c r="L3660" s="135" t="str">
        <f t="shared" si="208"/>
        <v>Mus mayori</v>
      </c>
      <c r="M3660" s="133">
        <v>-999</v>
      </c>
      <c r="N3660" s="133">
        <v>-999</v>
      </c>
      <c r="O3660" s="179" t="s">
        <v>3356</v>
      </c>
      <c r="P3660" s="108">
        <v>-999</v>
      </c>
      <c r="Q3660" s="80" t="s">
        <v>6642</v>
      </c>
    </row>
    <row r="3661" spans="1:18" ht="15" customHeight="1">
      <c r="A3661" s="213" t="s">
        <v>2594</v>
      </c>
      <c r="B3661" s="141" t="s">
        <v>2435</v>
      </c>
      <c r="C3661" s="118" t="s">
        <v>3817</v>
      </c>
      <c r="D3661" s="141"/>
      <c r="E3661" s="118"/>
      <c r="F3661" s="118"/>
      <c r="G3661" s="118" t="s">
        <v>3618</v>
      </c>
      <c r="H3661" s="118" t="s">
        <v>3638</v>
      </c>
      <c r="I3661" s="118" t="s">
        <v>6536</v>
      </c>
      <c r="J3661" s="118" t="s">
        <v>8160</v>
      </c>
      <c r="K3661" s="141"/>
      <c r="L3661" s="135" t="str">
        <f t="shared" si="208"/>
        <v>Mus booduga</v>
      </c>
      <c r="M3661" s="133">
        <f>LOG(N3661)</f>
        <v>1.0255106728525807</v>
      </c>
      <c r="N3661" s="133">
        <f>1000*AVERAGE(0.0089, 0.0094, 0.00954, 0.0104, 0.00855, 0.0123, 0.013, 0.01275)</f>
        <v>10.605</v>
      </c>
      <c r="O3661" s="179"/>
      <c r="P3661" s="108">
        <v>60</v>
      </c>
      <c r="Q3661" s="80"/>
    </row>
    <row r="3662" spans="1:18" ht="15" customHeight="1">
      <c r="A3662" s="213" t="s">
        <v>2594</v>
      </c>
      <c r="B3662" s="141" t="s">
        <v>6002</v>
      </c>
      <c r="C3662" s="118" t="s">
        <v>3817</v>
      </c>
      <c r="D3662" s="141"/>
      <c r="E3662" s="118"/>
      <c r="F3662" s="118"/>
      <c r="G3662" s="118" t="s">
        <v>3618</v>
      </c>
      <c r="H3662" s="118" t="s">
        <v>3638</v>
      </c>
      <c r="I3662" s="118" t="s">
        <v>6536</v>
      </c>
      <c r="J3662" s="118" t="s">
        <v>6046</v>
      </c>
      <c r="K3662" s="141"/>
      <c r="L3662" s="135" t="str">
        <f t="shared" si="208"/>
        <v>Mus caroli</v>
      </c>
      <c r="M3662" s="133">
        <f>LOG(N3662)</f>
        <v>1.0511525224473812</v>
      </c>
      <c r="N3662" s="133">
        <f>1000*AVERAGE(0.011, 0.011, 0.011, 0.012)</f>
        <v>11.25</v>
      </c>
      <c r="O3662" s="179" t="s">
        <v>3356</v>
      </c>
      <c r="P3662" s="108">
        <v>60</v>
      </c>
      <c r="Q3662" s="80"/>
    </row>
    <row r="3663" spans="1:18">
      <c r="A3663" s="213" t="s">
        <v>2594</v>
      </c>
      <c r="B3663" s="141" t="s">
        <v>4751</v>
      </c>
      <c r="C3663" s="121" t="s">
        <v>3817</v>
      </c>
      <c r="D3663" s="156"/>
      <c r="E3663" s="121"/>
      <c r="F3663" s="121"/>
      <c r="G3663" s="121" t="s">
        <v>3618</v>
      </c>
      <c r="H3663" s="121" t="s">
        <v>3638</v>
      </c>
      <c r="I3663" s="121" t="s">
        <v>6536</v>
      </c>
      <c r="J3663" s="121" t="s">
        <v>6046</v>
      </c>
      <c r="K3663" s="156"/>
      <c r="L3663" s="135" t="str">
        <f t="shared" si="208"/>
        <v>Mus caroli</v>
      </c>
      <c r="M3663" s="133">
        <f>LOG(N3663)</f>
        <v>1.0511525224473812</v>
      </c>
      <c r="N3663" s="133">
        <f>1000*AVERAGE(0.011, 0.011, 0.011, 0.012)</f>
        <v>11.25</v>
      </c>
      <c r="O3663" s="179" t="s">
        <v>3356</v>
      </c>
      <c r="P3663" s="108">
        <v>60</v>
      </c>
      <c r="Q3663" s="80"/>
    </row>
    <row r="3664" spans="1:18" ht="15" customHeight="1">
      <c r="A3664" s="213" t="s">
        <v>2594</v>
      </c>
      <c r="B3664" s="141" t="s">
        <v>2538</v>
      </c>
      <c r="C3664" s="118" t="s">
        <v>3817</v>
      </c>
      <c r="D3664" s="141"/>
      <c r="E3664" s="118"/>
      <c r="F3664" s="118"/>
      <c r="G3664" s="118" t="s">
        <v>3618</v>
      </c>
      <c r="H3664" s="118" t="s">
        <v>3638</v>
      </c>
      <c r="I3664" s="118" t="s">
        <v>6536</v>
      </c>
      <c r="J3664" s="118" t="s">
        <v>6458</v>
      </c>
      <c r="K3664" s="141"/>
      <c r="L3664" s="135" t="str">
        <f t="shared" si="208"/>
        <v>Mus vulcani</v>
      </c>
      <c r="M3664" s="133">
        <f>LOG(N3664)</f>
        <v>1.3053513694466237</v>
      </c>
      <c r="N3664" s="133">
        <f>1000*0.0202</f>
        <v>20.2</v>
      </c>
      <c r="O3664" s="179" t="s">
        <v>3356</v>
      </c>
      <c r="P3664" s="108">
        <v>60</v>
      </c>
      <c r="Q3664" s="80" t="s">
        <v>6642</v>
      </c>
    </row>
    <row r="3665" spans="1:22">
      <c r="A3665" s="213" t="s">
        <v>2594</v>
      </c>
      <c r="B3665" s="141" t="s">
        <v>2275</v>
      </c>
      <c r="C3665" s="121" t="s">
        <v>3817</v>
      </c>
      <c r="D3665" s="156"/>
      <c r="E3665" s="121"/>
      <c r="F3665" s="121"/>
      <c r="G3665" s="121" t="s">
        <v>3618</v>
      </c>
      <c r="H3665" s="121" t="s">
        <v>3638</v>
      </c>
      <c r="I3665" s="121" t="s">
        <v>6536</v>
      </c>
      <c r="J3665" s="121" t="s">
        <v>6175</v>
      </c>
      <c r="K3665" s="156"/>
      <c r="L3665" s="135" t="str">
        <f t="shared" si="208"/>
        <v>Mus crociduroides</v>
      </c>
      <c r="M3665" s="133">
        <f>LOG(N3665)</f>
        <v>1.4578818967339924</v>
      </c>
      <c r="N3665" s="133">
        <f>1000*0.0287</f>
        <v>28.7</v>
      </c>
      <c r="O3665" s="179" t="s">
        <v>3356</v>
      </c>
      <c r="P3665" s="115">
        <v>60</v>
      </c>
      <c r="Q3665" s="80"/>
    </row>
    <row r="3666" spans="1:22">
      <c r="A3666" s="213" t="s">
        <v>2594</v>
      </c>
      <c r="B3666" s="141" t="s">
        <v>5202</v>
      </c>
      <c r="C3666" s="118" t="s">
        <v>3817</v>
      </c>
      <c r="D3666" s="141"/>
      <c r="E3666" s="118"/>
      <c r="F3666" s="118"/>
      <c r="G3666" s="118" t="s">
        <v>3618</v>
      </c>
      <c r="H3666" s="118" t="s">
        <v>3638</v>
      </c>
      <c r="I3666" s="118" t="s">
        <v>3272</v>
      </c>
      <c r="J3666" s="118" t="s">
        <v>5294</v>
      </c>
      <c r="K3666" s="141"/>
      <c r="L3666" s="135" t="str">
        <f t="shared" si="208"/>
        <v>Nectomys palmipes</v>
      </c>
      <c r="M3666" s="133">
        <v>-999</v>
      </c>
      <c r="N3666" s="133">
        <v>-999</v>
      </c>
      <c r="O3666" s="179" t="s">
        <v>3356</v>
      </c>
      <c r="P3666" s="108">
        <v>-999</v>
      </c>
      <c r="Q3666" s="80"/>
    </row>
    <row r="3667" spans="1:22" ht="25.5">
      <c r="A3667" s="213" t="s">
        <v>2594</v>
      </c>
      <c r="B3667" s="141" t="s">
        <v>2170</v>
      </c>
      <c r="C3667" s="118" t="s">
        <v>3817</v>
      </c>
      <c r="D3667" s="141"/>
      <c r="E3667" s="118"/>
      <c r="F3667" s="118"/>
      <c r="G3667" s="118" t="s">
        <v>3618</v>
      </c>
      <c r="H3667" s="118" t="s">
        <v>3638</v>
      </c>
      <c r="I3667" s="118" t="s">
        <v>6290</v>
      </c>
      <c r="J3667" s="118" t="s">
        <v>4847</v>
      </c>
      <c r="K3667" s="141"/>
      <c r="L3667" s="135" t="str">
        <f t="shared" si="208"/>
        <v>Neohydromys fuscus</v>
      </c>
      <c r="M3667" s="133">
        <f>LOG(N3667)</f>
        <v>1.2730012720637376</v>
      </c>
      <c r="N3667" s="133">
        <f>AVERAGE(19.5, 18)</f>
        <v>18.75</v>
      </c>
      <c r="O3667" s="179" t="s">
        <v>5213</v>
      </c>
      <c r="P3667" s="108">
        <v>151</v>
      </c>
      <c r="Q3667" s="85" t="s">
        <v>6988</v>
      </c>
      <c r="U3667"/>
      <c r="V3667"/>
    </row>
    <row r="3668" spans="1:22" ht="25.5">
      <c r="A3668" s="213" t="s">
        <v>2594</v>
      </c>
      <c r="B3668" s="141" t="s">
        <v>5366</v>
      </c>
      <c r="C3668" s="118" t="s">
        <v>3817</v>
      </c>
      <c r="D3668" s="141"/>
      <c r="E3668" s="118"/>
      <c r="F3668" s="118"/>
      <c r="G3668" s="118" t="s">
        <v>3618</v>
      </c>
      <c r="H3668" s="118" t="s">
        <v>3638</v>
      </c>
      <c r="I3668" s="118" t="s">
        <v>3154</v>
      </c>
      <c r="J3668" s="118" t="s">
        <v>5322</v>
      </c>
      <c r="K3668" s="141"/>
      <c r="L3668" s="135" t="str">
        <f t="shared" si="208"/>
        <v>Neotoma varia</v>
      </c>
      <c r="M3668" s="133">
        <v>-999</v>
      </c>
      <c r="N3668" s="133">
        <v>-999</v>
      </c>
      <c r="O3668" s="179" t="s">
        <v>3356</v>
      </c>
      <c r="P3668" s="108">
        <v>-999</v>
      </c>
      <c r="Q3668" s="80" t="s">
        <v>6640</v>
      </c>
    </row>
    <row r="3669" spans="1:22" ht="25.5">
      <c r="A3669" s="213" t="s">
        <v>2594</v>
      </c>
      <c r="B3669" s="130" t="s">
        <v>7554</v>
      </c>
      <c r="C3669" s="118" t="s">
        <v>3817</v>
      </c>
      <c r="D3669" s="141"/>
      <c r="E3669" s="118"/>
      <c r="F3669" s="118"/>
      <c r="G3669" s="118" t="s">
        <v>3618</v>
      </c>
      <c r="H3669" s="118" t="s">
        <v>3638</v>
      </c>
      <c r="I3669" s="118" t="s">
        <v>3154</v>
      </c>
      <c r="J3669" s="118" t="s">
        <v>6009</v>
      </c>
      <c r="K3669" s="141"/>
      <c r="L3669" s="135" t="str">
        <f t="shared" si="208"/>
        <v>Neotoma bryanti</v>
      </c>
      <c r="M3669" s="133">
        <f t="shared" ref="M3669:M3674" si="209">LOG(N3669)</f>
        <v>2.2600713879850747</v>
      </c>
      <c r="N3669" s="133">
        <v>182</v>
      </c>
      <c r="O3669" s="179" t="s">
        <v>3356</v>
      </c>
      <c r="P3669" s="108">
        <v>98</v>
      </c>
      <c r="Q3669" s="90" t="s">
        <v>6640</v>
      </c>
    </row>
    <row r="3670" spans="1:22" ht="25.5">
      <c r="A3670" s="213" t="s">
        <v>2594</v>
      </c>
      <c r="B3670" s="130" t="s">
        <v>7397</v>
      </c>
      <c r="C3670" s="118" t="s">
        <v>3817</v>
      </c>
      <c r="D3670" s="141"/>
      <c r="E3670" s="118"/>
      <c r="F3670" s="118"/>
      <c r="G3670" s="118" t="s">
        <v>3618</v>
      </c>
      <c r="H3670" s="118" t="s">
        <v>3638</v>
      </c>
      <c r="I3670" s="118" t="s">
        <v>3154</v>
      </c>
      <c r="J3670" s="118" t="s">
        <v>5480</v>
      </c>
      <c r="K3670" s="141"/>
      <c r="L3670" s="135" t="str">
        <f t="shared" si="208"/>
        <v>Neotoma anthonyi</v>
      </c>
      <c r="M3670" s="133">
        <f t="shared" si="209"/>
        <v>2.2909245593827543</v>
      </c>
      <c r="N3670" s="133">
        <f>AVERAGE(221, 169.8)</f>
        <v>195.4</v>
      </c>
      <c r="O3670" s="179" t="s">
        <v>8210</v>
      </c>
      <c r="P3670" s="108">
        <v>102</v>
      </c>
      <c r="Q3670" s="90" t="s">
        <v>6640</v>
      </c>
    </row>
    <row r="3671" spans="1:22">
      <c r="A3671" s="213" t="s">
        <v>2594</v>
      </c>
      <c r="B3671" s="141" t="s">
        <v>1402</v>
      </c>
      <c r="C3671" s="118" t="s">
        <v>3817</v>
      </c>
      <c r="D3671" s="141"/>
      <c r="E3671" s="118"/>
      <c r="F3671" s="118"/>
      <c r="G3671" s="118" t="s">
        <v>3618</v>
      </c>
      <c r="H3671" s="121" t="s">
        <v>3638</v>
      </c>
      <c r="I3671" s="118" t="s">
        <v>3154</v>
      </c>
      <c r="J3671" s="118" t="s">
        <v>5321</v>
      </c>
      <c r="K3671" s="141"/>
      <c r="L3671" s="135" t="str">
        <f t="shared" si="208"/>
        <v>Neotoma martinensis</v>
      </c>
      <c r="M3671" s="133">
        <f t="shared" si="209"/>
        <v>2.3909351071033793</v>
      </c>
      <c r="N3671" s="133">
        <v>246</v>
      </c>
      <c r="O3671" s="179" t="s">
        <v>3356</v>
      </c>
      <c r="P3671" s="108" t="s">
        <v>253</v>
      </c>
      <c r="Q3671" s="80" t="s">
        <v>6640</v>
      </c>
    </row>
    <row r="3672" spans="1:22" ht="25.5">
      <c r="A3672" s="213" t="s">
        <v>2594</v>
      </c>
      <c r="B3672" s="141" t="s">
        <v>2593</v>
      </c>
      <c r="C3672" s="118" t="s">
        <v>3817</v>
      </c>
      <c r="D3672" s="141"/>
      <c r="E3672" s="118"/>
      <c r="F3672" s="118"/>
      <c r="G3672" s="118" t="s">
        <v>3618</v>
      </c>
      <c r="H3672" s="118" t="s">
        <v>3638</v>
      </c>
      <c r="I3672" s="118" t="s">
        <v>5595</v>
      </c>
      <c r="J3672" s="118" t="s">
        <v>1139</v>
      </c>
      <c r="K3672" s="141"/>
      <c r="L3672" s="135" t="str">
        <f t="shared" si="208"/>
        <v>Nesomys lambertoni</v>
      </c>
      <c r="M3672" s="133">
        <f t="shared" si="209"/>
        <v>2.1903316981702914</v>
      </c>
      <c r="N3672" s="133">
        <v>155</v>
      </c>
      <c r="O3672" s="179" t="s">
        <v>1140</v>
      </c>
      <c r="P3672" s="118">
        <v>150</v>
      </c>
      <c r="Q3672" s="85"/>
    </row>
    <row r="3673" spans="1:22" ht="25.5">
      <c r="A3673" s="213" t="s">
        <v>2594</v>
      </c>
      <c r="B3673" s="141" t="s">
        <v>2593</v>
      </c>
      <c r="C3673" s="118" t="s">
        <v>3817</v>
      </c>
      <c r="D3673" s="141"/>
      <c r="E3673" s="118"/>
      <c r="F3673" s="118"/>
      <c r="G3673" s="118" t="s">
        <v>3618</v>
      </c>
      <c r="H3673" s="118" t="s">
        <v>3638</v>
      </c>
      <c r="I3673" s="118" t="s">
        <v>5595</v>
      </c>
      <c r="J3673" s="118" t="s">
        <v>2329</v>
      </c>
      <c r="K3673" s="141"/>
      <c r="L3673" s="135" t="str">
        <f t="shared" si="208"/>
        <v>Nesomys rufus</v>
      </c>
      <c r="M3673" s="133">
        <f t="shared" si="209"/>
        <v>2.2108533653148932</v>
      </c>
      <c r="N3673" s="133">
        <v>162.5</v>
      </c>
      <c r="O3673" s="179" t="s">
        <v>2373</v>
      </c>
      <c r="P3673" s="118">
        <v>150</v>
      </c>
      <c r="Q3673" s="85"/>
    </row>
    <row r="3674" spans="1:22" ht="25.5">
      <c r="A3674" s="213" t="s">
        <v>2594</v>
      </c>
      <c r="B3674" s="141" t="s">
        <v>2593</v>
      </c>
      <c r="C3674" s="118" t="s">
        <v>3817</v>
      </c>
      <c r="D3674" s="141"/>
      <c r="E3674" s="118"/>
      <c r="F3674" s="118"/>
      <c r="G3674" s="118" t="s">
        <v>3618</v>
      </c>
      <c r="H3674" s="118" t="s">
        <v>3638</v>
      </c>
      <c r="I3674" s="118" t="s">
        <v>5595</v>
      </c>
      <c r="J3674" s="118" t="s">
        <v>2374</v>
      </c>
      <c r="K3674" s="141"/>
      <c r="L3674" s="135" t="str">
        <f t="shared" si="208"/>
        <v>Nesomys audeberti</v>
      </c>
      <c r="M3674" s="133">
        <f t="shared" si="209"/>
        <v>2.3273589343863303</v>
      </c>
      <c r="N3674" s="133">
        <v>212.5</v>
      </c>
      <c r="O3674" s="179" t="s">
        <v>2684</v>
      </c>
      <c r="P3674" s="118">
        <v>150</v>
      </c>
      <c r="Q3674" s="85"/>
    </row>
    <row r="3675" spans="1:22" ht="38.25">
      <c r="A3675" s="213" t="s">
        <v>2594</v>
      </c>
      <c r="B3675" s="141" t="s">
        <v>5020</v>
      </c>
      <c r="C3675" s="118" t="s">
        <v>3817</v>
      </c>
      <c r="D3675" s="141"/>
      <c r="E3675" s="118"/>
      <c r="F3675" s="118"/>
      <c r="G3675" s="118" t="s">
        <v>3618</v>
      </c>
      <c r="H3675" s="118" t="s">
        <v>3638</v>
      </c>
      <c r="I3675" s="118" t="s">
        <v>5323</v>
      </c>
      <c r="J3675" s="118" t="s">
        <v>5742</v>
      </c>
      <c r="K3675" s="141"/>
      <c r="L3675" s="135" t="str">
        <f t="shared" si="208"/>
        <v>Nesoryzomys fernandinae</v>
      </c>
      <c r="M3675" s="133">
        <v>-999</v>
      </c>
      <c r="N3675" s="133">
        <v>-999</v>
      </c>
      <c r="O3675" s="179" t="s">
        <v>8285</v>
      </c>
      <c r="P3675" s="108">
        <v>-999</v>
      </c>
      <c r="Q3675" s="80" t="s">
        <v>6988</v>
      </c>
    </row>
    <row r="3676" spans="1:22">
      <c r="A3676" s="213" t="s">
        <v>2594</v>
      </c>
      <c r="B3676" s="141" t="s">
        <v>1942</v>
      </c>
      <c r="C3676" s="118" t="s">
        <v>3817</v>
      </c>
      <c r="D3676" s="141"/>
      <c r="E3676" s="118"/>
      <c r="F3676" s="118"/>
      <c r="G3676" s="118" t="s">
        <v>3618</v>
      </c>
      <c r="H3676" s="118" t="s">
        <v>3638</v>
      </c>
      <c r="I3676" s="118" t="s">
        <v>5507</v>
      </c>
      <c r="J3676" s="118" t="s">
        <v>4283</v>
      </c>
      <c r="K3676" s="141"/>
      <c r="L3676" s="135" t="str">
        <f t="shared" si="208"/>
        <v>Niviventer coxingi</v>
      </c>
      <c r="M3676" s="133">
        <v>-999</v>
      </c>
      <c r="N3676" s="133">
        <v>-999</v>
      </c>
      <c r="O3676" s="179" t="s">
        <v>3356</v>
      </c>
      <c r="P3676" s="108">
        <v>-999</v>
      </c>
      <c r="Q3676" s="80" t="s">
        <v>6642</v>
      </c>
    </row>
    <row r="3677" spans="1:22" ht="15" customHeight="1">
      <c r="A3677" s="213" t="s">
        <v>2594</v>
      </c>
      <c r="B3677" s="141" t="s">
        <v>1942</v>
      </c>
      <c r="C3677" s="118" t="s">
        <v>3817</v>
      </c>
      <c r="D3677" s="141"/>
      <c r="E3677" s="118"/>
      <c r="F3677" s="118"/>
      <c r="G3677" s="118" t="s">
        <v>3618</v>
      </c>
      <c r="H3677" s="118" t="s">
        <v>3638</v>
      </c>
      <c r="I3677" s="118" t="s">
        <v>5507</v>
      </c>
      <c r="J3677" s="118" t="s">
        <v>4284</v>
      </c>
      <c r="K3677" s="141"/>
      <c r="L3677" s="135" t="str">
        <f t="shared" si="208"/>
        <v>Niviventer culturatus</v>
      </c>
      <c r="M3677" s="133">
        <v>-999</v>
      </c>
      <c r="N3677" s="133">
        <v>-999</v>
      </c>
      <c r="O3677" s="179" t="s">
        <v>3356</v>
      </c>
      <c r="P3677" s="108">
        <v>-999</v>
      </c>
      <c r="Q3677" s="80" t="s">
        <v>6642</v>
      </c>
    </row>
    <row r="3678" spans="1:22">
      <c r="A3678" s="213" t="s">
        <v>2594</v>
      </c>
      <c r="B3678" s="130" t="s">
        <v>2109</v>
      </c>
      <c r="C3678" s="118" t="s">
        <v>3817</v>
      </c>
      <c r="D3678" s="141"/>
      <c r="E3678" s="118"/>
      <c r="F3678" s="118"/>
      <c r="G3678" s="118" t="s">
        <v>3618</v>
      </c>
      <c r="H3678" s="118" t="s">
        <v>3638</v>
      </c>
      <c r="I3678" s="118" t="s">
        <v>5507</v>
      </c>
      <c r="J3678" s="118" t="s">
        <v>5508</v>
      </c>
      <c r="K3678" s="141"/>
      <c r="L3678" s="135" t="str">
        <f t="shared" si="208"/>
        <v>Niviventer cremoriventer</v>
      </c>
      <c r="M3678" s="133">
        <f>LOG(N3678)</f>
        <v>1.8634715656455874</v>
      </c>
      <c r="N3678" s="133">
        <f>AVERAGE(53, 100, 70.2, 50.5, 83.8, 73.3, 81.6, 71.8)</f>
        <v>73.024999999999991</v>
      </c>
      <c r="O3678" s="179"/>
      <c r="P3678" s="108" t="s">
        <v>1414</v>
      </c>
      <c r="Q3678" s="80"/>
    </row>
    <row r="3679" spans="1:22">
      <c r="A3679" s="213" t="s">
        <v>2594</v>
      </c>
      <c r="B3679" s="141" t="s">
        <v>7305</v>
      </c>
      <c r="C3679" s="118" t="s">
        <v>3817</v>
      </c>
      <c r="D3679" s="141"/>
      <c r="E3679" s="118"/>
      <c r="F3679" s="118"/>
      <c r="G3679" s="118" t="s">
        <v>3618</v>
      </c>
      <c r="H3679" s="118" t="s">
        <v>3638</v>
      </c>
      <c r="I3679" s="118" t="s">
        <v>5507</v>
      </c>
      <c r="J3679" s="118" t="s">
        <v>3368</v>
      </c>
      <c r="K3679" s="141"/>
      <c r="L3679" s="135" t="str">
        <f t="shared" si="208"/>
        <v>Niviventer fulvescens</v>
      </c>
      <c r="M3679" s="133">
        <f>LOG(N3679)</f>
        <v>1.9242792860618816</v>
      </c>
      <c r="N3679" s="133">
        <f>AVERAGE(60, 108)</f>
        <v>84</v>
      </c>
      <c r="O3679" s="179" t="s">
        <v>3356</v>
      </c>
      <c r="P3679" s="108">
        <v>120</v>
      </c>
      <c r="Q3679" s="80"/>
    </row>
    <row r="3680" spans="1:22" ht="15" customHeight="1">
      <c r="A3680" s="213" t="s">
        <v>2594</v>
      </c>
      <c r="B3680" s="141" t="s">
        <v>2600</v>
      </c>
      <c r="C3680" s="118" t="s">
        <v>3817</v>
      </c>
      <c r="D3680" s="141"/>
      <c r="E3680" s="118"/>
      <c r="F3680" s="118"/>
      <c r="G3680" s="118" t="s">
        <v>3618</v>
      </c>
      <c r="H3680" s="118" t="s">
        <v>3638</v>
      </c>
      <c r="I3680" s="118" t="s">
        <v>5507</v>
      </c>
      <c r="J3680" s="118" t="s">
        <v>3368</v>
      </c>
      <c r="K3680" s="141"/>
      <c r="L3680" s="135" t="str">
        <f t="shared" si="208"/>
        <v>Niviventer fulvescens</v>
      </c>
      <c r="M3680" s="133">
        <f>LOG(N3680)</f>
        <v>1.9242792860618816</v>
      </c>
      <c r="N3680" s="133">
        <f>AVERAGE(60, 108)</f>
        <v>84</v>
      </c>
      <c r="O3680" s="179" t="s">
        <v>3356</v>
      </c>
      <c r="P3680" s="108">
        <v>120</v>
      </c>
      <c r="Q3680" s="80"/>
    </row>
    <row r="3681" spans="1:19" ht="12" customHeight="1">
      <c r="A3681" s="213" t="s">
        <v>2594</v>
      </c>
      <c r="B3681" s="141" t="s">
        <v>2538</v>
      </c>
      <c r="C3681" s="118" t="s">
        <v>3817</v>
      </c>
      <c r="D3681" s="141"/>
      <c r="E3681" s="118"/>
      <c r="F3681" s="118"/>
      <c r="G3681" s="118" t="s">
        <v>3618</v>
      </c>
      <c r="H3681" s="118" t="s">
        <v>3638</v>
      </c>
      <c r="I3681" s="118" t="s">
        <v>5507</v>
      </c>
      <c r="J3681" s="118" t="s">
        <v>3975</v>
      </c>
      <c r="K3681" s="141"/>
      <c r="L3681" s="135" t="str">
        <f t="shared" si="208"/>
        <v>Niviventer lepturus</v>
      </c>
      <c r="M3681" s="133">
        <f>LOG(N3681)</f>
        <v>1.9283958522567137</v>
      </c>
      <c r="N3681" s="133">
        <f>1000*0.0848</f>
        <v>84.8</v>
      </c>
      <c r="O3681" s="179" t="s">
        <v>3356</v>
      </c>
      <c r="P3681" s="108">
        <v>60</v>
      </c>
      <c r="Q3681" s="80"/>
      <c r="R3681" s="89"/>
    </row>
    <row r="3682" spans="1:19">
      <c r="A3682" s="213" t="s">
        <v>2594</v>
      </c>
      <c r="B3682" s="141" t="s">
        <v>7745</v>
      </c>
      <c r="C3682" s="118" t="s">
        <v>3817</v>
      </c>
      <c r="D3682" s="141"/>
      <c r="E3682" s="118"/>
      <c r="F3682" s="118"/>
      <c r="G3682" s="118" t="s">
        <v>3618</v>
      </c>
      <c r="H3682" s="118" t="s">
        <v>3638</v>
      </c>
      <c r="I3682" s="118" t="s">
        <v>5507</v>
      </c>
      <c r="J3682" s="118" t="s">
        <v>3558</v>
      </c>
      <c r="K3682" s="141"/>
      <c r="L3682" s="135" t="str">
        <f t="shared" si="208"/>
        <v>Niviventer rapit</v>
      </c>
      <c r="M3682" s="133">
        <f>LOG(N3682)</f>
        <v>1.9382694834629113</v>
      </c>
      <c r="N3682" s="133">
        <f>1000*AVERAGE(0.08, 0.0935)</f>
        <v>86.75</v>
      </c>
      <c r="O3682" s="179"/>
      <c r="P3682" s="108">
        <v>60</v>
      </c>
      <c r="Q3682" s="80"/>
    </row>
    <row r="3683" spans="1:19" ht="15" customHeight="1">
      <c r="A3683" s="213" t="s">
        <v>2594</v>
      </c>
      <c r="B3683" s="141" t="s">
        <v>2370</v>
      </c>
      <c r="C3683" s="118" t="s">
        <v>3817</v>
      </c>
      <c r="D3683" s="141"/>
      <c r="E3683" s="118"/>
      <c r="F3683" s="118"/>
      <c r="G3683" s="118" t="s">
        <v>3618</v>
      </c>
      <c r="H3683" s="121" t="s">
        <v>3638</v>
      </c>
      <c r="I3683" s="118" t="s">
        <v>3827</v>
      </c>
      <c r="J3683" s="118" t="s">
        <v>5027</v>
      </c>
      <c r="K3683" s="141"/>
      <c r="L3683" s="135" t="str">
        <f t="shared" si="208"/>
        <v>Oligoryzomys victus</v>
      </c>
      <c r="M3683" s="133">
        <v>-999</v>
      </c>
      <c r="N3683" s="133">
        <v>-999</v>
      </c>
      <c r="O3683" s="179" t="s">
        <v>3356</v>
      </c>
      <c r="P3683" s="108">
        <v>-999</v>
      </c>
      <c r="Q3683" s="80"/>
    </row>
    <row r="3684" spans="1:19">
      <c r="A3684" s="213" t="s">
        <v>2594</v>
      </c>
      <c r="B3684" s="141" t="s">
        <v>3045</v>
      </c>
      <c r="C3684" s="118" t="s">
        <v>3817</v>
      </c>
      <c r="D3684" s="141"/>
      <c r="E3684" s="118"/>
      <c r="F3684" s="118"/>
      <c r="G3684" s="118" t="s">
        <v>3618</v>
      </c>
      <c r="H3684" s="121" t="s">
        <v>3638</v>
      </c>
      <c r="I3684" s="118" t="s">
        <v>3398</v>
      </c>
      <c r="J3684" s="118" t="s">
        <v>6571</v>
      </c>
      <c r="K3684" s="141"/>
      <c r="L3684" s="135" t="str">
        <f t="shared" si="208"/>
        <v>Oryzomys galapagoensis</v>
      </c>
      <c r="M3684" s="133">
        <v>-999</v>
      </c>
      <c r="N3684" s="133">
        <v>-999</v>
      </c>
      <c r="O3684" s="179" t="s">
        <v>6708</v>
      </c>
      <c r="P3684" s="108">
        <v>-999</v>
      </c>
      <c r="Q3684" s="80" t="s">
        <v>6988</v>
      </c>
    </row>
    <row r="3685" spans="1:19">
      <c r="A3685" s="213" t="s">
        <v>2594</v>
      </c>
      <c r="B3685" s="141" t="s">
        <v>6062</v>
      </c>
      <c r="C3685" s="118" t="s">
        <v>3817</v>
      </c>
      <c r="D3685" s="141"/>
      <c r="E3685" s="118"/>
      <c r="F3685" s="118"/>
      <c r="G3685" s="118" t="s">
        <v>3618</v>
      </c>
      <c r="H3685" s="118" t="s">
        <v>3638</v>
      </c>
      <c r="I3685" s="118" t="s">
        <v>6048</v>
      </c>
      <c r="J3685" s="118" t="s">
        <v>3212</v>
      </c>
      <c r="K3685" s="141"/>
      <c r="L3685" s="135" t="str">
        <f t="shared" si="208"/>
        <v>Palawanomys furvus</v>
      </c>
      <c r="M3685" s="133">
        <v>-999</v>
      </c>
      <c r="N3685" s="133">
        <v>-999</v>
      </c>
      <c r="O3685" s="179" t="s">
        <v>3356</v>
      </c>
      <c r="P3685" s="108">
        <v>-999</v>
      </c>
      <c r="Q3685" s="80" t="s">
        <v>6640</v>
      </c>
    </row>
    <row r="3686" spans="1:19">
      <c r="A3686" s="213" t="s">
        <v>2594</v>
      </c>
      <c r="B3686" s="141" t="s">
        <v>7046</v>
      </c>
      <c r="C3686" s="118" t="s">
        <v>3817</v>
      </c>
      <c r="D3686" s="141"/>
      <c r="E3686" s="118"/>
      <c r="F3686" s="118"/>
      <c r="G3686" s="118" t="s">
        <v>3618</v>
      </c>
      <c r="H3686" s="118" t="s">
        <v>3638</v>
      </c>
      <c r="I3686" s="118" t="s">
        <v>6049</v>
      </c>
      <c r="J3686" s="118" t="s">
        <v>5527</v>
      </c>
      <c r="K3686" s="141"/>
      <c r="L3686" s="135" t="str">
        <f t="shared" si="208"/>
        <v>Papagomys armandvillei</v>
      </c>
      <c r="M3686" s="133">
        <v>-999</v>
      </c>
      <c r="N3686" s="133">
        <v>-999</v>
      </c>
      <c r="O3686" s="179" t="s">
        <v>3356</v>
      </c>
      <c r="P3686" s="108">
        <v>-999</v>
      </c>
      <c r="Q3686" s="80" t="s">
        <v>6988</v>
      </c>
    </row>
    <row r="3687" spans="1:19">
      <c r="A3687" s="213" t="s">
        <v>2594</v>
      </c>
      <c r="B3687" s="141" t="s">
        <v>7046</v>
      </c>
      <c r="C3687" s="121" t="s">
        <v>3817</v>
      </c>
      <c r="D3687" s="156"/>
      <c r="E3687" s="121"/>
      <c r="F3687" s="121"/>
      <c r="G3687" s="121" t="s">
        <v>3618</v>
      </c>
      <c r="H3687" s="121" t="s">
        <v>3638</v>
      </c>
      <c r="I3687" s="121" t="s">
        <v>6049</v>
      </c>
      <c r="J3687" s="121" t="s">
        <v>5312</v>
      </c>
      <c r="K3687" s="156"/>
      <c r="L3687" s="135" t="str">
        <f t="shared" si="208"/>
        <v>Papagomys theodorverhoeveni</v>
      </c>
      <c r="M3687" s="133">
        <v>-999</v>
      </c>
      <c r="N3687" s="143">
        <v>-999</v>
      </c>
      <c r="O3687" s="182" t="s">
        <v>3356</v>
      </c>
      <c r="P3687" s="111">
        <v>-999</v>
      </c>
      <c r="Q3687" s="80" t="s">
        <v>6907</v>
      </c>
    </row>
    <row r="3688" spans="1:19" ht="12" customHeight="1">
      <c r="A3688" s="213" t="s">
        <v>2594</v>
      </c>
      <c r="B3688" s="141" t="s">
        <v>2170</v>
      </c>
      <c r="C3688" s="121" t="s">
        <v>3817</v>
      </c>
      <c r="D3688" s="156"/>
      <c r="E3688" s="121"/>
      <c r="F3688" s="121"/>
      <c r="G3688" s="121" t="s">
        <v>3618</v>
      </c>
      <c r="H3688" s="118" t="s">
        <v>3638</v>
      </c>
      <c r="I3688" s="121" t="s">
        <v>5313</v>
      </c>
      <c r="J3688" s="121" t="s">
        <v>5721</v>
      </c>
      <c r="K3688" s="156"/>
      <c r="L3688" s="135" t="str">
        <f t="shared" si="208"/>
        <v>Parahydromys asper</v>
      </c>
      <c r="M3688" s="133">
        <f>LOG(N3688)</f>
        <v>2.7323937598229686</v>
      </c>
      <c r="N3688" s="143">
        <v>540</v>
      </c>
      <c r="O3688" s="179" t="s">
        <v>7287</v>
      </c>
      <c r="P3688" s="108">
        <v>151</v>
      </c>
      <c r="Q3688" s="89"/>
    </row>
    <row r="3689" spans="1:19" ht="12" customHeight="1">
      <c r="A3689" s="213" t="s">
        <v>2594</v>
      </c>
      <c r="B3689" s="141" t="s">
        <v>2170</v>
      </c>
      <c r="C3689" s="118" t="s">
        <v>3817</v>
      </c>
      <c r="D3689" s="141"/>
      <c r="E3689" s="118"/>
      <c r="F3689" s="118"/>
      <c r="G3689" s="118" t="s">
        <v>3618</v>
      </c>
      <c r="H3689" s="118" t="s">
        <v>3638</v>
      </c>
      <c r="I3689" s="118" t="s">
        <v>5384</v>
      </c>
      <c r="J3689" s="118" t="s">
        <v>5385</v>
      </c>
      <c r="K3689" s="141"/>
      <c r="L3689" s="135" t="str">
        <f t="shared" si="208"/>
        <v>Paraleptomys wilhelmina</v>
      </c>
      <c r="M3689" s="133">
        <f>LOG(N3689)</f>
        <v>1.5185139398778875</v>
      </c>
      <c r="N3689" s="133">
        <v>33</v>
      </c>
      <c r="P3689" s="108">
        <v>151</v>
      </c>
      <c r="Q3689" s="89" t="s">
        <v>6988</v>
      </c>
      <c r="R3689" s="79" t="s">
        <v>5208</v>
      </c>
    </row>
    <row r="3690" spans="1:19" ht="12" customHeight="1">
      <c r="A3690" s="213" t="s">
        <v>2594</v>
      </c>
      <c r="B3690" s="141" t="s">
        <v>2170</v>
      </c>
      <c r="C3690" s="118" t="s">
        <v>3817</v>
      </c>
      <c r="D3690" s="141"/>
      <c r="E3690" s="118"/>
      <c r="F3690" s="118"/>
      <c r="G3690" s="118" t="s">
        <v>3618</v>
      </c>
      <c r="H3690" s="118" t="s">
        <v>3638</v>
      </c>
      <c r="I3690" s="118" t="s">
        <v>5384</v>
      </c>
      <c r="J3690" s="118" t="s">
        <v>4076</v>
      </c>
      <c r="K3690" s="141"/>
      <c r="L3690" s="135" t="str">
        <f t="shared" si="208"/>
        <v>Paraleptomys rufilatus</v>
      </c>
      <c r="M3690" s="133">
        <f>LOG(N3690)</f>
        <v>1.7403626894942439</v>
      </c>
      <c r="N3690" s="133">
        <f>AVERAGE(54, 56)</f>
        <v>55</v>
      </c>
      <c r="O3690" s="179" t="s">
        <v>7768</v>
      </c>
      <c r="P3690" s="108">
        <v>151</v>
      </c>
      <c r="Q3690" s="89"/>
    </row>
    <row r="3691" spans="1:19">
      <c r="A3691" s="213" t="s">
        <v>2594</v>
      </c>
      <c r="B3691" s="141" t="s">
        <v>5805</v>
      </c>
      <c r="C3691" s="118" t="s">
        <v>3817</v>
      </c>
      <c r="D3691" s="141"/>
      <c r="E3691" s="118"/>
      <c r="F3691" s="118"/>
      <c r="G3691" s="118" t="s">
        <v>3618</v>
      </c>
      <c r="H3691" s="118" t="s">
        <v>3638</v>
      </c>
      <c r="I3691" s="118" t="s">
        <v>5386</v>
      </c>
      <c r="J3691" s="118" t="s">
        <v>5082</v>
      </c>
      <c r="K3691" s="141"/>
      <c r="L3691" s="135" t="str">
        <f t="shared" si="208"/>
        <v>Paruromys dominator</v>
      </c>
      <c r="M3691" s="133">
        <v>-999</v>
      </c>
      <c r="N3691" s="133">
        <v>-999</v>
      </c>
      <c r="O3691" s="179" t="s">
        <v>3356</v>
      </c>
      <c r="P3691" s="108">
        <v>-999</v>
      </c>
      <c r="Q3691" s="80"/>
    </row>
    <row r="3692" spans="1:19">
      <c r="A3692" s="213" t="s">
        <v>2594</v>
      </c>
      <c r="B3692" s="141" t="s">
        <v>5805</v>
      </c>
      <c r="C3692" s="118" t="s">
        <v>3817</v>
      </c>
      <c r="D3692" s="141"/>
      <c r="E3692" s="118"/>
      <c r="F3692" s="118"/>
      <c r="G3692" s="118" t="s">
        <v>3618</v>
      </c>
      <c r="H3692" s="118" t="s">
        <v>3638</v>
      </c>
      <c r="I3692" s="118" t="s">
        <v>5386</v>
      </c>
      <c r="J3692" s="118" t="s">
        <v>4470</v>
      </c>
      <c r="K3692" s="141"/>
      <c r="L3692" s="135" t="str">
        <f t="shared" si="208"/>
        <v>Paruromys ursinus</v>
      </c>
      <c r="M3692" s="133">
        <v>-999</v>
      </c>
      <c r="N3692" s="133">
        <v>-999</v>
      </c>
      <c r="O3692" s="179" t="s">
        <v>3356</v>
      </c>
      <c r="P3692" s="108">
        <v>-999</v>
      </c>
      <c r="Q3692" s="80" t="s">
        <v>6640</v>
      </c>
    </row>
    <row r="3693" spans="1:19">
      <c r="A3693" s="213" t="s">
        <v>2594</v>
      </c>
      <c r="B3693" s="141" t="s">
        <v>5405</v>
      </c>
      <c r="C3693" s="118" t="s">
        <v>3817</v>
      </c>
      <c r="D3693" s="141"/>
      <c r="E3693" s="118"/>
      <c r="F3693" s="118"/>
      <c r="G3693" s="118" t="s">
        <v>3618</v>
      </c>
      <c r="H3693" s="118" t="s">
        <v>3638</v>
      </c>
      <c r="I3693" s="118" t="s">
        <v>3167</v>
      </c>
      <c r="J3693" s="118" t="s">
        <v>3526</v>
      </c>
      <c r="K3693" s="141"/>
      <c r="L3693" s="135" t="str">
        <f t="shared" si="208"/>
        <v>Peromyscus caniceps</v>
      </c>
      <c r="M3693" s="133">
        <v>-999</v>
      </c>
      <c r="N3693" s="133">
        <v>-999</v>
      </c>
      <c r="O3693" s="179" t="s">
        <v>3356</v>
      </c>
      <c r="P3693" s="108">
        <v>-999</v>
      </c>
      <c r="Q3693" s="80" t="s">
        <v>6988</v>
      </c>
    </row>
    <row r="3694" spans="1:19">
      <c r="A3694" s="213" t="s">
        <v>2594</v>
      </c>
      <c r="B3694" s="141" t="s">
        <v>7432</v>
      </c>
      <c r="C3694" s="118" t="s">
        <v>3817</v>
      </c>
      <c r="D3694" s="141"/>
      <c r="E3694" s="118"/>
      <c r="F3694" s="118"/>
      <c r="G3694" s="118" t="s">
        <v>3618</v>
      </c>
      <c r="H3694" s="118" t="s">
        <v>3638</v>
      </c>
      <c r="I3694" s="118" t="s">
        <v>3167</v>
      </c>
      <c r="J3694" s="118" t="s">
        <v>7392</v>
      </c>
      <c r="K3694" s="141"/>
      <c r="L3694" s="135" t="str">
        <f t="shared" si="208"/>
        <v>Peromyscus dickeyi</v>
      </c>
      <c r="M3694" s="133">
        <v>-999</v>
      </c>
      <c r="N3694" s="133">
        <v>-999</v>
      </c>
      <c r="O3694" s="179" t="s">
        <v>3356</v>
      </c>
      <c r="P3694" s="108">
        <v>659</v>
      </c>
      <c r="Q3694" s="80" t="s">
        <v>6640</v>
      </c>
    </row>
    <row r="3695" spans="1:19" ht="38.25">
      <c r="A3695" s="213" t="s">
        <v>2594</v>
      </c>
      <c r="B3695" s="141" t="s">
        <v>7788</v>
      </c>
      <c r="C3695" s="118" t="s">
        <v>3817</v>
      </c>
      <c r="D3695" s="141"/>
      <c r="E3695" s="118"/>
      <c r="F3695" s="118"/>
      <c r="G3695" s="118" t="s">
        <v>3618</v>
      </c>
      <c r="H3695" s="118" t="s">
        <v>3638</v>
      </c>
      <c r="I3695" s="118" t="s">
        <v>3167</v>
      </c>
      <c r="J3695" s="118" t="s">
        <v>7394</v>
      </c>
      <c r="K3695" s="141"/>
      <c r="L3695" s="135" t="str">
        <f t="shared" si="208"/>
        <v>Peromyscus guardia</v>
      </c>
      <c r="M3695" s="133">
        <v>-999</v>
      </c>
      <c r="N3695" s="133">
        <v>-999</v>
      </c>
      <c r="O3695" s="179" t="s">
        <v>3356</v>
      </c>
      <c r="P3695" s="108">
        <v>-999</v>
      </c>
      <c r="Q3695" s="80" t="s">
        <v>6642</v>
      </c>
    </row>
    <row r="3696" spans="1:19">
      <c r="A3696" s="213" t="s">
        <v>2594</v>
      </c>
      <c r="B3696" s="141" t="s">
        <v>5120</v>
      </c>
      <c r="C3696" s="118" t="s">
        <v>3817</v>
      </c>
      <c r="D3696" s="141"/>
      <c r="E3696" s="118"/>
      <c r="F3696" s="118"/>
      <c r="G3696" s="118" t="s">
        <v>3618</v>
      </c>
      <c r="H3696" s="118" t="s">
        <v>3638</v>
      </c>
      <c r="I3696" s="118" t="s">
        <v>3167</v>
      </c>
      <c r="J3696" s="118" t="s">
        <v>6219</v>
      </c>
      <c r="K3696" s="141"/>
      <c r="L3696" s="135" t="str">
        <f t="shared" si="208"/>
        <v>Peromyscus madrensis</v>
      </c>
      <c r="M3696" s="133">
        <v>-999</v>
      </c>
      <c r="N3696" s="133">
        <v>-999</v>
      </c>
      <c r="O3696" s="179" t="s">
        <v>3356</v>
      </c>
      <c r="P3696" s="108">
        <v>-999</v>
      </c>
      <c r="Q3696" s="80" t="s">
        <v>6988</v>
      </c>
      <c r="S3696" s="85">
        <v>268</v>
      </c>
    </row>
    <row r="3697" spans="1:18" ht="25.5">
      <c r="A3697" s="213" t="s">
        <v>2594</v>
      </c>
      <c r="B3697" s="141" t="s">
        <v>4881</v>
      </c>
      <c r="C3697" s="121" t="s">
        <v>3817</v>
      </c>
      <c r="D3697" s="156"/>
      <c r="E3697" s="121"/>
      <c r="F3697" s="121"/>
      <c r="G3697" s="121" t="s">
        <v>3618</v>
      </c>
      <c r="H3697" s="121" t="s">
        <v>3638</v>
      </c>
      <c r="I3697" s="121" t="s">
        <v>3167</v>
      </c>
      <c r="J3697" s="121" t="s">
        <v>5388</v>
      </c>
      <c r="K3697" s="156"/>
      <c r="L3697" s="135" t="str">
        <f t="shared" si="208"/>
        <v>Peromyscus pseudocrinitus</v>
      </c>
      <c r="M3697" s="133">
        <v>-999</v>
      </c>
      <c r="N3697" s="143">
        <v>-999</v>
      </c>
      <c r="O3697" s="182" t="s">
        <v>3356</v>
      </c>
      <c r="P3697" s="111">
        <v>-999</v>
      </c>
      <c r="Q3697" s="80" t="s">
        <v>7071</v>
      </c>
    </row>
    <row r="3698" spans="1:18" ht="12" customHeight="1">
      <c r="A3698" s="213" t="s">
        <v>2594</v>
      </c>
      <c r="B3698" s="141" t="s">
        <v>8311</v>
      </c>
      <c r="C3698" s="118" t="s">
        <v>3817</v>
      </c>
      <c r="D3698" s="141"/>
      <c r="E3698" s="118"/>
      <c r="F3698" s="118"/>
      <c r="G3698" s="118" t="s">
        <v>3618</v>
      </c>
      <c r="H3698" s="118" t="s">
        <v>3638</v>
      </c>
      <c r="I3698" s="118" t="s">
        <v>3167</v>
      </c>
      <c r="J3698" s="118" t="s">
        <v>7787</v>
      </c>
      <c r="K3698" s="141"/>
      <c r="L3698" s="135" t="str">
        <f t="shared" si="208"/>
        <v>Peromyscus sejugis</v>
      </c>
      <c r="M3698" s="133">
        <v>-999</v>
      </c>
      <c r="N3698" s="133">
        <v>-999</v>
      </c>
      <c r="O3698" s="179" t="s">
        <v>3356</v>
      </c>
      <c r="P3698" s="108">
        <v>658</v>
      </c>
      <c r="Q3698" s="88"/>
    </row>
    <row r="3699" spans="1:18" ht="25.5">
      <c r="A3699" s="213" t="s">
        <v>2594</v>
      </c>
      <c r="B3699" s="141" t="s">
        <v>7723</v>
      </c>
      <c r="C3699" s="118" t="s">
        <v>3817</v>
      </c>
      <c r="D3699" s="141"/>
      <c r="E3699" s="118"/>
      <c r="F3699" s="118"/>
      <c r="G3699" s="118" t="s">
        <v>3618</v>
      </c>
      <c r="H3699" s="118" t="s">
        <v>3638</v>
      </c>
      <c r="I3699" s="118" t="s">
        <v>3167</v>
      </c>
      <c r="J3699" s="118" t="s">
        <v>4791</v>
      </c>
      <c r="K3699" s="141"/>
      <c r="L3699" s="135" t="str">
        <f t="shared" si="208"/>
        <v>Peromyscus slevini</v>
      </c>
      <c r="M3699" s="133">
        <v>-999</v>
      </c>
      <c r="N3699" s="133">
        <v>-999</v>
      </c>
      <c r="O3699" s="179"/>
      <c r="P3699" s="108">
        <v>-999</v>
      </c>
      <c r="Q3699" s="80" t="s">
        <v>7071</v>
      </c>
    </row>
    <row r="3700" spans="1:18">
      <c r="A3700" s="213" t="s">
        <v>2594</v>
      </c>
      <c r="B3700" s="141" t="s">
        <v>7724</v>
      </c>
      <c r="C3700" s="118" t="s">
        <v>3817</v>
      </c>
      <c r="D3700" s="141"/>
      <c r="E3700" s="118"/>
      <c r="F3700" s="118"/>
      <c r="G3700" s="118" t="s">
        <v>3618</v>
      </c>
      <c r="H3700" s="118" t="s">
        <v>3638</v>
      </c>
      <c r="I3700" s="118" t="s">
        <v>3167</v>
      </c>
      <c r="J3700" s="118" t="s">
        <v>4951</v>
      </c>
      <c r="K3700" s="141"/>
      <c r="L3700" s="135" t="str">
        <f t="shared" si="208"/>
        <v>Peromyscus stephani</v>
      </c>
      <c r="M3700" s="133">
        <v>-999</v>
      </c>
      <c r="N3700" s="133">
        <v>-999</v>
      </c>
      <c r="O3700" s="179" t="s">
        <v>3356</v>
      </c>
      <c r="P3700" s="108">
        <v>-999</v>
      </c>
      <c r="Q3700" s="80" t="s">
        <v>6640</v>
      </c>
    </row>
    <row r="3701" spans="1:18" ht="12" customHeight="1">
      <c r="A3701" s="213" t="s">
        <v>2594</v>
      </c>
      <c r="B3701" s="141" t="s">
        <v>5426</v>
      </c>
      <c r="C3701" s="118" t="s">
        <v>3817</v>
      </c>
      <c r="D3701" s="141"/>
      <c r="E3701" s="118"/>
      <c r="F3701" s="118"/>
      <c r="G3701" s="118" t="s">
        <v>3618</v>
      </c>
      <c r="H3701" s="118" t="s">
        <v>3638</v>
      </c>
      <c r="I3701" s="118" t="s">
        <v>3167</v>
      </c>
      <c r="J3701" s="118" t="s">
        <v>8035</v>
      </c>
      <c r="K3701" s="141"/>
      <c r="L3701" s="135" t="str">
        <f t="shared" si="208"/>
        <v>Peromyscus oreas</v>
      </c>
      <c r="M3701" s="133">
        <f>LOG(N3701)</f>
        <v>1.255272505103306</v>
      </c>
      <c r="N3701" s="133">
        <f>1000*0.018</f>
        <v>18</v>
      </c>
      <c r="O3701" s="179" t="s">
        <v>3356</v>
      </c>
      <c r="P3701" s="108">
        <v>60</v>
      </c>
      <c r="Q3701" s="88"/>
    </row>
    <row r="3702" spans="1:18" ht="38.25">
      <c r="A3702" s="213" t="s">
        <v>2594</v>
      </c>
      <c r="B3702" s="141" t="s">
        <v>5118</v>
      </c>
      <c r="C3702" s="118" t="s">
        <v>3817</v>
      </c>
      <c r="D3702" s="141"/>
      <c r="E3702" s="118"/>
      <c r="F3702" s="118"/>
      <c r="G3702" s="118" t="s">
        <v>3618</v>
      </c>
      <c r="H3702" s="121" t="s">
        <v>3638</v>
      </c>
      <c r="I3702" s="118" t="s">
        <v>3167</v>
      </c>
      <c r="J3702" s="118" t="s">
        <v>7395</v>
      </c>
      <c r="K3702" s="141"/>
      <c r="L3702" s="135" t="str">
        <f t="shared" si="208"/>
        <v>Peromyscus interparietalis</v>
      </c>
      <c r="M3702" s="133">
        <f>LOG(N3702)</f>
        <v>1.4471580313422192</v>
      </c>
      <c r="N3702" s="133">
        <f>1000*0.028</f>
        <v>28</v>
      </c>
      <c r="O3702" s="182" t="s">
        <v>3356</v>
      </c>
      <c r="P3702" s="111">
        <v>60</v>
      </c>
      <c r="Q3702" s="80" t="s">
        <v>6640</v>
      </c>
    </row>
    <row r="3703" spans="1:18">
      <c r="A3703" s="213" t="s">
        <v>2594</v>
      </c>
      <c r="B3703" s="130"/>
      <c r="C3703" s="118" t="s">
        <v>3817</v>
      </c>
      <c r="D3703" s="141"/>
      <c r="E3703" s="118"/>
      <c r="F3703" s="118"/>
      <c r="G3703" s="118" t="s">
        <v>3618</v>
      </c>
      <c r="H3703" s="118" t="s">
        <v>3638</v>
      </c>
      <c r="I3703" s="118" t="s">
        <v>3167</v>
      </c>
      <c r="J3703" s="118" t="s">
        <v>5509</v>
      </c>
      <c r="K3703" s="141"/>
      <c r="L3703" s="135" t="str">
        <f t="shared" si="208"/>
        <v>Peromyscus sitkensis</v>
      </c>
      <c r="M3703" s="133">
        <f>LOG(N3703)</f>
        <v>1.4517864355242902</v>
      </c>
      <c r="N3703" s="133">
        <v>28.3</v>
      </c>
      <c r="O3703" s="179" t="s">
        <v>6736</v>
      </c>
      <c r="P3703" s="108">
        <v>68</v>
      </c>
    </row>
    <row r="3704" spans="1:18">
      <c r="A3704" s="213" t="s">
        <v>2594</v>
      </c>
      <c r="B3704" s="141" t="s">
        <v>6002</v>
      </c>
      <c r="C3704" s="121" t="s">
        <v>3817</v>
      </c>
      <c r="D3704" s="156"/>
      <c r="E3704" s="121"/>
      <c r="F3704" s="121"/>
      <c r="G3704" s="121" t="s">
        <v>3618</v>
      </c>
      <c r="H3704" s="118" t="s">
        <v>3638</v>
      </c>
      <c r="I3704" s="121" t="s">
        <v>5688</v>
      </c>
      <c r="J3704" s="121" t="s">
        <v>4402</v>
      </c>
      <c r="K3704" s="141"/>
      <c r="L3704" s="135" t="str">
        <f t="shared" si="208"/>
        <v>Phaulomys andersoni</v>
      </c>
      <c r="M3704" s="133">
        <v>-999</v>
      </c>
      <c r="N3704" s="143">
        <v>-999</v>
      </c>
      <c r="O3704" s="179" t="s">
        <v>3356</v>
      </c>
      <c r="P3704" s="108">
        <v>-999</v>
      </c>
      <c r="Q3704" s="94" t="s">
        <v>6988</v>
      </c>
    </row>
    <row r="3705" spans="1:18">
      <c r="A3705" s="213" t="s">
        <v>2594</v>
      </c>
      <c r="B3705" s="130" t="s">
        <v>6002</v>
      </c>
      <c r="C3705" s="118" t="s">
        <v>3817</v>
      </c>
      <c r="D3705" s="141"/>
      <c r="E3705" s="118"/>
      <c r="F3705" s="118"/>
      <c r="G3705" s="118" t="s">
        <v>3618</v>
      </c>
      <c r="H3705" s="118" t="s">
        <v>3638</v>
      </c>
      <c r="I3705" s="118" t="s">
        <v>5688</v>
      </c>
      <c r="J3705" s="118" t="s">
        <v>4168</v>
      </c>
      <c r="K3705" s="141"/>
      <c r="L3705" s="135" t="str">
        <f t="shared" si="208"/>
        <v>Phaulomys smithii</v>
      </c>
      <c r="M3705" s="133">
        <f>LOG(N3705)</f>
        <v>1.5440680443502757</v>
      </c>
      <c r="N3705" s="133">
        <v>35</v>
      </c>
      <c r="O3705" s="179" t="s">
        <v>3356</v>
      </c>
      <c r="P3705" s="108">
        <v>69</v>
      </c>
    </row>
    <row r="3706" spans="1:18" ht="12" customHeight="1">
      <c r="A3706" s="213" t="s">
        <v>2594</v>
      </c>
      <c r="B3706" s="141" t="s">
        <v>6062</v>
      </c>
      <c r="C3706" s="118" t="s">
        <v>3817</v>
      </c>
      <c r="D3706" s="141"/>
      <c r="E3706" s="118"/>
      <c r="F3706" s="118"/>
      <c r="G3706" s="118" t="s">
        <v>3618</v>
      </c>
      <c r="H3706" s="118" t="s">
        <v>3638</v>
      </c>
      <c r="I3706" s="118" t="s">
        <v>5459</v>
      </c>
      <c r="J3706" s="118" t="s">
        <v>5379</v>
      </c>
      <c r="K3706" s="141"/>
      <c r="L3706" s="135" t="str">
        <f t="shared" si="208"/>
        <v>Phloeomys pallidus</v>
      </c>
      <c r="M3706" s="133">
        <v>-999</v>
      </c>
      <c r="N3706" s="133">
        <v>-999</v>
      </c>
      <c r="O3706" s="179" t="s">
        <v>3356</v>
      </c>
      <c r="P3706" s="108">
        <v>-999</v>
      </c>
      <c r="Q3706" s="88" t="s">
        <v>6642</v>
      </c>
    </row>
    <row r="3707" spans="1:18" ht="12" customHeight="1">
      <c r="A3707" s="213" t="s">
        <v>2594</v>
      </c>
      <c r="B3707" s="141" t="s">
        <v>6062</v>
      </c>
      <c r="C3707" s="118" t="s">
        <v>3817</v>
      </c>
      <c r="D3707" s="141"/>
      <c r="E3707" s="118"/>
      <c r="F3707" s="118"/>
      <c r="G3707" s="118" t="s">
        <v>3618</v>
      </c>
      <c r="H3707" s="118" t="s">
        <v>3638</v>
      </c>
      <c r="I3707" s="118" t="s">
        <v>5459</v>
      </c>
      <c r="J3707" s="118" t="s">
        <v>5825</v>
      </c>
      <c r="K3707" s="141"/>
      <c r="L3707" s="135" t="str">
        <f t="shared" si="208"/>
        <v>Phloeomys cumingi</v>
      </c>
      <c r="M3707" s="133">
        <f>LOG(N3707)</f>
        <v>3.2892172205316248</v>
      </c>
      <c r="N3707" s="133">
        <f>AVERAGE(1985, 1920, 2050, 1893, 1850, 1980)</f>
        <v>1946.3333333333333</v>
      </c>
      <c r="O3707" s="179" t="s">
        <v>3356</v>
      </c>
      <c r="P3707" s="108">
        <v>121</v>
      </c>
      <c r="Q3707" s="88" t="s">
        <v>6988</v>
      </c>
    </row>
    <row r="3708" spans="1:18">
      <c r="A3708" s="213" t="s">
        <v>2594</v>
      </c>
      <c r="B3708" s="130" t="s">
        <v>2538</v>
      </c>
      <c r="C3708" s="118" t="s">
        <v>3817</v>
      </c>
      <c r="D3708" s="141"/>
      <c r="E3708" s="118"/>
      <c r="F3708" s="118"/>
      <c r="G3708" s="118" t="s">
        <v>3618</v>
      </c>
      <c r="H3708" s="118" t="s">
        <v>3638</v>
      </c>
      <c r="I3708" s="118" t="s">
        <v>5826</v>
      </c>
      <c r="J3708" s="118" t="s">
        <v>3607</v>
      </c>
      <c r="K3708" s="141"/>
      <c r="L3708" s="135" t="str">
        <f t="shared" si="208"/>
        <v>Pithecheir melanurus</v>
      </c>
      <c r="M3708" s="133">
        <f>LOG(N3708)</f>
        <v>2.0334237554869499</v>
      </c>
      <c r="N3708" s="133">
        <f>1000*AVERAGE(0.081, 0.135)</f>
        <v>108.00000000000001</v>
      </c>
      <c r="O3708" s="179" t="s">
        <v>3356</v>
      </c>
      <c r="P3708" s="108">
        <v>60</v>
      </c>
      <c r="Q3708" s="80" t="s">
        <v>6642</v>
      </c>
    </row>
    <row r="3709" spans="1:18" ht="12" customHeight="1">
      <c r="A3709" s="213" t="s">
        <v>2594</v>
      </c>
      <c r="B3709" s="141" t="s">
        <v>2170</v>
      </c>
      <c r="C3709" s="118" t="s">
        <v>3817</v>
      </c>
      <c r="D3709" s="141"/>
      <c r="E3709" s="118"/>
      <c r="F3709" s="118"/>
      <c r="G3709" s="118" t="s">
        <v>3618</v>
      </c>
      <c r="H3709" s="118" t="s">
        <v>3638</v>
      </c>
      <c r="I3709" s="118" t="s">
        <v>5827</v>
      </c>
      <c r="J3709" s="118" t="s">
        <v>5818</v>
      </c>
      <c r="K3709" s="141"/>
      <c r="L3709" s="135" t="str">
        <f t="shared" si="208"/>
        <v>Pogonomelomys bruijni</v>
      </c>
      <c r="M3709" s="151">
        <v>-999</v>
      </c>
      <c r="N3709" s="133">
        <v>-999</v>
      </c>
      <c r="P3709" s="108">
        <v>151</v>
      </c>
      <c r="Q3709" s="89" t="s">
        <v>7071</v>
      </c>
      <c r="R3709" s="79" t="s">
        <v>6841</v>
      </c>
    </row>
    <row r="3710" spans="1:18" ht="25.5">
      <c r="A3710" s="213" t="s">
        <v>2594</v>
      </c>
      <c r="B3710" s="141" t="s">
        <v>2170</v>
      </c>
      <c r="C3710" s="118" t="s">
        <v>3817</v>
      </c>
      <c r="D3710" s="141"/>
      <c r="E3710" s="118"/>
      <c r="F3710" s="118"/>
      <c r="G3710" s="118" t="s">
        <v>3618</v>
      </c>
      <c r="H3710" s="118" t="s">
        <v>3638</v>
      </c>
      <c r="I3710" s="118" t="s">
        <v>5827</v>
      </c>
      <c r="J3710" s="118" t="s">
        <v>5829</v>
      </c>
      <c r="K3710" s="141"/>
      <c r="L3710" s="135" t="str">
        <f t="shared" si="208"/>
        <v>Pogonomelomys sevia</v>
      </c>
      <c r="M3710" s="133">
        <f t="shared" ref="M3710:M3721" si="210">LOG(N3710)</f>
        <v>1.7160033436347992</v>
      </c>
      <c r="N3710" s="133">
        <v>52</v>
      </c>
      <c r="O3710" s="179" t="s">
        <v>6768</v>
      </c>
      <c r="P3710" s="108">
        <v>151</v>
      </c>
      <c r="Q3710" s="89"/>
    </row>
    <row r="3711" spans="1:18" ht="12" customHeight="1">
      <c r="A3711" s="213" t="s">
        <v>2594</v>
      </c>
      <c r="B3711" s="141" t="s">
        <v>2170</v>
      </c>
      <c r="C3711" s="121" t="s">
        <v>3817</v>
      </c>
      <c r="D3711" s="156"/>
      <c r="E3711" s="121"/>
      <c r="F3711" s="121"/>
      <c r="G3711" s="121" t="s">
        <v>3618</v>
      </c>
      <c r="H3711" s="118" t="s">
        <v>3638</v>
      </c>
      <c r="I3711" s="121" t="s">
        <v>5827</v>
      </c>
      <c r="J3711" s="121" t="s">
        <v>5828</v>
      </c>
      <c r="K3711" s="141"/>
      <c r="L3711" s="135" t="str">
        <f t="shared" si="208"/>
        <v>Pogonomelomys mayeri</v>
      </c>
      <c r="M3711" s="133">
        <f t="shared" si="210"/>
        <v>2.0402066275747113</v>
      </c>
      <c r="N3711" s="143">
        <v>109.7</v>
      </c>
      <c r="O3711" s="179" t="s">
        <v>8318</v>
      </c>
      <c r="P3711" s="108">
        <v>151</v>
      </c>
      <c r="Q3711" s="89"/>
    </row>
    <row r="3712" spans="1:18" ht="25.5">
      <c r="A3712" s="213" t="s">
        <v>2594</v>
      </c>
      <c r="B3712" s="141" t="s">
        <v>2170</v>
      </c>
      <c r="C3712" s="118" t="s">
        <v>3817</v>
      </c>
      <c r="D3712" s="141"/>
      <c r="E3712" s="118"/>
      <c r="F3712" s="118"/>
      <c r="G3712" s="118" t="s">
        <v>3618</v>
      </c>
      <c r="H3712" s="118" t="s">
        <v>3638</v>
      </c>
      <c r="I3712" s="118" t="s">
        <v>4177</v>
      </c>
      <c r="J3712" s="118" t="s">
        <v>8312</v>
      </c>
      <c r="K3712" s="141"/>
      <c r="L3712" s="135" t="str">
        <f t="shared" si="208"/>
        <v>Pogonomys sylvestris</v>
      </c>
      <c r="M3712" s="133">
        <f t="shared" si="210"/>
        <v>1.6369891018122291</v>
      </c>
      <c r="N3712" s="133">
        <f>AVERAGE(46.7, 40)</f>
        <v>43.35</v>
      </c>
      <c r="O3712" s="179" t="s">
        <v>6720</v>
      </c>
      <c r="P3712" s="108">
        <v>151</v>
      </c>
      <c r="Q3712" s="85"/>
    </row>
    <row r="3713" spans="1:18" ht="15" customHeight="1">
      <c r="A3713" s="213" t="s">
        <v>2594</v>
      </c>
      <c r="B3713" s="141" t="s">
        <v>2170</v>
      </c>
      <c r="C3713" s="118" t="s">
        <v>3817</v>
      </c>
      <c r="D3713" s="141"/>
      <c r="E3713" s="118"/>
      <c r="F3713" s="118"/>
      <c r="G3713" s="118" t="s">
        <v>3618</v>
      </c>
      <c r="H3713" s="118" t="s">
        <v>3638</v>
      </c>
      <c r="I3713" s="118" t="s">
        <v>4177</v>
      </c>
      <c r="J3713" s="118" t="s">
        <v>2349</v>
      </c>
      <c r="K3713" s="141"/>
      <c r="L3713" s="135" t="str">
        <f t="shared" si="208"/>
        <v>Pogonomys macrourus</v>
      </c>
      <c r="M3713" s="133">
        <f t="shared" si="210"/>
        <v>1.6522463410033232</v>
      </c>
      <c r="N3713" s="133">
        <f>AVERAGE(44.7, 45.1)</f>
        <v>44.900000000000006</v>
      </c>
      <c r="O3713" s="179" t="s">
        <v>6721</v>
      </c>
      <c r="P3713" s="108">
        <v>151</v>
      </c>
      <c r="Q3713" s="85"/>
    </row>
    <row r="3714" spans="1:18" ht="15" customHeight="1">
      <c r="A3714" s="213" t="s">
        <v>2594</v>
      </c>
      <c r="B3714" s="141" t="s">
        <v>2170</v>
      </c>
      <c r="C3714" s="118" t="s">
        <v>3817</v>
      </c>
      <c r="D3714" s="141"/>
      <c r="E3714" s="118"/>
      <c r="F3714" s="118"/>
      <c r="G3714" s="118" t="s">
        <v>3618</v>
      </c>
      <c r="H3714" s="118" t="s">
        <v>3638</v>
      </c>
      <c r="I3714" s="118" t="s">
        <v>4177</v>
      </c>
      <c r="J3714" s="118" t="s">
        <v>5830</v>
      </c>
      <c r="K3714" s="141"/>
      <c r="L3714" s="135" t="str">
        <f t="shared" si="208"/>
        <v>Pogonomys championi</v>
      </c>
      <c r="M3714" s="133">
        <f t="shared" si="210"/>
        <v>1.7028611705729293</v>
      </c>
      <c r="N3714" s="133">
        <f>AVERAGE(49.4, 51.5)</f>
        <v>50.45</v>
      </c>
      <c r="O3714" s="179" t="s">
        <v>8319</v>
      </c>
      <c r="P3714" s="108">
        <v>151</v>
      </c>
      <c r="Q3714" s="85"/>
    </row>
    <row r="3715" spans="1:18" ht="24" customHeight="1">
      <c r="A3715" s="213" t="s">
        <v>2594</v>
      </c>
      <c r="B3715" s="141" t="s">
        <v>2593</v>
      </c>
      <c r="C3715" s="118" t="s">
        <v>3817</v>
      </c>
      <c r="D3715" s="141"/>
      <c r="E3715" s="118"/>
      <c r="F3715" s="118"/>
      <c r="G3715" s="118" t="s">
        <v>3618</v>
      </c>
      <c r="H3715" s="118" t="s">
        <v>3638</v>
      </c>
      <c r="I3715" s="118" t="s">
        <v>4177</v>
      </c>
      <c r="J3715" s="118" t="s">
        <v>5512</v>
      </c>
      <c r="K3715" s="141"/>
      <c r="L3715" s="135" t="str">
        <f t="shared" si="208"/>
        <v>Pogonomys loriae</v>
      </c>
      <c r="M3715" s="133">
        <f t="shared" si="210"/>
        <v>1.9777236052888478</v>
      </c>
      <c r="N3715" s="133">
        <v>95</v>
      </c>
      <c r="O3715" s="179" t="s">
        <v>6736</v>
      </c>
      <c r="P3715" s="108">
        <v>68</v>
      </c>
      <c r="Q3715" s="85"/>
    </row>
    <row r="3716" spans="1:18" ht="24" customHeight="1">
      <c r="A3716" s="213" t="s">
        <v>2594</v>
      </c>
      <c r="B3716" s="141" t="s">
        <v>2595</v>
      </c>
      <c r="C3716" s="118" t="s">
        <v>3817</v>
      </c>
      <c r="D3716" s="141"/>
      <c r="E3716" s="118"/>
      <c r="F3716" s="118"/>
      <c r="G3716" s="118" t="s">
        <v>3618</v>
      </c>
      <c r="H3716" s="118" t="s">
        <v>3638</v>
      </c>
      <c r="I3716" s="118" t="s">
        <v>4177</v>
      </c>
      <c r="J3716" s="118" t="s">
        <v>5512</v>
      </c>
      <c r="K3716" s="141"/>
      <c r="L3716" s="135" t="str">
        <f t="shared" si="208"/>
        <v>Pogonomys loriae</v>
      </c>
      <c r="M3716" s="133">
        <f t="shared" si="210"/>
        <v>1.9777236052888478</v>
      </c>
      <c r="N3716" s="133">
        <v>95</v>
      </c>
      <c r="O3716" s="179" t="s">
        <v>6736</v>
      </c>
      <c r="P3716" s="108">
        <v>68</v>
      </c>
    </row>
    <row r="3717" spans="1:18" ht="15" customHeight="1">
      <c r="A3717" s="213" t="s">
        <v>2594</v>
      </c>
      <c r="B3717" s="141" t="s">
        <v>2170</v>
      </c>
      <c r="C3717" s="118" t="s">
        <v>3817</v>
      </c>
      <c r="D3717" s="141"/>
      <c r="E3717" s="118"/>
      <c r="F3717" s="118"/>
      <c r="G3717" s="118" t="s">
        <v>3618</v>
      </c>
      <c r="H3717" s="118" t="s">
        <v>3638</v>
      </c>
      <c r="I3717" s="118" t="s">
        <v>4177</v>
      </c>
      <c r="J3717" s="118" t="s">
        <v>5512</v>
      </c>
      <c r="K3717" s="141"/>
      <c r="L3717" s="135" t="str">
        <f t="shared" ref="L3717:L3780" si="211">I3717&amp;" "&amp;J3717</f>
        <v>Pogonomys loriae</v>
      </c>
      <c r="M3717" s="133">
        <f t="shared" si="210"/>
        <v>1.9795483747040952</v>
      </c>
      <c r="N3717" s="133">
        <f>AVERAGE(94.4, 96.4)</f>
        <v>95.4</v>
      </c>
      <c r="O3717" s="179" t="s">
        <v>8320</v>
      </c>
      <c r="P3717" s="108">
        <v>151</v>
      </c>
      <c r="Q3717" s="85"/>
    </row>
    <row r="3718" spans="1:18" ht="25.5">
      <c r="A3718" s="213" t="s">
        <v>2594</v>
      </c>
      <c r="B3718" s="141" t="s">
        <v>2170</v>
      </c>
      <c r="C3718" s="118" t="s">
        <v>3817</v>
      </c>
      <c r="D3718" s="141"/>
      <c r="E3718" s="118"/>
      <c r="F3718" s="118"/>
      <c r="G3718" s="118" t="s">
        <v>3618</v>
      </c>
      <c r="H3718" s="118" t="s">
        <v>3638</v>
      </c>
      <c r="I3718" s="118" t="s">
        <v>7504</v>
      </c>
      <c r="J3718" s="118" t="s">
        <v>4557</v>
      </c>
      <c r="K3718" s="141"/>
      <c r="L3718" s="135" t="str">
        <f t="shared" si="211"/>
        <v>Pseudohydromys murinus</v>
      </c>
      <c r="M3718" s="133">
        <f t="shared" si="210"/>
        <v>1.2253092817258628</v>
      </c>
      <c r="N3718" s="133">
        <f>AVERAGE(16.2, 17.4)</f>
        <v>16.799999999999997</v>
      </c>
      <c r="O3718" s="179" t="s">
        <v>5209</v>
      </c>
      <c r="P3718" s="108">
        <v>151</v>
      </c>
      <c r="Q3718" s="85"/>
    </row>
    <row r="3719" spans="1:18" ht="38.25">
      <c r="A3719" s="213" t="s">
        <v>2594</v>
      </c>
      <c r="B3719" s="141" t="s">
        <v>2170</v>
      </c>
      <c r="C3719" s="118" t="s">
        <v>3817</v>
      </c>
      <c r="D3719" s="141"/>
      <c r="E3719" s="118"/>
      <c r="F3719" s="118"/>
      <c r="G3719" s="118" t="s">
        <v>3618</v>
      </c>
      <c r="H3719" s="118" t="s">
        <v>3638</v>
      </c>
      <c r="I3719" s="118" t="s">
        <v>7504</v>
      </c>
      <c r="J3719" s="118" t="s">
        <v>4843</v>
      </c>
      <c r="K3719" s="141"/>
      <c r="L3719" s="135" t="str">
        <f t="shared" si="211"/>
        <v>Pseudohydromys occidentalis</v>
      </c>
      <c r="M3719" s="133">
        <f t="shared" si="210"/>
        <v>1.3404441148401183</v>
      </c>
      <c r="N3719" s="133">
        <f>AVERAGE(24, 19.8)</f>
        <v>21.9</v>
      </c>
      <c r="P3719" s="108">
        <v>151</v>
      </c>
      <c r="Q3719" s="85" t="s">
        <v>6988</v>
      </c>
      <c r="R3719" s="79" t="s">
        <v>5210</v>
      </c>
    </row>
    <row r="3720" spans="1:18" ht="63.75">
      <c r="A3720" s="213" t="s">
        <v>2594</v>
      </c>
      <c r="B3720" s="141" t="s">
        <v>2170</v>
      </c>
      <c r="C3720" s="118" t="s">
        <v>3817</v>
      </c>
      <c r="D3720" s="141"/>
      <c r="E3720" s="118"/>
      <c r="F3720" s="118"/>
      <c r="G3720" s="118" t="s">
        <v>3618</v>
      </c>
      <c r="H3720" s="118" t="s">
        <v>3638</v>
      </c>
      <c r="I3720" s="118" t="s">
        <v>7414</v>
      </c>
      <c r="J3720" s="118" t="s">
        <v>7415</v>
      </c>
      <c r="K3720" s="141"/>
      <c r="L3720" s="135" t="str">
        <f t="shared" si="211"/>
        <v>Pseudomys delicatulus</v>
      </c>
      <c r="M3720" s="133">
        <f t="shared" si="210"/>
        <v>1.0413926851582251</v>
      </c>
      <c r="N3720" s="133">
        <v>11</v>
      </c>
      <c r="O3720" s="179" t="s">
        <v>5214</v>
      </c>
      <c r="P3720" s="108">
        <v>59</v>
      </c>
      <c r="Q3720" s="85" t="s">
        <v>7021</v>
      </c>
    </row>
    <row r="3721" spans="1:18">
      <c r="A3721" s="213" t="s">
        <v>2594</v>
      </c>
      <c r="B3721" s="141" t="s">
        <v>6927</v>
      </c>
      <c r="C3721" s="118" t="s">
        <v>3817</v>
      </c>
      <c r="D3721" s="141"/>
      <c r="E3721" s="118"/>
      <c r="F3721" s="118"/>
      <c r="G3721" s="118" t="s">
        <v>3618</v>
      </c>
      <c r="H3721" s="118" t="s">
        <v>3638</v>
      </c>
      <c r="I3721" s="118" t="s">
        <v>7414</v>
      </c>
      <c r="J3721" s="118" t="s">
        <v>5758</v>
      </c>
      <c r="K3721" s="141"/>
      <c r="L3721" s="135" t="str">
        <f t="shared" si="211"/>
        <v>Pseudomys praeconis</v>
      </c>
      <c r="M3721" s="133">
        <f t="shared" si="210"/>
        <v>1.6532125137753437</v>
      </c>
      <c r="N3721" s="133">
        <f>1000*0.045</f>
        <v>45</v>
      </c>
      <c r="O3721" s="179" t="s">
        <v>3356</v>
      </c>
      <c r="P3721" s="108">
        <v>60</v>
      </c>
      <c r="Q3721" s="80"/>
    </row>
    <row r="3722" spans="1:18" ht="25.5">
      <c r="A3722" s="213" t="s">
        <v>2594</v>
      </c>
      <c r="B3722" s="141" t="s">
        <v>5038</v>
      </c>
      <c r="C3722" s="121" t="s">
        <v>3817</v>
      </c>
      <c r="D3722" s="156"/>
      <c r="E3722" s="121"/>
      <c r="F3722" s="121"/>
      <c r="G3722" s="121" t="s">
        <v>3618</v>
      </c>
      <c r="H3722" s="118" t="s">
        <v>3638</v>
      </c>
      <c r="I3722" s="121" t="s">
        <v>7644</v>
      </c>
      <c r="J3722" s="121" t="s">
        <v>8176</v>
      </c>
      <c r="K3722" s="141"/>
      <c r="L3722" s="135" t="str">
        <f t="shared" si="211"/>
        <v>Rattus burrus</v>
      </c>
      <c r="M3722" s="133">
        <v>-999</v>
      </c>
      <c r="N3722" s="143">
        <v>-999</v>
      </c>
      <c r="O3722" s="179" t="s">
        <v>3356</v>
      </c>
      <c r="P3722" s="108">
        <v>-999</v>
      </c>
      <c r="Q3722" s="80" t="s">
        <v>6988</v>
      </c>
    </row>
    <row r="3723" spans="1:18">
      <c r="A3723" s="213" t="s">
        <v>2594</v>
      </c>
      <c r="B3723" s="141" t="s">
        <v>5805</v>
      </c>
      <c r="C3723" s="118" t="s">
        <v>3817</v>
      </c>
      <c r="D3723" s="141"/>
      <c r="E3723" s="118"/>
      <c r="F3723" s="118"/>
      <c r="G3723" s="118" t="s">
        <v>3618</v>
      </c>
      <c r="H3723" s="118" t="s">
        <v>3638</v>
      </c>
      <c r="I3723" s="118" t="s">
        <v>7644</v>
      </c>
      <c r="J3723" s="118" t="s">
        <v>4722</v>
      </c>
      <c r="K3723" s="141"/>
      <c r="L3723" s="135" t="str">
        <f t="shared" si="211"/>
        <v>Rattus foramineus</v>
      </c>
      <c r="M3723" s="133">
        <v>-999</v>
      </c>
      <c r="N3723" s="133">
        <v>-999</v>
      </c>
      <c r="O3723" s="179" t="s">
        <v>3356</v>
      </c>
      <c r="P3723" s="108">
        <v>-999</v>
      </c>
      <c r="Q3723" s="80" t="s">
        <v>6642</v>
      </c>
    </row>
    <row r="3724" spans="1:18" ht="38.25">
      <c r="A3724" s="213" t="s">
        <v>2594</v>
      </c>
      <c r="B3724" s="141" t="s">
        <v>2170</v>
      </c>
      <c r="C3724" s="118" t="s">
        <v>3817</v>
      </c>
      <c r="D3724" s="141"/>
      <c r="E3724" s="118"/>
      <c r="F3724" s="118"/>
      <c r="G3724" s="118" t="s">
        <v>3618</v>
      </c>
      <c r="H3724" s="118" t="s">
        <v>3638</v>
      </c>
      <c r="I3724" s="118" t="s">
        <v>7644</v>
      </c>
      <c r="J3724" s="118" t="s">
        <v>4725</v>
      </c>
      <c r="K3724" s="141"/>
      <c r="L3724" s="135" t="str">
        <f t="shared" si="211"/>
        <v>Rattus giluwensis</v>
      </c>
      <c r="M3724" s="151">
        <v>-999</v>
      </c>
      <c r="N3724" s="133">
        <v>-999</v>
      </c>
      <c r="O3724" s="179" t="s">
        <v>7047</v>
      </c>
      <c r="P3724" s="111">
        <v>151</v>
      </c>
      <c r="Q3724" s="85"/>
    </row>
    <row r="3725" spans="1:18">
      <c r="A3725" s="213" t="s">
        <v>2594</v>
      </c>
      <c r="B3725" s="141" t="s">
        <v>5193</v>
      </c>
      <c r="C3725" s="118" t="s">
        <v>3817</v>
      </c>
      <c r="D3725" s="141"/>
      <c r="E3725" s="118"/>
      <c r="F3725" s="118"/>
      <c r="G3725" s="118" t="s">
        <v>3618</v>
      </c>
      <c r="H3725" s="118" t="s">
        <v>3638</v>
      </c>
      <c r="I3725" s="118" t="s">
        <v>7644</v>
      </c>
      <c r="J3725" s="118" t="s">
        <v>4726</v>
      </c>
      <c r="K3725" s="141"/>
      <c r="L3725" s="135" t="str">
        <f t="shared" si="211"/>
        <v>Rattus hainaldi</v>
      </c>
      <c r="M3725" s="133">
        <v>-999</v>
      </c>
      <c r="N3725" s="133">
        <v>-999</v>
      </c>
      <c r="O3725" s="179" t="s">
        <v>3356</v>
      </c>
      <c r="P3725" s="108">
        <v>-999</v>
      </c>
      <c r="Q3725" s="80" t="s">
        <v>6642</v>
      </c>
    </row>
    <row r="3726" spans="1:18">
      <c r="A3726" s="213" t="s">
        <v>2594</v>
      </c>
      <c r="B3726" s="141" t="s">
        <v>5194</v>
      </c>
      <c r="C3726" s="118" t="s">
        <v>3817</v>
      </c>
      <c r="D3726" s="141"/>
      <c r="E3726" s="118"/>
      <c r="F3726" s="118"/>
      <c r="G3726" s="118" t="s">
        <v>3618</v>
      </c>
      <c r="H3726" s="118" t="s">
        <v>3638</v>
      </c>
      <c r="I3726" s="118" t="s">
        <v>7644</v>
      </c>
      <c r="J3726" s="118" t="s">
        <v>6292</v>
      </c>
      <c r="K3726" s="141"/>
      <c r="L3726" s="135" t="str">
        <f t="shared" si="211"/>
        <v>Rattus koopmani</v>
      </c>
      <c r="M3726" s="133">
        <v>-999</v>
      </c>
      <c r="N3726" s="133">
        <v>-999</v>
      </c>
      <c r="O3726" s="179" t="s">
        <v>3356</v>
      </c>
      <c r="P3726" s="108">
        <v>-999</v>
      </c>
      <c r="Q3726" s="80" t="s">
        <v>6642</v>
      </c>
    </row>
    <row r="3727" spans="1:18">
      <c r="A3727" s="213" t="s">
        <v>2594</v>
      </c>
      <c r="B3727" s="141" t="s">
        <v>5805</v>
      </c>
      <c r="C3727" s="118" t="s">
        <v>3817</v>
      </c>
      <c r="D3727" s="141"/>
      <c r="E3727" s="118"/>
      <c r="F3727" s="118"/>
      <c r="G3727" s="118" t="s">
        <v>3618</v>
      </c>
      <c r="H3727" s="118" t="s">
        <v>3638</v>
      </c>
      <c r="I3727" s="118" t="s">
        <v>7644</v>
      </c>
      <c r="J3727" s="118" t="s">
        <v>5244</v>
      </c>
      <c r="K3727" s="141"/>
      <c r="L3727" s="135" t="str">
        <f t="shared" si="211"/>
        <v>Rattus mollicomulus</v>
      </c>
      <c r="M3727" s="133">
        <v>-999</v>
      </c>
      <c r="N3727" s="133">
        <v>-999</v>
      </c>
      <c r="O3727" s="179" t="s">
        <v>3356</v>
      </c>
      <c r="P3727" s="108">
        <v>-999</v>
      </c>
      <c r="Q3727" s="80" t="s">
        <v>6988</v>
      </c>
    </row>
    <row r="3728" spans="1:18">
      <c r="A3728" s="213" t="s">
        <v>2594</v>
      </c>
      <c r="B3728" s="141" t="s">
        <v>2600</v>
      </c>
      <c r="C3728" s="118" t="s">
        <v>3817</v>
      </c>
      <c r="D3728" s="141"/>
      <c r="E3728" s="118"/>
      <c r="F3728" s="118"/>
      <c r="G3728" s="118" t="s">
        <v>3618</v>
      </c>
      <c r="H3728" s="118" t="s">
        <v>3638</v>
      </c>
      <c r="I3728" s="118" t="s">
        <v>7644</v>
      </c>
      <c r="J3728" s="118" t="s">
        <v>5784</v>
      </c>
      <c r="K3728" s="141"/>
      <c r="L3728" s="135" t="str">
        <f t="shared" si="211"/>
        <v>Rattus pelurus</v>
      </c>
      <c r="M3728" s="133">
        <v>-999</v>
      </c>
      <c r="N3728" s="133">
        <v>-999</v>
      </c>
      <c r="O3728" s="179" t="s">
        <v>3356</v>
      </c>
      <c r="P3728" s="108">
        <v>-999</v>
      </c>
      <c r="Q3728" s="80" t="s">
        <v>6988</v>
      </c>
    </row>
    <row r="3729" spans="1:17">
      <c r="A3729" s="213" t="s">
        <v>2594</v>
      </c>
      <c r="B3729" s="141" t="s">
        <v>7535</v>
      </c>
      <c r="C3729" s="118" t="s">
        <v>3817</v>
      </c>
      <c r="D3729" s="141"/>
      <c r="E3729" s="118"/>
      <c r="F3729" s="118"/>
      <c r="G3729" s="118" t="s">
        <v>3618</v>
      </c>
      <c r="H3729" s="118" t="s">
        <v>3638</v>
      </c>
      <c r="I3729" s="118" t="s">
        <v>7644</v>
      </c>
      <c r="J3729" s="118" t="s">
        <v>5187</v>
      </c>
      <c r="K3729" s="141"/>
      <c r="L3729" s="135" t="str">
        <f t="shared" si="211"/>
        <v>Rattus sikkimensis</v>
      </c>
      <c r="M3729" s="133">
        <v>-999</v>
      </c>
      <c r="N3729" s="133">
        <v>-999</v>
      </c>
      <c r="O3729" s="179" t="s">
        <v>3356</v>
      </c>
      <c r="P3729" s="108">
        <v>-999</v>
      </c>
      <c r="Q3729" s="80"/>
    </row>
    <row r="3730" spans="1:17">
      <c r="A3730" s="213" t="s">
        <v>2594</v>
      </c>
      <c r="B3730" s="141" t="s">
        <v>2600</v>
      </c>
      <c r="C3730" s="118" t="s">
        <v>3817</v>
      </c>
      <c r="D3730" s="141"/>
      <c r="E3730" s="118"/>
      <c r="F3730" s="118"/>
      <c r="G3730" s="118" t="s">
        <v>3618</v>
      </c>
      <c r="H3730" s="121" t="s">
        <v>3638</v>
      </c>
      <c r="I3730" s="118" t="s">
        <v>7644</v>
      </c>
      <c r="J3730" s="118" t="s">
        <v>5172</v>
      </c>
      <c r="K3730" s="141"/>
      <c r="L3730" s="135" t="str">
        <f t="shared" si="211"/>
        <v>Rattus simalurensis</v>
      </c>
      <c r="M3730" s="133">
        <v>-999</v>
      </c>
      <c r="N3730" s="133">
        <v>-999</v>
      </c>
      <c r="O3730" s="179" t="s">
        <v>3356</v>
      </c>
      <c r="P3730" s="108">
        <v>-999</v>
      </c>
      <c r="Q3730" s="80"/>
    </row>
    <row r="3731" spans="1:17">
      <c r="A3731" s="213" t="s">
        <v>2594</v>
      </c>
      <c r="B3731" s="141" t="s">
        <v>2600</v>
      </c>
      <c r="C3731" s="118" t="s">
        <v>3817</v>
      </c>
      <c r="D3731" s="141"/>
      <c r="E3731" s="118"/>
      <c r="F3731" s="118"/>
      <c r="G3731" s="118" t="s">
        <v>3618</v>
      </c>
      <c r="H3731" s="118" t="s">
        <v>3638</v>
      </c>
      <c r="I3731" s="118" t="s">
        <v>7644</v>
      </c>
      <c r="J3731" s="118" t="s">
        <v>3909</v>
      </c>
      <c r="K3731" s="141"/>
      <c r="L3731" s="135" t="str">
        <f t="shared" si="211"/>
        <v>Rattus timorensis</v>
      </c>
      <c r="M3731" s="133">
        <v>-999</v>
      </c>
      <c r="N3731" s="133">
        <v>-999</v>
      </c>
      <c r="O3731" s="179" t="s">
        <v>3356</v>
      </c>
      <c r="P3731" s="108">
        <v>-999</v>
      </c>
      <c r="Q3731" s="80" t="s">
        <v>6987</v>
      </c>
    </row>
    <row r="3732" spans="1:17">
      <c r="A3732" s="217" t="s">
        <v>2594</v>
      </c>
      <c r="B3732" s="130" t="s">
        <v>2109</v>
      </c>
      <c r="C3732" s="131" t="s">
        <v>3817</v>
      </c>
      <c r="D3732" s="130"/>
      <c r="E3732" s="131"/>
      <c r="F3732" s="131"/>
      <c r="G3732" s="131" t="s">
        <v>3618</v>
      </c>
      <c r="H3732" s="131" t="s">
        <v>3638</v>
      </c>
      <c r="I3732" s="131" t="s">
        <v>7644</v>
      </c>
      <c r="J3732" s="131" t="s">
        <v>7524</v>
      </c>
      <c r="K3732" s="130"/>
      <c r="L3732" s="135" t="str">
        <f t="shared" si="211"/>
        <v>Rattus exulans</v>
      </c>
      <c r="M3732" s="133">
        <f t="shared" ref="M3732:M3776" si="212">LOG(N3732)</f>
        <v>1.7343997425205671</v>
      </c>
      <c r="N3732" s="133">
        <f>AVERAGE(42, 65, 45, 65)</f>
        <v>54.25</v>
      </c>
      <c r="O3732" s="187"/>
      <c r="P3732" s="120" t="s">
        <v>7805</v>
      </c>
      <c r="Q3732" s="78"/>
    </row>
    <row r="3733" spans="1:17">
      <c r="A3733" s="217" t="s">
        <v>2594</v>
      </c>
      <c r="B3733" s="130" t="s">
        <v>6062</v>
      </c>
      <c r="C3733" s="131" t="s">
        <v>3817</v>
      </c>
      <c r="D3733" s="130"/>
      <c r="E3733" s="131"/>
      <c r="F3733" s="131"/>
      <c r="G3733" s="131" t="s">
        <v>3618</v>
      </c>
      <c r="H3733" s="131" t="s">
        <v>3638</v>
      </c>
      <c r="I3733" s="131" t="s">
        <v>7644</v>
      </c>
      <c r="J3733" s="131" t="s">
        <v>7524</v>
      </c>
      <c r="K3733" s="130"/>
      <c r="L3733" s="135" t="str">
        <f t="shared" si="211"/>
        <v>Rattus exulans</v>
      </c>
      <c r="M3733" s="133">
        <f t="shared" si="212"/>
        <v>1.7403626894942439</v>
      </c>
      <c r="N3733" s="133">
        <f>AVERAGE(45, 65)</f>
        <v>55</v>
      </c>
      <c r="O3733" s="187"/>
      <c r="P3733" s="120">
        <v>118</v>
      </c>
      <c r="Q3733" s="78"/>
    </row>
    <row r="3734" spans="1:17">
      <c r="A3734" s="213" t="s">
        <v>2594</v>
      </c>
      <c r="B3734" s="141" t="s">
        <v>1942</v>
      </c>
      <c r="C3734" s="118" t="s">
        <v>3817</v>
      </c>
      <c r="D3734" s="141"/>
      <c r="E3734" s="118"/>
      <c r="F3734" s="118"/>
      <c r="G3734" s="118" t="s">
        <v>3618</v>
      </c>
      <c r="H3734" s="118" t="s">
        <v>3638</v>
      </c>
      <c r="I3734" s="118" t="s">
        <v>7644</v>
      </c>
      <c r="J3734" s="118" t="s">
        <v>5241</v>
      </c>
      <c r="K3734" s="141"/>
      <c r="L3734" s="135" t="str">
        <f t="shared" si="211"/>
        <v>Rattus losea</v>
      </c>
      <c r="M3734" s="133">
        <f t="shared" si="212"/>
        <v>1.8864907251724818</v>
      </c>
      <c r="N3734" s="133">
        <v>77</v>
      </c>
      <c r="O3734" s="179" t="s">
        <v>3356</v>
      </c>
      <c r="P3734" s="108">
        <v>60</v>
      </c>
      <c r="Q3734" s="80"/>
    </row>
    <row r="3735" spans="1:17">
      <c r="A3735" s="213" t="s">
        <v>2594</v>
      </c>
      <c r="B3735" s="141" t="s">
        <v>2600</v>
      </c>
      <c r="C3735" s="118" t="s">
        <v>3817</v>
      </c>
      <c r="D3735" s="141"/>
      <c r="E3735" s="118"/>
      <c r="F3735" s="118"/>
      <c r="G3735" s="118" t="s">
        <v>3618</v>
      </c>
      <c r="H3735" s="118" t="s">
        <v>3638</v>
      </c>
      <c r="I3735" s="118" t="s">
        <v>7644</v>
      </c>
      <c r="J3735" s="118" t="s">
        <v>5175</v>
      </c>
      <c r="K3735" s="141"/>
      <c r="L3735" s="135" t="str">
        <f t="shared" si="211"/>
        <v>Rattus tanezumi</v>
      </c>
      <c r="M3735" s="133">
        <f t="shared" si="212"/>
        <v>1.9395192526186185</v>
      </c>
      <c r="N3735" s="133">
        <f>AVERAGE(92, 82)</f>
        <v>87</v>
      </c>
      <c r="O3735" s="179" t="s">
        <v>3356</v>
      </c>
      <c r="P3735" s="108">
        <v>123</v>
      </c>
      <c r="Q3735" s="80"/>
    </row>
    <row r="3736" spans="1:17">
      <c r="A3736" s="213" t="s">
        <v>2594</v>
      </c>
      <c r="B3736" s="141" t="s">
        <v>2109</v>
      </c>
      <c r="C3736" s="118" t="s">
        <v>3817</v>
      </c>
      <c r="D3736" s="141"/>
      <c r="E3736" s="118"/>
      <c r="F3736" s="118"/>
      <c r="G3736" s="118" t="s">
        <v>3618</v>
      </c>
      <c r="H3736" s="118" t="s">
        <v>3638</v>
      </c>
      <c r="I3736" s="118" t="s">
        <v>7644</v>
      </c>
      <c r="J3736" s="118" t="s">
        <v>6109</v>
      </c>
      <c r="K3736" s="141"/>
      <c r="L3736" s="135" t="str">
        <f t="shared" si="211"/>
        <v>Rattus baluensis</v>
      </c>
      <c r="M3736" s="133">
        <f t="shared" si="212"/>
        <v>2.0364292656266749</v>
      </c>
      <c r="N3736" s="133">
        <f>AVERAGE(80, 135, 85, 135)</f>
        <v>108.75</v>
      </c>
      <c r="O3736" s="179" t="s">
        <v>3356</v>
      </c>
      <c r="P3736" s="108" t="s">
        <v>7805</v>
      </c>
      <c r="Q3736" s="80" t="s">
        <v>6640</v>
      </c>
    </row>
    <row r="3737" spans="1:17">
      <c r="A3737" s="213" t="s">
        <v>2594</v>
      </c>
      <c r="B3737" s="141" t="s">
        <v>2275</v>
      </c>
      <c r="C3737" s="118" t="s">
        <v>3817</v>
      </c>
      <c r="D3737" s="141"/>
      <c r="E3737" s="118"/>
      <c r="F3737" s="118"/>
      <c r="G3737" s="118" t="s">
        <v>3618</v>
      </c>
      <c r="H3737" s="118" t="s">
        <v>3638</v>
      </c>
      <c r="I3737" s="118" t="s">
        <v>7644</v>
      </c>
      <c r="J3737" s="118" t="s">
        <v>5240</v>
      </c>
      <c r="K3737" s="141"/>
      <c r="L3737" s="135" t="str">
        <f t="shared" si="211"/>
        <v>Rattus korinchi</v>
      </c>
      <c r="M3737" s="133">
        <f t="shared" si="212"/>
        <v>2.1172712956557644</v>
      </c>
      <c r="N3737" s="133">
        <v>131</v>
      </c>
      <c r="O3737" s="179" t="s">
        <v>3356</v>
      </c>
      <c r="P3737" s="108">
        <v>60</v>
      </c>
      <c r="Q3737" s="80"/>
    </row>
    <row r="3738" spans="1:17">
      <c r="A3738" s="213" t="s">
        <v>2594</v>
      </c>
      <c r="B3738" s="141" t="s">
        <v>2600</v>
      </c>
      <c r="C3738" s="118" t="s">
        <v>3817</v>
      </c>
      <c r="D3738" s="141"/>
      <c r="E3738" s="118"/>
      <c r="F3738" s="118"/>
      <c r="G3738" s="118" t="s">
        <v>3618</v>
      </c>
      <c r="H3738" s="118" t="s">
        <v>3638</v>
      </c>
      <c r="I3738" s="118" t="s">
        <v>7644</v>
      </c>
      <c r="J3738" s="118" t="s">
        <v>7747</v>
      </c>
      <c r="K3738" s="141"/>
      <c r="L3738" s="135" t="str">
        <f t="shared" si="211"/>
        <v>Rattus elaphinus</v>
      </c>
      <c r="M3738" s="133">
        <f t="shared" si="212"/>
        <v>2.1184300771220892</v>
      </c>
      <c r="N3738" s="133">
        <f>(154.7+108)/2</f>
        <v>131.35</v>
      </c>
      <c r="O3738" s="179" t="s">
        <v>3356</v>
      </c>
      <c r="P3738" s="108">
        <v>110</v>
      </c>
      <c r="Q3738" s="80" t="s">
        <v>6988</v>
      </c>
    </row>
    <row r="3739" spans="1:17">
      <c r="A3739" s="213" t="s">
        <v>2594</v>
      </c>
      <c r="B3739" s="141" t="s">
        <v>1577</v>
      </c>
      <c r="C3739" s="118" t="s">
        <v>3817</v>
      </c>
      <c r="D3739" s="141"/>
      <c r="E3739" s="118"/>
      <c r="F3739" s="118"/>
      <c r="G3739" s="118" t="s">
        <v>3618</v>
      </c>
      <c r="H3739" s="118" t="s">
        <v>3638</v>
      </c>
      <c r="I3739" s="118" t="s">
        <v>7644</v>
      </c>
      <c r="J3739" s="118" t="s">
        <v>7747</v>
      </c>
      <c r="K3739" s="141"/>
      <c r="L3739" s="135" t="str">
        <f t="shared" si="211"/>
        <v>Rattus elaphinus</v>
      </c>
      <c r="M3739" s="133">
        <f t="shared" si="212"/>
        <v>2.1184300771220892</v>
      </c>
      <c r="N3739" s="133">
        <f>(154.7+108)/2</f>
        <v>131.35</v>
      </c>
      <c r="O3739" s="179" t="s">
        <v>3356</v>
      </c>
      <c r="P3739" s="108">
        <v>110</v>
      </c>
      <c r="Q3739" s="80" t="s">
        <v>6988</v>
      </c>
    </row>
    <row r="3740" spans="1:17">
      <c r="A3740" s="213" t="s">
        <v>2594</v>
      </c>
      <c r="B3740" s="130" t="s">
        <v>2109</v>
      </c>
      <c r="C3740" s="118" t="s">
        <v>3817</v>
      </c>
      <c r="D3740" s="141"/>
      <c r="E3740" s="118"/>
      <c r="F3740" s="118"/>
      <c r="G3740" s="118" t="s">
        <v>3618</v>
      </c>
      <c r="H3740" s="118" t="s">
        <v>3638</v>
      </c>
      <c r="I3740" s="118" t="s">
        <v>7644</v>
      </c>
      <c r="J3740" s="118" t="s">
        <v>5513</v>
      </c>
      <c r="K3740" s="141"/>
      <c r="L3740" s="135" t="str">
        <f t="shared" si="211"/>
        <v>Rattus tiomanicus</v>
      </c>
      <c r="M3740" s="133">
        <f t="shared" si="212"/>
        <v>2.1219207855630375</v>
      </c>
      <c r="N3740" s="133">
        <f>AVERAGE(78, 125, 150, 160, 110, 142.5, 150.6, 172, 78, 158)</f>
        <v>132.41</v>
      </c>
      <c r="O3740" s="179"/>
      <c r="P3740" s="108" t="s">
        <v>7811</v>
      </c>
      <c r="Q3740" s="80"/>
    </row>
    <row r="3741" spans="1:17">
      <c r="A3741" s="213" t="s">
        <v>2594</v>
      </c>
      <c r="B3741" s="141" t="s">
        <v>2170</v>
      </c>
      <c r="C3741" s="118" t="s">
        <v>3817</v>
      </c>
      <c r="D3741" s="141"/>
      <c r="E3741" s="118"/>
      <c r="F3741" s="118"/>
      <c r="G3741" s="118" t="s">
        <v>3618</v>
      </c>
      <c r="H3741" s="118" t="s">
        <v>3638</v>
      </c>
      <c r="I3741" s="118" t="s">
        <v>7644</v>
      </c>
      <c r="J3741" s="118" t="s">
        <v>7725</v>
      </c>
      <c r="K3741" s="141"/>
      <c r="L3741" s="135" t="str">
        <f t="shared" si="211"/>
        <v>Rattus argentiventer</v>
      </c>
      <c r="M3741" s="133">
        <f t="shared" si="212"/>
        <v>2.1222158782728267</v>
      </c>
      <c r="N3741" s="133">
        <f>AVERAGE(85, 180)</f>
        <v>132.5</v>
      </c>
      <c r="O3741" s="179" t="s">
        <v>3356</v>
      </c>
      <c r="P3741" s="108">
        <v>118</v>
      </c>
      <c r="Q3741" s="80"/>
    </row>
    <row r="3742" spans="1:17" ht="12" customHeight="1">
      <c r="A3742" s="213" t="s">
        <v>2594</v>
      </c>
      <c r="B3742" s="141" t="s">
        <v>6062</v>
      </c>
      <c r="C3742" s="118" t="s">
        <v>3817</v>
      </c>
      <c r="D3742" s="141"/>
      <c r="E3742" s="118"/>
      <c r="F3742" s="118"/>
      <c r="G3742" s="118" t="s">
        <v>3618</v>
      </c>
      <c r="H3742" s="118" t="s">
        <v>3638</v>
      </c>
      <c r="I3742" s="118" t="s">
        <v>7644</v>
      </c>
      <c r="J3742" s="118" t="s">
        <v>7725</v>
      </c>
      <c r="K3742" s="141"/>
      <c r="L3742" s="135" t="str">
        <f t="shared" si="211"/>
        <v>Rattus argentiventer</v>
      </c>
      <c r="M3742" s="133">
        <f t="shared" si="212"/>
        <v>2.1222158782728267</v>
      </c>
      <c r="N3742" s="133">
        <f>AVERAGE(85, 180)</f>
        <v>132.5</v>
      </c>
      <c r="O3742" s="179" t="s">
        <v>3356</v>
      </c>
      <c r="P3742" s="108">
        <v>118</v>
      </c>
      <c r="Q3742" s="88"/>
    </row>
    <row r="3743" spans="1:17" ht="25.5">
      <c r="A3743" s="213" t="s">
        <v>2594</v>
      </c>
      <c r="B3743" s="141" t="s">
        <v>2170</v>
      </c>
      <c r="C3743" s="118" t="s">
        <v>3817</v>
      </c>
      <c r="D3743" s="141"/>
      <c r="E3743" s="118"/>
      <c r="F3743" s="118"/>
      <c r="G3743" s="118" t="s">
        <v>3618</v>
      </c>
      <c r="H3743" s="118" t="s">
        <v>3638</v>
      </c>
      <c r="I3743" s="118" t="s">
        <v>7644</v>
      </c>
      <c r="J3743" s="118" t="s">
        <v>5182</v>
      </c>
      <c r="K3743" s="141"/>
      <c r="L3743" s="135" t="str">
        <f t="shared" si="211"/>
        <v>Rattus novaeguineae</v>
      </c>
      <c r="M3743" s="133">
        <f t="shared" si="212"/>
        <v>2.1238516409670858</v>
      </c>
      <c r="N3743" s="133">
        <f>AVERAGE(137, 129)</f>
        <v>133</v>
      </c>
      <c r="O3743" s="179" t="s">
        <v>6626</v>
      </c>
      <c r="P3743" s="108">
        <v>151</v>
      </c>
      <c r="Q3743" s="85"/>
    </row>
    <row r="3744" spans="1:17">
      <c r="A3744" s="213" t="s">
        <v>2594</v>
      </c>
      <c r="B3744" s="141" t="s">
        <v>7743</v>
      </c>
      <c r="C3744" s="118" t="s">
        <v>3817</v>
      </c>
      <c r="D3744" s="141"/>
      <c r="E3744" s="118"/>
      <c r="F3744" s="118"/>
      <c r="G3744" s="118" t="s">
        <v>3618</v>
      </c>
      <c r="H3744" s="118" t="s">
        <v>3638</v>
      </c>
      <c r="I3744" s="118" t="s">
        <v>7644</v>
      </c>
      <c r="J3744" s="118" t="s">
        <v>4026</v>
      </c>
      <c r="K3744" s="141"/>
      <c r="L3744" s="135" t="str">
        <f t="shared" si="211"/>
        <v>Rattus nitidus</v>
      </c>
      <c r="M3744" s="133">
        <f t="shared" si="212"/>
        <v>2.1254812657005941</v>
      </c>
      <c r="N3744" s="133">
        <f>1000*AVERAGE(0.145, 0.122)</f>
        <v>133.5</v>
      </c>
      <c r="O3744" s="179" t="s">
        <v>3356</v>
      </c>
      <c r="P3744" s="108">
        <v>60</v>
      </c>
      <c r="Q3744" s="80"/>
    </row>
    <row r="3745" spans="1:19" ht="38.25">
      <c r="A3745" s="213" t="s">
        <v>2594</v>
      </c>
      <c r="B3745" s="141" t="s">
        <v>7030</v>
      </c>
      <c r="C3745" s="118" t="s">
        <v>3817</v>
      </c>
      <c r="D3745" s="141"/>
      <c r="E3745" s="118"/>
      <c r="F3745" s="118"/>
      <c r="G3745" s="118" t="s">
        <v>3618</v>
      </c>
      <c r="H3745" s="118" t="s">
        <v>3638</v>
      </c>
      <c r="I3745" s="118" t="s">
        <v>7644</v>
      </c>
      <c r="J3745" s="118" t="s">
        <v>7725</v>
      </c>
      <c r="K3745" s="141"/>
      <c r="L3745" s="135" t="str">
        <f t="shared" si="211"/>
        <v>Rattus argentiventer</v>
      </c>
      <c r="M3745" s="133">
        <f t="shared" si="212"/>
        <v>2.1303337684950061</v>
      </c>
      <c r="N3745" s="133">
        <f>AVERAGE(85, 180, 85, 190)</f>
        <v>135</v>
      </c>
      <c r="O3745" s="179" t="s">
        <v>3356</v>
      </c>
      <c r="P3745" s="108" t="s">
        <v>7805</v>
      </c>
      <c r="Q3745" s="80"/>
    </row>
    <row r="3746" spans="1:19" ht="12" customHeight="1">
      <c r="A3746" s="213" t="s">
        <v>2594</v>
      </c>
      <c r="B3746" s="141" t="s">
        <v>6062</v>
      </c>
      <c r="C3746" s="118" t="s">
        <v>3817</v>
      </c>
      <c r="D3746" s="141"/>
      <c r="E3746" s="118"/>
      <c r="F3746" s="118"/>
      <c r="G3746" s="118" t="s">
        <v>3618</v>
      </c>
      <c r="H3746" s="118" t="s">
        <v>3638</v>
      </c>
      <c r="I3746" s="118" t="s">
        <v>7644</v>
      </c>
      <c r="J3746" s="118" t="s">
        <v>5877</v>
      </c>
      <c r="K3746" s="141"/>
      <c r="L3746" s="135" t="str">
        <f t="shared" si="211"/>
        <v>Rattus mindorensis</v>
      </c>
      <c r="M3746" s="133">
        <f t="shared" si="212"/>
        <v>2.1335389083702174</v>
      </c>
      <c r="N3746" s="133">
        <v>136</v>
      </c>
      <c r="O3746" s="179" t="s">
        <v>3356</v>
      </c>
      <c r="P3746" s="108">
        <v>60</v>
      </c>
      <c r="Q3746" s="88" t="s">
        <v>6988</v>
      </c>
    </row>
    <row r="3747" spans="1:19" ht="24" customHeight="1">
      <c r="A3747" s="213" t="s">
        <v>2594</v>
      </c>
      <c r="B3747" s="141" t="s">
        <v>2435</v>
      </c>
      <c r="C3747" s="118" t="s">
        <v>3817</v>
      </c>
      <c r="D3747" s="141"/>
      <c r="E3747" s="118"/>
      <c r="F3747" s="118"/>
      <c r="G3747" s="118" t="s">
        <v>3618</v>
      </c>
      <c r="H3747" s="118" t="s">
        <v>3638</v>
      </c>
      <c r="I3747" s="118" t="s">
        <v>7644</v>
      </c>
      <c r="J3747" s="118" t="s">
        <v>3985</v>
      </c>
      <c r="K3747" s="141"/>
      <c r="L3747" s="135" t="str">
        <f t="shared" si="211"/>
        <v>Rattus montanus</v>
      </c>
      <c r="M3747" s="133">
        <f t="shared" si="212"/>
        <v>2.1335389083702174</v>
      </c>
      <c r="N3747" s="133">
        <v>136</v>
      </c>
      <c r="O3747" s="179" t="s">
        <v>3356</v>
      </c>
      <c r="P3747" s="108">
        <v>60</v>
      </c>
      <c r="Q3747" s="80" t="s">
        <v>7071</v>
      </c>
    </row>
    <row r="3748" spans="1:19">
      <c r="A3748" s="213" t="s">
        <v>2594</v>
      </c>
      <c r="B3748" s="141" t="s">
        <v>5805</v>
      </c>
      <c r="C3748" s="118" t="s">
        <v>3817</v>
      </c>
      <c r="D3748" s="141"/>
      <c r="E3748" s="118"/>
      <c r="F3748" s="118"/>
      <c r="G3748" s="118" t="s">
        <v>3618</v>
      </c>
      <c r="H3748" s="118" t="s">
        <v>3638</v>
      </c>
      <c r="I3748" s="118" t="s">
        <v>7644</v>
      </c>
      <c r="J3748" s="118" t="s">
        <v>3285</v>
      </c>
      <c r="K3748" s="141"/>
      <c r="L3748" s="135" t="str">
        <f t="shared" si="211"/>
        <v>Rattus hoffmanni</v>
      </c>
      <c r="M3748" s="133">
        <f t="shared" si="212"/>
        <v>2.167317334748176</v>
      </c>
      <c r="N3748" s="133">
        <v>147</v>
      </c>
      <c r="O3748" s="179" t="s">
        <v>3356</v>
      </c>
      <c r="P3748" s="108">
        <v>60</v>
      </c>
      <c r="Q3748" s="80"/>
    </row>
    <row r="3749" spans="1:19">
      <c r="A3749" s="213" t="s">
        <v>2594</v>
      </c>
      <c r="B3749" s="141" t="s">
        <v>2600</v>
      </c>
      <c r="C3749" s="118" t="s">
        <v>3817</v>
      </c>
      <c r="D3749" s="141"/>
      <c r="E3749" s="118"/>
      <c r="F3749" s="118"/>
      <c r="G3749" s="118" t="s">
        <v>3618</v>
      </c>
      <c r="H3749" s="118" t="s">
        <v>3638</v>
      </c>
      <c r="I3749" s="118" t="s">
        <v>7644</v>
      </c>
      <c r="J3749" s="118" t="s">
        <v>5245</v>
      </c>
      <c r="K3749" s="141"/>
      <c r="L3749" s="135" t="str">
        <f t="shared" si="211"/>
        <v>Rattus morotaiensis</v>
      </c>
      <c r="M3749" s="133">
        <f t="shared" si="212"/>
        <v>2.1709947020363001</v>
      </c>
      <c r="N3749" s="133">
        <f>(154+142.5)/2</f>
        <v>148.25</v>
      </c>
      <c r="O3749" s="179" t="s">
        <v>3356</v>
      </c>
      <c r="P3749" s="108">
        <v>110</v>
      </c>
      <c r="Q3749" s="80"/>
    </row>
    <row r="3750" spans="1:19" ht="25.5">
      <c r="A3750" s="213" t="s">
        <v>2594</v>
      </c>
      <c r="B3750" s="141" t="s">
        <v>3255</v>
      </c>
      <c r="C3750" s="118" t="s">
        <v>3817</v>
      </c>
      <c r="D3750" s="141"/>
      <c r="E3750" s="118"/>
      <c r="F3750" s="118"/>
      <c r="G3750" s="118" t="s">
        <v>3618</v>
      </c>
      <c r="H3750" s="118" t="s">
        <v>3638</v>
      </c>
      <c r="I3750" s="118" t="s">
        <v>7644</v>
      </c>
      <c r="J3750" s="118" t="s">
        <v>5245</v>
      </c>
      <c r="K3750" s="141"/>
      <c r="L3750" s="135" t="str">
        <f t="shared" si="211"/>
        <v>Rattus morotaiensis</v>
      </c>
      <c r="M3750" s="133">
        <f t="shared" si="212"/>
        <v>2.1709947020363001</v>
      </c>
      <c r="N3750" s="133">
        <f>(154+142.5)/2</f>
        <v>148.25</v>
      </c>
      <c r="O3750" s="179" t="s">
        <v>3356</v>
      </c>
      <c r="P3750" s="108">
        <v>110</v>
      </c>
      <c r="Q3750" s="80" t="s">
        <v>1512</v>
      </c>
    </row>
    <row r="3751" spans="1:19" ht="25.5">
      <c r="A3751" s="213" t="s">
        <v>2594</v>
      </c>
      <c r="B3751" s="141" t="s">
        <v>2170</v>
      </c>
      <c r="C3751" s="118" t="s">
        <v>3817</v>
      </c>
      <c r="D3751" s="141"/>
      <c r="E3751" s="118"/>
      <c r="F3751" s="118"/>
      <c r="G3751" s="118" t="s">
        <v>3618</v>
      </c>
      <c r="H3751" s="118" t="s">
        <v>3638</v>
      </c>
      <c r="I3751" s="118" t="s">
        <v>7644</v>
      </c>
      <c r="J3751" s="118" t="s">
        <v>5173</v>
      </c>
      <c r="K3751" s="141"/>
      <c r="L3751" s="135" t="str">
        <f t="shared" si="211"/>
        <v>Rattus steini</v>
      </c>
      <c r="M3751" s="133">
        <f t="shared" si="212"/>
        <v>2.1903316981702914</v>
      </c>
      <c r="N3751" s="133">
        <f>AVERAGE(155, 155)</f>
        <v>155</v>
      </c>
      <c r="O3751" s="179" t="s">
        <v>7314</v>
      </c>
      <c r="P3751" s="108">
        <v>151</v>
      </c>
      <c r="Q3751" s="85"/>
    </row>
    <row r="3752" spans="1:19" ht="76.5">
      <c r="A3752" s="213" t="s">
        <v>2594</v>
      </c>
      <c r="B3752" s="141" t="s">
        <v>2170</v>
      </c>
      <c r="C3752" s="110" t="s">
        <v>3817</v>
      </c>
      <c r="D3752" s="145"/>
      <c r="E3752" s="110"/>
      <c r="F3752" s="110"/>
      <c r="G3752" s="110" t="s">
        <v>3618</v>
      </c>
      <c r="H3752" s="110" t="s">
        <v>3638</v>
      </c>
      <c r="I3752" s="110" t="s">
        <v>7644</v>
      </c>
      <c r="J3752" s="110" t="s">
        <v>6734</v>
      </c>
      <c r="K3752" s="145"/>
      <c r="L3752" s="135" t="str">
        <f t="shared" si="211"/>
        <v>Rattus sordidus</v>
      </c>
      <c r="M3752" s="133">
        <f t="shared" si="212"/>
        <v>2.1972805581256192</v>
      </c>
      <c r="N3752" s="146">
        <v>157.5</v>
      </c>
      <c r="P3752" s="115">
        <v>59</v>
      </c>
      <c r="Q3752" s="82" t="s">
        <v>6642</v>
      </c>
      <c r="R3752" s="79" t="s">
        <v>7519</v>
      </c>
      <c r="S3752" s="80"/>
    </row>
    <row r="3753" spans="1:19" ht="48" customHeight="1">
      <c r="A3753" s="213" t="s">
        <v>2594</v>
      </c>
      <c r="B3753" s="141" t="s">
        <v>2600</v>
      </c>
      <c r="C3753" s="118" t="s">
        <v>3817</v>
      </c>
      <c r="D3753" s="141"/>
      <c r="E3753" s="118"/>
      <c r="F3753" s="118"/>
      <c r="G3753" s="118" t="s">
        <v>3618</v>
      </c>
      <c r="H3753" s="118" t="s">
        <v>3638</v>
      </c>
      <c r="I3753" s="118" t="s">
        <v>7644</v>
      </c>
      <c r="J3753" s="118" t="s">
        <v>3957</v>
      </c>
      <c r="K3753" s="141"/>
      <c r="L3753" s="135" t="str">
        <f t="shared" si="211"/>
        <v>Rattus adustus</v>
      </c>
      <c r="M3753" s="133">
        <f t="shared" si="212"/>
        <v>2.1986570869544226</v>
      </c>
      <c r="N3753" s="133">
        <v>158</v>
      </c>
      <c r="O3753" s="179" t="s">
        <v>3356</v>
      </c>
      <c r="P3753" s="108">
        <v>60</v>
      </c>
      <c r="Q3753" s="88" t="s">
        <v>6988</v>
      </c>
    </row>
    <row r="3754" spans="1:19">
      <c r="A3754" s="213" t="s">
        <v>2594</v>
      </c>
      <c r="B3754" s="141" t="s">
        <v>2275</v>
      </c>
      <c r="C3754" s="118" t="s">
        <v>3817</v>
      </c>
      <c r="D3754" s="141"/>
      <c r="E3754" s="118"/>
      <c r="F3754" s="118"/>
      <c r="G3754" s="118" t="s">
        <v>3618</v>
      </c>
      <c r="H3754" s="118" t="s">
        <v>3638</v>
      </c>
      <c r="I3754" s="118" t="s">
        <v>7644</v>
      </c>
      <c r="J3754" s="118" t="s">
        <v>8189</v>
      </c>
      <c r="K3754" s="141"/>
      <c r="L3754" s="135" t="str">
        <f t="shared" si="211"/>
        <v>Rattus hoogerwerfi</v>
      </c>
      <c r="M3754" s="133">
        <f t="shared" si="212"/>
        <v>2.2174839442139063</v>
      </c>
      <c r="N3754" s="133">
        <v>165</v>
      </c>
      <c r="O3754" s="179" t="s">
        <v>3356</v>
      </c>
      <c r="P3754" s="108">
        <v>60</v>
      </c>
      <c r="Q3754" s="80" t="s">
        <v>6988</v>
      </c>
    </row>
    <row r="3755" spans="1:19" ht="24" customHeight="1">
      <c r="A3755" s="213" t="s">
        <v>2594</v>
      </c>
      <c r="B3755" s="141" t="s">
        <v>6062</v>
      </c>
      <c r="C3755" s="118" t="s">
        <v>3817</v>
      </c>
      <c r="D3755" s="141"/>
      <c r="E3755" s="118"/>
      <c r="F3755" s="118"/>
      <c r="G3755" s="118" t="s">
        <v>3618</v>
      </c>
      <c r="H3755" s="118" t="s">
        <v>3638</v>
      </c>
      <c r="I3755" s="118" t="s">
        <v>7644</v>
      </c>
      <c r="J3755" s="118" t="s">
        <v>4716</v>
      </c>
      <c r="K3755" s="141"/>
      <c r="L3755" s="135" t="str">
        <f t="shared" si="211"/>
        <v>Rattus tawitawiensis</v>
      </c>
      <c r="M3755" s="133">
        <f t="shared" si="212"/>
        <v>2.255272505103306</v>
      </c>
      <c r="N3755" s="133">
        <v>180</v>
      </c>
      <c r="O3755" s="179" t="s">
        <v>3356</v>
      </c>
      <c r="P3755" s="114">
        <v>60</v>
      </c>
      <c r="Q3755" s="88" t="s">
        <v>6988</v>
      </c>
    </row>
    <row r="3756" spans="1:19" ht="25.5">
      <c r="A3756" s="213" t="s">
        <v>2594</v>
      </c>
      <c r="B3756" s="141" t="s">
        <v>2170</v>
      </c>
      <c r="C3756" s="121" t="s">
        <v>3817</v>
      </c>
      <c r="D3756" s="156"/>
      <c r="E3756" s="121"/>
      <c r="F3756" s="121"/>
      <c r="G3756" s="121" t="s">
        <v>3618</v>
      </c>
      <c r="H3756" s="121" t="s">
        <v>3638</v>
      </c>
      <c r="I3756" s="121" t="s">
        <v>7644</v>
      </c>
      <c r="J3756" s="121" t="s">
        <v>5785</v>
      </c>
      <c r="K3756" s="141"/>
      <c r="L3756" s="135" t="str">
        <f t="shared" si="211"/>
        <v>Rattus praetor</v>
      </c>
      <c r="M3756" s="133">
        <f t="shared" si="212"/>
        <v>2.2855573090077739</v>
      </c>
      <c r="N3756" s="143">
        <f>AVERAGE(198, 188)</f>
        <v>193</v>
      </c>
      <c r="O3756" s="179" t="s">
        <v>6895</v>
      </c>
      <c r="P3756" s="108">
        <v>151</v>
      </c>
      <c r="Q3756" s="85"/>
    </row>
    <row r="3757" spans="1:19" ht="25.5">
      <c r="A3757" s="212" t="s">
        <v>2594</v>
      </c>
      <c r="B3757" s="141" t="s">
        <v>2170</v>
      </c>
      <c r="C3757" s="110" t="s">
        <v>3817</v>
      </c>
      <c r="D3757" s="145"/>
      <c r="E3757" s="110"/>
      <c r="F3757" s="110"/>
      <c r="G3757" s="110" t="s">
        <v>3618</v>
      </c>
      <c r="H3757" s="110" t="s">
        <v>3638</v>
      </c>
      <c r="I3757" s="110" t="s">
        <v>7644</v>
      </c>
      <c r="J3757" s="110" t="s">
        <v>7491</v>
      </c>
      <c r="K3757" s="145"/>
      <c r="L3757" s="135" t="str">
        <f t="shared" si="211"/>
        <v>Rattus leucopus</v>
      </c>
      <c r="M3757" s="133">
        <f t="shared" si="212"/>
        <v>2.325207689482919</v>
      </c>
      <c r="N3757" s="146">
        <f>AVERAGE(211.2, 211.7)</f>
        <v>211.45</v>
      </c>
      <c r="O3757" s="179" t="s">
        <v>6963</v>
      </c>
      <c r="P3757" s="115">
        <v>151</v>
      </c>
      <c r="Q3757" s="82"/>
    </row>
    <row r="3758" spans="1:19" ht="89.25">
      <c r="A3758" s="213" t="s">
        <v>2594</v>
      </c>
      <c r="B3758" s="141" t="s">
        <v>1395</v>
      </c>
      <c r="C3758" s="118" t="s">
        <v>3817</v>
      </c>
      <c r="D3758" s="141"/>
      <c r="E3758" s="118"/>
      <c r="F3758" s="118"/>
      <c r="G3758" s="118" t="s">
        <v>3618</v>
      </c>
      <c r="H3758" s="118" t="s">
        <v>3638</v>
      </c>
      <c r="I3758" s="118" t="s">
        <v>7644</v>
      </c>
      <c r="J3758" s="118" t="s">
        <v>5785</v>
      </c>
      <c r="K3758" s="141"/>
      <c r="L3758" s="135" t="str">
        <f t="shared" si="211"/>
        <v>Rattus praetor</v>
      </c>
      <c r="M3758" s="133">
        <f t="shared" si="212"/>
        <v>2.3329431601256925</v>
      </c>
      <c r="N3758" s="133">
        <f>(240+190.5)/2</f>
        <v>215.25</v>
      </c>
      <c r="O3758" s="179" t="s">
        <v>3356</v>
      </c>
      <c r="P3758" s="108">
        <v>110</v>
      </c>
      <c r="Q3758" s="80" t="s">
        <v>1512</v>
      </c>
    </row>
    <row r="3759" spans="1:19">
      <c r="A3759" s="213" t="s">
        <v>2594</v>
      </c>
      <c r="B3759" s="141" t="s">
        <v>5805</v>
      </c>
      <c r="C3759" s="118" t="s">
        <v>3817</v>
      </c>
      <c r="D3759" s="141"/>
      <c r="E3759" s="118"/>
      <c r="F3759" s="118"/>
      <c r="G3759" s="118" t="s">
        <v>3618</v>
      </c>
      <c r="H3759" s="118" t="s">
        <v>3638</v>
      </c>
      <c r="I3759" s="118" t="s">
        <v>7644</v>
      </c>
      <c r="J3759" s="118" t="s">
        <v>5243</v>
      </c>
      <c r="K3759" s="141"/>
      <c r="L3759" s="135" t="str">
        <f t="shared" si="211"/>
        <v>Rattus marmosurus</v>
      </c>
      <c r="M3759" s="133">
        <f t="shared" si="212"/>
        <v>2.3364597338485296</v>
      </c>
      <c r="N3759" s="133">
        <v>217</v>
      </c>
      <c r="O3759" s="179" t="s">
        <v>3356</v>
      </c>
      <c r="P3759" s="108">
        <v>60</v>
      </c>
      <c r="Q3759" s="80"/>
    </row>
    <row r="3760" spans="1:19" ht="24" customHeight="1">
      <c r="A3760" s="213" t="s">
        <v>2594</v>
      </c>
      <c r="B3760" s="141" t="s">
        <v>2316</v>
      </c>
      <c r="C3760" s="118" t="s">
        <v>3817</v>
      </c>
      <c r="D3760" s="141"/>
      <c r="E3760" s="118"/>
      <c r="F3760" s="118"/>
      <c r="G3760" s="118" t="s">
        <v>3618</v>
      </c>
      <c r="H3760" s="118" t="s">
        <v>3638</v>
      </c>
      <c r="I3760" s="118" t="s">
        <v>7644</v>
      </c>
      <c r="J3760" s="118" t="s">
        <v>7213</v>
      </c>
      <c r="K3760" s="141"/>
      <c r="L3760" s="135" t="str">
        <f t="shared" si="211"/>
        <v>Rattus lugens</v>
      </c>
      <c r="M3760" s="133">
        <f t="shared" si="212"/>
        <v>2.3502480183341627</v>
      </c>
      <c r="N3760" s="133">
        <v>224</v>
      </c>
      <c r="O3760" s="179" t="s">
        <v>3356</v>
      </c>
      <c r="P3760" s="108">
        <v>60</v>
      </c>
      <c r="Q3760" s="88"/>
    </row>
    <row r="3761" spans="1:19">
      <c r="A3761" s="213" t="s">
        <v>2594</v>
      </c>
      <c r="B3761" s="141" t="s">
        <v>6002</v>
      </c>
      <c r="C3761" s="118" t="s">
        <v>3817</v>
      </c>
      <c r="D3761" s="141"/>
      <c r="E3761" s="118"/>
      <c r="F3761" s="118"/>
      <c r="G3761" s="118" t="s">
        <v>3618</v>
      </c>
      <c r="H3761" s="118" t="s">
        <v>3638</v>
      </c>
      <c r="I3761" s="118" t="s">
        <v>7644</v>
      </c>
      <c r="J3761" s="118" t="s">
        <v>5175</v>
      </c>
      <c r="K3761" s="141"/>
      <c r="L3761" s="135" t="str">
        <f t="shared" si="211"/>
        <v>Rattus tanezumi</v>
      </c>
      <c r="M3761" s="133">
        <f t="shared" si="212"/>
        <v>2.357934847000454</v>
      </c>
      <c r="N3761" s="133">
        <v>228</v>
      </c>
      <c r="O3761" s="179" t="s">
        <v>3356</v>
      </c>
      <c r="P3761" s="108">
        <v>121</v>
      </c>
      <c r="Q3761" s="80"/>
    </row>
    <row r="3762" spans="1:19" ht="76.5">
      <c r="A3762" s="213" t="s">
        <v>2594</v>
      </c>
      <c r="B3762" s="141" t="s">
        <v>1412</v>
      </c>
      <c r="C3762" s="118" t="s">
        <v>3817</v>
      </c>
      <c r="D3762" s="141"/>
      <c r="E3762" s="118"/>
      <c r="F3762" s="118"/>
      <c r="G3762" s="118" t="s">
        <v>3618</v>
      </c>
      <c r="H3762" s="118" t="s">
        <v>3638</v>
      </c>
      <c r="I3762" s="118" t="s">
        <v>7644</v>
      </c>
      <c r="J3762" s="118" t="s">
        <v>6743</v>
      </c>
      <c r="K3762" s="141"/>
      <c r="L3762" s="135" t="str">
        <f t="shared" si="211"/>
        <v>Rattus mordax</v>
      </c>
      <c r="M3762" s="133">
        <f t="shared" si="212"/>
        <v>2.3617278360175931</v>
      </c>
      <c r="N3762" s="133">
        <f>(255+205)/2</f>
        <v>230</v>
      </c>
      <c r="O3762" s="179" t="s">
        <v>3356</v>
      </c>
      <c r="P3762" s="108">
        <v>110</v>
      </c>
      <c r="R3762" s="80" t="s">
        <v>1512</v>
      </c>
      <c r="S3762" s="85" t="s">
        <v>6866</v>
      </c>
    </row>
    <row r="3763" spans="1:19" ht="216.75">
      <c r="A3763" s="213" t="s">
        <v>2594</v>
      </c>
      <c r="B3763" s="141" t="s">
        <v>2170</v>
      </c>
      <c r="C3763" s="118" t="s">
        <v>3817</v>
      </c>
      <c r="D3763" s="141"/>
      <c r="E3763" s="118"/>
      <c r="F3763" s="118"/>
      <c r="G3763" s="118" t="s">
        <v>3618</v>
      </c>
      <c r="H3763" s="118" t="s">
        <v>3638</v>
      </c>
      <c r="I3763" s="118" t="s">
        <v>7644</v>
      </c>
      <c r="J3763" s="118" t="s">
        <v>6743</v>
      </c>
      <c r="K3763" s="141"/>
      <c r="L3763" s="135" t="str">
        <f t="shared" si="211"/>
        <v>Rattus mordax</v>
      </c>
      <c r="M3763" s="133">
        <f t="shared" si="212"/>
        <v>2.3617278360175931</v>
      </c>
      <c r="N3763" s="133">
        <f>(255+205)/2</f>
        <v>230</v>
      </c>
      <c r="P3763" s="108">
        <v>151</v>
      </c>
      <c r="R3763" s="79" t="s">
        <v>6625</v>
      </c>
    </row>
    <row r="3764" spans="1:19">
      <c r="A3764" s="213" t="s">
        <v>2594</v>
      </c>
      <c r="B3764" s="141" t="s">
        <v>2275</v>
      </c>
      <c r="C3764" s="118" t="s">
        <v>3817</v>
      </c>
      <c r="D3764" s="141"/>
      <c r="E3764" s="118"/>
      <c r="F3764" s="118"/>
      <c r="G3764" s="118" t="s">
        <v>3618</v>
      </c>
      <c r="H3764" s="118" t="s">
        <v>3638</v>
      </c>
      <c r="I3764" s="118" t="s">
        <v>7644</v>
      </c>
      <c r="J3764" s="118" t="s">
        <v>5157</v>
      </c>
      <c r="K3764" s="141"/>
      <c r="L3764" s="135" t="str">
        <f t="shared" si="211"/>
        <v>Rattus annandalei</v>
      </c>
      <c r="M3764" s="133">
        <f t="shared" si="212"/>
        <v>2.3705130895985924</v>
      </c>
      <c r="N3764" s="133">
        <f>1000*AVERAGE(0.18, 0.322, 0.279, 0.195, 0.1975)</f>
        <v>234.7</v>
      </c>
      <c r="O3764" s="179"/>
      <c r="P3764" s="108">
        <v>60</v>
      </c>
      <c r="Q3764" s="80"/>
    </row>
    <row r="3765" spans="1:19">
      <c r="A3765" s="213" t="s">
        <v>2594</v>
      </c>
      <c r="B3765" s="141" t="s">
        <v>5805</v>
      </c>
      <c r="C3765" s="118" t="s">
        <v>3817</v>
      </c>
      <c r="D3765" s="141"/>
      <c r="E3765" s="118"/>
      <c r="F3765" s="118"/>
      <c r="G3765" s="118" t="s">
        <v>3618</v>
      </c>
      <c r="H3765" s="118" t="s">
        <v>3638</v>
      </c>
      <c r="I3765" s="118" t="s">
        <v>7644</v>
      </c>
      <c r="J3765" s="118" t="s">
        <v>8175</v>
      </c>
      <c r="K3765" s="141"/>
      <c r="L3765" s="135" t="str">
        <f t="shared" si="211"/>
        <v>Rattus bontanus</v>
      </c>
      <c r="M3765" s="133">
        <f t="shared" si="212"/>
        <v>2.3783979009481375</v>
      </c>
      <c r="N3765" s="133">
        <v>239</v>
      </c>
      <c r="O3765" s="179" t="s">
        <v>3356</v>
      </c>
      <c r="P3765" s="108">
        <v>60</v>
      </c>
      <c r="Q3765" s="80" t="s">
        <v>6988</v>
      </c>
    </row>
    <row r="3766" spans="1:19" ht="12" customHeight="1">
      <c r="A3766" s="213" t="s">
        <v>2594</v>
      </c>
      <c r="B3766" s="141" t="s">
        <v>6062</v>
      </c>
      <c r="C3766" s="118" t="s">
        <v>3817</v>
      </c>
      <c r="D3766" s="141"/>
      <c r="E3766" s="118"/>
      <c r="F3766" s="118"/>
      <c r="G3766" s="118" t="s">
        <v>3618</v>
      </c>
      <c r="H3766" s="118" t="s">
        <v>3638</v>
      </c>
      <c r="I3766" s="118" t="s">
        <v>7644</v>
      </c>
      <c r="J3766" s="118" t="s">
        <v>4289</v>
      </c>
      <c r="K3766" s="141"/>
      <c r="L3766" s="135" t="str">
        <f t="shared" si="211"/>
        <v>Rattus everetti</v>
      </c>
      <c r="M3766" s="133">
        <f t="shared" si="212"/>
        <v>2.4065969472442972</v>
      </c>
      <c r="N3766" s="133">
        <f>AVERAGE(253.2, 260, 249, 278, 242, 248)</f>
        <v>255.03333333333333</v>
      </c>
      <c r="O3766" s="179" t="s">
        <v>3356</v>
      </c>
      <c r="P3766" s="108" t="s">
        <v>4417</v>
      </c>
      <c r="Q3766" s="88"/>
    </row>
    <row r="3767" spans="1:19">
      <c r="A3767" s="213" t="s">
        <v>2594</v>
      </c>
      <c r="B3767" s="141" t="s">
        <v>5805</v>
      </c>
      <c r="C3767" s="118" t="s">
        <v>3817</v>
      </c>
      <c r="D3767" s="141"/>
      <c r="E3767" s="118"/>
      <c r="F3767" s="118"/>
      <c r="G3767" s="118" t="s">
        <v>3618</v>
      </c>
      <c r="H3767" s="118" t="s">
        <v>3638</v>
      </c>
      <c r="I3767" s="118" t="s">
        <v>7644</v>
      </c>
      <c r="J3767" s="118" t="s">
        <v>4718</v>
      </c>
      <c r="K3767" s="141"/>
      <c r="L3767" s="135" t="str">
        <f t="shared" si="211"/>
        <v>Rattus xanthurus</v>
      </c>
      <c r="M3767" s="133">
        <f t="shared" si="212"/>
        <v>2.4814426285023048</v>
      </c>
      <c r="N3767" s="133">
        <v>303</v>
      </c>
      <c r="O3767" s="179" t="s">
        <v>3356</v>
      </c>
      <c r="P3767" s="108">
        <v>60</v>
      </c>
      <c r="Q3767" s="80"/>
    </row>
    <row r="3768" spans="1:19">
      <c r="A3768" s="213" t="s">
        <v>2594</v>
      </c>
      <c r="B3768" s="141" t="s">
        <v>5191</v>
      </c>
      <c r="C3768" s="118" t="s">
        <v>3817</v>
      </c>
      <c r="D3768" s="141"/>
      <c r="E3768" s="118"/>
      <c r="F3768" s="118"/>
      <c r="G3768" s="118" t="s">
        <v>3618</v>
      </c>
      <c r="H3768" s="118" t="s">
        <v>3638</v>
      </c>
      <c r="I3768" s="118" t="s">
        <v>7644</v>
      </c>
      <c r="J3768" s="118" t="s">
        <v>5137</v>
      </c>
      <c r="K3768" s="141"/>
      <c r="L3768" s="135" t="str">
        <f t="shared" si="211"/>
        <v>Rattus enganus</v>
      </c>
      <c r="M3768" s="133">
        <f t="shared" si="212"/>
        <v>2.4842998393467859</v>
      </c>
      <c r="N3768" s="133">
        <v>305</v>
      </c>
      <c r="O3768" s="179" t="s">
        <v>3356</v>
      </c>
      <c r="P3768" s="108">
        <v>60</v>
      </c>
      <c r="Q3768" s="80" t="s">
        <v>7071</v>
      </c>
    </row>
    <row r="3769" spans="1:19">
      <c r="A3769" s="213" t="s">
        <v>2594</v>
      </c>
      <c r="B3769" s="141" t="s">
        <v>5192</v>
      </c>
      <c r="C3769" s="118" t="s">
        <v>3817</v>
      </c>
      <c r="D3769" s="141"/>
      <c r="E3769" s="118"/>
      <c r="F3769" s="118"/>
      <c r="G3769" s="118" t="s">
        <v>3618</v>
      </c>
      <c r="H3769" s="121" t="s">
        <v>3638</v>
      </c>
      <c r="I3769" s="118" t="s">
        <v>7644</v>
      </c>
      <c r="J3769" s="118" t="s">
        <v>4721</v>
      </c>
      <c r="K3769" s="141"/>
      <c r="L3769" s="135" t="str">
        <f t="shared" si="211"/>
        <v>Rattus feliceus</v>
      </c>
      <c r="M3769" s="133">
        <f t="shared" si="212"/>
        <v>2.4857214264815801</v>
      </c>
      <c r="N3769" s="133">
        <f>306</f>
        <v>306</v>
      </c>
      <c r="O3769" s="179" t="s">
        <v>3356</v>
      </c>
      <c r="P3769" s="108">
        <v>110</v>
      </c>
      <c r="Q3769" s="90" t="s">
        <v>7071</v>
      </c>
      <c r="R3769" s="80" t="s">
        <v>1469</v>
      </c>
    </row>
    <row r="3770" spans="1:19">
      <c r="A3770" s="213" t="s">
        <v>2594</v>
      </c>
      <c r="B3770" s="141" t="s">
        <v>7023</v>
      </c>
      <c r="C3770" s="118" t="s">
        <v>3817</v>
      </c>
      <c r="D3770" s="141"/>
      <c r="E3770" s="118"/>
      <c r="F3770" s="118"/>
      <c r="G3770" s="118" t="s">
        <v>3618</v>
      </c>
      <c r="H3770" s="118" t="s">
        <v>3638</v>
      </c>
      <c r="I3770" s="118" t="s">
        <v>7644</v>
      </c>
      <c r="J3770" s="118" t="s">
        <v>5174</v>
      </c>
      <c r="K3770" s="141"/>
      <c r="L3770" s="135" t="str">
        <f t="shared" si="211"/>
        <v>Rattus stoicus</v>
      </c>
      <c r="M3770" s="133">
        <f t="shared" si="212"/>
        <v>2.509202522331103</v>
      </c>
      <c r="N3770" s="133">
        <v>323</v>
      </c>
      <c r="O3770" s="179" t="s">
        <v>6882</v>
      </c>
      <c r="P3770" s="108">
        <v>60</v>
      </c>
      <c r="Q3770" s="80" t="s">
        <v>6988</v>
      </c>
    </row>
    <row r="3771" spans="1:19">
      <c r="A3771" s="213" t="s">
        <v>2594</v>
      </c>
      <c r="B3771" s="141" t="s">
        <v>4420</v>
      </c>
      <c r="C3771" s="118" t="s">
        <v>3817</v>
      </c>
      <c r="D3771" s="141"/>
      <c r="E3771" s="118"/>
      <c r="F3771" s="118"/>
      <c r="G3771" s="118" t="s">
        <v>3618</v>
      </c>
      <c r="H3771" s="118" t="s">
        <v>3638</v>
      </c>
      <c r="I3771" s="118" t="s">
        <v>7644</v>
      </c>
      <c r="J3771" s="118" t="s">
        <v>4732</v>
      </c>
      <c r="K3771" s="141"/>
      <c r="L3771" s="135" t="str">
        <f t="shared" si="211"/>
        <v>Rattus jobiensis</v>
      </c>
      <c r="M3771" s="133">
        <f t="shared" si="212"/>
        <v>2.5797835966168101</v>
      </c>
      <c r="N3771" s="133">
        <f>(260+500)/2</f>
        <v>380</v>
      </c>
      <c r="O3771" s="179" t="s">
        <v>3356</v>
      </c>
      <c r="P3771" s="108">
        <v>110</v>
      </c>
      <c r="Q3771" s="80" t="s">
        <v>6642</v>
      </c>
      <c r="R3771" s="80" t="s">
        <v>1469</v>
      </c>
    </row>
    <row r="3772" spans="1:19">
      <c r="A3772" s="213" t="s">
        <v>2594</v>
      </c>
      <c r="B3772" s="141" t="s">
        <v>5215</v>
      </c>
      <c r="C3772" s="118" t="s">
        <v>3817</v>
      </c>
      <c r="D3772" s="141"/>
      <c r="E3772" s="118"/>
      <c r="F3772" s="118"/>
      <c r="G3772" s="118" t="s">
        <v>3618</v>
      </c>
      <c r="H3772" s="118" t="s">
        <v>3638</v>
      </c>
      <c r="I3772" s="118" t="s">
        <v>7644</v>
      </c>
      <c r="J3772" s="118" t="s">
        <v>8273</v>
      </c>
      <c r="K3772" s="141"/>
      <c r="L3772" s="135" t="str">
        <f t="shared" si="211"/>
        <v>Rattus palmarum</v>
      </c>
      <c r="M3772" s="133">
        <f t="shared" si="212"/>
        <v>2.6910814921229687</v>
      </c>
      <c r="N3772" s="133">
        <v>491</v>
      </c>
      <c r="O3772" s="179" t="s">
        <v>6882</v>
      </c>
      <c r="P3772" s="115">
        <v>60</v>
      </c>
      <c r="Q3772" s="80" t="s">
        <v>6988</v>
      </c>
    </row>
    <row r="3773" spans="1:19">
      <c r="A3773" s="213" t="s">
        <v>2594</v>
      </c>
      <c r="B3773" s="141" t="s">
        <v>7536</v>
      </c>
      <c r="C3773" s="118" t="s">
        <v>3817</v>
      </c>
      <c r="D3773" s="141"/>
      <c r="E3773" s="118"/>
      <c r="F3773" s="118"/>
      <c r="G3773" s="118" t="s">
        <v>3618</v>
      </c>
      <c r="H3773" s="118" t="s">
        <v>3638</v>
      </c>
      <c r="I3773" s="118" t="s">
        <v>4890</v>
      </c>
      <c r="J3773" s="118" t="s">
        <v>5540</v>
      </c>
      <c r="K3773" s="141"/>
      <c r="L3773" s="135" t="str">
        <f t="shared" si="211"/>
        <v>Reithrodontomys spectabilis</v>
      </c>
      <c r="M3773" s="133">
        <f t="shared" si="212"/>
        <v>1.3053513694466237</v>
      </c>
      <c r="N3773" s="133">
        <v>20.2</v>
      </c>
      <c r="O3773" s="179" t="s">
        <v>3356</v>
      </c>
      <c r="P3773" s="108">
        <v>77</v>
      </c>
      <c r="Q3773" s="90" t="s">
        <v>6640</v>
      </c>
    </row>
    <row r="3774" spans="1:19" ht="12" customHeight="1">
      <c r="A3774" s="213" t="s">
        <v>2594</v>
      </c>
      <c r="B3774" s="141" t="s">
        <v>2275</v>
      </c>
      <c r="C3774" s="118" t="s">
        <v>3817</v>
      </c>
      <c r="D3774" s="141"/>
      <c r="E3774" s="118"/>
      <c r="F3774" s="118"/>
      <c r="G3774" s="118" t="s">
        <v>3618</v>
      </c>
      <c r="H3774" s="118" t="s">
        <v>3638</v>
      </c>
      <c r="I3774" s="118" t="s">
        <v>5223</v>
      </c>
      <c r="J3774" s="118" t="s">
        <v>6166</v>
      </c>
      <c r="K3774" s="141"/>
      <c r="L3774" s="135" t="str">
        <f t="shared" si="211"/>
        <v>Rhizomys sumatrensis</v>
      </c>
      <c r="M3774" s="133">
        <f t="shared" si="212"/>
        <v>3.4771212547196626</v>
      </c>
      <c r="N3774" s="133">
        <f>1000*AVERAGE(2, 4)</f>
        <v>3000</v>
      </c>
      <c r="O3774" s="179" t="s">
        <v>3356</v>
      </c>
      <c r="P3774" s="108">
        <v>60</v>
      </c>
      <c r="Q3774" s="88"/>
    </row>
    <row r="3775" spans="1:19">
      <c r="A3775" s="213" t="s">
        <v>2594</v>
      </c>
      <c r="B3775" s="141" t="s">
        <v>6062</v>
      </c>
      <c r="C3775" s="118" t="s">
        <v>3817</v>
      </c>
      <c r="D3775" s="141"/>
      <c r="E3775" s="118"/>
      <c r="F3775" s="118"/>
      <c r="G3775" s="118" t="s">
        <v>3618</v>
      </c>
      <c r="H3775" s="118" t="s">
        <v>3638</v>
      </c>
      <c r="I3775" s="118" t="s">
        <v>8162</v>
      </c>
      <c r="J3775" s="118" t="s">
        <v>6050</v>
      </c>
      <c r="K3775" s="141"/>
      <c r="L3775" s="135" t="str">
        <f t="shared" si="211"/>
        <v>Rhynchomys isarogensis</v>
      </c>
      <c r="M3775" s="133">
        <f t="shared" si="212"/>
        <v>2.0881360887005513</v>
      </c>
      <c r="N3775" s="133">
        <v>122.5</v>
      </c>
      <c r="O3775" s="179" t="s">
        <v>3356</v>
      </c>
      <c r="P3775" s="108">
        <v>121</v>
      </c>
      <c r="Q3775" s="80" t="s">
        <v>6988</v>
      </c>
    </row>
    <row r="3776" spans="1:19">
      <c r="A3776" s="213" t="s">
        <v>2594</v>
      </c>
      <c r="B3776" s="141" t="s">
        <v>6062</v>
      </c>
      <c r="C3776" s="118" t="s">
        <v>3817</v>
      </c>
      <c r="D3776" s="141"/>
      <c r="E3776" s="118"/>
      <c r="F3776" s="118"/>
      <c r="G3776" s="118" t="s">
        <v>3618</v>
      </c>
      <c r="H3776" s="118" t="s">
        <v>3638</v>
      </c>
      <c r="I3776" s="118" t="s">
        <v>8162</v>
      </c>
      <c r="J3776" s="118" t="s">
        <v>5290</v>
      </c>
      <c r="K3776" s="141"/>
      <c r="L3776" s="135" t="str">
        <f t="shared" si="211"/>
        <v>Rhynchomys soricoides</v>
      </c>
      <c r="M3776" s="133">
        <f t="shared" si="212"/>
        <v>2.271841606536499</v>
      </c>
      <c r="N3776" s="133">
        <v>187</v>
      </c>
      <c r="O3776" s="179" t="s">
        <v>3356</v>
      </c>
      <c r="P3776" s="108">
        <v>60</v>
      </c>
      <c r="Q3776" s="80"/>
    </row>
    <row r="3777" spans="1:17">
      <c r="A3777" s="213" t="s">
        <v>2594</v>
      </c>
      <c r="B3777" s="141" t="s">
        <v>7308</v>
      </c>
      <c r="C3777" s="118" t="s">
        <v>3817</v>
      </c>
      <c r="D3777" s="141"/>
      <c r="E3777" s="118"/>
      <c r="F3777" s="118"/>
      <c r="G3777" s="118" t="s">
        <v>3618</v>
      </c>
      <c r="H3777" s="118" t="s">
        <v>3638</v>
      </c>
      <c r="I3777" s="118" t="s">
        <v>5291</v>
      </c>
      <c r="J3777" s="118" t="s">
        <v>4719</v>
      </c>
      <c r="K3777" s="141"/>
      <c r="L3777" s="135" t="str">
        <f t="shared" si="211"/>
        <v>Solomys salamonis</v>
      </c>
      <c r="M3777" s="133">
        <v>-999</v>
      </c>
      <c r="N3777" s="133">
        <v>-999</v>
      </c>
      <c r="O3777" s="179" t="s">
        <v>3356</v>
      </c>
      <c r="P3777" s="108">
        <v>-999</v>
      </c>
      <c r="Q3777" s="80"/>
    </row>
    <row r="3778" spans="1:17" ht="24" customHeight="1">
      <c r="A3778" s="213" t="s">
        <v>2594</v>
      </c>
      <c r="B3778" s="141" t="s">
        <v>7308</v>
      </c>
      <c r="C3778" s="118" t="s">
        <v>3817</v>
      </c>
      <c r="D3778" s="141"/>
      <c r="E3778" s="118"/>
      <c r="F3778" s="118"/>
      <c r="G3778" s="118" t="s">
        <v>3618</v>
      </c>
      <c r="H3778" s="118" t="s">
        <v>3638</v>
      </c>
      <c r="I3778" s="118" t="s">
        <v>5291</v>
      </c>
      <c r="J3778" s="118" t="s">
        <v>8309</v>
      </c>
      <c r="K3778" s="141"/>
      <c r="L3778" s="135" t="str">
        <f t="shared" si="211"/>
        <v>Solomys sapientis</v>
      </c>
      <c r="M3778" s="133">
        <v>-999</v>
      </c>
      <c r="N3778" s="133">
        <v>-999</v>
      </c>
      <c r="O3778" s="179" t="s">
        <v>3356</v>
      </c>
      <c r="P3778" s="108">
        <v>-999</v>
      </c>
      <c r="Q3778" s="88"/>
    </row>
    <row r="3779" spans="1:17" ht="48" customHeight="1">
      <c r="A3779" s="213" t="s">
        <v>2594</v>
      </c>
      <c r="B3779" s="141" t="s">
        <v>7308</v>
      </c>
      <c r="C3779" s="118" t="s">
        <v>3817</v>
      </c>
      <c r="D3779" s="141"/>
      <c r="E3779" s="118"/>
      <c r="F3779" s="118"/>
      <c r="G3779" s="118" t="s">
        <v>3618</v>
      </c>
      <c r="H3779" s="118" t="s">
        <v>3638</v>
      </c>
      <c r="I3779" s="118" t="s">
        <v>5291</v>
      </c>
      <c r="J3779" s="118" t="s">
        <v>8310</v>
      </c>
      <c r="K3779" s="141"/>
      <c r="L3779" s="135" t="str">
        <f t="shared" si="211"/>
        <v>Solomys spriggsarum</v>
      </c>
      <c r="M3779" s="133">
        <v>-999</v>
      </c>
      <c r="N3779" s="133">
        <v>-999</v>
      </c>
      <c r="O3779" s="179" t="s">
        <v>3356</v>
      </c>
      <c r="P3779" s="108">
        <v>-999</v>
      </c>
      <c r="Q3779" s="88"/>
    </row>
    <row r="3780" spans="1:17" ht="25.5">
      <c r="A3780" s="213" t="s">
        <v>2594</v>
      </c>
      <c r="B3780" s="141" t="s">
        <v>1297</v>
      </c>
      <c r="C3780" s="118" t="s">
        <v>3817</v>
      </c>
      <c r="D3780" s="141"/>
      <c r="E3780" s="118"/>
      <c r="F3780" s="118"/>
      <c r="G3780" s="118" t="s">
        <v>3618</v>
      </c>
      <c r="H3780" s="118" t="s">
        <v>3638</v>
      </c>
      <c r="I3780" s="118" t="s">
        <v>5291</v>
      </c>
      <c r="J3780" s="118" t="s">
        <v>5285</v>
      </c>
      <c r="K3780" s="141"/>
      <c r="L3780" s="135" t="str">
        <f t="shared" si="211"/>
        <v>Solomys salebrosus</v>
      </c>
      <c r="M3780" s="133">
        <f>LOG(N3780)</f>
        <v>2.5987905067631152</v>
      </c>
      <c r="N3780" s="133">
        <f>(411+383)/2</f>
        <v>397</v>
      </c>
      <c r="O3780" s="179" t="s">
        <v>3356</v>
      </c>
      <c r="P3780" s="108">
        <v>110</v>
      </c>
      <c r="Q3780" s="80" t="s">
        <v>1578</v>
      </c>
    </row>
    <row r="3781" spans="1:17" ht="25.5">
      <c r="A3781" s="213" t="s">
        <v>2594</v>
      </c>
      <c r="B3781" s="141" t="s">
        <v>1297</v>
      </c>
      <c r="C3781" s="118" t="s">
        <v>3817</v>
      </c>
      <c r="D3781" s="141"/>
      <c r="E3781" s="118"/>
      <c r="F3781" s="118"/>
      <c r="G3781" s="118" t="s">
        <v>3618</v>
      </c>
      <c r="H3781" s="118" t="s">
        <v>3638</v>
      </c>
      <c r="I3781" s="118" t="s">
        <v>5291</v>
      </c>
      <c r="J3781" s="118" t="s">
        <v>5158</v>
      </c>
      <c r="K3781" s="141"/>
      <c r="L3781" s="135" t="str">
        <f t="shared" ref="L3781:L3844" si="213">I3781&amp;" "&amp;J3781</f>
        <v>Solomys ponceleti</v>
      </c>
      <c r="M3781" s="133">
        <f>LOG(N3781)</f>
        <v>3</v>
      </c>
      <c r="N3781" s="133">
        <v>1000</v>
      </c>
      <c r="O3781" s="179" t="s">
        <v>3356</v>
      </c>
      <c r="P3781" s="108">
        <v>110</v>
      </c>
      <c r="Q3781" s="80" t="s">
        <v>6640</v>
      </c>
    </row>
    <row r="3782" spans="1:17">
      <c r="A3782" s="213" t="s">
        <v>2594</v>
      </c>
      <c r="B3782" s="141" t="s">
        <v>5193</v>
      </c>
      <c r="C3782" s="118" t="s">
        <v>3817</v>
      </c>
      <c r="D3782" s="141"/>
      <c r="E3782" s="118"/>
      <c r="F3782" s="118"/>
      <c r="G3782" s="118" t="s">
        <v>3618</v>
      </c>
      <c r="H3782" s="118" t="s">
        <v>3638</v>
      </c>
      <c r="I3782" s="118" t="s">
        <v>7698</v>
      </c>
      <c r="J3782" s="118" t="s">
        <v>7699</v>
      </c>
      <c r="K3782" s="141"/>
      <c r="L3782" s="135" t="str">
        <f t="shared" si="213"/>
        <v>Spelaeomys florensis</v>
      </c>
      <c r="M3782" s="133">
        <v>-999</v>
      </c>
      <c r="N3782" s="133">
        <v>-999</v>
      </c>
      <c r="O3782" s="179" t="s">
        <v>3356</v>
      </c>
      <c r="P3782" s="108">
        <v>-999</v>
      </c>
      <c r="Q3782" s="80" t="s">
        <v>6907</v>
      </c>
    </row>
    <row r="3783" spans="1:17">
      <c r="A3783" s="213" t="s">
        <v>2594</v>
      </c>
      <c r="B3783" s="130" t="s">
        <v>2435</v>
      </c>
      <c r="C3783" s="118" t="s">
        <v>3817</v>
      </c>
      <c r="D3783" s="141"/>
      <c r="E3783" s="118"/>
      <c r="F3783" s="118"/>
      <c r="G3783" s="118" t="s">
        <v>3618</v>
      </c>
      <c r="H3783" s="118" t="s">
        <v>3638</v>
      </c>
      <c r="I3783" s="118" t="s">
        <v>7676</v>
      </c>
      <c r="J3783" s="118" t="s">
        <v>5217</v>
      </c>
      <c r="K3783" s="141"/>
      <c r="L3783" s="135" t="str">
        <f t="shared" si="213"/>
        <v>Srilankamys ohiensis</v>
      </c>
      <c r="M3783" s="133">
        <v>-999</v>
      </c>
      <c r="N3783" s="133">
        <v>-999</v>
      </c>
      <c r="O3783" s="179" t="s">
        <v>3356</v>
      </c>
      <c r="P3783" s="108">
        <v>-999</v>
      </c>
      <c r="Q3783" s="80" t="s">
        <v>6642</v>
      </c>
    </row>
    <row r="3784" spans="1:17">
      <c r="A3784" s="213" t="s">
        <v>2594</v>
      </c>
      <c r="B3784" s="130" t="s">
        <v>7309</v>
      </c>
      <c r="C3784" s="118" t="s">
        <v>3817</v>
      </c>
      <c r="D3784" s="141"/>
      <c r="E3784" s="118"/>
      <c r="F3784" s="118"/>
      <c r="G3784" s="118" t="s">
        <v>3618</v>
      </c>
      <c r="H3784" s="118" t="s">
        <v>3638</v>
      </c>
      <c r="I3784" s="118" t="s">
        <v>7770</v>
      </c>
      <c r="J3784" s="118" t="s">
        <v>6288</v>
      </c>
      <c r="K3784" s="141"/>
      <c r="L3784" s="135" t="str">
        <f t="shared" si="213"/>
        <v>Stenomys ceramicus</v>
      </c>
      <c r="M3784" s="133">
        <v>-999</v>
      </c>
      <c r="N3784" s="133">
        <v>-999</v>
      </c>
      <c r="O3784" s="179" t="s">
        <v>3356</v>
      </c>
      <c r="P3784" s="108">
        <v>-999</v>
      </c>
      <c r="Q3784" s="80"/>
    </row>
    <row r="3785" spans="1:17" ht="25.5">
      <c r="A3785" s="213" t="s">
        <v>2594</v>
      </c>
      <c r="B3785" s="141" t="s">
        <v>2170</v>
      </c>
      <c r="C3785" s="118" t="s">
        <v>3817</v>
      </c>
      <c r="D3785" s="141"/>
      <c r="E3785" s="118"/>
      <c r="F3785" s="118"/>
      <c r="G3785" s="118" t="s">
        <v>3618</v>
      </c>
      <c r="H3785" s="118" t="s">
        <v>3638</v>
      </c>
      <c r="I3785" s="118" t="s">
        <v>7770</v>
      </c>
      <c r="J3785" s="118" t="s">
        <v>4331</v>
      </c>
      <c r="K3785" s="141"/>
      <c r="L3785" s="135" t="str">
        <f t="shared" si="213"/>
        <v>Stenomys niobe</v>
      </c>
      <c r="M3785" s="133">
        <f t="shared" ref="M3785:M3798" si="214">LOG(N3785)</f>
        <v>1.6637009253896482</v>
      </c>
      <c r="N3785" s="133">
        <f>AVERAGE(49.9, 42.3)</f>
        <v>46.099999999999994</v>
      </c>
      <c r="O3785" s="179" t="s">
        <v>6932</v>
      </c>
      <c r="P3785" s="108">
        <v>151</v>
      </c>
      <c r="Q3785" s="85"/>
    </row>
    <row r="3786" spans="1:17" ht="25.5">
      <c r="A3786" s="213" t="s">
        <v>2594</v>
      </c>
      <c r="B3786" s="141" t="s">
        <v>2170</v>
      </c>
      <c r="C3786" s="118" t="s">
        <v>3817</v>
      </c>
      <c r="D3786" s="141"/>
      <c r="E3786" s="118"/>
      <c r="F3786" s="118"/>
      <c r="G3786" s="118" t="s">
        <v>3618</v>
      </c>
      <c r="H3786" s="118" t="s">
        <v>3638</v>
      </c>
      <c r="I3786" s="118" t="s">
        <v>7770</v>
      </c>
      <c r="J3786" s="118" t="s">
        <v>4206</v>
      </c>
      <c r="K3786" s="141"/>
      <c r="L3786" s="135" t="str">
        <f t="shared" si="213"/>
        <v>Stenomys richardsoni</v>
      </c>
      <c r="M3786" s="133">
        <f t="shared" si="214"/>
        <v>1.8082109729242219</v>
      </c>
      <c r="N3786" s="133">
        <f>AVERAGE(69.6, 59)</f>
        <v>64.3</v>
      </c>
      <c r="O3786" s="179" t="s">
        <v>6934</v>
      </c>
      <c r="P3786" s="108">
        <v>151</v>
      </c>
      <c r="Q3786" s="85"/>
    </row>
    <row r="3787" spans="1:17" ht="15" customHeight="1">
      <c r="A3787" s="213" t="s">
        <v>2594</v>
      </c>
      <c r="B3787" s="141" t="s">
        <v>2170</v>
      </c>
      <c r="C3787" s="118" t="s">
        <v>3817</v>
      </c>
      <c r="D3787" s="141"/>
      <c r="E3787" s="118"/>
      <c r="F3787" s="118"/>
      <c r="G3787" s="118" t="s">
        <v>3618</v>
      </c>
      <c r="H3787" s="118" t="s">
        <v>3638</v>
      </c>
      <c r="I3787" s="118" t="s">
        <v>7770</v>
      </c>
      <c r="J3787" s="118" t="s">
        <v>5100</v>
      </c>
      <c r="K3787" s="141"/>
      <c r="L3787" s="135" t="str">
        <f t="shared" si="213"/>
        <v>Stenomys vandeuseni</v>
      </c>
      <c r="M3787" s="133">
        <f t="shared" si="214"/>
        <v>1.8276922886744456</v>
      </c>
      <c r="N3787" s="133">
        <f>AVERAGE(71, 63.5)</f>
        <v>67.25</v>
      </c>
      <c r="O3787" s="179" t="s">
        <v>6868</v>
      </c>
      <c r="P3787" s="108">
        <v>151</v>
      </c>
      <c r="Q3787" s="85"/>
    </row>
    <row r="3788" spans="1:17" ht="24" customHeight="1">
      <c r="A3788" s="213" t="s">
        <v>2594</v>
      </c>
      <c r="B3788" s="141" t="s">
        <v>2170</v>
      </c>
      <c r="C3788" s="118" t="s">
        <v>3817</v>
      </c>
      <c r="D3788" s="141"/>
      <c r="E3788" s="118"/>
      <c r="F3788" s="118"/>
      <c r="G3788" s="118" t="s">
        <v>3618</v>
      </c>
      <c r="H3788" s="118" t="s">
        <v>3638</v>
      </c>
      <c r="I3788" s="118" t="s">
        <v>7770</v>
      </c>
      <c r="J3788" s="118" t="s">
        <v>7102</v>
      </c>
      <c r="K3788" s="141"/>
      <c r="L3788" s="135" t="str">
        <f t="shared" si="213"/>
        <v>Stenomys omlichodes</v>
      </c>
      <c r="M3788" s="133">
        <f t="shared" si="214"/>
        <v>1.8561244442423004</v>
      </c>
      <c r="N3788" s="133">
        <v>71.8</v>
      </c>
      <c r="O3788" s="179" t="s">
        <v>6936</v>
      </c>
      <c r="P3788" s="108">
        <v>151</v>
      </c>
      <c r="Q3788" s="85" t="s">
        <v>6933</v>
      </c>
    </row>
    <row r="3789" spans="1:17" ht="25.5">
      <c r="A3789" s="213" t="s">
        <v>2594</v>
      </c>
      <c r="B3789" s="141" t="s">
        <v>2170</v>
      </c>
      <c r="C3789" s="118" t="s">
        <v>3817</v>
      </c>
      <c r="D3789" s="141"/>
      <c r="E3789" s="118"/>
      <c r="F3789" s="118"/>
      <c r="G3789" s="118" t="s">
        <v>3618</v>
      </c>
      <c r="H3789" s="118" t="s">
        <v>3638</v>
      </c>
      <c r="I3789" s="118" t="s">
        <v>7770</v>
      </c>
      <c r="J3789" s="118" t="s">
        <v>6006</v>
      </c>
      <c r="K3789" s="141"/>
      <c r="L3789" s="135" t="str">
        <f t="shared" si="213"/>
        <v>Stenomys verecundus</v>
      </c>
      <c r="M3789" s="133">
        <f t="shared" si="214"/>
        <v>2.0354297381845483</v>
      </c>
      <c r="N3789" s="133">
        <f>AVERAGE(102, 115)</f>
        <v>108.5</v>
      </c>
      <c r="O3789" s="179" t="s">
        <v>6887</v>
      </c>
      <c r="P3789" s="108">
        <v>151</v>
      </c>
      <c r="Q3789" s="85"/>
    </row>
    <row r="3790" spans="1:17">
      <c r="A3790" s="217" t="s">
        <v>2594</v>
      </c>
      <c r="B3790" s="130" t="s">
        <v>2109</v>
      </c>
      <c r="C3790" s="129" t="s">
        <v>3817</v>
      </c>
      <c r="D3790" s="144"/>
      <c r="E3790" s="129"/>
      <c r="F3790" s="129"/>
      <c r="G3790" s="129" t="s">
        <v>3618</v>
      </c>
      <c r="H3790" s="131" t="s">
        <v>3638</v>
      </c>
      <c r="I3790" s="129" t="s">
        <v>5887</v>
      </c>
      <c r="J3790" s="129" t="s">
        <v>5586</v>
      </c>
      <c r="K3790" s="130"/>
      <c r="L3790" s="135" t="str">
        <f t="shared" si="213"/>
        <v>Sundamys muelleri</v>
      </c>
      <c r="M3790" s="133">
        <f t="shared" si="214"/>
        <v>2.3371396627245611</v>
      </c>
      <c r="N3790" s="159">
        <f>AVERAGE(160, 305, 244, 232.5, 219, 208.5, 113, 165.8, 274.1, 251.5)</f>
        <v>217.34</v>
      </c>
      <c r="O3790" s="187"/>
      <c r="P3790" s="120" t="s">
        <v>1414</v>
      </c>
      <c r="Q3790" s="78"/>
    </row>
    <row r="3791" spans="1:17" ht="24" customHeight="1">
      <c r="A3791" s="213" t="s">
        <v>2594</v>
      </c>
      <c r="B3791" s="141" t="s">
        <v>2538</v>
      </c>
      <c r="C3791" s="118" t="s">
        <v>3817</v>
      </c>
      <c r="D3791" s="141"/>
      <c r="E3791" s="118"/>
      <c r="F3791" s="118"/>
      <c r="G3791" s="118" t="s">
        <v>3618</v>
      </c>
      <c r="H3791" s="118" t="s">
        <v>3638</v>
      </c>
      <c r="I3791" s="118" t="s">
        <v>5887</v>
      </c>
      <c r="J3791" s="118" t="s">
        <v>6705</v>
      </c>
      <c r="K3791" s="141"/>
      <c r="L3791" s="135" t="str">
        <f t="shared" si="213"/>
        <v>Sundamys maxi</v>
      </c>
      <c r="M3791" s="133">
        <f t="shared" si="214"/>
        <v>2.5575072019056577</v>
      </c>
      <c r="N3791" s="133">
        <v>361</v>
      </c>
      <c r="O3791" s="179" t="s">
        <v>3356</v>
      </c>
      <c r="P3791" s="108">
        <v>60</v>
      </c>
      <c r="Q3791" s="80" t="s">
        <v>6640</v>
      </c>
    </row>
    <row r="3792" spans="1:17" ht="12" customHeight="1">
      <c r="A3792" s="213" t="s">
        <v>2594</v>
      </c>
      <c r="B3792" s="141" t="s">
        <v>2275</v>
      </c>
      <c r="C3792" s="118" t="s">
        <v>3817</v>
      </c>
      <c r="D3792" s="141"/>
      <c r="E3792" s="118"/>
      <c r="F3792" s="118"/>
      <c r="G3792" s="118" t="s">
        <v>3618</v>
      </c>
      <c r="H3792" s="118" t="s">
        <v>3638</v>
      </c>
      <c r="I3792" s="118" t="s">
        <v>5887</v>
      </c>
      <c r="J3792" s="118" t="s">
        <v>6830</v>
      </c>
      <c r="K3792" s="141"/>
      <c r="L3792" s="135" t="str">
        <f t="shared" si="213"/>
        <v>Sundamys infraluteus</v>
      </c>
      <c r="M3792" s="133">
        <f t="shared" si="214"/>
        <v>2.6216954623292787</v>
      </c>
      <c r="N3792" s="133">
        <f>AVERAGE(237, 600)</f>
        <v>418.5</v>
      </c>
      <c r="O3792" s="179" t="s">
        <v>3356</v>
      </c>
      <c r="P3792" s="108">
        <v>118</v>
      </c>
      <c r="Q3792" s="88"/>
    </row>
    <row r="3793" spans="1:19">
      <c r="A3793" s="213" t="s">
        <v>2594</v>
      </c>
      <c r="B3793" s="141" t="s">
        <v>2540</v>
      </c>
      <c r="C3793" s="118" t="s">
        <v>3817</v>
      </c>
      <c r="D3793" s="141"/>
      <c r="E3793" s="118"/>
      <c r="F3793" s="118"/>
      <c r="G3793" s="118" t="s">
        <v>3618</v>
      </c>
      <c r="H3793" s="118" t="s">
        <v>3638</v>
      </c>
      <c r="I3793" s="118" t="s">
        <v>6377</v>
      </c>
      <c r="J3793" s="118" t="s">
        <v>5239</v>
      </c>
      <c r="K3793" s="141"/>
      <c r="L3793" s="135" t="str">
        <f t="shared" si="213"/>
        <v>Taeromys punicans</v>
      </c>
      <c r="M3793" s="133">
        <f t="shared" si="214"/>
        <v>2.1398790864012365</v>
      </c>
      <c r="N3793" s="133">
        <v>138</v>
      </c>
      <c r="O3793" s="179" t="s">
        <v>3356</v>
      </c>
      <c r="P3793" s="108">
        <v>60</v>
      </c>
      <c r="Q3793" s="80" t="s">
        <v>6642</v>
      </c>
    </row>
    <row r="3794" spans="1:19">
      <c r="A3794" s="213" t="s">
        <v>2594</v>
      </c>
      <c r="B3794" s="141" t="s">
        <v>2540</v>
      </c>
      <c r="C3794" s="118" t="s">
        <v>3817</v>
      </c>
      <c r="D3794" s="141"/>
      <c r="E3794" s="118"/>
      <c r="F3794" s="118"/>
      <c r="G3794" s="118" t="s">
        <v>3618</v>
      </c>
      <c r="H3794" s="118" t="s">
        <v>3638</v>
      </c>
      <c r="I3794" s="118" t="s">
        <v>6377</v>
      </c>
      <c r="J3794" s="118" t="s">
        <v>5238</v>
      </c>
      <c r="K3794" s="141"/>
      <c r="L3794" s="135" t="str">
        <f t="shared" si="213"/>
        <v>Taeromys hamatus</v>
      </c>
      <c r="M3794" s="133">
        <f t="shared" si="214"/>
        <v>2.2922560713564759</v>
      </c>
      <c r="N3794" s="133">
        <v>196</v>
      </c>
      <c r="O3794" s="179" t="s">
        <v>3356</v>
      </c>
      <c r="P3794" s="108">
        <v>60</v>
      </c>
      <c r="Q3794" s="80" t="s">
        <v>6988</v>
      </c>
    </row>
    <row r="3795" spans="1:19">
      <c r="A3795" s="213" t="s">
        <v>2594</v>
      </c>
      <c r="B3795" s="130" t="s">
        <v>2286</v>
      </c>
      <c r="C3795" s="118" t="s">
        <v>3817</v>
      </c>
      <c r="D3795" s="141"/>
      <c r="E3795" s="118"/>
      <c r="F3795" s="118"/>
      <c r="G3795" s="118" t="s">
        <v>3618</v>
      </c>
      <c r="H3795" s="118" t="s">
        <v>3638</v>
      </c>
      <c r="I3795" s="118" t="s">
        <v>6377</v>
      </c>
      <c r="J3795" s="118" t="s">
        <v>5303</v>
      </c>
      <c r="K3795" s="141"/>
      <c r="L3795" s="135" t="str">
        <f t="shared" si="213"/>
        <v>Taeromys arcuatus</v>
      </c>
      <c r="M3795" s="133">
        <f t="shared" si="214"/>
        <v>2.3560258571931225</v>
      </c>
      <c r="N3795" s="133">
        <v>227</v>
      </c>
      <c r="O3795" s="179" t="s">
        <v>3356</v>
      </c>
      <c r="P3795" s="108">
        <v>60</v>
      </c>
      <c r="Q3795" s="80" t="s">
        <v>6988</v>
      </c>
    </row>
    <row r="3796" spans="1:19">
      <c r="A3796" s="213" t="s">
        <v>2594</v>
      </c>
      <c r="B3796" s="141" t="s">
        <v>2540</v>
      </c>
      <c r="C3796" s="118" t="s">
        <v>3817</v>
      </c>
      <c r="D3796" s="141"/>
      <c r="E3796" s="118"/>
      <c r="F3796" s="118"/>
      <c r="G3796" s="118" t="s">
        <v>3618</v>
      </c>
      <c r="H3796" s="118" t="s">
        <v>3638</v>
      </c>
      <c r="I3796" s="118" t="s">
        <v>6377</v>
      </c>
      <c r="J3796" s="118" t="s">
        <v>5376</v>
      </c>
      <c r="K3796" s="141"/>
      <c r="L3796" s="135" t="str">
        <f t="shared" si="213"/>
        <v>Taeromys taerae</v>
      </c>
      <c r="M3796" s="133">
        <f t="shared" si="214"/>
        <v>2.3926969532596658</v>
      </c>
      <c r="N3796" s="133">
        <v>247</v>
      </c>
      <c r="O3796" s="179" t="s">
        <v>3356</v>
      </c>
      <c r="P3796" s="108">
        <v>60</v>
      </c>
      <c r="Q3796" s="80"/>
    </row>
    <row r="3797" spans="1:19">
      <c r="A3797" s="213" t="s">
        <v>2594</v>
      </c>
      <c r="B3797" s="130" t="s">
        <v>2540</v>
      </c>
      <c r="C3797" s="118" t="s">
        <v>3817</v>
      </c>
      <c r="D3797" s="141"/>
      <c r="E3797" s="118"/>
      <c r="F3797" s="118"/>
      <c r="G3797" s="121" t="s">
        <v>3618</v>
      </c>
      <c r="H3797" s="121" t="s">
        <v>3638</v>
      </c>
      <c r="I3797" s="121" t="s">
        <v>6377</v>
      </c>
      <c r="J3797" s="121" t="s">
        <v>5237</v>
      </c>
      <c r="K3797" s="141"/>
      <c r="L3797" s="135" t="str">
        <f t="shared" si="213"/>
        <v>Taeromys callitrichus</v>
      </c>
      <c r="M3797" s="133">
        <f t="shared" si="214"/>
        <v>2.4329692908744058</v>
      </c>
      <c r="N3797" s="143">
        <v>271</v>
      </c>
      <c r="O3797" s="179" t="s">
        <v>3356</v>
      </c>
      <c r="P3797" s="108">
        <v>60</v>
      </c>
      <c r="Q3797" s="80"/>
    </row>
    <row r="3798" spans="1:19">
      <c r="A3798" s="213" t="s">
        <v>2594</v>
      </c>
      <c r="B3798" s="130" t="s">
        <v>2540</v>
      </c>
      <c r="C3798" s="118" t="s">
        <v>3817</v>
      </c>
      <c r="D3798" s="141"/>
      <c r="E3798" s="118"/>
      <c r="F3798" s="118"/>
      <c r="G3798" s="118" t="s">
        <v>3618</v>
      </c>
      <c r="H3798" s="118" t="s">
        <v>3638</v>
      </c>
      <c r="I3798" s="118" t="s">
        <v>6377</v>
      </c>
      <c r="J3798" s="118" t="s">
        <v>6485</v>
      </c>
      <c r="K3798" s="141"/>
      <c r="L3798" s="135" t="str">
        <f t="shared" si="213"/>
        <v>Taeromys celebensis</v>
      </c>
      <c r="M3798" s="133">
        <f t="shared" si="214"/>
        <v>2.509202522331103</v>
      </c>
      <c r="N3798" s="133">
        <v>323</v>
      </c>
      <c r="O3798" s="179" t="s">
        <v>3356</v>
      </c>
      <c r="P3798" s="108">
        <v>60</v>
      </c>
      <c r="Q3798" s="80"/>
    </row>
    <row r="3799" spans="1:19" ht="15" customHeight="1">
      <c r="A3799" s="213" t="s">
        <v>2594</v>
      </c>
      <c r="B3799" s="141" t="s">
        <v>6062</v>
      </c>
      <c r="C3799" s="118" t="s">
        <v>3817</v>
      </c>
      <c r="D3799" s="141"/>
      <c r="E3799" s="118"/>
      <c r="F3799" s="118"/>
      <c r="G3799" s="118" t="s">
        <v>3618</v>
      </c>
      <c r="H3799" s="118" t="s">
        <v>3638</v>
      </c>
      <c r="I3799" s="118" t="s">
        <v>5377</v>
      </c>
      <c r="J3799" s="118" t="s">
        <v>5378</v>
      </c>
      <c r="K3799" s="141"/>
      <c r="L3799" s="135" t="str">
        <f t="shared" si="213"/>
        <v>Tarsomys apoensis</v>
      </c>
      <c r="M3799" s="133">
        <v>-999</v>
      </c>
      <c r="N3799" s="133">
        <v>-999</v>
      </c>
      <c r="O3799" s="179" t="s">
        <v>3356</v>
      </c>
      <c r="P3799" s="108">
        <v>-999</v>
      </c>
      <c r="Q3799" s="80"/>
    </row>
    <row r="3800" spans="1:19" ht="24" customHeight="1">
      <c r="A3800" s="213" t="s">
        <v>2594</v>
      </c>
      <c r="B3800" s="141" t="s">
        <v>6062</v>
      </c>
      <c r="C3800" s="118" t="s">
        <v>3817</v>
      </c>
      <c r="D3800" s="141"/>
      <c r="E3800" s="118"/>
      <c r="F3800" s="118"/>
      <c r="G3800" s="118" t="s">
        <v>3618</v>
      </c>
      <c r="H3800" s="118" t="s">
        <v>3638</v>
      </c>
      <c r="I3800" s="118" t="s">
        <v>5377</v>
      </c>
      <c r="J3800" s="118" t="s">
        <v>5410</v>
      </c>
      <c r="K3800" s="141"/>
      <c r="L3800" s="135" t="str">
        <f t="shared" si="213"/>
        <v>Tarsomys echinatus</v>
      </c>
      <c r="M3800" s="133">
        <v>-999</v>
      </c>
      <c r="N3800" s="133">
        <v>-999</v>
      </c>
      <c r="O3800" s="179" t="s">
        <v>3356</v>
      </c>
      <c r="P3800" s="108">
        <v>-999</v>
      </c>
      <c r="Q3800" s="88" t="s">
        <v>6988</v>
      </c>
    </row>
    <row r="3801" spans="1:19">
      <c r="A3801" s="213" t="s">
        <v>2594</v>
      </c>
      <c r="B3801" s="141" t="s">
        <v>2600</v>
      </c>
      <c r="C3801" s="118" t="s">
        <v>3817</v>
      </c>
      <c r="D3801" s="141"/>
      <c r="E3801" s="118"/>
      <c r="F3801" s="118"/>
      <c r="G3801" s="118" t="s">
        <v>3618</v>
      </c>
      <c r="H3801" s="118" t="s">
        <v>3638</v>
      </c>
      <c r="I3801" s="118" t="s">
        <v>5409</v>
      </c>
      <c r="J3801" s="118" t="s">
        <v>4962</v>
      </c>
      <c r="K3801" s="141"/>
      <c r="L3801" s="135" t="str">
        <f t="shared" si="213"/>
        <v>Tateomys macrocercus</v>
      </c>
      <c r="M3801" s="133">
        <f>LOG(N3801)</f>
        <v>1.6304278750250238</v>
      </c>
      <c r="N3801" s="133">
        <v>42.7</v>
      </c>
      <c r="O3801" s="179" t="s">
        <v>3356</v>
      </c>
      <c r="P3801" s="108">
        <v>60</v>
      </c>
      <c r="Q3801" s="80" t="s">
        <v>6988</v>
      </c>
    </row>
    <row r="3802" spans="1:19">
      <c r="A3802" s="213" t="s">
        <v>2594</v>
      </c>
      <c r="B3802" s="141" t="s">
        <v>2600</v>
      </c>
      <c r="C3802" s="118" t="s">
        <v>3817</v>
      </c>
      <c r="D3802" s="141"/>
      <c r="E3802" s="118"/>
      <c r="F3802" s="118"/>
      <c r="G3802" s="118" t="s">
        <v>3618</v>
      </c>
      <c r="H3802" s="118" t="s">
        <v>3638</v>
      </c>
      <c r="I3802" s="118" t="s">
        <v>5409</v>
      </c>
      <c r="J3802" s="118" t="s">
        <v>5630</v>
      </c>
      <c r="K3802" s="141"/>
      <c r="L3802" s="135" t="str">
        <f t="shared" si="213"/>
        <v>Tateomys rhinogradoides</v>
      </c>
      <c r="M3802" s="133">
        <f>LOG(N3802)</f>
        <v>1.9180303367848801</v>
      </c>
      <c r="N3802" s="133">
        <v>82.8</v>
      </c>
      <c r="O3802" s="179" t="s">
        <v>3356</v>
      </c>
      <c r="P3802" s="108">
        <v>60</v>
      </c>
      <c r="Q3802" s="80" t="s">
        <v>6988</v>
      </c>
    </row>
    <row r="3803" spans="1:19">
      <c r="A3803" s="213" t="s">
        <v>2594</v>
      </c>
      <c r="B3803" s="130" t="s">
        <v>2435</v>
      </c>
      <c r="C3803" s="118" t="s">
        <v>3817</v>
      </c>
      <c r="D3803" s="141"/>
      <c r="E3803" s="118"/>
      <c r="F3803" s="118"/>
      <c r="G3803" s="118" t="s">
        <v>3618</v>
      </c>
      <c r="H3803" s="118" t="s">
        <v>3638</v>
      </c>
      <c r="I3803" s="118" t="s">
        <v>3489</v>
      </c>
      <c r="J3803" s="118" t="s">
        <v>4108</v>
      </c>
      <c r="K3803" s="141"/>
      <c r="L3803" s="135" t="str">
        <f t="shared" si="213"/>
        <v>Tatera indica</v>
      </c>
      <c r="M3803" s="133">
        <f>LOG(N3803)</f>
        <v>2.2243387908596555</v>
      </c>
      <c r="N3803" s="133">
        <f>AVERAGE(165, ((6/16)*454))</f>
        <v>167.625</v>
      </c>
      <c r="O3803" s="179"/>
      <c r="P3803" s="108" t="s">
        <v>1587</v>
      </c>
      <c r="Q3803" s="80"/>
      <c r="S3803" s="80"/>
    </row>
    <row r="3804" spans="1:19">
      <c r="A3804" s="213" t="s">
        <v>2594</v>
      </c>
      <c r="B3804" s="130" t="s">
        <v>6002</v>
      </c>
      <c r="C3804" s="118" t="s">
        <v>3817</v>
      </c>
      <c r="D3804" s="141"/>
      <c r="E3804" s="118"/>
      <c r="F3804" s="118"/>
      <c r="G3804" s="118" t="s">
        <v>3618</v>
      </c>
      <c r="H3804" s="118" t="s">
        <v>3638</v>
      </c>
      <c r="I3804" s="118" t="s">
        <v>5632</v>
      </c>
      <c r="J3804" s="118" t="s">
        <v>8284</v>
      </c>
      <c r="K3804" s="141"/>
      <c r="L3804" s="135" t="str">
        <f t="shared" si="213"/>
        <v>Tokudaia osimensis</v>
      </c>
      <c r="M3804" s="133">
        <f>LOG(N3804)</f>
        <v>2.1126050015345745</v>
      </c>
      <c r="N3804" s="133">
        <v>129.6</v>
      </c>
      <c r="O3804" s="179" t="s">
        <v>6882</v>
      </c>
      <c r="P3804" s="108">
        <v>185</v>
      </c>
      <c r="Q3804" s="80" t="s">
        <v>6640</v>
      </c>
    </row>
    <row r="3805" spans="1:19">
      <c r="A3805" s="213" t="s">
        <v>2594</v>
      </c>
      <c r="B3805" s="130" t="s">
        <v>6002</v>
      </c>
      <c r="C3805" s="118" t="s">
        <v>3817</v>
      </c>
      <c r="D3805" s="141"/>
      <c r="E3805" s="118"/>
      <c r="F3805" s="118"/>
      <c r="G3805" s="118" t="s">
        <v>3618</v>
      </c>
      <c r="H3805" s="118" t="s">
        <v>3638</v>
      </c>
      <c r="I3805" s="118" t="s">
        <v>5632</v>
      </c>
      <c r="J3805" s="118" t="s">
        <v>8283</v>
      </c>
      <c r="K3805" s="141"/>
      <c r="L3805" s="135" t="str">
        <f t="shared" si="213"/>
        <v>Tokudaia muenninki</v>
      </c>
      <c r="M3805" s="133">
        <f>LOG(N3805)</f>
        <v>2.2489536154957075</v>
      </c>
      <c r="N3805" s="133">
        <v>177.4</v>
      </c>
      <c r="O3805" s="179" t="s">
        <v>6882</v>
      </c>
      <c r="P3805" s="108">
        <v>185</v>
      </c>
      <c r="Q3805" s="80" t="s">
        <v>7071</v>
      </c>
    </row>
    <row r="3806" spans="1:19">
      <c r="A3806" s="213" t="s">
        <v>2594</v>
      </c>
      <c r="B3806" s="130" t="s">
        <v>6062</v>
      </c>
      <c r="C3806" s="118" t="s">
        <v>3817</v>
      </c>
      <c r="D3806" s="141"/>
      <c r="E3806" s="118"/>
      <c r="F3806" s="118"/>
      <c r="G3806" s="118" t="s">
        <v>3618</v>
      </c>
      <c r="H3806" s="118" t="s">
        <v>3638</v>
      </c>
      <c r="I3806" s="118" t="s">
        <v>6574</v>
      </c>
      <c r="J3806" s="118" t="s">
        <v>3957</v>
      </c>
      <c r="K3806" s="141"/>
      <c r="L3806" s="135" t="str">
        <f t="shared" si="213"/>
        <v>Tryphomys adustus</v>
      </c>
      <c r="M3806" s="133">
        <v>-999</v>
      </c>
      <c r="N3806" s="133">
        <v>-999</v>
      </c>
      <c r="O3806" s="179" t="s">
        <v>3356</v>
      </c>
      <c r="P3806" s="111">
        <v>-999</v>
      </c>
      <c r="Q3806" s="80" t="s">
        <v>6988</v>
      </c>
    </row>
    <row r="3807" spans="1:19" ht="24" customHeight="1">
      <c r="A3807" s="213" t="s">
        <v>2594</v>
      </c>
      <c r="B3807" s="141" t="s">
        <v>6922</v>
      </c>
      <c r="C3807" s="118" t="s">
        <v>3817</v>
      </c>
      <c r="D3807" s="141"/>
      <c r="E3807" s="118"/>
      <c r="F3807" s="118"/>
      <c r="G3807" s="118" t="s">
        <v>3618</v>
      </c>
      <c r="H3807" s="118" t="s">
        <v>3638</v>
      </c>
      <c r="I3807" s="118" t="s">
        <v>3738</v>
      </c>
      <c r="J3807" s="118" t="s">
        <v>6379</v>
      </c>
      <c r="K3807" s="141"/>
      <c r="L3807" s="135" t="str">
        <f t="shared" si="213"/>
        <v>Uromys porculus</v>
      </c>
      <c r="M3807" s="133">
        <v>-999</v>
      </c>
      <c r="N3807" s="133">
        <v>-999</v>
      </c>
      <c r="O3807" s="179" t="s">
        <v>3356</v>
      </c>
      <c r="P3807" s="108">
        <v>-999</v>
      </c>
      <c r="Q3807" s="80"/>
    </row>
    <row r="3808" spans="1:19" ht="24" customHeight="1">
      <c r="A3808" s="213" t="s">
        <v>2594</v>
      </c>
      <c r="B3808" s="141" t="s">
        <v>4421</v>
      </c>
      <c r="C3808" s="118" t="s">
        <v>3817</v>
      </c>
      <c r="D3808" s="141"/>
      <c r="E3808" s="118"/>
      <c r="F3808" s="118"/>
      <c r="G3808" s="118" t="s">
        <v>3618</v>
      </c>
      <c r="H3808" s="118" t="s">
        <v>3638</v>
      </c>
      <c r="I3808" s="118" t="s">
        <v>3738</v>
      </c>
      <c r="J3808" s="118" t="s">
        <v>2050</v>
      </c>
      <c r="K3808" s="141"/>
      <c r="L3808" s="135" t="str">
        <f t="shared" si="213"/>
        <v>Uromys rex</v>
      </c>
      <c r="M3808" s="133">
        <f t="shared" ref="M3808:M3813" si="215">LOG(N3808)</f>
        <v>2.6232492903979003</v>
      </c>
      <c r="N3808" s="133">
        <v>420</v>
      </c>
      <c r="O3808" s="179" t="s">
        <v>3356</v>
      </c>
      <c r="P3808" s="108">
        <v>110</v>
      </c>
      <c r="Q3808" s="80" t="s">
        <v>6640</v>
      </c>
    </row>
    <row r="3809" spans="1:18" ht="24" customHeight="1">
      <c r="A3809" s="212" t="s">
        <v>2594</v>
      </c>
      <c r="B3809" s="141" t="s">
        <v>2170</v>
      </c>
      <c r="C3809" s="110" t="s">
        <v>3817</v>
      </c>
      <c r="D3809" s="145"/>
      <c r="E3809" s="110"/>
      <c r="F3809" s="110"/>
      <c r="G3809" s="110" t="s">
        <v>3618</v>
      </c>
      <c r="H3809" s="110" t="s">
        <v>3638</v>
      </c>
      <c r="I3809" s="110" t="s">
        <v>3738</v>
      </c>
      <c r="J3809" s="110" t="s">
        <v>6741</v>
      </c>
      <c r="K3809" s="145"/>
      <c r="L3809" s="135" t="str">
        <f t="shared" si="213"/>
        <v>Uromys caudimaculatus</v>
      </c>
      <c r="M3809" s="133">
        <f t="shared" si="215"/>
        <v>2.7539658658651605</v>
      </c>
      <c r="N3809" s="146">
        <f>AVERAGE(518, 617)</f>
        <v>567.5</v>
      </c>
      <c r="O3809" s="183" t="s">
        <v>6892</v>
      </c>
      <c r="P3809" s="114">
        <v>151</v>
      </c>
      <c r="Q3809" s="82"/>
    </row>
    <row r="3810" spans="1:18" ht="15" customHeight="1">
      <c r="A3810" s="213" t="s">
        <v>2594</v>
      </c>
      <c r="B3810" s="141" t="s">
        <v>1300</v>
      </c>
      <c r="C3810" s="118" t="s">
        <v>3817</v>
      </c>
      <c r="D3810" s="141"/>
      <c r="E3810" s="118"/>
      <c r="F3810" s="118"/>
      <c r="G3810" s="118" t="s">
        <v>3618</v>
      </c>
      <c r="H3810" s="118" t="s">
        <v>3638</v>
      </c>
      <c r="I3810" s="118" t="s">
        <v>3738</v>
      </c>
      <c r="J3810" s="118" t="s">
        <v>6378</v>
      </c>
      <c r="K3810" s="141"/>
      <c r="L3810" s="135" t="str">
        <f t="shared" si="213"/>
        <v>Uromys neobritanicus</v>
      </c>
      <c r="M3810" s="133">
        <f t="shared" si="215"/>
        <v>2.7871060930365701</v>
      </c>
      <c r="N3810" s="133">
        <f>(655+570)/2</f>
        <v>612.5</v>
      </c>
      <c r="O3810" s="179" t="s">
        <v>3356</v>
      </c>
      <c r="P3810" s="108">
        <v>110</v>
      </c>
      <c r="Q3810" s="80" t="s">
        <v>1512</v>
      </c>
    </row>
    <row r="3811" spans="1:18" ht="38.25">
      <c r="A3811" s="213" t="s">
        <v>2594</v>
      </c>
      <c r="B3811" s="141" t="s">
        <v>2170</v>
      </c>
      <c r="C3811" s="118" t="s">
        <v>3817</v>
      </c>
      <c r="D3811" s="141"/>
      <c r="E3811" s="118"/>
      <c r="F3811" s="118"/>
      <c r="G3811" s="118" t="s">
        <v>3618</v>
      </c>
      <c r="H3811" s="118" t="s">
        <v>3638</v>
      </c>
      <c r="I3811" s="118" t="s">
        <v>3738</v>
      </c>
      <c r="J3811" s="118" t="s">
        <v>6575</v>
      </c>
      <c r="K3811" s="141"/>
      <c r="L3811" s="135" t="str">
        <f t="shared" si="213"/>
        <v>Uromys anak</v>
      </c>
      <c r="M3811" s="133">
        <f t="shared" si="215"/>
        <v>2.8224949852787509</v>
      </c>
      <c r="N3811" s="133">
        <f>AVERAGE(879, 450)</f>
        <v>664.5</v>
      </c>
      <c r="P3811" s="108">
        <v>151</v>
      </c>
      <c r="Q3811" s="85" t="s">
        <v>6642</v>
      </c>
      <c r="R3811" s="79" t="s">
        <v>6902</v>
      </c>
    </row>
    <row r="3812" spans="1:18">
      <c r="A3812" s="213" t="s">
        <v>2594</v>
      </c>
      <c r="B3812" s="141" t="s">
        <v>2435</v>
      </c>
      <c r="C3812" s="118" t="s">
        <v>3817</v>
      </c>
      <c r="D3812" s="141"/>
      <c r="E3812" s="118"/>
      <c r="F3812" s="118"/>
      <c r="G3812" s="118" t="s">
        <v>3618</v>
      </c>
      <c r="H3812" s="118" t="s">
        <v>3638</v>
      </c>
      <c r="I3812" s="118" t="s">
        <v>5231</v>
      </c>
      <c r="J3812" s="118" t="s">
        <v>5309</v>
      </c>
      <c r="K3812" s="141"/>
      <c r="L3812" s="135" t="str">
        <f t="shared" si="213"/>
        <v>Vandeleuria oleracea</v>
      </c>
      <c r="M3812" s="133">
        <f t="shared" si="215"/>
        <v>1</v>
      </c>
      <c r="N3812" s="133">
        <f>1000*0.01</f>
        <v>10</v>
      </c>
      <c r="O3812" s="179" t="s">
        <v>3356</v>
      </c>
      <c r="P3812" s="108">
        <v>60</v>
      </c>
      <c r="Q3812" s="80"/>
    </row>
    <row r="3813" spans="1:18" ht="24" customHeight="1">
      <c r="A3813" s="213" t="s">
        <v>2594</v>
      </c>
      <c r="B3813" s="141" t="s">
        <v>2435</v>
      </c>
      <c r="C3813" s="118" t="s">
        <v>3817</v>
      </c>
      <c r="D3813" s="141"/>
      <c r="E3813" s="118"/>
      <c r="F3813" s="118"/>
      <c r="G3813" s="118" t="s">
        <v>3618</v>
      </c>
      <c r="H3813" s="118" t="s">
        <v>3638</v>
      </c>
      <c r="I3813" s="118" t="s">
        <v>5231</v>
      </c>
      <c r="J3813" s="118" t="s">
        <v>5306</v>
      </c>
      <c r="K3813" s="141"/>
      <c r="L3813" s="135" t="str">
        <f t="shared" si="213"/>
        <v>Vandeleuria nolthenii</v>
      </c>
      <c r="M3813" s="133">
        <f t="shared" si="215"/>
        <v>1.7528164311882715</v>
      </c>
      <c r="N3813" s="133">
        <v>56.6</v>
      </c>
      <c r="O3813" s="182" t="s">
        <v>3356</v>
      </c>
      <c r="P3813" s="108">
        <v>60</v>
      </c>
      <c r="Q3813" s="80" t="s">
        <v>6988</v>
      </c>
    </row>
    <row r="3814" spans="1:18">
      <c r="A3814" s="213" t="s">
        <v>2594</v>
      </c>
      <c r="B3814" s="141" t="s">
        <v>1942</v>
      </c>
      <c r="C3814" s="118" t="s">
        <v>3817</v>
      </c>
      <c r="D3814" s="141"/>
      <c r="E3814" s="118"/>
      <c r="F3814" s="118"/>
      <c r="G3814" s="118" t="s">
        <v>3618</v>
      </c>
      <c r="H3814" s="118" t="s">
        <v>3638</v>
      </c>
      <c r="I3814" s="118" t="s">
        <v>6701</v>
      </c>
      <c r="J3814" s="118" t="s">
        <v>6703</v>
      </c>
      <c r="K3814" s="141"/>
      <c r="L3814" s="135" t="str">
        <f t="shared" si="213"/>
        <v>Volemys kikuchii</v>
      </c>
      <c r="M3814" s="133">
        <v>-999</v>
      </c>
      <c r="N3814" s="133">
        <v>-999</v>
      </c>
      <c r="O3814" s="179" t="s">
        <v>3356</v>
      </c>
      <c r="P3814" s="108">
        <v>-999</v>
      </c>
      <c r="Q3814" s="80" t="s">
        <v>6988</v>
      </c>
    </row>
    <row r="3815" spans="1:18">
      <c r="A3815" s="213" t="s">
        <v>2594</v>
      </c>
      <c r="B3815" s="141" t="s">
        <v>2170</v>
      </c>
      <c r="C3815" s="118" t="s">
        <v>3817</v>
      </c>
      <c r="D3815" s="141"/>
      <c r="E3815" s="118"/>
      <c r="F3815" s="118"/>
      <c r="G3815" s="118" t="s">
        <v>3618</v>
      </c>
      <c r="H3815" s="118" t="s">
        <v>3638</v>
      </c>
      <c r="I3815" s="118" t="s">
        <v>5522</v>
      </c>
      <c r="J3815" s="118" t="s">
        <v>6242</v>
      </c>
      <c r="K3815" s="141"/>
      <c r="L3815" s="135" t="str">
        <f t="shared" si="213"/>
        <v>Xenuromys barbatus</v>
      </c>
      <c r="M3815" s="133">
        <f>LOG(N3815)</f>
        <v>3</v>
      </c>
      <c r="N3815" s="133">
        <v>1000</v>
      </c>
      <c r="O3815" s="179" t="s">
        <v>6998</v>
      </c>
      <c r="P3815" s="111">
        <v>151</v>
      </c>
      <c r="Q3815" s="85" t="s">
        <v>6642</v>
      </c>
    </row>
    <row r="3816" spans="1:18">
      <c r="A3816" s="213" t="s">
        <v>2594</v>
      </c>
      <c r="B3816" s="141" t="s">
        <v>6002</v>
      </c>
      <c r="C3816" s="118" t="s">
        <v>3817</v>
      </c>
      <c r="D3816" s="141"/>
      <c r="E3816" s="118"/>
      <c r="F3816" s="118"/>
      <c r="G3816" s="118" t="s">
        <v>3618</v>
      </c>
      <c r="H3816" s="118" t="s">
        <v>8036</v>
      </c>
      <c r="I3816" s="118" t="s">
        <v>5155</v>
      </c>
      <c r="J3816" s="118" t="s">
        <v>5280</v>
      </c>
      <c r="K3816" s="141"/>
      <c r="L3816" s="135" t="str">
        <f t="shared" si="213"/>
        <v>Glirulus japonicus</v>
      </c>
      <c r="M3816" s="133">
        <v>-999</v>
      </c>
      <c r="N3816" s="133">
        <v>-999</v>
      </c>
      <c r="O3816" s="179" t="s">
        <v>6882</v>
      </c>
      <c r="P3816" s="108">
        <v>-999</v>
      </c>
      <c r="Q3816" s="90" t="s">
        <v>6640</v>
      </c>
    </row>
    <row r="3817" spans="1:18">
      <c r="A3817" s="213" t="s">
        <v>2594</v>
      </c>
      <c r="B3817" s="130" t="s">
        <v>2109</v>
      </c>
      <c r="C3817" s="118" t="s">
        <v>3817</v>
      </c>
      <c r="D3817" s="141"/>
      <c r="E3817" s="118"/>
      <c r="F3817" s="118"/>
      <c r="G3817" s="118" t="s">
        <v>3618</v>
      </c>
      <c r="H3817" s="118" t="s">
        <v>3438</v>
      </c>
      <c r="I3817" s="118" t="s">
        <v>8000</v>
      </c>
      <c r="J3817" s="118" t="s">
        <v>8001</v>
      </c>
      <c r="K3817" s="141"/>
      <c r="L3817" s="135" t="str">
        <f t="shared" si="213"/>
        <v>Aeromys tephromelas</v>
      </c>
      <c r="M3817" s="133">
        <f>LOG(N3817)</f>
        <v>2.9542425094393248</v>
      </c>
      <c r="N3817" s="133">
        <v>900</v>
      </c>
      <c r="O3817" s="179" t="s">
        <v>3356</v>
      </c>
      <c r="P3817" s="108" t="s">
        <v>7805</v>
      </c>
      <c r="Q3817" s="80"/>
    </row>
    <row r="3818" spans="1:18">
      <c r="A3818" s="213" t="s">
        <v>2594</v>
      </c>
      <c r="B3818" s="130" t="s">
        <v>2109</v>
      </c>
      <c r="C3818" s="118" t="s">
        <v>3817</v>
      </c>
      <c r="D3818" s="141"/>
      <c r="E3818" s="118"/>
      <c r="F3818" s="118"/>
      <c r="G3818" s="118" t="s">
        <v>3618</v>
      </c>
      <c r="H3818" s="118" t="s">
        <v>3438</v>
      </c>
      <c r="I3818" s="118" t="s">
        <v>8000</v>
      </c>
      <c r="J3818" s="118" t="s">
        <v>4852</v>
      </c>
      <c r="K3818" s="141"/>
      <c r="L3818" s="135" t="str">
        <f t="shared" si="213"/>
        <v>Aeromys thomasi</v>
      </c>
      <c r="M3818" s="133">
        <f>LOG(N3818)</f>
        <v>3.1568519010700111</v>
      </c>
      <c r="N3818" s="133">
        <f>AVERAGE(1380, 1490)</f>
        <v>1435</v>
      </c>
      <c r="O3818" s="179" t="s">
        <v>3356</v>
      </c>
      <c r="P3818" s="108" t="s">
        <v>7805</v>
      </c>
      <c r="Q3818" s="80"/>
    </row>
    <row r="3819" spans="1:18" ht="25.5">
      <c r="A3819" s="213" t="s">
        <v>2594</v>
      </c>
      <c r="B3819" s="141" t="s">
        <v>4754</v>
      </c>
      <c r="C3819" s="118" t="s">
        <v>3817</v>
      </c>
      <c r="D3819" s="141"/>
      <c r="E3819" s="118"/>
      <c r="F3819" s="118"/>
      <c r="G3819" s="118" t="s">
        <v>3618</v>
      </c>
      <c r="H3819" s="118" t="s">
        <v>3438</v>
      </c>
      <c r="I3819" s="118" t="s">
        <v>5915</v>
      </c>
      <c r="J3819" s="118" t="s">
        <v>8271</v>
      </c>
      <c r="K3819" s="141"/>
      <c r="L3819" s="135" t="str">
        <f t="shared" si="213"/>
        <v>Ammospermophilus insularis</v>
      </c>
      <c r="M3819" s="133">
        <v>-999</v>
      </c>
      <c r="N3819" s="133">
        <v>-999</v>
      </c>
      <c r="O3819" s="179"/>
      <c r="P3819" s="108">
        <v>-999</v>
      </c>
      <c r="Q3819" s="80"/>
    </row>
    <row r="3820" spans="1:18">
      <c r="A3820" s="213" t="s">
        <v>2594</v>
      </c>
      <c r="B3820" s="141" t="s">
        <v>2539</v>
      </c>
      <c r="C3820" s="118" t="s">
        <v>3817</v>
      </c>
      <c r="D3820" s="141"/>
      <c r="E3820" s="118"/>
      <c r="F3820" s="118"/>
      <c r="G3820" s="118" t="s">
        <v>3618</v>
      </c>
      <c r="H3820" s="118" t="s">
        <v>3438</v>
      </c>
      <c r="I3820" s="118" t="s">
        <v>5936</v>
      </c>
      <c r="J3820" s="118" t="s">
        <v>6520</v>
      </c>
      <c r="K3820" s="141"/>
      <c r="L3820" s="135" t="str">
        <f t="shared" si="213"/>
        <v>Callosciurus albescens</v>
      </c>
      <c r="M3820" s="133">
        <v>-999</v>
      </c>
      <c r="N3820" s="133">
        <v>-999</v>
      </c>
      <c r="O3820" s="179" t="s">
        <v>3356</v>
      </c>
      <c r="P3820" s="108">
        <v>-999</v>
      </c>
      <c r="Q3820" s="80"/>
    </row>
    <row r="3821" spans="1:18">
      <c r="A3821" s="213" t="s">
        <v>2594</v>
      </c>
      <c r="B3821" s="141" t="s">
        <v>2109</v>
      </c>
      <c r="C3821" s="118" t="s">
        <v>3817</v>
      </c>
      <c r="D3821" s="141"/>
      <c r="E3821" s="118"/>
      <c r="F3821" s="118"/>
      <c r="G3821" s="118" t="s">
        <v>3618</v>
      </c>
      <c r="H3821" s="118" t="s">
        <v>3438</v>
      </c>
      <c r="I3821" s="118" t="s">
        <v>5936</v>
      </c>
      <c r="J3821" s="118" t="s">
        <v>6797</v>
      </c>
      <c r="K3821" s="141"/>
      <c r="L3821" s="135" t="str">
        <f t="shared" si="213"/>
        <v>Callosciurus adamsi</v>
      </c>
      <c r="M3821" s="133">
        <f t="shared" ref="M3821:M3830" si="216">LOG(N3821)</f>
        <v>2.1287222843384268</v>
      </c>
      <c r="N3821" s="133">
        <f>AVERAGE(115, 154)</f>
        <v>134.5</v>
      </c>
      <c r="O3821" s="179" t="s">
        <v>3356</v>
      </c>
      <c r="P3821" s="108" t="s">
        <v>7805</v>
      </c>
      <c r="Q3821" s="80"/>
    </row>
    <row r="3822" spans="1:18">
      <c r="A3822" s="213" t="s">
        <v>2594</v>
      </c>
      <c r="B3822" s="130" t="s">
        <v>2109</v>
      </c>
      <c r="C3822" s="118" t="s">
        <v>3817</v>
      </c>
      <c r="D3822" s="141"/>
      <c r="E3822" s="118"/>
      <c r="F3822" s="118"/>
      <c r="G3822" s="118" t="s">
        <v>3618</v>
      </c>
      <c r="H3822" s="118" t="s">
        <v>3438</v>
      </c>
      <c r="I3822" s="118" t="s">
        <v>5936</v>
      </c>
      <c r="J3822" s="118" t="s">
        <v>8034</v>
      </c>
      <c r="K3822" s="141"/>
      <c r="L3822" s="135" t="str">
        <f t="shared" si="213"/>
        <v>Callosciurus notatus</v>
      </c>
      <c r="M3822" s="133">
        <f t="shared" si="216"/>
        <v>2.3117538610557542</v>
      </c>
      <c r="N3822" s="133">
        <f>AVERAGE(150, 280, 197.5, 192.5)</f>
        <v>205</v>
      </c>
      <c r="O3822" s="179"/>
      <c r="P3822" s="108" t="s">
        <v>7811</v>
      </c>
      <c r="Q3822" s="80"/>
    </row>
    <row r="3823" spans="1:18">
      <c r="A3823" s="213" t="s">
        <v>2594</v>
      </c>
      <c r="B3823" s="130" t="s">
        <v>2600</v>
      </c>
      <c r="C3823" s="118" t="s">
        <v>3817</v>
      </c>
      <c r="D3823" s="141"/>
      <c r="E3823" s="118"/>
      <c r="F3823" s="118"/>
      <c r="G3823" s="118" t="s">
        <v>3618</v>
      </c>
      <c r="H3823" s="118" t="s">
        <v>3438</v>
      </c>
      <c r="I3823" s="118" t="s">
        <v>5936</v>
      </c>
      <c r="J3823" s="118" t="s">
        <v>6793</v>
      </c>
      <c r="K3823" s="141"/>
      <c r="L3823" s="135" t="str">
        <f t="shared" si="213"/>
        <v>Callosciurus melanogaster</v>
      </c>
      <c r="M3823" s="133">
        <f t="shared" si="216"/>
        <v>2.4440447959180762</v>
      </c>
      <c r="N3823" s="133">
        <v>278</v>
      </c>
      <c r="O3823" s="179" t="s">
        <v>3356</v>
      </c>
      <c r="P3823" s="108">
        <v>60</v>
      </c>
      <c r="Q3823" s="80"/>
    </row>
    <row r="3824" spans="1:18">
      <c r="A3824" s="213" t="s">
        <v>2594</v>
      </c>
      <c r="B3824" s="130" t="s">
        <v>2109</v>
      </c>
      <c r="C3824" s="118" t="s">
        <v>3817</v>
      </c>
      <c r="D3824" s="141"/>
      <c r="E3824" s="118"/>
      <c r="F3824" s="118"/>
      <c r="G3824" s="118" t="s">
        <v>3618</v>
      </c>
      <c r="H3824" s="118" t="s">
        <v>3438</v>
      </c>
      <c r="I3824" s="118" t="s">
        <v>5936</v>
      </c>
      <c r="J3824" s="118" t="s">
        <v>6794</v>
      </c>
      <c r="K3824" s="141"/>
      <c r="L3824" s="135" t="str">
        <f t="shared" si="213"/>
        <v>Callosciurus orestes</v>
      </c>
      <c r="M3824" s="133">
        <f t="shared" si="216"/>
        <v>2.4440447959180762</v>
      </c>
      <c r="N3824" s="133">
        <v>278</v>
      </c>
      <c r="O3824" s="179" t="s">
        <v>3356</v>
      </c>
      <c r="P3824" s="108">
        <v>60</v>
      </c>
      <c r="Q3824" s="80"/>
    </row>
    <row r="3825" spans="1:17">
      <c r="A3825" s="213" t="s">
        <v>2594</v>
      </c>
      <c r="B3825" s="141" t="s">
        <v>2109</v>
      </c>
      <c r="C3825" s="118" t="s">
        <v>3817</v>
      </c>
      <c r="D3825" s="141"/>
      <c r="E3825" s="118"/>
      <c r="F3825" s="118"/>
      <c r="G3825" s="118" t="s">
        <v>3618</v>
      </c>
      <c r="H3825" s="118" t="s">
        <v>3438</v>
      </c>
      <c r="I3825" s="118" t="s">
        <v>5936</v>
      </c>
      <c r="J3825" s="118" t="s">
        <v>5780</v>
      </c>
      <c r="K3825" s="141"/>
      <c r="L3825" s="135" t="str">
        <f t="shared" si="213"/>
        <v>Callosciurus prevostii</v>
      </c>
      <c r="M3825" s="133">
        <f t="shared" si="216"/>
        <v>2.5090949438113794</v>
      </c>
      <c r="N3825" s="133">
        <f>AVERAGE(250, 500, 350, 275.8, 238.8)</f>
        <v>322.91999999999996</v>
      </c>
      <c r="O3825" s="179" t="s">
        <v>3356</v>
      </c>
      <c r="P3825" s="108" t="s">
        <v>7811</v>
      </c>
      <c r="Q3825" s="80"/>
    </row>
    <row r="3826" spans="1:17">
      <c r="A3826" s="213" t="s">
        <v>2594</v>
      </c>
      <c r="B3826" s="141" t="s">
        <v>2109</v>
      </c>
      <c r="C3826" s="118" t="s">
        <v>3817</v>
      </c>
      <c r="D3826" s="141"/>
      <c r="E3826" s="118"/>
      <c r="F3826" s="118"/>
      <c r="G3826" s="118" t="s">
        <v>3618</v>
      </c>
      <c r="H3826" s="118" t="s">
        <v>3438</v>
      </c>
      <c r="I3826" s="118" t="s">
        <v>5936</v>
      </c>
      <c r="J3826" s="118" t="s">
        <v>6109</v>
      </c>
      <c r="K3826" s="141"/>
      <c r="L3826" s="135" t="str">
        <f t="shared" si="213"/>
        <v>Callosciurus baluensis</v>
      </c>
      <c r="M3826" s="133">
        <f t="shared" si="216"/>
        <v>2.5514499979728753</v>
      </c>
      <c r="N3826" s="133">
        <v>356</v>
      </c>
      <c r="O3826" s="179" t="s">
        <v>3356</v>
      </c>
      <c r="P3826" s="108">
        <v>60</v>
      </c>
      <c r="Q3826" s="80"/>
    </row>
    <row r="3827" spans="1:17">
      <c r="A3827" s="213" t="s">
        <v>2594</v>
      </c>
      <c r="B3827" s="141" t="s">
        <v>2109</v>
      </c>
      <c r="C3827" s="118" t="s">
        <v>3817</v>
      </c>
      <c r="D3827" s="141"/>
      <c r="E3827" s="118"/>
      <c r="F3827" s="118"/>
      <c r="G3827" s="118" t="s">
        <v>3618</v>
      </c>
      <c r="H3827" s="118" t="s">
        <v>3438</v>
      </c>
      <c r="I3827" s="118" t="s">
        <v>5783</v>
      </c>
      <c r="J3827" s="118" t="s">
        <v>4289</v>
      </c>
      <c r="K3827" s="141"/>
      <c r="L3827" s="135" t="str">
        <f t="shared" si="213"/>
        <v>Dremomys everetti</v>
      </c>
      <c r="M3827" s="133">
        <f t="shared" si="216"/>
        <v>2.1687920203141817</v>
      </c>
      <c r="N3827" s="133">
        <f>AVERAGE(75, 185, 145, 185)</f>
        <v>147.5</v>
      </c>
      <c r="O3827" s="179" t="s">
        <v>3356</v>
      </c>
      <c r="P3827" s="108" t="s">
        <v>7805</v>
      </c>
      <c r="Q3827" s="80"/>
    </row>
    <row r="3828" spans="1:17">
      <c r="A3828" s="213" t="s">
        <v>2594</v>
      </c>
      <c r="B3828" s="141" t="s">
        <v>2728</v>
      </c>
      <c r="C3828" s="118" t="s">
        <v>3817</v>
      </c>
      <c r="D3828" s="141"/>
      <c r="E3828" s="118"/>
      <c r="F3828" s="118"/>
      <c r="G3828" s="118" t="s">
        <v>3618</v>
      </c>
      <c r="H3828" s="118" t="s">
        <v>3438</v>
      </c>
      <c r="I3828" s="118" t="s">
        <v>5551</v>
      </c>
      <c r="J3828" s="118" t="s">
        <v>3305</v>
      </c>
      <c r="K3828" s="141"/>
      <c r="L3828" s="135" t="str">
        <f t="shared" si="213"/>
        <v>Exilisciurus exilis</v>
      </c>
      <c r="M3828" s="133">
        <f t="shared" si="216"/>
        <v>1.2787536009528289</v>
      </c>
      <c r="N3828" s="133">
        <f>AVERAGE(12, 26)</f>
        <v>19</v>
      </c>
      <c r="O3828" s="179" t="s">
        <v>3356</v>
      </c>
      <c r="P3828" s="108">
        <v>118</v>
      </c>
      <c r="Q3828" s="80"/>
    </row>
    <row r="3829" spans="1:17">
      <c r="A3829" s="213" t="s">
        <v>2594</v>
      </c>
      <c r="B3829" s="141" t="s">
        <v>2109</v>
      </c>
      <c r="C3829" s="118" t="s">
        <v>3817</v>
      </c>
      <c r="D3829" s="141"/>
      <c r="E3829" s="118"/>
      <c r="F3829" s="118"/>
      <c r="G3829" s="118" t="s">
        <v>3618</v>
      </c>
      <c r="H3829" s="118" t="s">
        <v>3438</v>
      </c>
      <c r="I3829" s="118" t="s">
        <v>5551</v>
      </c>
      <c r="J3829" s="118" t="s">
        <v>5495</v>
      </c>
      <c r="K3829" s="141"/>
      <c r="L3829" s="135" t="str">
        <f t="shared" si="213"/>
        <v>Exilisciurus whiteheadi</v>
      </c>
      <c r="M3829" s="133">
        <f t="shared" si="216"/>
        <v>1.3010299956639813</v>
      </c>
      <c r="N3829" s="133">
        <v>20</v>
      </c>
      <c r="O3829" s="179" t="s">
        <v>3356</v>
      </c>
      <c r="P3829" s="108">
        <v>257</v>
      </c>
      <c r="Q3829" s="80"/>
    </row>
    <row r="3830" spans="1:17">
      <c r="A3830" s="213" t="s">
        <v>2594</v>
      </c>
      <c r="B3830" s="141" t="s">
        <v>6062</v>
      </c>
      <c r="C3830" s="118" t="s">
        <v>3817</v>
      </c>
      <c r="D3830" s="141"/>
      <c r="E3830" s="118"/>
      <c r="F3830" s="118"/>
      <c r="G3830" s="118" t="s">
        <v>3618</v>
      </c>
      <c r="H3830" s="118" t="s">
        <v>3438</v>
      </c>
      <c r="I3830" s="118" t="s">
        <v>5551</v>
      </c>
      <c r="J3830" s="118" t="s">
        <v>2176</v>
      </c>
      <c r="K3830" s="141"/>
      <c r="L3830" s="135" t="str">
        <f t="shared" si="213"/>
        <v>Exilisciurus concinnus</v>
      </c>
      <c r="M3830" s="133">
        <f t="shared" si="216"/>
        <v>1.4892551683692605</v>
      </c>
      <c r="N3830" s="133">
        <f>AVERAGE(29.7, 32)</f>
        <v>30.85</v>
      </c>
      <c r="O3830" s="179" t="s">
        <v>3356</v>
      </c>
      <c r="P3830" s="108">
        <v>122</v>
      </c>
      <c r="Q3830" s="80"/>
    </row>
    <row r="3831" spans="1:17">
      <c r="A3831" s="213" t="s">
        <v>2594</v>
      </c>
      <c r="B3831" s="141" t="s">
        <v>2435</v>
      </c>
      <c r="C3831" s="118" t="s">
        <v>3817</v>
      </c>
      <c r="D3831" s="141"/>
      <c r="E3831" s="118"/>
      <c r="F3831" s="118"/>
      <c r="G3831" s="118" t="s">
        <v>3618</v>
      </c>
      <c r="H3831" s="121" t="s">
        <v>3438</v>
      </c>
      <c r="I3831" s="118" t="s">
        <v>6105</v>
      </c>
      <c r="J3831" s="118" t="s">
        <v>8272</v>
      </c>
      <c r="K3831" s="141"/>
      <c r="L3831" s="135" t="str">
        <f t="shared" si="213"/>
        <v>Funambulus layardi</v>
      </c>
      <c r="M3831" s="133">
        <v>-999</v>
      </c>
      <c r="N3831" s="133">
        <v>-999</v>
      </c>
      <c r="O3831" s="179" t="s">
        <v>3356</v>
      </c>
      <c r="P3831" s="108">
        <v>-999</v>
      </c>
      <c r="Q3831" s="80"/>
    </row>
    <row r="3832" spans="1:17">
      <c r="A3832" s="213" t="s">
        <v>2594</v>
      </c>
      <c r="B3832" s="141" t="s">
        <v>2435</v>
      </c>
      <c r="C3832" s="118" t="s">
        <v>3817</v>
      </c>
      <c r="D3832" s="141"/>
      <c r="E3832" s="118"/>
      <c r="F3832" s="118"/>
      <c r="G3832" s="118" t="s">
        <v>3618</v>
      </c>
      <c r="H3832" s="118" t="s">
        <v>3438</v>
      </c>
      <c r="I3832" s="118" t="s">
        <v>6105</v>
      </c>
      <c r="J3832" s="118" t="s">
        <v>8273</v>
      </c>
      <c r="K3832" s="141"/>
      <c r="L3832" s="135" t="str">
        <f t="shared" si="213"/>
        <v>Funambulus palmarum</v>
      </c>
      <c r="M3832" s="133">
        <v>-999</v>
      </c>
      <c r="N3832" s="133">
        <v>-999</v>
      </c>
      <c r="O3832" s="179" t="s">
        <v>3356</v>
      </c>
      <c r="P3832" s="108">
        <v>-999</v>
      </c>
      <c r="Q3832" s="80"/>
    </row>
    <row r="3833" spans="1:17">
      <c r="A3833" s="213" t="s">
        <v>2594</v>
      </c>
      <c r="B3833" s="141" t="s">
        <v>2435</v>
      </c>
      <c r="C3833" s="118" t="s">
        <v>3817</v>
      </c>
      <c r="D3833" s="141"/>
      <c r="E3833" s="118"/>
      <c r="F3833" s="118"/>
      <c r="G3833" s="118" t="s">
        <v>3618</v>
      </c>
      <c r="H3833" s="118" t="s">
        <v>3438</v>
      </c>
      <c r="I3833" s="118" t="s">
        <v>6105</v>
      </c>
      <c r="J3833" s="118" t="s">
        <v>3706</v>
      </c>
      <c r="K3833" s="141"/>
      <c r="L3833" s="135" t="str">
        <f t="shared" si="213"/>
        <v>Funambulus sublineatus</v>
      </c>
      <c r="M3833" s="133">
        <f>LOG(N3833)</f>
        <v>1.8508758788732167</v>
      </c>
      <c r="N3833" s="133">
        <f>454*0.15625</f>
        <v>70.9375</v>
      </c>
      <c r="O3833" s="179"/>
      <c r="P3833" s="108">
        <v>132</v>
      </c>
      <c r="Q3833" s="80"/>
    </row>
    <row r="3834" spans="1:17">
      <c r="A3834" s="213" t="s">
        <v>2594</v>
      </c>
      <c r="B3834" s="141" t="s">
        <v>2109</v>
      </c>
      <c r="C3834" s="118" t="s">
        <v>3817</v>
      </c>
      <c r="D3834" s="141"/>
      <c r="E3834" s="118"/>
      <c r="F3834" s="118"/>
      <c r="G3834" s="118" t="s">
        <v>3618</v>
      </c>
      <c r="H3834" s="118" t="s">
        <v>3438</v>
      </c>
      <c r="I3834" s="118" t="s">
        <v>8277</v>
      </c>
      <c r="J3834" s="118" t="s">
        <v>8213</v>
      </c>
      <c r="K3834" s="141"/>
      <c r="L3834" s="135" t="str">
        <f t="shared" si="213"/>
        <v>Glyphotes simus</v>
      </c>
      <c r="M3834" s="133">
        <f>LOG(N3834)</f>
        <v>1.6989700043360187</v>
      </c>
      <c r="N3834" s="133">
        <v>50</v>
      </c>
      <c r="O3834" s="179" t="s">
        <v>3356</v>
      </c>
      <c r="P3834" s="108">
        <v>257</v>
      </c>
      <c r="Q3834" s="80"/>
    </row>
    <row r="3835" spans="1:17" ht="12" customHeight="1">
      <c r="A3835" s="213" t="s">
        <v>2594</v>
      </c>
      <c r="B3835" s="141" t="s">
        <v>2296</v>
      </c>
      <c r="C3835" s="118" t="s">
        <v>3817</v>
      </c>
      <c r="D3835" s="141"/>
      <c r="E3835" s="118"/>
      <c r="F3835" s="118"/>
      <c r="G3835" s="118" t="s">
        <v>3618</v>
      </c>
      <c r="H3835" s="118" t="s">
        <v>3438</v>
      </c>
      <c r="I3835" s="118" t="s">
        <v>3037</v>
      </c>
      <c r="J3835" s="118" t="s">
        <v>5518</v>
      </c>
      <c r="K3835" s="141"/>
      <c r="L3835" s="135" t="str">
        <f t="shared" si="213"/>
        <v>Heliosciurus undulatus</v>
      </c>
      <c r="M3835" s="133">
        <f>LOG(N3835)</f>
        <v>2.5407464642438433</v>
      </c>
      <c r="N3835" s="133">
        <f>AVERAGE(250, 380, 412)</f>
        <v>347.33333333333331</v>
      </c>
      <c r="O3835" s="179" t="s">
        <v>3356</v>
      </c>
      <c r="P3835" s="108" t="s">
        <v>7947</v>
      </c>
      <c r="Q3835" s="88"/>
    </row>
    <row r="3836" spans="1:17">
      <c r="A3836" s="213" t="s">
        <v>2594</v>
      </c>
      <c r="B3836" s="130"/>
      <c r="C3836" s="118" t="s">
        <v>3817</v>
      </c>
      <c r="D3836" s="141"/>
      <c r="E3836" s="118"/>
      <c r="F3836" s="118"/>
      <c r="G3836" s="118" t="s">
        <v>3618</v>
      </c>
      <c r="H3836" s="118" t="s">
        <v>3438</v>
      </c>
      <c r="I3836" s="118" t="s">
        <v>5569</v>
      </c>
      <c r="J3836" s="118" t="s">
        <v>5574</v>
      </c>
      <c r="K3836" s="141"/>
      <c r="L3836" s="135" t="str">
        <f t="shared" si="213"/>
        <v>Hylopetes bartelsi</v>
      </c>
      <c r="M3836" s="133">
        <v>-999</v>
      </c>
      <c r="N3836" s="133">
        <v>-999</v>
      </c>
      <c r="O3836" s="179" t="s">
        <v>6641</v>
      </c>
      <c r="P3836" s="108">
        <v>-999</v>
      </c>
      <c r="Q3836" s="80" t="s">
        <v>6642</v>
      </c>
    </row>
    <row r="3837" spans="1:17">
      <c r="A3837" s="213" t="s">
        <v>2594</v>
      </c>
      <c r="B3837" s="141" t="s">
        <v>2275</v>
      </c>
      <c r="C3837" s="118" t="s">
        <v>3817</v>
      </c>
      <c r="D3837" s="141"/>
      <c r="E3837" s="118"/>
      <c r="F3837" s="118"/>
      <c r="G3837" s="118" t="s">
        <v>3618</v>
      </c>
      <c r="H3837" s="118" t="s">
        <v>3438</v>
      </c>
      <c r="I3837" s="118" t="s">
        <v>5569</v>
      </c>
      <c r="J3837" s="118" t="s">
        <v>6439</v>
      </c>
      <c r="K3837" s="141"/>
      <c r="L3837" s="135" t="str">
        <f t="shared" si="213"/>
        <v>Hylopetes winstoni</v>
      </c>
      <c r="M3837" s="133">
        <v>-999</v>
      </c>
      <c r="N3837" s="133">
        <v>-999</v>
      </c>
      <c r="O3837" s="179" t="s">
        <v>6882</v>
      </c>
      <c r="P3837" s="108">
        <v>-999</v>
      </c>
      <c r="Q3837" s="80" t="s">
        <v>7071</v>
      </c>
    </row>
    <row r="3838" spans="1:17" ht="15" customHeight="1">
      <c r="A3838" s="213" t="s">
        <v>2594</v>
      </c>
      <c r="B3838" s="141" t="s">
        <v>2475</v>
      </c>
      <c r="C3838" s="118" t="s">
        <v>3817</v>
      </c>
      <c r="D3838" s="141"/>
      <c r="E3838" s="118"/>
      <c r="F3838" s="118"/>
      <c r="G3838" s="118" t="s">
        <v>3618</v>
      </c>
      <c r="H3838" s="118" t="s">
        <v>3438</v>
      </c>
      <c r="I3838" s="118" t="s">
        <v>5569</v>
      </c>
      <c r="J3838" s="118" t="s">
        <v>2175</v>
      </c>
      <c r="K3838" s="141"/>
      <c r="L3838" s="135" t="str">
        <f t="shared" si="213"/>
        <v>Hylopetes lepidus</v>
      </c>
      <c r="M3838" s="133">
        <f t="shared" ref="M3838:M3843" si="217">LOG(N3838)</f>
        <v>1.6989700043360187</v>
      </c>
      <c r="N3838" s="133">
        <v>50</v>
      </c>
      <c r="O3838" s="179" t="s">
        <v>3356</v>
      </c>
      <c r="P3838" s="118">
        <v>119</v>
      </c>
      <c r="Q3838" s="80"/>
    </row>
    <row r="3839" spans="1:17" ht="25.5">
      <c r="A3839" s="213" t="s">
        <v>2594</v>
      </c>
      <c r="B3839" s="141" t="s">
        <v>2314</v>
      </c>
      <c r="C3839" s="118" t="s">
        <v>3817</v>
      </c>
      <c r="D3839" s="141"/>
      <c r="E3839" s="118"/>
      <c r="F3839" s="118"/>
      <c r="G3839" s="118" t="s">
        <v>3618</v>
      </c>
      <c r="H3839" s="118" t="s">
        <v>3438</v>
      </c>
      <c r="I3839" s="118" t="s">
        <v>5569</v>
      </c>
      <c r="J3839" s="118" t="s">
        <v>6438</v>
      </c>
      <c r="K3839" s="141"/>
      <c r="L3839" s="135" t="str">
        <f t="shared" si="213"/>
        <v>Hylopetes sipora</v>
      </c>
      <c r="M3839" s="133">
        <f t="shared" si="217"/>
        <v>1.9503648543761232</v>
      </c>
      <c r="N3839" s="133">
        <f>1000*0.0892</f>
        <v>89.2</v>
      </c>
      <c r="O3839" s="179" t="s">
        <v>8149</v>
      </c>
      <c r="P3839" s="108">
        <v>60</v>
      </c>
      <c r="Q3839" s="80" t="s">
        <v>6640</v>
      </c>
    </row>
    <row r="3840" spans="1:17">
      <c r="A3840" s="213" t="s">
        <v>2594</v>
      </c>
      <c r="B3840" s="141" t="s">
        <v>2275</v>
      </c>
      <c r="C3840" s="118" t="s">
        <v>3817</v>
      </c>
      <c r="D3840" s="141"/>
      <c r="E3840" s="118"/>
      <c r="F3840" s="118"/>
      <c r="G3840" s="118" t="s">
        <v>3618</v>
      </c>
      <c r="H3840" s="118" t="s">
        <v>3438</v>
      </c>
      <c r="I3840" s="118" t="s">
        <v>5569</v>
      </c>
      <c r="J3840" s="118" t="s">
        <v>6466</v>
      </c>
      <c r="K3840" s="141"/>
      <c r="L3840" s="135" t="str">
        <f t="shared" si="213"/>
        <v>Hylopetes spadiceus</v>
      </c>
      <c r="M3840" s="133">
        <f t="shared" si="217"/>
        <v>2.0737183503461227</v>
      </c>
      <c r="N3840" s="133">
        <f>AVERAGE(80, 157)</f>
        <v>118.5</v>
      </c>
      <c r="O3840" s="179" t="s">
        <v>3356</v>
      </c>
      <c r="P3840" s="108">
        <v>118</v>
      </c>
      <c r="Q3840" s="80"/>
    </row>
    <row r="3841" spans="1:18">
      <c r="A3841" s="213" t="s">
        <v>2594</v>
      </c>
      <c r="B3841" s="141" t="s">
        <v>6062</v>
      </c>
      <c r="C3841" s="118" t="s">
        <v>3817</v>
      </c>
      <c r="D3841" s="141"/>
      <c r="E3841" s="118"/>
      <c r="F3841" s="118"/>
      <c r="G3841" s="118" t="s">
        <v>3618</v>
      </c>
      <c r="H3841" s="118" t="s">
        <v>3438</v>
      </c>
      <c r="I3841" s="118" t="s">
        <v>5569</v>
      </c>
      <c r="J3841" s="118" t="s">
        <v>4856</v>
      </c>
      <c r="K3841" s="141"/>
      <c r="L3841" s="135" t="str">
        <f t="shared" si="213"/>
        <v>Hylopetes nigripes</v>
      </c>
      <c r="M3841" s="133">
        <f t="shared" si="217"/>
        <v>2.7275412570285562</v>
      </c>
      <c r="N3841" s="133">
        <v>534</v>
      </c>
      <c r="O3841" s="179" t="s">
        <v>6882</v>
      </c>
      <c r="P3841" s="108">
        <v>60</v>
      </c>
      <c r="Q3841" s="80" t="s">
        <v>6642</v>
      </c>
    </row>
    <row r="3842" spans="1:18">
      <c r="A3842" s="213" t="s">
        <v>2594</v>
      </c>
      <c r="B3842" s="141" t="s">
        <v>5805</v>
      </c>
      <c r="C3842" s="118" t="s">
        <v>3817</v>
      </c>
      <c r="D3842" s="141"/>
      <c r="E3842" s="118"/>
      <c r="F3842" s="118"/>
      <c r="G3842" s="118" t="s">
        <v>3618</v>
      </c>
      <c r="H3842" s="118" t="s">
        <v>3438</v>
      </c>
      <c r="I3842" s="118" t="s">
        <v>6565</v>
      </c>
      <c r="J3842" s="118" t="s">
        <v>6566</v>
      </c>
      <c r="K3842" s="141"/>
      <c r="L3842" s="135" t="str">
        <f t="shared" si="213"/>
        <v>Hyosciurus heinrichi</v>
      </c>
      <c r="M3842" s="133">
        <f t="shared" si="217"/>
        <v>2.4712917110589387</v>
      </c>
      <c r="N3842" s="133">
        <v>296</v>
      </c>
      <c r="O3842" s="179" t="s">
        <v>6882</v>
      </c>
      <c r="P3842" s="108">
        <v>60</v>
      </c>
      <c r="Q3842" s="80" t="s">
        <v>6988</v>
      </c>
    </row>
    <row r="3843" spans="1:18" ht="12" customHeight="1">
      <c r="A3843" s="213" t="s">
        <v>2594</v>
      </c>
      <c r="B3843" s="141" t="s">
        <v>5805</v>
      </c>
      <c r="C3843" s="118" t="s">
        <v>3817</v>
      </c>
      <c r="D3843" s="141"/>
      <c r="E3843" s="118"/>
      <c r="F3843" s="118"/>
      <c r="G3843" s="118" t="s">
        <v>3618</v>
      </c>
      <c r="H3843" s="118" t="s">
        <v>3438</v>
      </c>
      <c r="I3843" s="118" t="s">
        <v>6565</v>
      </c>
      <c r="J3843" s="118" t="s">
        <v>6567</v>
      </c>
      <c r="K3843" s="141"/>
      <c r="L3843" s="135" t="str">
        <f t="shared" si="213"/>
        <v>Hyosciurus ileile</v>
      </c>
      <c r="M3843" s="133">
        <f t="shared" si="217"/>
        <v>2.4983105537896004</v>
      </c>
      <c r="N3843" s="133">
        <v>315</v>
      </c>
      <c r="O3843" s="179" t="s">
        <v>6882</v>
      </c>
      <c r="P3843" s="108">
        <v>60</v>
      </c>
      <c r="Q3843" s="80" t="s">
        <v>6988</v>
      </c>
      <c r="R3843" s="89"/>
    </row>
    <row r="3844" spans="1:18">
      <c r="A3844" s="213" t="s">
        <v>2594</v>
      </c>
      <c r="B3844" s="141" t="s">
        <v>2719</v>
      </c>
      <c r="C3844" s="118" t="s">
        <v>3817</v>
      </c>
      <c r="D3844" s="141"/>
      <c r="E3844" s="118"/>
      <c r="F3844" s="118"/>
      <c r="G3844" s="118" t="s">
        <v>3618</v>
      </c>
      <c r="H3844" s="118" t="s">
        <v>3438</v>
      </c>
      <c r="I3844" s="118" t="s">
        <v>6440</v>
      </c>
      <c r="J3844" s="118" t="s">
        <v>6438</v>
      </c>
      <c r="K3844" s="141"/>
      <c r="L3844" s="135" t="str">
        <f t="shared" si="213"/>
        <v>Iomys sipora</v>
      </c>
      <c r="M3844" s="133">
        <v>-999</v>
      </c>
      <c r="N3844" s="133">
        <v>-999</v>
      </c>
      <c r="O3844" s="179" t="s">
        <v>6641</v>
      </c>
      <c r="P3844" s="108">
        <v>-999</v>
      </c>
      <c r="Q3844" s="80" t="s">
        <v>6988</v>
      </c>
    </row>
    <row r="3845" spans="1:18" ht="15" customHeight="1">
      <c r="A3845" s="217" t="s">
        <v>2594</v>
      </c>
      <c r="B3845" s="141" t="s">
        <v>1588</v>
      </c>
      <c r="C3845" s="118" t="s">
        <v>3817</v>
      </c>
      <c r="D3845" s="141"/>
      <c r="E3845" s="118"/>
      <c r="F3845" s="118"/>
      <c r="G3845" s="118" t="s">
        <v>3618</v>
      </c>
      <c r="H3845" s="118" t="s">
        <v>3438</v>
      </c>
      <c r="I3845" s="118" t="s">
        <v>6440</v>
      </c>
      <c r="J3845" s="118" t="s">
        <v>6441</v>
      </c>
      <c r="K3845" s="141"/>
      <c r="L3845" s="135" t="str">
        <f t="shared" ref="L3845:L3908" si="218">I3845&amp;" "&amp;J3845</f>
        <v>Iomys horsfieldi</v>
      </c>
      <c r="M3845" s="133">
        <f>LOG(N3845)</f>
        <v>2.2430380486862944</v>
      </c>
      <c r="N3845" s="133">
        <f>AVERAGE(135, 215)</f>
        <v>175</v>
      </c>
      <c r="O3845" s="179" t="s">
        <v>3356</v>
      </c>
      <c r="P3845" s="108" t="s">
        <v>7805</v>
      </c>
      <c r="Q3845" s="80"/>
    </row>
    <row r="3846" spans="1:18" ht="24.95" customHeight="1">
      <c r="A3846" s="213" t="s">
        <v>2594</v>
      </c>
      <c r="B3846" s="141" t="s">
        <v>2500</v>
      </c>
      <c r="C3846" s="118" t="s">
        <v>3817</v>
      </c>
      <c r="D3846" s="141"/>
      <c r="E3846" s="118"/>
      <c r="F3846" s="118"/>
      <c r="G3846" s="118" t="s">
        <v>3618</v>
      </c>
      <c r="H3846" s="118" t="s">
        <v>3438</v>
      </c>
      <c r="I3846" s="118" t="s">
        <v>6538</v>
      </c>
      <c r="J3846" s="118" t="s">
        <v>4331</v>
      </c>
      <c r="K3846" s="141"/>
      <c r="L3846" s="135" t="str">
        <f t="shared" si="218"/>
        <v>Lariscus niobe</v>
      </c>
      <c r="M3846" s="133">
        <v>-999</v>
      </c>
      <c r="N3846" s="133">
        <v>-999</v>
      </c>
      <c r="O3846" s="179" t="s">
        <v>6641</v>
      </c>
      <c r="P3846" s="108">
        <v>-999</v>
      </c>
      <c r="Q3846" s="80" t="s">
        <v>6642</v>
      </c>
    </row>
    <row r="3847" spans="1:18" ht="24" customHeight="1">
      <c r="A3847" s="213" t="s">
        <v>2594</v>
      </c>
      <c r="B3847" s="141" t="s">
        <v>2275</v>
      </c>
      <c r="C3847" s="118" t="s">
        <v>3817</v>
      </c>
      <c r="D3847" s="141"/>
      <c r="E3847" s="118"/>
      <c r="F3847" s="118"/>
      <c r="G3847" s="118" t="s">
        <v>3618</v>
      </c>
      <c r="H3847" s="118" t="s">
        <v>3438</v>
      </c>
      <c r="I3847" s="118" t="s">
        <v>6538</v>
      </c>
      <c r="J3847" s="118" t="s">
        <v>7543</v>
      </c>
      <c r="K3847" s="141"/>
      <c r="L3847" s="135" t="str">
        <f t="shared" si="218"/>
        <v>Lariscus obscurus</v>
      </c>
      <c r="M3847" s="133">
        <v>-999</v>
      </c>
      <c r="N3847" s="133">
        <v>-999</v>
      </c>
      <c r="O3847" s="179" t="s">
        <v>6641</v>
      </c>
      <c r="P3847" s="108">
        <v>-999</v>
      </c>
      <c r="Q3847" s="80" t="s">
        <v>6642</v>
      </c>
    </row>
    <row r="3848" spans="1:18">
      <c r="A3848" s="213" t="s">
        <v>2594</v>
      </c>
      <c r="B3848" s="141" t="s">
        <v>2109</v>
      </c>
      <c r="C3848" s="118" t="s">
        <v>3817</v>
      </c>
      <c r="D3848" s="141"/>
      <c r="E3848" s="118"/>
      <c r="F3848" s="118"/>
      <c r="G3848" s="118" t="s">
        <v>3618</v>
      </c>
      <c r="H3848" s="118" t="s">
        <v>3438</v>
      </c>
      <c r="I3848" s="118" t="s">
        <v>6538</v>
      </c>
      <c r="J3848" s="118" t="s">
        <v>5637</v>
      </c>
      <c r="K3848" s="141"/>
      <c r="L3848" s="135" t="str">
        <f t="shared" si="218"/>
        <v>Lariscus hosei</v>
      </c>
      <c r="M3848" s="133">
        <f>LOG(N3848)</f>
        <v>2.255272505103306</v>
      </c>
      <c r="N3848" s="133">
        <f>AVERAGE(145, 215)</f>
        <v>180</v>
      </c>
      <c r="O3848" s="179" t="s">
        <v>6641</v>
      </c>
      <c r="P3848" s="108" t="s">
        <v>7805</v>
      </c>
      <c r="Q3848" s="80" t="s">
        <v>6988</v>
      </c>
    </row>
    <row r="3849" spans="1:18">
      <c r="A3849" s="213" t="s">
        <v>2594</v>
      </c>
      <c r="B3849" s="141" t="s">
        <v>2600</v>
      </c>
      <c r="C3849" s="118" t="s">
        <v>3817</v>
      </c>
      <c r="D3849" s="141"/>
      <c r="E3849" s="118"/>
      <c r="F3849" s="118"/>
      <c r="G3849" s="118" t="s">
        <v>3618</v>
      </c>
      <c r="H3849" s="118" t="s">
        <v>3438</v>
      </c>
      <c r="I3849" s="118" t="s">
        <v>6538</v>
      </c>
      <c r="J3849" s="118" t="s">
        <v>6460</v>
      </c>
      <c r="K3849" s="141"/>
      <c r="L3849" s="135" t="str">
        <f t="shared" si="218"/>
        <v>Lariscus insignis</v>
      </c>
      <c r="M3849" s="133">
        <f>LOG(N3849)</f>
        <v>2.3010299956639813</v>
      </c>
      <c r="N3849" s="133">
        <v>200</v>
      </c>
      <c r="O3849" s="179" t="s">
        <v>3356</v>
      </c>
      <c r="P3849" s="108">
        <v>119</v>
      </c>
      <c r="Q3849" s="80"/>
    </row>
    <row r="3850" spans="1:18" ht="25.5">
      <c r="A3850" s="213" t="s">
        <v>2594</v>
      </c>
      <c r="B3850" s="141" t="s">
        <v>2797</v>
      </c>
      <c r="C3850" s="118" t="s">
        <v>3817</v>
      </c>
      <c r="D3850" s="141"/>
      <c r="E3850" s="118"/>
      <c r="F3850" s="118"/>
      <c r="G3850" s="118" t="s">
        <v>3618</v>
      </c>
      <c r="H3850" s="118" t="s">
        <v>3438</v>
      </c>
      <c r="I3850" s="118" t="s">
        <v>3659</v>
      </c>
      <c r="J3850" s="118" t="s">
        <v>4633</v>
      </c>
      <c r="K3850" s="141"/>
      <c r="L3850" s="135" t="str">
        <f t="shared" si="218"/>
        <v>Nannosciurus melanotis</v>
      </c>
      <c r="M3850" s="133">
        <f>LOG(N3850)</f>
        <v>1.6989700043360187</v>
      </c>
      <c r="N3850" s="133">
        <v>50</v>
      </c>
      <c r="O3850" s="179" t="s">
        <v>7810</v>
      </c>
      <c r="P3850" s="108">
        <v>257</v>
      </c>
      <c r="Q3850" s="80"/>
      <c r="R3850" s="82"/>
    </row>
    <row r="3851" spans="1:18">
      <c r="A3851" s="213" t="s">
        <v>2594</v>
      </c>
      <c r="B3851" s="141" t="s">
        <v>2109</v>
      </c>
      <c r="C3851" s="118" t="s">
        <v>3817</v>
      </c>
      <c r="D3851" s="141"/>
      <c r="E3851" s="118"/>
      <c r="F3851" s="118"/>
      <c r="G3851" s="118" t="s">
        <v>3618</v>
      </c>
      <c r="H3851" s="118" t="s">
        <v>3438</v>
      </c>
      <c r="I3851" s="118" t="s">
        <v>6442</v>
      </c>
      <c r="J3851" s="118" t="s">
        <v>7400</v>
      </c>
      <c r="K3851" s="141"/>
      <c r="L3851" s="135" t="str">
        <f t="shared" si="218"/>
        <v>Petaurillus emiliae</v>
      </c>
      <c r="M3851" s="133">
        <f>LOG(N3851)</f>
        <v>1.1303337684950061</v>
      </c>
      <c r="N3851" s="133">
        <v>13.5</v>
      </c>
      <c r="O3851" s="179" t="s">
        <v>3356</v>
      </c>
      <c r="P3851" s="108">
        <v>60</v>
      </c>
      <c r="Q3851" s="80"/>
    </row>
    <row r="3852" spans="1:18">
      <c r="A3852" s="213" t="s">
        <v>2594</v>
      </c>
      <c r="B3852" s="141" t="s">
        <v>2109</v>
      </c>
      <c r="C3852" s="118" t="s">
        <v>3817</v>
      </c>
      <c r="D3852" s="141"/>
      <c r="E3852" s="118"/>
      <c r="F3852" s="118"/>
      <c r="G3852" s="118" t="s">
        <v>3618</v>
      </c>
      <c r="H3852" s="118" t="s">
        <v>3438</v>
      </c>
      <c r="I3852" s="118" t="s">
        <v>6442</v>
      </c>
      <c r="J3852" s="118" t="s">
        <v>5637</v>
      </c>
      <c r="K3852" s="141"/>
      <c r="L3852" s="135" t="str">
        <f t="shared" si="218"/>
        <v>Petaurillus hosei</v>
      </c>
      <c r="M3852" s="133">
        <f>LOG(N3852)</f>
        <v>1.3242824552976926</v>
      </c>
      <c r="N3852" s="133">
        <f>1000*0.0211</f>
        <v>21.1</v>
      </c>
      <c r="O3852" s="179" t="s">
        <v>3356</v>
      </c>
      <c r="P3852" s="115">
        <v>60</v>
      </c>
      <c r="Q3852" s="80"/>
    </row>
    <row r="3853" spans="1:18">
      <c r="A3853" s="213" t="s">
        <v>2594</v>
      </c>
      <c r="B3853" s="141" t="s">
        <v>6002</v>
      </c>
      <c r="C3853" s="118" t="s">
        <v>3817</v>
      </c>
      <c r="D3853" s="141"/>
      <c r="E3853" s="118"/>
      <c r="F3853" s="118"/>
      <c r="G3853" s="118" t="s">
        <v>3618</v>
      </c>
      <c r="H3853" s="118" t="s">
        <v>3438</v>
      </c>
      <c r="I3853" s="118" t="s">
        <v>8209</v>
      </c>
      <c r="J3853" s="118" t="s">
        <v>3616</v>
      </c>
      <c r="K3853" s="141"/>
      <c r="L3853" s="135" t="str">
        <f t="shared" si="218"/>
        <v>Petaurista leucogenys</v>
      </c>
      <c r="M3853" s="133">
        <v>-999</v>
      </c>
      <c r="N3853" s="133">
        <v>-999</v>
      </c>
      <c r="O3853" s="179" t="s">
        <v>3356</v>
      </c>
      <c r="P3853" s="108">
        <v>-999</v>
      </c>
      <c r="Q3853" s="80"/>
    </row>
    <row r="3854" spans="1:18" ht="24" customHeight="1">
      <c r="A3854" s="213" t="s">
        <v>2594</v>
      </c>
      <c r="B3854" s="141" t="s">
        <v>2600</v>
      </c>
      <c r="C3854" s="118" t="s">
        <v>3817</v>
      </c>
      <c r="D3854" s="141"/>
      <c r="E3854" s="118"/>
      <c r="F3854" s="118"/>
      <c r="G3854" s="118" t="s">
        <v>3618</v>
      </c>
      <c r="H3854" s="118" t="s">
        <v>3438</v>
      </c>
      <c r="I3854" s="118" t="s">
        <v>8209</v>
      </c>
      <c r="J3854" s="118" t="s">
        <v>2076</v>
      </c>
      <c r="K3854" s="141"/>
      <c r="L3854" s="135" t="str">
        <f t="shared" si="218"/>
        <v>Petaurista elegans</v>
      </c>
      <c r="M3854" s="133">
        <f t="shared" ref="M3854:M3865" si="219">LOG(N3854)</f>
        <v>3.0170333392987803</v>
      </c>
      <c r="N3854" s="133">
        <f>AVERAGE(840, 1240)</f>
        <v>1040</v>
      </c>
      <c r="O3854" s="179" t="s">
        <v>3356</v>
      </c>
      <c r="P3854" s="108">
        <v>118</v>
      </c>
      <c r="Q3854" s="88"/>
    </row>
    <row r="3855" spans="1:18" ht="24" customHeight="1">
      <c r="A3855" s="213" t="s">
        <v>2594</v>
      </c>
      <c r="B3855" s="130" t="s">
        <v>1430</v>
      </c>
      <c r="C3855" s="118" t="s">
        <v>3817</v>
      </c>
      <c r="D3855" s="141"/>
      <c r="E3855" s="118"/>
      <c r="F3855" s="118"/>
      <c r="G3855" s="118" t="s">
        <v>3618</v>
      </c>
      <c r="H3855" s="118" t="s">
        <v>3438</v>
      </c>
      <c r="I3855" s="118" t="s">
        <v>8209</v>
      </c>
      <c r="J3855" s="118" t="s">
        <v>5927</v>
      </c>
      <c r="K3855" s="141"/>
      <c r="L3855" s="135" t="str">
        <f t="shared" si="218"/>
        <v>Petaurista philippensis</v>
      </c>
      <c r="M3855" s="133">
        <f t="shared" si="219"/>
        <v>3.2180116518689315</v>
      </c>
      <c r="N3855" s="133">
        <f>AVERAGE((454*3.75), (454*4/625), (454*5), (454*4.4375), (454*5))</f>
        <v>1652.00612</v>
      </c>
      <c r="O3855" s="179"/>
      <c r="P3855" s="108" t="s">
        <v>1431</v>
      </c>
      <c r="Q3855" s="80"/>
    </row>
    <row r="3856" spans="1:18" ht="12" customHeight="1">
      <c r="A3856" s="213" t="s">
        <v>2594</v>
      </c>
      <c r="B3856" s="141" t="s">
        <v>2600</v>
      </c>
      <c r="C3856" s="118" t="s">
        <v>3817</v>
      </c>
      <c r="D3856" s="141"/>
      <c r="E3856" s="118"/>
      <c r="F3856" s="118"/>
      <c r="G3856" s="118" t="s">
        <v>3618</v>
      </c>
      <c r="H3856" s="118" t="s">
        <v>3438</v>
      </c>
      <c r="I3856" s="118" t="s">
        <v>8209</v>
      </c>
      <c r="J3856" s="118" t="s">
        <v>6343</v>
      </c>
      <c r="K3856" s="141"/>
      <c r="L3856" s="135" t="str">
        <f t="shared" si="218"/>
        <v>Petaurista petaurista</v>
      </c>
      <c r="M3856" s="133">
        <f t="shared" si="219"/>
        <v>3.2977605110991339</v>
      </c>
      <c r="N3856" s="133">
        <f>AVERAGE(1070, 2900)</f>
        <v>1985</v>
      </c>
      <c r="O3856" s="179" t="s">
        <v>3356</v>
      </c>
      <c r="P3856" s="108">
        <v>118</v>
      </c>
      <c r="Q3856" s="88"/>
    </row>
    <row r="3857" spans="1:18">
      <c r="A3857" s="213" t="s">
        <v>2594</v>
      </c>
      <c r="B3857" s="141" t="s">
        <v>1942</v>
      </c>
      <c r="C3857" s="118" t="s">
        <v>3817</v>
      </c>
      <c r="D3857" s="141"/>
      <c r="E3857" s="118"/>
      <c r="F3857" s="118"/>
      <c r="G3857" s="118" t="s">
        <v>3618</v>
      </c>
      <c r="H3857" s="118" t="s">
        <v>3438</v>
      </c>
      <c r="I3857" s="118" t="s">
        <v>8209</v>
      </c>
      <c r="J3857" s="118" t="s">
        <v>3333</v>
      </c>
      <c r="K3857" s="141"/>
      <c r="L3857" s="135" t="str">
        <f t="shared" si="218"/>
        <v>Petaurista alborufus</v>
      </c>
      <c r="M3857" s="133">
        <f t="shared" si="219"/>
        <v>3.6324572921847245</v>
      </c>
      <c r="N3857" s="133">
        <v>4290</v>
      </c>
      <c r="O3857" s="179" t="s">
        <v>3356</v>
      </c>
      <c r="P3857" s="108">
        <v>60</v>
      </c>
      <c r="Q3857" s="80"/>
    </row>
    <row r="3858" spans="1:18" ht="15" customHeight="1">
      <c r="A3858" s="213" t="s">
        <v>2594</v>
      </c>
      <c r="B3858" s="141" t="s">
        <v>5139</v>
      </c>
      <c r="C3858" s="118" t="s">
        <v>3817</v>
      </c>
      <c r="D3858" s="141"/>
      <c r="E3858" s="118"/>
      <c r="F3858" s="118"/>
      <c r="G3858" s="118" t="s">
        <v>3618</v>
      </c>
      <c r="H3858" s="118" t="s">
        <v>3438</v>
      </c>
      <c r="I3858" s="118" t="s">
        <v>5928</v>
      </c>
      <c r="J3858" s="118" t="s">
        <v>4813</v>
      </c>
      <c r="K3858" s="141"/>
      <c r="L3858" s="135" t="str">
        <f t="shared" si="218"/>
        <v>Petinomys setosus</v>
      </c>
      <c r="M3858" s="133">
        <f t="shared" si="219"/>
        <v>1.5847551331194918</v>
      </c>
      <c r="N3858" s="133">
        <f>1000*AVERAGE(0.031, 0.058, 0.0265, 0.036, 0.033, 0.045, 0.033, 0.045)</f>
        <v>38.437499999999993</v>
      </c>
      <c r="O3858" s="179" t="s">
        <v>3356</v>
      </c>
      <c r="P3858" s="108">
        <v>60</v>
      </c>
      <c r="Q3858" s="80"/>
    </row>
    <row r="3859" spans="1:18">
      <c r="A3859" s="213" t="s">
        <v>2594</v>
      </c>
      <c r="B3859" s="141" t="s">
        <v>2109</v>
      </c>
      <c r="C3859" s="118" t="s">
        <v>3817</v>
      </c>
      <c r="D3859" s="141"/>
      <c r="E3859" s="118"/>
      <c r="F3859" s="118"/>
      <c r="G3859" s="118" t="s">
        <v>3618</v>
      </c>
      <c r="H3859" s="118" t="s">
        <v>3438</v>
      </c>
      <c r="I3859" s="118" t="s">
        <v>5928</v>
      </c>
      <c r="J3859" s="118" t="s">
        <v>6613</v>
      </c>
      <c r="K3859" s="141"/>
      <c r="L3859" s="135" t="str">
        <f t="shared" si="218"/>
        <v>Petinomys vordermanni</v>
      </c>
      <c r="M3859" s="133">
        <f t="shared" si="219"/>
        <v>1.6104235548127643</v>
      </c>
      <c r="N3859" s="133">
        <f>1000*AVERAGE(0.038, 0.049, 0.04, 0.0225, 0.0515, 0.039, 0.044, 0.039, 0.044)</f>
        <v>40.777777777777771</v>
      </c>
      <c r="O3859" s="179" t="s">
        <v>3356</v>
      </c>
      <c r="P3859" s="108">
        <v>60</v>
      </c>
      <c r="Q3859" s="80"/>
    </row>
    <row r="3860" spans="1:18">
      <c r="A3860" s="213" t="s">
        <v>2594</v>
      </c>
      <c r="B3860" s="141" t="s">
        <v>2538</v>
      </c>
      <c r="C3860" s="118" t="s">
        <v>3817</v>
      </c>
      <c r="D3860" s="141"/>
      <c r="E3860" s="118"/>
      <c r="F3860" s="118"/>
      <c r="G3860" s="118" t="s">
        <v>3618</v>
      </c>
      <c r="H3860" s="118" t="s">
        <v>3438</v>
      </c>
      <c r="I3860" s="118" t="s">
        <v>5928</v>
      </c>
      <c r="J3860" s="118" t="s">
        <v>5253</v>
      </c>
      <c r="K3860" s="141"/>
      <c r="L3860" s="135" t="str">
        <f t="shared" si="218"/>
        <v>Petinomys sagitta</v>
      </c>
      <c r="M3860" s="133">
        <f t="shared" si="219"/>
        <v>1.6989700043360187</v>
      </c>
      <c r="N3860" s="133">
        <v>50</v>
      </c>
      <c r="O3860" s="179" t="s">
        <v>3356</v>
      </c>
      <c r="P3860" s="108">
        <v>119</v>
      </c>
      <c r="Q3860" s="80"/>
    </row>
    <row r="3861" spans="1:18">
      <c r="A3861" s="213" t="s">
        <v>2594</v>
      </c>
      <c r="B3861" s="130" t="s">
        <v>2109</v>
      </c>
      <c r="C3861" s="118" t="s">
        <v>3817</v>
      </c>
      <c r="D3861" s="141"/>
      <c r="E3861" s="118"/>
      <c r="F3861" s="118"/>
      <c r="G3861" s="118" t="s">
        <v>3618</v>
      </c>
      <c r="H3861" s="118" t="s">
        <v>3438</v>
      </c>
      <c r="I3861" s="118" t="s">
        <v>5928</v>
      </c>
      <c r="J3861" s="118" t="s">
        <v>5929</v>
      </c>
      <c r="K3861" s="141"/>
      <c r="L3861" s="135" t="str">
        <f t="shared" si="218"/>
        <v>Petinomys genibarbis</v>
      </c>
      <c r="M3861" s="133">
        <f t="shared" si="219"/>
        <v>2.0413926851582249</v>
      </c>
      <c r="N3861" s="133">
        <v>110</v>
      </c>
      <c r="O3861" s="179" t="s">
        <v>6736</v>
      </c>
      <c r="P3861" s="108" t="s">
        <v>5900</v>
      </c>
      <c r="Q3861" s="80"/>
    </row>
    <row r="3862" spans="1:18" ht="12" customHeight="1">
      <c r="A3862" s="213" t="s">
        <v>2594</v>
      </c>
      <c r="B3862" s="141" t="s">
        <v>6062</v>
      </c>
      <c r="C3862" s="118" t="s">
        <v>3817</v>
      </c>
      <c r="D3862" s="141"/>
      <c r="E3862" s="118"/>
      <c r="F3862" s="118"/>
      <c r="G3862" s="118" t="s">
        <v>3618</v>
      </c>
      <c r="H3862" s="118" t="s">
        <v>3438</v>
      </c>
      <c r="I3862" s="118" t="s">
        <v>5928</v>
      </c>
      <c r="J3862" s="118" t="s">
        <v>3835</v>
      </c>
      <c r="K3862" s="141"/>
      <c r="L3862" s="135" t="str">
        <f t="shared" si="218"/>
        <v>Petinomys crinitus</v>
      </c>
      <c r="M3862" s="133">
        <f t="shared" si="219"/>
        <v>2.0530784434834195</v>
      </c>
      <c r="N3862" s="133">
        <f>1000*0.113</f>
        <v>113</v>
      </c>
      <c r="O3862" s="179" t="s">
        <v>3356</v>
      </c>
      <c r="P3862" s="108">
        <v>60</v>
      </c>
      <c r="Q3862" s="88"/>
    </row>
    <row r="3863" spans="1:18" ht="15" customHeight="1">
      <c r="A3863" s="213" t="s">
        <v>2594</v>
      </c>
      <c r="B3863" s="141" t="s">
        <v>5143</v>
      </c>
      <c r="C3863" s="118" t="s">
        <v>3817</v>
      </c>
      <c r="D3863" s="141"/>
      <c r="E3863" s="118"/>
      <c r="F3863" s="118"/>
      <c r="G3863" s="118" t="s">
        <v>3618</v>
      </c>
      <c r="H3863" s="118" t="s">
        <v>3438</v>
      </c>
      <c r="I3863" s="118" t="s">
        <v>5928</v>
      </c>
      <c r="J3863" s="118" t="s">
        <v>6612</v>
      </c>
      <c r="K3863" s="141"/>
      <c r="L3863" s="135" t="str">
        <f t="shared" si="218"/>
        <v>Petinomys hageni</v>
      </c>
      <c r="M3863" s="133">
        <f t="shared" si="219"/>
        <v>2.5888317255942073</v>
      </c>
      <c r="N3863" s="133">
        <v>388</v>
      </c>
      <c r="O3863" s="179" t="s">
        <v>3356</v>
      </c>
      <c r="P3863" s="108">
        <v>60</v>
      </c>
      <c r="Q3863" s="80"/>
    </row>
    <row r="3864" spans="1:18" ht="15.75">
      <c r="A3864" s="213" t="s">
        <v>2594</v>
      </c>
      <c r="B3864" s="141" t="s">
        <v>2275</v>
      </c>
      <c r="C3864" s="118" t="s">
        <v>3817</v>
      </c>
      <c r="D3864" s="141"/>
      <c r="E3864" s="118"/>
      <c r="F3864" s="118"/>
      <c r="G3864" s="118" t="s">
        <v>3618</v>
      </c>
      <c r="H3864" s="118" t="s">
        <v>3438</v>
      </c>
      <c r="I3864" s="118" t="s">
        <v>5928</v>
      </c>
      <c r="J3864" s="118" t="s">
        <v>7213</v>
      </c>
      <c r="K3864" s="141"/>
      <c r="L3864" s="135" t="str">
        <f t="shared" si="218"/>
        <v>Petinomys lugens</v>
      </c>
      <c r="M3864" s="133">
        <f t="shared" si="219"/>
        <v>2.6364878963533656</v>
      </c>
      <c r="N3864" s="133">
        <v>433</v>
      </c>
      <c r="O3864" s="179" t="s">
        <v>6641</v>
      </c>
      <c r="P3864" s="108">
        <v>60</v>
      </c>
      <c r="Q3864" s="80" t="s">
        <v>6642</v>
      </c>
      <c r="R3864" s="89"/>
    </row>
    <row r="3865" spans="1:18">
      <c r="A3865" s="213" t="s">
        <v>2594</v>
      </c>
      <c r="B3865" s="141" t="s">
        <v>2435</v>
      </c>
      <c r="C3865" s="118" t="s">
        <v>3817</v>
      </c>
      <c r="D3865" s="141"/>
      <c r="E3865" s="118"/>
      <c r="F3865" s="118"/>
      <c r="G3865" s="118" t="s">
        <v>3618</v>
      </c>
      <c r="H3865" s="118" t="s">
        <v>3438</v>
      </c>
      <c r="I3865" s="118" t="s">
        <v>5928</v>
      </c>
      <c r="J3865" s="118" t="s">
        <v>6611</v>
      </c>
      <c r="K3865" s="141"/>
      <c r="L3865" s="135" t="str">
        <f t="shared" si="218"/>
        <v>Petinomys fuscocapillus</v>
      </c>
      <c r="M3865" s="133">
        <f t="shared" si="219"/>
        <v>2.9000939015433982</v>
      </c>
      <c r="N3865" s="133">
        <f>454*1.75</f>
        <v>794.5</v>
      </c>
      <c r="O3865" s="179" t="s">
        <v>3356</v>
      </c>
      <c r="P3865" s="108">
        <v>132</v>
      </c>
      <c r="Q3865" s="80"/>
    </row>
    <row r="3866" spans="1:18" ht="96.95" customHeight="1">
      <c r="A3866" s="213" t="s">
        <v>2594</v>
      </c>
      <c r="B3866" s="141" t="s">
        <v>5805</v>
      </c>
      <c r="C3866" s="118" t="s">
        <v>3817</v>
      </c>
      <c r="D3866" s="141"/>
      <c r="E3866" s="118"/>
      <c r="F3866" s="118"/>
      <c r="G3866" s="118" t="s">
        <v>3618</v>
      </c>
      <c r="H3866" s="118" t="s">
        <v>3438</v>
      </c>
      <c r="I3866" s="118" t="s">
        <v>6240</v>
      </c>
      <c r="J3866" s="118" t="s">
        <v>4100</v>
      </c>
      <c r="K3866" s="141"/>
      <c r="L3866" s="135" t="str">
        <f t="shared" si="218"/>
        <v>Prosciurillus weberi</v>
      </c>
      <c r="M3866" s="133">
        <v>-999</v>
      </c>
      <c r="N3866" s="133">
        <v>-999</v>
      </c>
      <c r="O3866" s="179" t="s">
        <v>6882</v>
      </c>
      <c r="P3866" s="108">
        <v>-999</v>
      </c>
      <c r="Q3866" s="80" t="s">
        <v>6642</v>
      </c>
    </row>
    <row r="3867" spans="1:18" ht="24" customHeight="1">
      <c r="A3867" s="213" t="s">
        <v>2594</v>
      </c>
      <c r="B3867" s="141" t="s">
        <v>5805</v>
      </c>
      <c r="C3867" s="118" t="s">
        <v>3817</v>
      </c>
      <c r="D3867" s="141"/>
      <c r="E3867" s="118"/>
      <c r="F3867" s="118"/>
      <c r="G3867" s="118" t="s">
        <v>3618</v>
      </c>
      <c r="H3867" s="118" t="s">
        <v>3438</v>
      </c>
      <c r="I3867" s="118" t="s">
        <v>6240</v>
      </c>
      <c r="J3867" s="118" t="s">
        <v>4557</v>
      </c>
      <c r="K3867" s="141"/>
      <c r="L3867" s="135" t="str">
        <f t="shared" si="218"/>
        <v>Prosciurillus murinus</v>
      </c>
      <c r="M3867" s="133">
        <f>LOG(N3867)</f>
        <v>1.8627275283179747</v>
      </c>
      <c r="N3867" s="133">
        <f>1000*0.0729</f>
        <v>72.900000000000006</v>
      </c>
      <c r="O3867" s="179" t="s">
        <v>3356</v>
      </c>
      <c r="P3867" s="108">
        <v>60</v>
      </c>
      <c r="Q3867" s="80"/>
    </row>
    <row r="3868" spans="1:18" ht="15" customHeight="1">
      <c r="A3868" s="213" t="s">
        <v>2594</v>
      </c>
      <c r="B3868" s="141" t="s">
        <v>5805</v>
      </c>
      <c r="C3868" s="118" t="s">
        <v>3817</v>
      </c>
      <c r="D3868" s="141"/>
      <c r="E3868" s="118"/>
      <c r="F3868" s="118"/>
      <c r="G3868" s="118" t="s">
        <v>3618</v>
      </c>
      <c r="H3868" s="118" t="s">
        <v>3438</v>
      </c>
      <c r="I3868" s="118" t="s">
        <v>6240</v>
      </c>
      <c r="J3868" s="118" t="s">
        <v>6550</v>
      </c>
      <c r="K3868" s="141"/>
      <c r="L3868" s="135" t="str">
        <f t="shared" si="218"/>
        <v>Prosciurillus abstrusus</v>
      </c>
      <c r="M3868" s="133">
        <f>LOG(N3868)</f>
        <v>1.8987251815894934</v>
      </c>
      <c r="N3868" s="133">
        <f>1000*0.0792</f>
        <v>79.2</v>
      </c>
      <c r="O3868" s="179" t="s">
        <v>6641</v>
      </c>
      <c r="P3868" s="108">
        <v>60</v>
      </c>
      <c r="Q3868" s="80" t="s">
        <v>6988</v>
      </c>
    </row>
    <row r="3869" spans="1:18">
      <c r="A3869" s="213" t="s">
        <v>2594</v>
      </c>
      <c r="B3869" s="141" t="s">
        <v>5805</v>
      </c>
      <c r="C3869" s="118" t="s">
        <v>3817</v>
      </c>
      <c r="D3869" s="141"/>
      <c r="E3869" s="118"/>
      <c r="F3869" s="118"/>
      <c r="G3869" s="118" t="s">
        <v>3618</v>
      </c>
      <c r="H3869" s="118" t="s">
        <v>3438</v>
      </c>
      <c r="I3869" s="118" t="s">
        <v>6240</v>
      </c>
      <c r="J3869" s="118" t="s">
        <v>6385</v>
      </c>
      <c r="K3869" s="141"/>
      <c r="L3869" s="135" t="str">
        <f t="shared" si="218"/>
        <v>Prosciurillus leucomus</v>
      </c>
      <c r="M3869" s="133">
        <f>LOG(N3869)</f>
        <v>2.1072099696478683</v>
      </c>
      <c r="N3869" s="133">
        <v>128</v>
      </c>
      <c r="O3869" s="179" t="s">
        <v>3356</v>
      </c>
      <c r="P3869" s="108">
        <v>60</v>
      </c>
      <c r="Q3869" s="80"/>
    </row>
    <row r="3870" spans="1:18">
      <c r="A3870" s="213" t="s">
        <v>2594</v>
      </c>
      <c r="B3870" s="130" t="s">
        <v>6002</v>
      </c>
      <c r="C3870" s="118" t="s">
        <v>3817</v>
      </c>
      <c r="D3870" s="141"/>
      <c r="E3870" s="118"/>
      <c r="F3870" s="118"/>
      <c r="G3870" s="118" t="s">
        <v>3618</v>
      </c>
      <c r="H3870" s="121" t="s">
        <v>3438</v>
      </c>
      <c r="I3870" s="118" t="s">
        <v>6614</v>
      </c>
      <c r="J3870" s="118" t="s">
        <v>3292</v>
      </c>
      <c r="K3870" s="141"/>
      <c r="L3870" s="135" t="str">
        <f t="shared" si="218"/>
        <v>Pteromys momonga</v>
      </c>
      <c r="M3870" s="133">
        <v>-999</v>
      </c>
      <c r="N3870" s="133">
        <v>-999</v>
      </c>
      <c r="O3870" s="179" t="s">
        <v>3356</v>
      </c>
      <c r="P3870" s="108">
        <v>-999</v>
      </c>
      <c r="Q3870" s="80"/>
    </row>
    <row r="3871" spans="1:18">
      <c r="A3871" s="213" t="s">
        <v>2594</v>
      </c>
      <c r="B3871" s="130" t="s">
        <v>6002</v>
      </c>
      <c r="C3871" s="118" t="s">
        <v>3817</v>
      </c>
      <c r="D3871" s="141"/>
      <c r="E3871" s="118"/>
      <c r="F3871" s="118"/>
      <c r="G3871" s="118" t="s">
        <v>3618</v>
      </c>
      <c r="H3871" s="118" t="s">
        <v>3438</v>
      </c>
      <c r="I3871" s="118" t="s">
        <v>6614</v>
      </c>
      <c r="J3871" s="118" t="s">
        <v>4449</v>
      </c>
      <c r="K3871" s="141"/>
      <c r="L3871" s="135" t="str">
        <f t="shared" si="218"/>
        <v>Pteromys volans</v>
      </c>
      <c r="M3871" s="133">
        <f t="shared" ref="M3871:M3876" si="220">LOG(N3871)</f>
        <v>2.1139433523068369</v>
      </c>
      <c r="N3871" s="133">
        <f>AVERAGE(90, 170)</f>
        <v>130</v>
      </c>
      <c r="O3871" s="179"/>
      <c r="P3871" s="108">
        <v>138</v>
      </c>
      <c r="Q3871" s="80"/>
    </row>
    <row r="3872" spans="1:18" ht="25.5">
      <c r="A3872" s="213" t="s">
        <v>2594</v>
      </c>
      <c r="B3872" s="130" t="s">
        <v>5139</v>
      </c>
      <c r="C3872" s="118" t="s">
        <v>3817</v>
      </c>
      <c r="D3872" s="141"/>
      <c r="E3872" s="118"/>
      <c r="F3872" s="118"/>
      <c r="G3872" s="118" t="s">
        <v>3618</v>
      </c>
      <c r="H3872" s="118" t="s">
        <v>3438</v>
      </c>
      <c r="I3872" s="118" t="s">
        <v>3293</v>
      </c>
      <c r="J3872" s="118" t="s">
        <v>3294</v>
      </c>
      <c r="K3872" s="141"/>
      <c r="L3872" s="135" t="str">
        <f t="shared" si="218"/>
        <v>Pteromyscus pulverulentus</v>
      </c>
      <c r="M3872" s="133">
        <f t="shared" si="220"/>
        <v>2.4289442900355742</v>
      </c>
      <c r="N3872" s="133">
        <f>AVERAGE(232, 305)</f>
        <v>268.5</v>
      </c>
      <c r="O3872" s="179" t="s">
        <v>3356</v>
      </c>
      <c r="P3872" s="108">
        <v>118</v>
      </c>
      <c r="Q3872" s="80"/>
    </row>
    <row r="3873" spans="1:18">
      <c r="A3873" s="213" t="s">
        <v>2594</v>
      </c>
      <c r="B3873" s="130" t="s">
        <v>2109</v>
      </c>
      <c r="C3873" s="118" t="s">
        <v>3817</v>
      </c>
      <c r="D3873" s="141"/>
      <c r="E3873" s="118"/>
      <c r="F3873" s="118"/>
      <c r="G3873" s="118" t="s">
        <v>3618</v>
      </c>
      <c r="H3873" s="118" t="s">
        <v>3438</v>
      </c>
      <c r="I3873" s="118" t="s">
        <v>5930</v>
      </c>
      <c r="J3873" s="118" t="s">
        <v>7453</v>
      </c>
      <c r="K3873" s="141"/>
      <c r="L3873" s="135" t="str">
        <f t="shared" si="218"/>
        <v>Ratufa affinis</v>
      </c>
      <c r="M3873" s="133">
        <f t="shared" si="220"/>
        <v>3.0746336182969043</v>
      </c>
      <c r="N3873" s="133">
        <f>AVERAGE(875, 1500)</f>
        <v>1187.5</v>
      </c>
      <c r="O3873" s="179"/>
      <c r="P3873" s="108" t="s">
        <v>7805</v>
      </c>
      <c r="Q3873" s="80"/>
    </row>
    <row r="3874" spans="1:18">
      <c r="A3874" s="213" t="s">
        <v>2594</v>
      </c>
      <c r="B3874" s="130" t="s">
        <v>2435</v>
      </c>
      <c r="C3874" s="118" t="s">
        <v>3817</v>
      </c>
      <c r="D3874" s="141"/>
      <c r="E3874" s="118"/>
      <c r="F3874" s="118"/>
      <c r="G3874" s="118" t="s">
        <v>3618</v>
      </c>
      <c r="H3874" s="118" t="s">
        <v>3438</v>
      </c>
      <c r="I3874" s="118" t="s">
        <v>5930</v>
      </c>
      <c r="J3874" s="118" t="s">
        <v>3833</v>
      </c>
      <c r="K3874" s="141"/>
      <c r="L3874" s="135" t="str">
        <f t="shared" si="218"/>
        <v>Ratufa macroura</v>
      </c>
      <c r="M3874" s="133">
        <f t="shared" si="220"/>
        <v>3.1380375283900044</v>
      </c>
      <c r="N3874" s="133">
        <f>AVERAGE((454*3.25), (454*3.25), (454*3.75), (454*3.625), (454*3.375), (454*3.125), (454*3.0625), (454*3.5625), (454*2.5625), (454*3.1875), (454*2.3125), (454*2.3125), (454*2.5), (454*2.5))</f>
        <v>1374.1607142857142</v>
      </c>
      <c r="O3874" s="179" t="s">
        <v>6641</v>
      </c>
      <c r="P3874" s="108">
        <v>132</v>
      </c>
      <c r="Q3874" s="80" t="s">
        <v>6988</v>
      </c>
    </row>
    <row r="3875" spans="1:18">
      <c r="A3875" s="213" t="s">
        <v>2594</v>
      </c>
      <c r="B3875" s="141" t="s">
        <v>2109</v>
      </c>
      <c r="C3875" s="118" t="s">
        <v>3817</v>
      </c>
      <c r="D3875" s="141"/>
      <c r="E3875" s="118"/>
      <c r="F3875" s="118"/>
      <c r="G3875" s="118" t="s">
        <v>3618</v>
      </c>
      <c r="H3875" s="118" t="s">
        <v>3438</v>
      </c>
      <c r="I3875" s="118" t="s">
        <v>3882</v>
      </c>
      <c r="J3875" s="118" t="s">
        <v>4141</v>
      </c>
      <c r="K3875" s="141"/>
      <c r="L3875" s="135" t="str">
        <f t="shared" si="218"/>
        <v>Rheithrosciurus macrotis</v>
      </c>
      <c r="M3875" s="133">
        <f t="shared" si="220"/>
        <v>3.0881360887005513</v>
      </c>
      <c r="N3875" s="133">
        <f>AVERAGE(1170, 1280)</f>
        <v>1225</v>
      </c>
      <c r="O3875" s="179" t="s">
        <v>3356</v>
      </c>
      <c r="P3875" s="108" t="s">
        <v>7805</v>
      </c>
      <c r="Q3875" s="80"/>
      <c r="R3875" s="82"/>
    </row>
    <row r="3876" spans="1:18">
      <c r="A3876" s="213" t="s">
        <v>2594</v>
      </c>
      <c r="B3876" s="130" t="s">
        <v>2109</v>
      </c>
      <c r="C3876" s="118" t="s">
        <v>3817</v>
      </c>
      <c r="D3876" s="141"/>
      <c r="E3876" s="118"/>
      <c r="F3876" s="118"/>
      <c r="G3876" s="118" t="s">
        <v>3618</v>
      </c>
      <c r="H3876" s="118" t="s">
        <v>3438</v>
      </c>
      <c r="I3876" s="118" t="s">
        <v>5931</v>
      </c>
      <c r="J3876" s="118" t="s">
        <v>5515</v>
      </c>
      <c r="K3876" s="141"/>
      <c r="L3876" s="135" t="str">
        <f t="shared" si="218"/>
        <v>Rhinosciurus laticaudatus</v>
      </c>
      <c r="M3876" s="133">
        <f t="shared" si="220"/>
        <v>2.3719909114649149</v>
      </c>
      <c r="N3876" s="133">
        <f>AVERAGE(221, 250)</f>
        <v>235.5</v>
      </c>
      <c r="O3876" s="179" t="s">
        <v>6736</v>
      </c>
      <c r="P3876" s="108" t="s">
        <v>7809</v>
      </c>
      <c r="Q3876" s="80"/>
    </row>
    <row r="3877" spans="1:18">
      <c r="A3877" s="213" t="s">
        <v>2594</v>
      </c>
      <c r="B3877" s="141" t="s">
        <v>5805</v>
      </c>
      <c r="C3877" s="118" t="s">
        <v>3817</v>
      </c>
      <c r="D3877" s="141"/>
      <c r="E3877" s="118"/>
      <c r="F3877" s="118"/>
      <c r="G3877" s="118" t="s">
        <v>3618</v>
      </c>
      <c r="H3877" s="118" t="s">
        <v>3438</v>
      </c>
      <c r="I3877" s="118" t="s">
        <v>3243</v>
      </c>
      <c r="J3877" s="118" t="s">
        <v>5647</v>
      </c>
      <c r="K3877" s="141"/>
      <c r="L3877" s="135" t="str">
        <f t="shared" si="218"/>
        <v>Rubrisciurus rubriventer</v>
      </c>
      <c r="M3877" s="133">
        <v>-999</v>
      </c>
      <c r="N3877" s="133">
        <v>-999</v>
      </c>
      <c r="O3877" s="179" t="s">
        <v>3356</v>
      </c>
      <c r="P3877" s="108">
        <v>-999</v>
      </c>
      <c r="Q3877" s="80"/>
    </row>
    <row r="3878" spans="1:18">
      <c r="A3878" s="213" t="s">
        <v>2594</v>
      </c>
      <c r="B3878" s="141" t="s">
        <v>6002</v>
      </c>
      <c r="C3878" s="118" t="s">
        <v>3817</v>
      </c>
      <c r="D3878" s="141"/>
      <c r="E3878" s="118"/>
      <c r="F3878" s="118"/>
      <c r="G3878" s="118" t="s">
        <v>3618</v>
      </c>
      <c r="H3878" s="118" t="s">
        <v>3438</v>
      </c>
      <c r="I3878" s="118" t="s">
        <v>3468</v>
      </c>
      <c r="J3878" s="118" t="s">
        <v>3072</v>
      </c>
      <c r="K3878" s="141"/>
      <c r="L3878" s="135" t="str">
        <f t="shared" si="218"/>
        <v>Sciurus lis</v>
      </c>
      <c r="M3878" s="133">
        <f>LOG(N3878)</f>
        <v>2.4220971631317103</v>
      </c>
      <c r="N3878" s="133">
        <v>264.3</v>
      </c>
      <c r="O3878" s="179" t="s">
        <v>3356</v>
      </c>
      <c r="P3878" s="108" t="s">
        <v>128</v>
      </c>
      <c r="Q3878" s="80"/>
    </row>
    <row r="3879" spans="1:18">
      <c r="A3879" s="213" t="s">
        <v>2594</v>
      </c>
      <c r="B3879" s="141" t="s">
        <v>6062</v>
      </c>
      <c r="C3879" s="118" t="s">
        <v>3817</v>
      </c>
      <c r="D3879" s="141"/>
      <c r="E3879" s="118"/>
      <c r="F3879" s="118"/>
      <c r="G3879" s="118" t="s">
        <v>3618</v>
      </c>
      <c r="H3879" s="118" t="s">
        <v>3438</v>
      </c>
      <c r="I3879" s="118" t="s">
        <v>5535</v>
      </c>
      <c r="J3879" s="118" t="s">
        <v>5340</v>
      </c>
      <c r="K3879" s="141"/>
      <c r="L3879" s="135" t="str">
        <f t="shared" si="218"/>
        <v>Sundasciurus davensis</v>
      </c>
      <c r="M3879" s="133">
        <v>-999</v>
      </c>
      <c r="N3879" s="133">
        <v>-999</v>
      </c>
      <c r="O3879" s="179" t="s">
        <v>3356</v>
      </c>
      <c r="P3879" s="108">
        <v>-999</v>
      </c>
      <c r="Q3879" s="80"/>
    </row>
    <row r="3880" spans="1:18" ht="12" customHeight="1">
      <c r="A3880" s="213" t="s">
        <v>2594</v>
      </c>
      <c r="B3880" s="141" t="s">
        <v>2275</v>
      </c>
      <c r="C3880" s="121" t="s">
        <v>3817</v>
      </c>
      <c r="D3880" s="156"/>
      <c r="E3880" s="121"/>
      <c r="F3880" s="121"/>
      <c r="G3880" s="121" t="s">
        <v>3618</v>
      </c>
      <c r="H3880" s="118" t="s">
        <v>3438</v>
      </c>
      <c r="I3880" s="121" t="s">
        <v>5535</v>
      </c>
      <c r="J3880" s="121" t="s">
        <v>5341</v>
      </c>
      <c r="K3880" s="141"/>
      <c r="L3880" s="135" t="str">
        <f t="shared" si="218"/>
        <v>Sundasciurus fraterculus</v>
      </c>
      <c r="M3880" s="133">
        <v>-999</v>
      </c>
      <c r="N3880" s="143">
        <v>-999</v>
      </c>
      <c r="O3880" s="179" t="s">
        <v>3356</v>
      </c>
      <c r="P3880" s="108">
        <v>-999</v>
      </c>
      <c r="Q3880" s="88"/>
    </row>
    <row r="3881" spans="1:18">
      <c r="A3881" s="213" t="s">
        <v>2594</v>
      </c>
      <c r="B3881" s="141" t="s">
        <v>6062</v>
      </c>
      <c r="C3881" s="118" t="s">
        <v>3817</v>
      </c>
      <c r="D3881" s="141"/>
      <c r="E3881" s="118"/>
      <c r="F3881" s="118"/>
      <c r="G3881" s="118" t="s">
        <v>3618</v>
      </c>
      <c r="H3881" s="118" t="s">
        <v>3438</v>
      </c>
      <c r="I3881" s="118" t="s">
        <v>5535</v>
      </c>
      <c r="J3881" s="118" t="s">
        <v>5342</v>
      </c>
      <c r="K3881" s="141"/>
      <c r="L3881" s="135" t="str">
        <f t="shared" si="218"/>
        <v>Sundasciurus hoogstraali</v>
      </c>
      <c r="M3881" s="133">
        <v>-999</v>
      </c>
      <c r="N3881" s="133">
        <v>-999</v>
      </c>
      <c r="O3881" s="179" t="s">
        <v>3356</v>
      </c>
      <c r="P3881" s="108">
        <v>-999</v>
      </c>
      <c r="Q3881" s="80"/>
    </row>
    <row r="3882" spans="1:18">
      <c r="A3882" s="213" t="s">
        <v>2594</v>
      </c>
      <c r="B3882" s="141" t="s">
        <v>6062</v>
      </c>
      <c r="C3882" s="118" t="s">
        <v>3817</v>
      </c>
      <c r="D3882" s="141"/>
      <c r="E3882" s="118"/>
      <c r="F3882" s="118"/>
      <c r="G3882" s="118" t="s">
        <v>3618</v>
      </c>
      <c r="H3882" s="118" t="s">
        <v>3438</v>
      </c>
      <c r="I3882" s="118" t="s">
        <v>5535</v>
      </c>
      <c r="J3882" s="118" t="s">
        <v>8086</v>
      </c>
      <c r="K3882" s="141"/>
      <c r="L3882" s="135" t="str">
        <f t="shared" si="218"/>
        <v>Sundasciurus juvencus</v>
      </c>
      <c r="M3882" s="133">
        <v>-999</v>
      </c>
      <c r="N3882" s="133">
        <v>-999</v>
      </c>
      <c r="O3882" s="179" t="s">
        <v>6641</v>
      </c>
      <c r="P3882" s="108">
        <v>-999</v>
      </c>
      <c r="Q3882" s="80" t="s">
        <v>6640</v>
      </c>
    </row>
    <row r="3883" spans="1:18">
      <c r="A3883" s="213" t="s">
        <v>2594</v>
      </c>
      <c r="B3883" s="141" t="s">
        <v>6062</v>
      </c>
      <c r="C3883" s="118" t="s">
        <v>3817</v>
      </c>
      <c r="D3883" s="141"/>
      <c r="E3883" s="118"/>
      <c r="F3883" s="118"/>
      <c r="G3883" s="118" t="s">
        <v>3618</v>
      </c>
      <c r="H3883" s="118" t="s">
        <v>3438</v>
      </c>
      <c r="I3883" s="118" t="s">
        <v>5535</v>
      </c>
      <c r="J3883" s="118" t="s">
        <v>8087</v>
      </c>
      <c r="K3883" s="141"/>
      <c r="L3883" s="135" t="str">
        <f t="shared" si="218"/>
        <v>Sundasciurus mindanensis</v>
      </c>
      <c r="M3883" s="133">
        <v>-999</v>
      </c>
      <c r="N3883" s="133">
        <v>-999</v>
      </c>
      <c r="O3883" s="179" t="s">
        <v>3356</v>
      </c>
      <c r="P3883" s="108">
        <v>-999</v>
      </c>
      <c r="Q3883" s="80"/>
    </row>
    <row r="3884" spans="1:18">
      <c r="A3884" s="213" t="s">
        <v>2594</v>
      </c>
      <c r="B3884" s="130" t="s">
        <v>2109</v>
      </c>
      <c r="C3884" s="118" t="s">
        <v>3817</v>
      </c>
      <c r="D3884" s="141"/>
      <c r="E3884" s="118"/>
      <c r="F3884" s="118"/>
      <c r="G3884" s="118" t="s">
        <v>3618</v>
      </c>
      <c r="H3884" s="118" t="s">
        <v>3438</v>
      </c>
      <c r="I3884" s="118" t="s">
        <v>5535</v>
      </c>
      <c r="J3884" s="118" t="s">
        <v>5266</v>
      </c>
      <c r="K3884" s="141"/>
      <c r="L3884" s="135" t="str">
        <f t="shared" si="218"/>
        <v>Sundasciurus tenuis</v>
      </c>
      <c r="M3884" s="133">
        <f t="shared" ref="M3884:M3896" si="221">LOG(N3884)</f>
        <v>1.8603380065709938</v>
      </c>
      <c r="N3884" s="133">
        <f>AVERAGE(75, 70)</f>
        <v>72.5</v>
      </c>
      <c r="O3884" s="179" t="s">
        <v>6736</v>
      </c>
      <c r="P3884" s="108" t="s">
        <v>7809</v>
      </c>
      <c r="Q3884" s="80"/>
    </row>
    <row r="3885" spans="1:18">
      <c r="A3885" s="213" t="s">
        <v>2594</v>
      </c>
      <c r="B3885" s="141" t="s">
        <v>2109</v>
      </c>
      <c r="C3885" s="118" t="s">
        <v>3817</v>
      </c>
      <c r="D3885" s="141"/>
      <c r="E3885" s="118"/>
      <c r="F3885" s="118"/>
      <c r="G3885" s="118" t="s">
        <v>3618</v>
      </c>
      <c r="H3885" s="118" t="s">
        <v>3438</v>
      </c>
      <c r="I3885" s="118" t="s">
        <v>5535</v>
      </c>
      <c r="J3885" s="118" t="s">
        <v>4044</v>
      </c>
      <c r="K3885" s="141"/>
      <c r="L3885" s="135" t="str">
        <f t="shared" si="218"/>
        <v>Sundasciurus jentinki</v>
      </c>
      <c r="M3885" s="133">
        <f t="shared" si="221"/>
        <v>1.8808135922807914</v>
      </c>
      <c r="N3885" s="133">
        <f>1000*0.076</f>
        <v>76</v>
      </c>
      <c r="O3885" s="179" t="s">
        <v>6641</v>
      </c>
      <c r="P3885" s="108">
        <v>60</v>
      </c>
      <c r="Q3885" s="80" t="s">
        <v>6988</v>
      </c>
    </row>
    <row r="3886" spans="1:18">
      <c r="A3886" s="213" t="s">
        <v>2594</v>
      </c>
      <c r="B3886" s="141" t="s">
        <v>2109</v>
      </c>
      <c r="C3886" s="118" t="s">
        <v>3817</v>
      </c>
      <c r="D3886" s="141"/>
      <c r="E3886" s="118"/>
      <c r="F3886" s="118"/>
      <c r="G3886" s="118" t="s">
        <v>3618</v>
      </c>
      <c r="H3886" s="118" t="s">
        <v>3438</v>
      </c>
      <c r="I3886" s="118" t="s">
        <v>5535</v>
      </c>
      <c r="J3886" s="118" t="s">
        <v>5246</v>
      </c>
      <c r="K3886" s="141"/>
      <c r="L3886" s="135" t="str">
        <f t="shared" si="218"/>
        <v>Sundasciurus lowii</v>
      </c>
      <c r="M3886" s="133">
        <f t="shared" si="221"/>
        <v>1.9294189257142926</v>
      </c>
      <c r="N3886" s="133">
        <f>AVERAGE(60, 120, 80, 80)</f>
        <v>85</v>
      </c>
      <c r="O3886" s="179" t="s">
        <v>3356</v>
      </c>
      <c r="P3886" s="108" t="s">
        <v>7811</v>
      </c>
      <c r="Q3886" s="80"/>
    </row>
    <row r="3887" spans="1:18">
      <c r="A3887" s="213" t="s">
        <v>2594</v>
      </c>
      <c r="B3887" s="141" t="s">
        <v>2109</v>
      </c>
      <c r="C3887" s="118" t="s">
        <v>3817</v>
      </c>
      <c r="D3887" s="141"/>
      <c r="E3887" s="118"/>
      <c r="F3887" s="118"/>
      <c r="G3887" s="118" t="s">
        <v>3618</v>
      </c>
      <c r="H3887" s="118" t="s">
        <v>3438</v>
      </c>
      <c r="I3887" s="118" t="s">
        <v>5535</v>
      </c>
      <c r="J3887" s="118" t="s">
        <v>7922</v>
      </c>
      <c r="K3887" s="141"/>
      <c r="L3887" s="135" t="str">
        <f t="shared" si="218"/>
        <v>Sundasciurus brookei</v>
      </c>
      <c r="M3887" s="133">
        <f t="shared" si="221"/>
        <v>2.0625819842281632</v>
      </c>
      <c r="N3887" s="133">
        <f>AVERAGE(103, 128)</f>
        <v>115.5</v>
      </c>
      <c r="O3887" s="179" t="s">
        <v>6641</v>
      </c>
      <c r="P3887" s="108" t="s">
        <v>7805</v>
      </c>
      <c r="Q3887" s="80" t="s">
        <v>6642</v>
      </c>
    </row>
    <row r="3888" spans="1:18">
      <c r="A3888" s="213" t="s">
        <v>2594</v>
      </c>
      <c r="B3888" s="141" t="s">
        <v>6062</v>
      </c>
      <c r="C3888" s="118" t="s">
        <v>3817</v>
      </c>
      <c r="D3888" s="141"/>
      <c r="E3888" s="118"/>
      <c r="F3888" s="118"/>
      <c r="G3888" s="118" t="s">
        <v>3618</v>
      </c>
      <c r="H3888" s="118" t="s">
        <v>3438</v>
      </c>
      <c r="I3888" s="118" t="s">
        <v>5535</v>
      </c>
      <c r="J3888" s="118" t="s">
        <v>6254</v>
      </c>
      <c r="K3888" s="141"/>
      <c r="L3888" s="135" t="str">
        <f t="shared" si="218"/>
        <v>Sundasciurus rabori</v>
      </c>
      <c r="M3888" s="133">
        <f t="shared" si="221"/>
        <v>2.2121876044039577</v>
      </c>
      <c r="N3888" s="133">
        <v>163</v>
      </c>
      <c r="O3888" s="179" t="s">
        <v>6641</v>
      </c>
      <c r="P3888" s="108">
        <v>60</v>
      </c>
      <c r="Q3888" s="80" t="s">
        <v>6988</v>
      </c>
    </row>
    <row r="3889" spans="1:17">
      <c r="A3889" s="213" t="s">
        <v>2594</v>
      </c>
      <c r="B3889" s="141" t="s">
        <v>6062</v>
      </c>
      <c r="C3889" s="118" t="s">
        <v>3817</v>
      </c>
      <c r="D3889" s="141"/>
      <c r="E3889" s="118"/>
      <c r="F3889" s="118"/>
      <c r="G3889" s="118" t="s">
        <v>3618</v>
      </c>
      <c r="H3889" s="118" t="s">
        <v>3438</v>
      </c>
      <c r="I3889" s="118" t="s">
        <v>5535</v>
      </c>
      <c r="J3889" s="118" t="s">
        <v>5350</v>
      </c>
      <c r="K3889" s="141"/>
      <c r="L3889" s="135" t="str">
        <f t="shared" si="218"/>
        <v>Sundasciurus samarensis</v>
      </c>
      <c r="M3889" s="133">
        <f t="shared" si="221"/>
        <v>2.3521825181113627</v>
      </c>
      <c r="N3889" s="133">
        <f>AVERAGE(233, 207, 235)</f>
        <v>225</v>
      </c>
      <c r="O3889" s="179" t="s">
        <v>6641</v>
      </c>
      <c r="P3889" s="108">
        <v>122</v>
      </c>
      <c r="Q3889" s="80" t="s">
        <v>6988</v>
      </c>
    </row>
    <row r="3890" spans="1:17">
      <c r="A3890" s="213" t="s">
        <v>2594</v>
      </c>
      <c r="B3890" s="141" t="s">
        <v>6062</v>
      </c>
      <c r="C3890" s="118" t="s">
        <v>3817</v>
      </c>
      <c r="D3890" s="141"/>
      <c r="E3890" s="118"/>
      <c r="F3890" s="118"/>
      <c r="G3890" s="118" t="s">
        <v>3618</v>
      </c>
      <c r="H3890" s="118" t="s">
        <v>3438</v>
      </c>
      <c r="I3890" s="118" t="s">
        <v>5535</v>
      </c>
      <c r="J3890" s="118" t="s">
        <v>6253</v>
      </c>
      <c r="K3890" s="141"/>
      <c r="L3890" s="135" t="str">
        <f t="shared" si="218"/>
        <v>Sundasciurus philippinensis</v>
      </c>
      <c r="M3890" s="133">
        <f t="shared" si="221"/>
        <v>2.3873898263387292</v>
      </c>
      <c r="N3890" s="133">
        <v>244</v>
      </c>
      <c r="O3890" s="179" t="s">
        <v>3356</v>
      </c>
      <c r="P3890" s="108">
        <v>60</v>
      </c>
      <c r="Q3890" s="80"/>
    </row>
    <row r="3891" spans="1:17">
      <c r="A3891" s="213" t="s">
        <v>2594</v>
      </c>
      <c r="B3891" s="141" t="s">
        <v>6062</v>
      </c>
      <c r="C3891" s="118" t="s">
        <v>3817</v>
      </c>
      <c r="D3891" s="141"/>
      <c r="E3891" s="118"/>
      <c r="F3891" s="118"/>
      <c r="G3891" s="118" t="s">
        <v>3618</v>
      </c>
      <c r="H3891" s="118" t="s">
        <v>3438</v>
      </c>
      <c r="I3891" s="118" t="s">
        <v>5535</v>
      </c>
      <c r="J3891" s="118" t="s">
        <v>8088</v>
      </c>
      <c r="K3891" s="141"/>
      <c r="L3891" s="135" t="str">
        <f t="shared" si="218"/>
        <v>Sundasciurus moellendorffi</v>
      </c>
      <c r="M3891" s="133">
        <f t="shared" si="221"/>
        <v>2.4014005407815442</v>
      </c>
      <c r="N3891" s="133">
        <v>252</v>
      </c>
      <c r="O3891" s="179" t="s">
        <v>6641</v>
      </c>
      <c r="P3891" s="108">
        <v>60</v>
      </c>
      <c r="Q3891" s="80" t="s">
        <v>6642</v>
      </c>
    </row>
    <row r="3892" spans="1:17">
      <c r="A3892" s="213" t="s">
        <v>2594</v>
      </c>
      <c r="B3892" s="141" t="s">
        <v>6062</v>
      </c>
      <c r="C3892" s="118" t="s">
        <v>3817</v>
      </c>
      <c r="D3892" s="141"/>
      <c r="E3892" s="118"/>
      <c r="F3892" s="118"/>
      <c r="G3892" s="118" t="s">
        <v>3618</v>
      </c>
      <c r="H3892" s="118" t="s">
        <v>3438</v>
      </c>
      <c r="I3892" s="118" t="s">
        <v>5535</v>
      </c>
      <c r="J3892" s="118" t="s">
        <v>5799</v>
      </c>
      <c r="K3892" s="141"/>
      <c r="L3892" s="135" t="str">
        <f t="shared" si="218"/>
        <v>Sundasciurus steerii</v>
      </c>
      <c r="M3892" s="133">
        <f t="shared" si="221"/>
        <v>2.4014005407815442</v>
      </c>
      <c r="N3892" s="133">
        <v>252</v>
      </c>
      <c r="O3892" s="179" t="s">
        <v>6641</v>
      </c>
      <c r="P3892" s="108">
        <v>60</v>
      </c>
      <c r="Q3892" s="80" t="s">
        <v>6642</v>
      </c>
    </row>
    <row r="3893" spans="1:17">
      <c r="A3893" s="213" t="s">
        <v>2594</v>
      </c>
      <c r="B3893" s="130" t="s">
        <v>2109</v>
      </c>
      <c r="C3893" s="118" t="s">
        <v>3817</v>
      </c>
      <c r="D3893" s="141"/>
      <c r="E3893" s="118"/>
      <c r="F3893" s="118"/>
      <c r="G3893" s="118" t="s">
        <v>3618</v>
      </c>
      <c r="H3893" s="118" t="s">
        <v>3438</v>
      </c>
      <c r="I3893" s="118" t="s">
        <v>5535</v>
      </c>
      <c r="J3893" s="118" t="s">
        <v>5536</v>
      </c>
      <c r="K3893" s="141"/>
      <c r="L3893" s="135" t="str">
        <f t="shared" si="218"/>
        <v>Sundasciurus hippurus</v>
      </c>
      <c r="M3893" s="133">
        <f t="shared" si="221"/>
        <v>2.4948500216800942</v>
      </c>
      <c r="N3893" s="133">
        <f>AVERAGE(260, 365)</f>
        <v>312.5</v>
      </c>
      <c r="O3893" s="179"/>
      <c r="P3893" s="108" t="s">
        <v>7805</v>
      </c>
      <c r="Q3893" s="80"/>
    </row>
    <row r="3894" spans="1:17">
      <c r="A3894" s="213" t="s">
        <v>2594</v>
      </c>
      <c r="B3894" s="141" t="s">
        <v>1379</v>
      </c>
      <c r="C3894" s="118" t="s">
        <v>3817</v>
      </c>
      <c r="D3894" s="141"/>
      <c r="E3894" s="118"/>
      <c r="F3894" s="118"/>
      <c r="G3894" s="118" t="s">
        <v>3618</v>
      </c>
      <c r="H3894" s="118" t="s">
        <v>3438</v>
      </c>
      <c r="I3894" s="118" t="s">
        <v>5591</v>
      </c>
      <c r="J3894" s="118" t="s">
        <v>7437</v>
      </c>
      <c r="K3894" s="141"/>
      <c r="L3894" s="135" t="str">
        <f t="shared" si="218"/>
        <v>Tamiops maritimus</v>
      </c>
      <c r="M3894" s="133">
        <f t="shared" si="221"/>
        <v>1.8481891169913987</v>
      </c>
      <c r="N3894" s="133">
        <f>1000*AVERAGE(0.0677, 0.0733)</f>
        <v>70.5</v>
      </c>
      <c r="O3894" s="179" t="s">
        <v>3356</v>
      </c>
      <c r="P3894" s="108">
        <v>60</v>
      </c>
      <c r="Q3894" s="80"/>
    </row>
    <row r="3895" spans="1:17" ht="25.5">
      <c r="A3895" s="213" t="s">
        <v>2594</v>
      </c>
      <c r="B3895" s="141" t="s">
        <v>2109</v>
      </c>
      <c r="C3895" s="118" t="s">
        <v>3817</v>
      </c>
      <c r="D3895" s="141"/>
      <c r="E3895" s="118"/>
      <c r="F3895" s="118"/>
      <c r="G3895" s="118" t="s">
        <v>4192</v>
      </c>
      <c r="H3895" s="118" t="s">
        <v>3998</v>
      </c>
      <c r="I3895" s="118" t="s">
        <v>5731</v>
      </c>
      <c r="J3895" s="118" t="s">
        <v>5869</v>
      </c>
      <c r="K3895" s="141"/>
      <c r="L3895" s="135" t="str">
        <f t="shared" si="218"/>
        <v>Dendrogale melanura</v>
      </c>
      <c r="M3895" s="133">
        <f t="shared" si="221"/>
        <v>1.7781512503836436</v>
      </c>
      <c r="N3895" s="133">
        <v>60</v>
      </c>
      <c r="O3895" s="179" t="s">
        <v>8149</v>
      </c>
      <c r="P3895" s="108">
        <v>139</v>
      </c>
      <c r="Q3895" s="94" t="s">
        <v>6988</v>
      </c>
    </row>
    <row r="3896" spans="1:17">
      <c r="A3896" s="213" t="s">
        <v>2594</v>
      </c>
      <c r="B3896" s="130" t="s">
        <v>2109</v>
      </c>
      <c r="C3896" s="118" t="s">
        <v>3817</v>
      </c>
      <c r="D3896" s="141"/>
      <c r="E3896" s="118"/>
      <c r="F3896" s="118"/>
      <c r="G3896" s="118" t="s">
        <v>4192</v>
      </c>
      <c r="H3896" s="118" t="s">
        <v>3998</v>
      </c>
      <c r="I3896" s="118" t="s">
        <v>5852</v>
      </c>
      <c r="J3896" s="118" t="s">
        <v>5246</v>
      </c>
      <c r="K3896" s="141"/>
      <c r="L3896" s="135" t="str">
        <f t="shared" si="218"/>
        <v>Ptilocercus lowii</v>
      </c>
      <c r="M3896" s="133">
        <f t="shared" si="221"/>
        <v>1.615423952885944</v>
      </c>
      <c r="N3896" s="133">
        <f>AVERAGE(40, 42.5)</f>
        <v>41.25</v>
      </c>
      <c r="O3896" s="179" t="s">
        <v>6736</v>
      </c>
      <c r="P3896" s="108" t="s">
        <v>7809</v>
      </c>
      <c r="Q3896" s="80"/>
    </row>
    <row r="3897" spans="1:17" ht="25.5">
      <c r="A3897" s="213" t="s">
        <v>2594</v>
      </c>
      <c r="B3897" s="141" t="s">
        <v>7124</v>
      </c>
      <c r="C3897" s="118" t="s">
        <v>3817</v>
      </c>
      <c r="D3897" s="141"/>
      <c r="E3897" s="118"/>
      <c r="F3897" s="118"/>
      <c r="G3897" s="118" t="s">
        <v>4192</v>
      </c>
      <c r="H3897" s="118" t="s">
        <v>3998</v>
      </c>
      <c r="I3897" s="118" t="s">
        <v>5247</v>
      </c>
      <c r="J3897" s="118" t="s">
        <v>4276</v>
      </c>
      <c r="K3897" s="141"/>
      <c r="L3897" s="135" t="str">
        <f t="shared" si="218"/>
        <v>Tupaia chrysogaster</v>
      </c>
      <c r="M3897" s="133">
        <v>-999</v>
      </c>
      <c r="N3897" s="133">
        <v>-999</v>
      </c>
      <c r="O3897" s="179" t="s">
        <v>6641</v>
      </c>
      <c r="P3897" s="108">
        <v>-999</v>
      </c>
      <c r="Q3897" s="80" t="s">
        <v>6988</v>
      </c>
    </row>
    <row r="3898" spans="1:17">
      <c r="A3898" s="213" t="s">
        <v>2594</v>
      </c>
      <c r="B3898" s="141" t="s">
        <v>2109</v>
      </c>
      <c r="C3898" s="118" t="s">
        <v>3817</v>
      </c>
      <c r="D3898" s="141"/>
      <c r="E3898" s="118"/>
      <c r="F3898" s="118"/>
      <c r="G3898" s="118" t="s">
        <v>4192</v>
      </c>
      <c r="H3898" s="118" t="s">
        <v>3998</v>
      </c>
      <c r="I3898" s="118" t="s">
        <v>5247</v>
      </c>
      <c r="J3898" s="118" t="s">
        <v>3808</v>
      </c>
      <c r="K3898" s="141"/>
      <c r="L3898" s="135" t="str">
        <f t="shared" si="218"/>
        <v>Tupaia longipes</v>
      </c>
      <c r="M3898" s="133">
        <v>-999</v>
      </c>
      <c r="N3898" s="133">
        <v>-999</v>
      </c>
      <c r="O3898" s="179" t="s">
        <v>6641</v>
      </c>
      <c r="P3898" s="108">
        <v>-999</v>
      </c>
      <c r="Q3898" s="80" t="s">
        <v>6640</v>
      </c>
    </row>
    <row r="3899" spans="1:17" ht="15" customHeight="1">
      <c r="A3899" s="213" t="s">
        <v>2594</v>
      </c>
      <c r="B3899" s="141" t="s">
        <v>6062</v>
      </c>
      <c r="C3899" s="118" t="s">
        <v>3817</v>
      </c>
      <c r="D3899" s="141"/>
      <c r="E3899" s="118"/>
      <c r="F3899" s="118"/>
      <c r="G3899" s="118" t="s">
        <v>4192</v>
      </c>
      <c r="H3899" s="118" t="s">
        <v>3998</v>
      </c>
      <c r="I3899" s="118" t="s">
        <v>5247</v>
      </c>
      <c r="J3899" s="118" t="s">
        <v>4819</v>
      </c>
      <c r="K3899" s="141"/>
      <c r="L3899" s="135" t="str">
        <f t="shared" si="218"/>
        <v>Tupaia palawanensis</v>
      </c>
      <c r="M3899" s="133">
        <v>-999</v>
      </c>
      <c r="N3899" s="133">
        <v>-999</v>
      </c>
      <c r="O3899" s="179" t="s">
        <v>6641</v>
      </c>
      <c r="P3899" s="108">
        <v>-999</v>
      </c>
      <c r="Q3899" s="80" t="s">
        <v>6988</v>
      </c>
    </row>
    <row r="3900" spans="1:17">
      <c r="A3900" s="212" t="s">
        <v>2594</v>
      </c>
      <c r="B3900" s="145" t="s">
        <v>2600</v>
      </c>
      <c r="C3900" s="118" t="s">
        <v>3817</v>
      </c>
      <c r="D3900" s="141"/>
      <c r="E3900" s="118"/>
      <c r="F3900" s="118"/>
      <c r="G3900" s="118" t="s">
        <v>4192</v>
      </c>
      <c r="H3900" s="118" t="s">
        <v>3998</v>
      </c>
      <c r="I3900" s="118" t="s">
        <v>5247</v>
      </c>
      <c r="J3900" s="118" t="s">
        <v>3078</v>
      </c>
      <c r="K3900" s="141"/>
      <c r="L3900" s="135" t="str">
        <f t="shared" si="218"/>
        <v>Tupaia minor</v>
      </c>
      <c r="M3900" s="133">
        <f t="shared" ref="M3900:M3960" si="222">LOG(N3900)</f>
        <v>1.7675268994083819</v>
      </c>
      <c r="N3900" s="133">
        <f>AVERAGE(30, 71, 52.8, 67, 56.5, 74)</f>
        <v>58.550000000000004</v>
      </c>
      <c r="O3900" s="179" t="s">
        <v>3356</v>
      </c>
      <c r="P3900" s="111" t="s">
        <v>1414</v>
      </c>
      <c r="Q3900" s="80"/>
    </row>
    <row r="3901" spans="1:17">
      <c r="A3901" s="213" t="s">
        <v>2594</v>
      </c>
      <c r="B3901" s="141" t="s">
        <v>2109</v>
      </c>
      <c r="C3901" s="118" t="s">
        <v>3817</v>
      </c>
      <c r="D3901" s="141"/>
      <c r="E3901" s="118"/>
      <c r="F3901" s="118"/>
      <c r="G3901" s="118" t="s">
        <v>4192</v>
      </c>
      <c r="H3901" s="118" t="s">
        <v>3998</v>
      </c>
      <c r="I3901" s="118" t="s">
        <v>5247</v>
      </c>
      <c r="J3901" s="118" t="s">
        <v>3786</v>
      </c>
      <c r="K3901" s="141"/>
      <c r="L3901" s="135" t="str">
        <f t="shared" si="218"/>
        <v>Tupaia gracilis</v>
      </c>
      <c r="M3901" s="133">
        <f t="shared" si="222"/>
        <v>1.8725932620341004</v>
      </c>
      <c r="N3901" s="133">
        <f>AVERAGE(60, 98, 69, 71.3)</f>
        <v>74.575000000000003</v>
      </c>
      <c r="O3901" s="179" t="s">
        <v>3356</v>
      </c>
      <c r="P3901" s="108" t="s">
        <v>7811</v>
      </c>
      <c r="Q3901" s="80"/>
    </row>
    <row r="3902" spans="1:17">
      <c r="A3902" s="213" t="s">
        <v>2594</v>
      </c>
      <c r="B3902" s="141" t="s">
        <v>2600</v>
      </c>
      <c r="C3902" s="118" t="s">
        <v>3817</v>
      </c>
      <c r="D3902" s="141"/>
      <c r="E3902" s="118"/>
      <c r="F3902" s="118"/>
      <c r="G3902" s="118" t="s">
        <v>4192</v>
      </c>
      <c r="H3902" s="118" t="s">
        <v>3998</v>
      </c>
      <c r="I3902" s="118" t="s">
        <v>5247</v>
      </c>
      <c r="J3902" s="118" t="s">
        <v>5614</v>
      </c>
      <c r="K3902" s="141"/>
      <c r="L3902" s="135" t="str">
        <f t="shared" si="218"/>
        <v>Tupaia javanica</v>
      </c>
      <c r="M3902" s="133">
        <f t="shared" si="222"/>
        <v>2.0211892990699383</v>
      </c>
      <c r="N3902" s="133">
        <v>105</v>
      </c>
      <c r="O3902" s="179" t="s">
        <v>3356</v>
      </c>
      <c r="P3902" s="108">
        <v>60</v>
      </c>
      <c r="Q3902" s="80"/>
    </row>
    <row r="3903" spans="1:17" ht="15" customHeight="1">
      <c r="A3903" s="213" t="s">
        <v>2594</v>
      </c>
      <c r="B3903" s="141" t="s">
        <v>2109</v>
      </c>
      <c r="C3903" s="118" t="s">
        <v>3817</v>
      </c>
      <c r="D3903" s="141"/>
      <c r="E3903" s="118"/>
      <c r="F3903" s="118"/>
      <c r="G3903" s="118" t="s">
        <v>4192</v>
      </c>
      <c r="H3903" s="118" t="s">
        <v>3998</v>
      </c>
      <c r="I3903" s="118" t="s">
        <v>5247</v>
      </c>
      <c r="J3903" s="118" t="s">
        <v>5451</v>
      </c>
      <c r="K3903" s="141"/>
      <c r="L3903" s="135" t="str">
        <f t="shared" si="218"/>
        <v>Tupaia picta</v>
      </c>
      <c r="M3903" s="133">
        <f t="shared" si="222"/>
        <v>2.1687920203141817</v>
      </c>
      <c r="N3903" s="133">
        <f>AVERAGE(100, 195)</f>
        <v>147.5</v>
      </c>
      <c r="O3903" s="179" t="s">
        <v>3356</v>
      </c>
      <c r="P3903" s="108">
        <v>257</v>
      </c>
      <c r="Q3903" s="80"/>
    </row>
    <row r="3904" spans="1:17">
      <c r="A3904" s="213" t="s">
        <v>2594</v>
      </c>
      <c r="B3904" s="141" t="s">
        <v>2600</v>
      </c>
      <c r="C3904" s="118" t="s">
        <v>3817</v>
      </c>
      <c r="D3904" s="141"/>
      <c r="E3904" s="118"/>
      <c r="F3904" s="118"/>
      <c r="G3904" s="118" t="s">
        <v>4192</v>
      </c>
      <c r="H3904" s="118" t="s">
        <v>3998</v>
      </c>
      <c r="I3904" s="118" t="s">
        <v>5247</v>
      </c>
      <c r="J3904" s="118" t="s">
        <v>7755</v>
      </c>
      <c r="K3904" s="141"/>
      <c r="L3904" s="135" t="str">
        <f t="shared" si="218"/>
        <v>Tupaia splendidula</v>
      </c>
      <c r="M3904" s="133">
        <f t="shared" si="222"/>
        <v>2.2041199826559246</v>
      </c>
      <c r="N3904" s="133">
        <v>160</v>
      </c>
      <c r="O3904" s="183"/>
      <c r="P3904" s="108">
        <v>60</v>
      </c>
      <c r="Q3904" s="80"/>
    </row>
    <row r="3905" spans="1:17" ht="25.5">
      <c r="A3905" s="213" t="s">
        <v>2594</v>
      </c>
      <c r="B3905" s="130" t="s">
        <v>7126</v>
      </c>
      <c r="C3905" s="118" t="s">
        <v>3817</v>
      </c>
      <c r="D3905" s="141"/>
      <c r="E3905" s="118"/>
      <c r="F3905" s="118"/>
      <c r="G3905" s="118" t="s">
        <v>4192</v>
      </c>
      <c r="H3905" s="118" t="s">
        <v>3998</v>
      </c>
      <c r="I3905" s="118" t="s">
        <v>5247</v>
      </c>
      <c r="J3905" s="118" t="s">
        <v>5428</v>
      </c>
      <c r="K3905" s="141"/>
      <c r="L3905" s="135" t="str">
        <f t="shared" si="218"/>
        <v>Tupaia nicobarica</v>
      </c>
      <c r="M3905" s="133">
        <f t="shared" si="222"/>
        <v>2.2310871205848226</v>
      </c>
      <c r="N3905" s="133">
        <f>(6/16)*454</f>
        <v>170.25</v>
      </c>
      <c r="O3905" s="179" t="s">
        <v>6641</v>
      </c>
      <c r="P3905" s="108">
        <v>133</v>
      </c>
      <c r="Q3905" s="80" t="s">
        <v>6640</v>
      </c>
    </row>
    <row r="3906" spans="1:17">
      <c r="A3906" s="213" t="s">
        <v>2594</v>
      </c>
      <c r="B3906" s="130" t="s">
        <v>2109</v>
      </c>
      <c r="C3906" s="118" t="s">
        <v>3817</v>
      </c>
      <c r="D3906" s="141"/>
      <c r="E3906" s="118"/>
      <c r="F3906" s="118"/>
      <c r="G3906" s="118" t="s">
        <v>4192</v>
      </c>
      <c r="H3906" s="118" t="s">
        <v>3998</v>
      </c>
      <c r="I3906" s="118" t="s">
        <v>5247</v>
      </c>
      <c r="J3906" s="118" t="s">
        <v>8055</v>
      </c>
      <c r="K3906" s="141"/>
      <c r="L3906" s="135" t="str">
        <f t="shared" si="218"/>
        <v>Tupaia glis</v>
      </c>
      <c r="M3906" s="133">
        <f t="shared" si="222"/>
        <v>2.2568780318187245</v>
      </c>
      <c r="N3906" s="133">
        <f>AVERAGE(148, 159, 235)</f>
        <v>180.66666666666666</v>
      </c>
      <c r="O3906" s="179" t="s">
        <v>6736</v>
      </c>
      <c r="P3906" s="108" t="s">
        <v>7813</v>
      </c>
      <c r="Q3906" s="80"/>
    </row>
    <row r="3907" spans="1:17">
      <c r="A3907" s="213" t="s">
        <v>2594</v>
      </c>
      <c r="B3907" s="141" t="s">
        <v>2600</v>
      </c>
      <c r="C3907" s="118" t="s">
        <v>3817</v>
      </c>
      <c r="D3907" s="141"/>
      <c r="E3907" s="118"/>
      <c r="F3907" s="118"/>
      <c r="G3907" s="118" t="s">
        <v>4192</v>
      </c>
      <c r="H3907" s="118" t="s">
        <v>3998</v>
      </c>
      <c r="I3907" s="118" t="s">
        <v>5247</v>
      </c>
      <c r="J3907" s="118" t="s">
        <v>7756</v>
      </c>
      <c r="K3907" s="141"/>
      <c r="L3907" s="135" t="str">
        <f t="shared" si="218"/>
        <v>Tupaia tana</v>
      </c>
      <c r="M3907" s="133">
        <f t="shared" si="222"/>
        <v>2.2962811743995468</v>
      </c>
      <c r="N3907" s="133">
        <f>AVERAGE(154, 305, 174, 158.3)</f>
        <v>197.82499999999999</v>
      </c>
      <c r="O3907" s="179" t="s">
        <v>3356</v>
      </c>
      <c r="P3907" s="108" t="s">
        <v>1414</v>
      </c>
      <c r="Q3907" s="80"/>
    </row>
    <row r="3908" spans="1:17">
      <c r="A3908" s="213" t="s">
        <v>2594</v>
      </c>
      <c r="B3908" s="141" t="s">
        <v>2109</v>
      </c>
      <c r="C3908" s="118" t="s">
        <v>3817</v>
      </c>
      <c r="D3908" s="141"/>
      <c r="E3908" s="118"/>
      <c r="F3908" s="118"/>
      <c r="G3908" s="118" t="s">
        <v>4192</v>
      </c>
      <c r="H3908" s="118" t="s">
        <v>3998</v>
      </c>
      <c r="I3908" s="118" t="s">
        <v>5247</v>
      </c>
      <c r="J3908" s="118" t="s">
        <v>5853</v>
      </c>
      <c r="K3908" s="141"/>
      <c r="L3908" s="135" t="str">
        <f t="shared" si="218"/>
        <v>Tupaia montana</v>
      </c>
      <c r="M3908" s="133">
        <f t="shared" si="222"/>
        <v>2.2988530764097068</v>
      </c>
      <c r="N3908" s="133">
        <f>AVERAGE(95, 219, 283)</f>
        <v>199</v>
      </c>
      <c r="O3908" s="179" t="s">
        <v>6736</v>
      </c>
      <c r="P3908" s="108" t="s">
        <v>7814</v>
      </c>
    </row>
    <row r="3909" spans="1:17">
      <c r="A3909" s="213" t="s">
        <v>2594</v>
      </c>
      <c r="B3909" s="141" t="s">
        <v>2109</v>
      </c>
      <c r="C3909" s="118" t="s">
        <v>3817</v>
      </c>
      <c r="D3909" s="141"/>
      <c r="E3909" s="118"/>
      <c r="F3909" s="118"/>
      <c r="G3909" s="118" t="s">
        <v>4192</v>
      </c>
      <c r="H3909" s="118" t="s">
        <v>3998</v>
      </c>
      <c r="I3909" s="118" t="s">
        <v>5247</v>
      </c>
      <c r="J3909" s="118" t="s">
        <v>3630</v>
      </c>
      <c r="K3909" s="141"/>
      <c r="L3909" s="135" t="str">
        <f t="shared" ref="L3909:L3972" si="223">I3909&amp;" "&amp;J3909</f>
        <v>Tupaia dorsalis</v>
      </c>
      <c r="M3909" s="133">
        <f t="shared" si="222"/>
        <v>2.4232458739368079</v>
      </c>
      <c r="N3909" s="133">
        <v>265</v>
      </c>
      <c r="O3909" s="179"/>
      <c r="P3909" s="108">
        <v>60</v>
      </c>
      <c r="Q3909" s="80"/>
    </row>
    <row r="3910" spans="1:17" ht="15">
      <c r="A3910" s="213" t="s">
        <v>2594</v>
      </c>
      <c r="B3910" s="141" t="s">
        <v>4888</v>
      </c>
      <c r="C3910" s="118" t="s">
        <v>3817</v>
      </c>
      <c r="D3910" s="141"/>
      <c r="E3910" s="118"/>
      <c r="F3910" s="118"/>
      <c r="G3910" s="118" t="s">
        <v>4192</v>
      </c>
      <c r="H3910" s="118" t="s">
        <v>3998</v>
      </c>
      <c r="I3910" s="118" t="s">
        <v>6488</v>
      </c>
      <c r="J3910" s="118" t="s">
        <v>4289</v>
      </c>
      <c r="K3910" s="141"/>
      <c r="L3910" s="135" t="str">
        <f t="shared" si="223"/>
        <v>Urogale everetti</v>
      </c>
      <c r="M3910" s="133">
        <f t="shared" si="222"/>
        <v>2.5440680443502757</v>
      </c>
      <c r="N3910" s="133">
        <v>350</v>
      </c>
      <c r="O3910" s="179" t="s">
        <v>6641</v>
      </c>
      <c r="P3910" s="108">
        <v>68</v>
      </c>
      <c r="Q3910" s="88" t="s">
        <v>6988</v>
      </c>
    </row>
    <row r="3911" spans="1:17" ht="25.5">
      <c r="A3911" s="213" t="s">
        <v>2594</v>
      </c>
      <c r="B3911" s="141" t="s">
        <v>2675</v>
      </c>
      <c r="C3911" s="118" t="s">
        <v>3931</v>
      </c>
      <c r="D3911" s="141"/>
      <c r="E3911" s="118"/>
      <c r="F3911" s="118"/>
      <c r="G3911" s="118" t="s">
        <v>7361</v>
      </c>
      <c r="H3911" s="118" t="s">
        <v>7993</v>
      </c>
      <c r="I3911" s="118" t="s">
        <v>5468</v>
      </c>
      <c r="J3911" s="118" t="s">
        <v>7405</v>
      </c>
      <c r="K3911" s="141"/>
      <c r="L3911" s="135" t="str">
        <f t="shared" si="223"/>
        <v>Hydrodamalis gigas</v>
      </c>
      <c r="M3911" s="133">
        <f t="shared" si="222"/>
        <v>6.6020599913279625</v>
      </c>
      <c r="N3911" s="133">
        <v>4000000</v>
      </c>
      <c r="O3911" s="179" t="s">
        <v>3356</v>
      </c>
      <c r="P3911" s="108">
        <v>137</v>
      </c>
      <c r="Q3911" s="80"/>
    </row>
    <row r="3912" spans="1:17" ht="15" customHeight="1">
      <c r="A3912" s="213" t="s">
        <v>2594</v>
      </c>
      <c r="B3912" s="130" t="s">
        <v>2600</v>
      </c>
      <c r="C3912" s="118" t="s">
        <v>3817</v>
      </c>
      <c r="D3912" s="141"/>
      <c r="E3912" s="118"/>
      <c r="F3912" s="118"/>
      <c r="G3912" s="118" t="s">
        <v>7361</v>
      </c>
      <c r="H3912" s="118" t="s">
        <v>7993</v>
      </c>
      <c r="I3912" s="118" t="s">
        <v>7994</v>
      </c>
      <c r="J3912" s="118" t="s">
        <v>7995</v>
      </c>
      <c r="K3912" s="141"/>
      <c r="L3912" s="135" t="str">
        <f t="shared" si="223"/>
        <v>Dugong dugon</v>
      </c>
      <c r="M3912" s="133">
        <f t="shared" si="222"/>
        <v>5.3010299956639813</v>
      </c>
      <c r="N3912" s="133">
        <f>AVERAGE(150000, 250000)</f>
        <v>200000</v>
      </c>
      <c r="O3912" s="179" t="s">
        <v>3356</v>
      </c>
      <c r="P3912" s="108">
        <v>118</v>
      </c>
      <c r="Q3912" s="80"/>
    </row>
    <row r="3913" spans="1:17">
      <c r="A3913" s="214" t="s">
        <v>3816</v>
      </c>
      <c r="B3913" s="135"/>
      <c r="C3913" s="136" t="s">
        <v>5092</v>
      </c>
      <c r="D3913" s="220"/>
      <c r="E3913" s="136"/>
      <c r="F3913" s="136"/>
      <c r="G3913" s="134" t="s">
        <v>3001</v>
      </c>
      <c r="H3913" s="134" t="s">
        <v>3197</v>
      </c>
      <c r="I3913" s="134" t="s">
        <v>2336</v>
      </c>
      <c r="J3913" s="134" t="s">
        <v>3078</v>
      </c>
      <c r="K3913" s="135"/>
      <c r="L3913" s="135" t="str">
        <f t="shared" si="223"/>
        <v>Capromeryx minor</v>
      </c>
      <c r="M3913" s="133">
        <f t="shared" si="222"/>
        <v>4</v>
      </c>
      <c r="N3913" s="137">
        <v>10000</v>
      </c>
      <c r="O3913" s="180"/>
      <c r="P3913" s="109" t="s">
        <v>7337</v>
      </c>
    </row>
    <row r="3914" spans="1:17">
      <c r="A3914" s="214" t="s">
        <v>3816</v>
      </c>
      <c r="B3914" s="135"/>
      <c r="C3914" s="136" t="s">
        <v>5092</v>
      </c>
      <c r="D3914" s="220"/>
      <c r="E3914" s="136"/>
      <c r="F3914" s="136"/>
      <c r="G3914" s="134" t="s">
        <v>3001</v>
      </c>
      <c r="H3914" s="134" t="s">
        <v>3197</v>
      </c>
      <c r="I3914" s="134" t="s">
        <v>2336</v>
      </c>
      <c r="J3914" s="134" t="s">
        <v>4375</v>
      </c>
      <c r="K3914" s="135"/>
      <c r="L3914" s="135" t="str">
        <f t="shared" si="223"/>
        <v>Capromeryx mexicana</v>
      </c>
      <c r="M3914" s="133">
        <f t="shared" si="222"/>
        <v>4.1760912590556813</v>
      </c>
      <c r="N3914" s="137">
        <v>15000</v>
      </c>
      <c r="O3914" s="180"/>
      <c r="P3914" s="109" t="s">
        <v>4996</v>
      </c>
    </row>
    <row r="3915" spans="1:17">
      <c r="A3915" s="214" t="s">
        <v>3816</v>
      </c>
      <c r="B3915" s="135"/>
      <c r="C3915" s="136" t="s">
        <v>5092</v>
      </c>
      <c r="D3915" s="220"/>
      <c r="E3915" s="136"/>
      <c r="F3915" s="136"/>
      <c r="G3915" s="134" t="s">
        <v>3001</v>
      </c>
      <c r="H3915" s="134" t="s">
        <v>3358</v>
      </c>
      <c r="I3915" s="134" t="s">
        <v>6111</v>
      </c>
      <c r="J3915" s="134" t="s">
        <v>7388</v>
      </c>
      <c r="K3915" s="135"/>
      <c r="L3915" s="135" t="str">
        <f t="shared" si="223"/>
        <v>Saiga spp.</v>
      </c>
      <c r="M3915" s="133">
        <f t="shared" si="222"/>
        <v>4.6989700043360187</v>
      </c>
      <c r="N3915" s="137">
        <v>50000</v>
      </c>
      <c r="O3915" s="180"/>
      <c r="P3915" s="110" t="s">
        <v>1042</v>
      </c>
    </row>
    <row r="3916" spans="1:17">
      <c r="A3916" s="214" t="s">
        <v>3816</v>
      </c>
      <c r="B3916" s="135"/>
      <c r="C3916" s="136" t="s">
        <v>5092</v>
      </c>
      <c r="D3916" s="220"/>
      <c r="E3916" s="136"/>
      <c r="F3916" s="136"/>
      <c r="G3916" s="134" t="s">
        <v>3001</v>
      </c>
      <c r="H3916" s="134" t="s">
        <v>3197</v>
      </c>
      <c r="I3916" s="134" t="s">
        <v>7382</v>
      </c>
      <c r="J3916" s="134" t="s">
        <v>7335</v>
      </c>
      <c r="K3916" s="135"/>
      <c r="L3916" s="135" t="str">
        <f t="shared" si="223"/>
        <v>Stockoceros conklingi</v>
      </c>
      <c r="M3916" s="133">
        <f t="shared" si="222"/>
        <v>4.7075701760979367</v>
      </c>
      <c r="N3916" s="137">
        <v>51000</v>
      </c>
      <c r="O3916" s="180"/>
      <c r="P3916" s="109">
        <v>27</v>
      </c>
    </row>
    <row r="3917" spans="1:17" ht="24" customHeight="1">
      <c r="A3917" s="214" t="s">
        <v>3816</v>
      </c>
      <c r="B3917" s="135"/>
      <c r="C3917" s="136" t="s">
        <v>5092</v>
      </c>
      <c r="D3917" s="220"/>
      <c r="E3917" s="136"/>
      <c r="F3917" s="136"/>
      <c r="G3917" s="134" t="s">
        <v>3001</v>
      </c>
      <c r="H3917" s="134" t="s">
        <v>3197</v>
      </c>
      <c r="I3917" s="134" t="s">
        <v>7382</v>
      </c>
      <c r="J3917" s="134" t="s">
        <v>7383</v>
      </c>
      <c r="K3917" s="135"/>
      <c r="L3917" s="135" t="str">
        <f t="shared" si="223"/>
        <v>Stockoceros onusrosagris</v>
      </c>
      <c r="M3917" s="133">
        <f t="shared" si="222"/>
        <v>4.7403626894942441</v>
      </c>
      <c r="N3917" s="137">
        <v>55000</v>
      </c>
      <c r="O3917" s="180"/>
      <c r="P3917" s="110">
        <v>27</v>
      </c>
    </row>
    <row r="3918" spans="1:17">
      <c r="A3918" s="214" t="s">
        <v>3816</v>
      </c>
      <c r="B3918" s="135"/>
      <c r="C3918" s="136" t="s">
        <v>5092</v>
      </c>
      <c r="D3918" s="220"/>
      <c r="E3918" s="136"/>
      <c r="F3918" s="136"/>
      <c r="G3918" s="134" t="s">
        <v>3001</v>
      </c>
      <c r="H3918" s="134" t="s">
        <v>3197</v>
      </c>
      <c r="I3918" s="134" t="s">
        <v>4997</v>
      </c>
      <c r="J3918" s="134" t="s">
        <v>4998</v>
      </c>
      <c r="K3918" s="135"/>
      <c r="L3918" s="135" t="str">
        <f t="shared" si="223"/>
        <v>Tetrameryx shuleri</v>
      </c>
      <c r="M3918" s="133">
        <f t="shared" si="222"/>
        <v>4.7781512503836439</v>
      </c>
      <c r="N3918" s="137">
        <v>60000</v>
      </c>
      <c r="O3918" s="180"/>
      <c r="P3918" s="110" t="s">
        <v>2187</v>
      </c>
    </row>
    <row r="3919" spans="1:17">
      <c r="A3919" s="214" t="s">
        <v>3816</v>
      </c>
      <c r="B3919" s="135"/>
      <c r="C3919" s="136" t="s">
        <v>5092</v>
      </c>
      <c r="D3919" s="220"/>
      <c r="E3919" s="136"/>
      <c r="F3919" s="136"/>
      <c r="G3919" s="134" t="s">
        <v>3001</v>
      </c>
      <c r="H3919" s="134" t="s">
        <v>3358</v>
      </c>
      <c r="I3919" s="134" t="s">
        <v>7460</v>
      </c>
      <c r="J3919" s="134" t="s">
        <v>6392</v>
      </c>
      <c r="K3919" s="135"/>
      <c r="L3919" s="135" t="str">
        <f t="shared" si="223"/>
        <v>Oreamnos harringtoni</v>
      </c>
      <c r="M3919" s="133">
        <f t="shared" si="222"/>
        <v>4.8750612633917001</v>
      </c>
      <c r="N3919" s="137">
        <v>75000</v>
      </c>
      <c r="O3919" s="180"/>
      <c r="P3919" s="110" t="s">
        <v>1077</v>
      </c>
    </row>
    <row r="3920" spans="1:17">
      <c r="A3920" s="214" t="s">
        <v>3816</v>
      </c>
      <c r="B3920" s="135"/>
      <c r="C3920" s="136" t="s">
        <v>5092</v>
      </c>
      <c r="D3920" s="220"/>
      <c r="E3920" s="136"/>
      <c r="F3920" s="136"/>
      <c r="G3920" s="134" t="s">
        <v>3001</v>
      </c>
      <c r="H3920" s="134" t="s">
        <v>4561</v>
      </c>
      <c r="I3920" s="134" t="s">
        <v>7268</v>
      </c>
      <c r="J3920" s="134" t="s">
        <v>4705</v>
      </c>
      <c r="K3920" s="135"/>
      <c r="L3920" s="135" t="str">
        <f t="shared" si="223"/>
        <v>Mylohyus nasutus</v>
      </c>
      <c r="M3920" s="133">
        <f t="shared" si="222"/>
        <v>4.8750612633917001</v>
      </c>
      <c r="N3920" s="137">
        <v>75000</v>
      </c>
      <c r="O3920" s="180"/>
      <c r="P3920" s="109">
        <v>30</v>
      </c>
    </row>
    <row r="3921" spans="1:17">
      <c r="A3921" s="214" t="s">
        <v>3816</v>
      </c>
      <c r="B3921" s="135"/>
      <c r="C3921" s="136" t="s">
        <v>5092</v>
      </c>
      <c r="D3921" s="220"/>
      <c r="E3921" s="136"/>
      <c r="F3921" s="136"/>
      <c r="G3921" s="134" t="s">
        <v>3001</v>
      </c>
      <c r="H3921" s="134" t="s">
        <v>7465</v>
      </c>
      <c r="I3921" s="134" t="s">
        <v>4271</v>
      </c>
      <c r="J3921" s="134" t="s">
        <v>2693</v>
      </c>
      <c r="K3921" s="135"/>
      <c r="L3921" s="135" t="str">
        <f t="shared" si="223"/>
        <v>Palaeolama mirifica</v>
      </c>
      <c r="M3921" s="377">
        <f t="shared" si="222"/>
        <v>5.3483048630481607</v>
      </c>
      <c r="N3921" s="378">
        <v>223000</v>
      </c>
      <c r="O3921" s="180"/>
      <c r="P3921" s="109" t="s">
        <v>1871</v>
      </c>
    </row>
    <row r="3922" spans="1:17">
      <c r="A3922" s="214" t="s">
        <v>3816</v>
      </c>
      <c r="B3922" s="135"/>
      <c r="C3922" s="136" t="s">
        <v>5092</v>
      </c>
      <c r="D3922" s="220"/>
      <c r="E3922" s="338"/>
      <c r="F3922" s="136"/>
      <c r="G3922" s="134" t="s">
        <v>3001</v>
      </c>
      <c r="H3922" s="134" t="s">
        <v>7465</v>
      </c>
      <c r="I3922" s="134" t="s">
        <v>4245</v>
      </c>
      <c r="J3922" s="134" t="s">
        <v>3593</v>
      </c>
      <c r="K3922" s="135"/>
      <c r="L3922" s="135" t="str">
        <f t="shared" si="223"/>
        <v>Hemiauchenia macrocephala</v>
      </c>
      <c r="M3922" s="133">
        <f t="shared" si="222"/>
        <v>5.0413926851582254</v>
      </c>
      <c r="N3922" s="137">
        <v>110000</v>
      </c>
      <c r="O3922" s="180"/>
      <c r="P3922" s="110" t="s">
        <v>1863</v>
      </c>
    </row>
    <row r="3923" spans="1:17" ht="15" customHeight="1">
      <c r="A3923" s="214" t="s">
        <v>3816</v>
      </c>
      <c r="B3923" s="135"/>
      <c r="C3923" s="136" t="s">
        <v>5092</v>
      </c>
      <c r="D3923" s="220"/>
      <c r="E3923" s="136"/>
      <c r="F3923" s="136"/>
      <c r="G3923" s="134" t="s">
        <v>3001</v>
      </c>
      <c r="H3923" s="134" t="s">
        <v>4561</v>
      </c>
      <c r="I3923" s="134" t="s">
        <v>7269</v>
      </c>
      <c r="J3923" s="134" t="s">
        <v>7270</v>
      </c>
      <c r="K3923" s="135"/>
      <c r="L3923" s="135" t="str">
        <f t="shared" si="223"/>
        <v>Platygonus compressus</v>
      </c>
      <c r="M3923" s="377">
        <f t="shared" si="222"/>
        <v>5.1335389083702179</v>
      </c>
      <c r="N3923" s="378">
        <v>136000</v>
      </c>
      <c r="O3923" s="180"/>
      <c r="P3923" s="110" t="s">
        <v>1078</v>
      </c>
    </row>
    <row r="3924" spans="1:17" ht="25.5">
      <c r="A3924" s="214" t="s">
        <v>3816</v>
      </c>
      <c r="B3924" s="135"/>
      <c r="C3924" s="136" t="s">
        <v>5092</v>
      </c>
      <c r="D3924" s="220"/>
      <c r="E3924" s="136"/>
      <c r="F3924" s="136"/>
      <c r="G3924" s="134" t="s">
        <v>3001</v>
      </c>
      <c r="H3924" s="134" t="s">
        <v>3905</v>
      </c>
      <c r="I3924" s="379" t="s">
        <v>3906</v>
      </c>
      <c r="J3924" s="379" t="s">
        <v>8466</v>
      </c>
      <c r="K3924" s="135"/>
      <c r="L3924" s="135" t="str">
        <f t="shared" si="223"/>
        <v>Cervus whitneyi</v>
      </c>
      <c r="M3924" s="133">
        <f t="shared" si="222"/>
        <v>5.1972805581256196</v>
      </c>
      <c r="N3924" s="137">
        <v>157500</v>
      </c>
      <c r="O3924" s="180" t="s">
        <v>8465</v>
      </c>
      <c r="P3924" s="110">
        <v>1</v>
      </c>
    </row>
    <row r="3925" spans="1:17">
      <c r="A3925" s="134" t="s">
        <v>3816</v>
      </c>
      <c r="B3925" s="135"/>
      <c r="C3925" s="136" t="s">
        <v>5092</v>
      </c>
      <c r="D3925" s="220"/>
      <c r="E3925" s="136"/>
      <c r="F3925" s="136"/>
      <c r="G3925" s="134" t="s">
        <v>3001</v>
      </c>
      <c r="H3925" s="134" t="s">
        <v>3905</v>
      </c>
      <c r="I3925" s="134" t="s">
        <v>2344</v>
      </c>
      <c r="J3925" s="134" t="s">
        <v>2345</v>
      </c>
      <c r="K3925" s="135"/>
      <c r="L3925" s="135" t="str">
        <f t="shared" si="223"/>
        <v>Navahoceros fricki</v>
      </c>
      <c r="M3925" s="133">
        <f t="shared" si="222"/>
        <v>5.3979400086720375</v>
      </c>
      <c r="N3925" s="137">
        <v>250000</v>
      </c>
      <c r="O3925" s="180"/>
      <c r="P3925" s="110" t="s">
        <v>1860</v>
      </c>
    </row>
    <row r="3926" spans="1:17">
      <c r="A3926" s="214" t="s">
        <v>3816</v>
      </c>
      <c r="B3926" s="135"/>
      <c r="C3926" s="136" t="s">
        <v>5092</v>
      </c>
      <c r="D3926" s="220"/>
      <c r="E3926" s="136"/>
      <c r="F3926" s="136"/>
      <c r="G3926" s="134" t="s">
        <v>3001</v>
      </c>
      <c r="H3926" s="134" t="s">
        <v>3358</v>
      </c>
      <c r="I3926" s="134" t="s">
        <v>7420</v>
      </c>
      <c r="J3926" s="134" t="s">
        <v>4565</v>
      </c>
      <c r="K3926" s="135"/>
      <c r="L3926" s="135" t="str">
        <f t="shared" si="223"/>
        <v>Bootherium bombifrons</v>
      </c>
      <c r="M3926" s="377">
        <f t="shared" si="222"/>
        <v>5.6263403673750423</v>
      </c>
      <c r="N3926" s="378">
        <v>423000</v>
      </c>
      <c r="O3926" s="180"/>
      <c r="P3926" s="110" t="s">
        <v>4995</v>
      </c>
    </row>
    <row r="3927" spans="1:17">
      <c r="A3927" s="214" t="s">
        <v>3816</v>
      </c>
      <c r="B3927" s="135"/>
      <c r="C3927" s="136" t="s">
        <v>5092</v>
      </c>
      <c r="D3927" s="220"/>
      <c r="E3927" s="136"/>
      <c r="F3927" s="136"/>
      <c r="G3927" s="134" t="s">
        <v>3001</v>
      </c>
      <c r="H3927" s="134" t="s">
        <v>3358</v>
      </c>
      <c r="I3927" s="134" t="s">
        <v>4244</v>
      </c>
      <c r="J3927" s="134" t="s">
        <v>4994</v>
      </c>
      <c r="K3927" s="135"/>
      <c r="L3927" s="135" t="str">
        <f t="shared" si="223"/>
        <v>Euceratherium collinum</v>
      </c>
      <c r="M3927" s="133">
        <f t="shared" si="222"/>
        <v>5.653212513775344</v>
      </c>
      <c r="N3927" s="137">
        <v>450000</v>
      </c>
      <c r="O3927" s="180"/>
      <c r="P3927" s="110" t="s">
        <v>1858</v>
      </c>
    </row>
    <row r="3928" spans="1:17">
      <c r="A3928" s="214" t="s">
        <v>3816</v>
      </c>
      <c r="B3928" s="135"/>
      <c r="C3928" s="136" t="s">
        <v>5092</v>
      </c>
      <c r="D3928" s="220"/>
      <c r="E3928" s="136"/>
      <c r="F3928" s="136"/>
      <c r="G3928" s="134" t="s">
        <v>3001</v>
      </c>
      <c r="H3928" s="134" t="s">
        <v>3905</v>
      </c>
      <c r="I3928" s="134" t="s">
        <v>2524</v>
      </c>
      <c r="J3928" s="134" t="s">
        <v>5613</v>
      </c>
      <c r="K3928" s="135"/>
      <c r="L3928" s="135" t="str">
        <f t="shared" si="223"/>
        <v>Cervalces scotti</v>
      </c>
      <c r="M3928" s="133">
        <f t="shared" si="222"/>
        <v>5.8007170782823847</v>
      </c>
      <c r="N3928" s="137">
        <v>632000</v>
      </c>
      <c r="O3928" s="180"/>
      <c r="P3928" s="110" t="s">
        <v>4995</v>
      </c>
    </row>
    <row r="3929" spans="1:17" ht="15" customHeight="1">
      <c r="A3929" s="214" t="s">
        <v>3816</v>
      </c>
      <c r="B3929" s="135"/>
      <c r="C3929" s="136" t="s">
        <v>5092</v>
      </c>
      <c r="D3929" s="220"/>
      <c r="E3929" s="136"/>
      <c r="F3929" s="136"/>
      <c r="G3929" s="134" t="s">
        <v>3001</v>
      </c>
      <c r="H3929" s="134" t="s">
        <v>7465</v>
      </c>
      <c r="I3929" s="134" t="s">
        <v>7348</v>
      </c>
      <c r="J3929" s="134" t="s">
        <v>4237</v>
      </c>
      <c r="K3929" s="135"/>
      <c r="L3929" s="135" t="str">
        <f t="shared" si="223"/>
        <v>Camelops huerfanensis</v>
      </c>
      <c r="M3929" s="133">
        <f t="shared" si="222"/>
        <v>5.8450980400142569</v>
      </c>
      <c r="N3929" s="137">
        <v>700000</v>
      </c>
      <c r="O3929" s="180"/>
      <c r="P3929" s="109">
        <v>25</v>
      </c>
    </row>
    <row r="3930" spans="1:17">
      <c r="A3930" s="214" t="s">
        <v>3816</v>
      </c>
      <c r="B3930" s="135"/>
      <c r="C3930" s="136" t="s">
        <v>5092</v>
      </c>
      <c r="D3930" s="220"/>
      <c r="E3930" s="136"/>
      <c r="F3930" s="136"/>
      <c r="G3930" s="134" t="s">
        <v>3001</v>
      </c>
      <c r="H3930" s="134" t="s">
        <v>3905</v>
      </c>
      <c r="I3930" s="134" t="s">
        <v>4317</v>
      </c>
      <c r="J3930" s="134" t="s">
        <v>4464</v>
      </c>
      <c r="K3930" s="135"/>
      <c r="L3930" s="135" t="str">
        <f t="shared" si="223"/>
        <v>Alces latifrons</v>
      </c>
      <c r="M3930" s="133">
        <f t="shared" si="222"/>
        <v>5.9294189257142929</v>
      </c>
      <c r="N3930" s="137">
        <v>850000</v>
      </c>
      <c r="O3930" s="180"/>
      <c r="P3930" s="110" t="s">
        <v>1042</v>
      </c>
    </row>
    <row r="3931" spans="1:17">
      <c r="A3931" s="214" t="s">
        <v>3816</v>
      </c>
      <c r="B3931" s="135"/>
      <c r="C3931" s="136" t="s">
        <v>5092</v>
      </c>
      <c r="D3931" s="220"/>
      <c r="E3931" s="136"/>
      <c r="F3931" s="136"/>
      <c r="G3931" s="134" t="s">
        <v>3001</v>
      </c>
      <c r="H3931" s="134" t="s">
        <v>3358</v>
      </c>
      <c r="I3931" s="134" t="s">
        <v>7458</v>
      </c>
      <c r="J3931" s="134" t="s">
        <v>4464</v>
      </c>
      <c r="K3931" s="135"/>
      <c r="L3931" s="135" t="str">
        <f t="shared" si="223"/>
        <v>Bison latifrons</v>
      </c>
      <c r="M3931" s="133">
        <f t="shared" si="222"/>
        <v>5.9542425094393252</v>
      </c>
      <c r="N3931" s="137">
        <v>900000</v>
      </c>
      <c r="O3931" s="180"/>
      <c r="P3931" s="110">
        <v>58</v>
      </c>
    </row>
    <row r="3932" spans="1:17">
      <c r="A3932" s="214" t="s">
        <v>3816</v>
      </c>
      <c r="B3932" s="135"/>
      <c r="C3932" s="136" t="s">
        <v>5092</v>
      </c>
      <c r="D3932" s="220"/>
      <c r="E3932" s="136"/>
      <c r="F3932" s="136"/>
      <c r="G3932" s="134" t="s">
        <v>3001</v>
      </c>
      <c r="H3932" s="134" t="s">
        <v>3358</v>
      </c>
      <c r="I3932" s="134" t="s">
        <v>7458</v>
      </c>
      <c r="J3932" s="134" t="s">
        <v>2219</v>
      </c>
      <c r="K3932" s="135"/>
      <c r="L3932" s="135" t="str">
        <f t="shared" si="223"/>
        <v>Bison priscus</v>
      </c>
      <c r="M3932" s="133">
        <f t="shared" si="222"/>
        <v>5.9542425094393252</v>
      </c>
      <c r="N3932" s="137">
        <v>900000</v>
      </c>
      <c r="O3932" s="180"/>
      <c r="P3932" s="110" t="s">
        <v>1143</v>
      </c>
    </row>
    <row r="3933" spans="1:17" ht="15" customHeight="1">
      <c r="A3933" s="214" t="s">
        <v>3816</v>
      </c>
      <c r="B3933" s="135"/>
      <c r="C3933" s="136" t="s">
        <v>5092</v>
      </c>
      <c r="D3933" s="220"/>
      <c r="E3933" s="136"/>
      <c r="F3933" s="136"/>
      <c r="G3933" s="134" t="s">
        <v>3001</v>
      </c>
      <c r="H3933" s="134" t="s">
        <v>7465</v>
      </c>
      <c r="I3933" s="134" t="s">
        <v>7348</v>
      </c>
      <c r="J3933" s="134" t="s">
        <v>4238</v>
      </c>
      <c r="K3933" s="135"/>
      <c r="L3933" s="135" t="str">
        <f t="shared" si="223"/>
        <v>Camelops hesternus</v>
      </c>
      <c r="M3933" s="133">
        <f t="shared" si="222"/>
        <v>6.0413926851582254</v>
      </c>
      <c r="N3933" s="137">
        <v>1100000</v>
      </c>
      <c r="O3933" s="180"/>
      <c r="P3933" s="110" t="s">
        <v>975</v>
      </c>
    </row>
    <row r="3934" spans="1:17" ht="15" customHeight="1">
      <c r="A3934" s="213" t="s">
        <v>3816</v>
      </c>
      <c r="B3934" s="130"/>
      <c r="C3934" s="118" t="s">
        <v>3817</v>
      </c>
      <c r="D3934" s="141"/>
      <c r="E3934" s="118"/>
      <c r="F3934" s="118"/>
      <c r="G3934" s="118" t="s">
        <v>3001</v>
      </c>
      <c r="H3934" s="118" t="s">
        <v>3197</v>
      </c>
      <c r="I3934" s="118" t="s">
        <v>3198</v>
      </c>
      <c r="J3934" s="118" t="s">
        <v>3355</v>
      </c>
      <c r="K3934" s="141"/>
      <c r="L3934" s="135" t="str">
        <f t="shared" si="223"/>
        <v>Antilocapra americana</v>
      </c>
      <c r="M3934" s="133">
        <f t="shared" si="222"/>
        <v>4.6635400000000011</v>
      </c>
      <c r="N3934" s="133">
        <v>46082.921067455376</v>
      </c>
      <c r="O3934" s="179" t="s">
        <v>3356</v>
      </c>
      <c r="P3934" s="108">
        <v>60</v>
      </c>
    </row>
    <row r="3935" spans="1:17">
      <c r="A3935" s="213" t="s">
        <v>3816</v>
      </c>
      <c r="B3935" s="130"/>
      <c r="C3935" s="118" t="s">
        <v>3817</v>
      </c>
      <c r="D3935" s="141"/>
      <c r="E3935" s="118"/>
      <c r="F3935" s="118"/>
      <c r="G3935" s="118" t="s">
        <v>3001</v>
      </c>
      <c r="H3935" s="118" t="s">
        <v>3358</v>
      </c>
      <c r="I3935" s="118" t="s">
        <v>7458</v>
      </c>
      <c r="J3935" s="118" t="s">
        <v>7459</v>
      </c>
      <c r="K3935" s="285"/>
      <c r="L3935" s="135" t="str">
        <f t="shared" si="223"/>
        <v>Bison bison</v>
      </c>
      <c r="M3935" s="133">
        <f t="shared" si="222"/>
        <v>5.7628700000000013</v>
      </c>
      <c r="N3935" s="133">
        <v>579255.2784790505</v>
      </c>
      <c r="O3935" s="179" t="s">
        <v>3356</v>
      </c>
      <c r="P3935" s="111">
        <v>60</v>
      </c>
      <c r="Q3935" s="90" t="s">
        <v>6642</v>
      </c>
    </row>
    <row r="3936" spans="1:17">
      <c r="A3936" s="213" t="s">
        <v>3816</v>
      </c>
      <c r="B3936" s="130"/>
      <c r="C3936" s="118" t="s">
        <v>3817</v>
      </c>
      <c r="D3936" s="141"/>
      <c r="E3936" s="118"/>
      <c r="F3936" s="118"/>
      <c r="G3936" s="118" t="s">
        <v>3001</v>
      </c>
      <c r="H3936" s="118" t="s">
        <v>3358</v>
      </c>
      <c r="I3936" s="118" t="s">
        <v>7460</v>
      </c>
      <c r="J3936" s="118" t="s">
        <v>7461</v>
      </c>
      <c r="K3936" s="141"/>
      <c r="L3936" s="135" t="str">
        <f t="shared" si="223"/>
        <v>Oreamnos americanus</v>
      </c>
      <c r="M3936" s="133">
        <f t="shared" si="222"/>
        <v>4.8603399999999999</v>
      </c>
      <c r="N3936" s="133">
        <v>72500.332778657481</v>
      </c>
      <c r="O3936" s="179" t="s">
        <v>3356</v>
      </c>
      <c r="P3936" s="111">
        <v>60</v>
      </c>
    </row>
    <row r="3937" spans="1:17">
      <c r="A3937" s="213" t="s">
        <v>3816</v>
      </c>
      <c r="B3937" s="130"/>
      <c r="C3937" s="118" t="s">
        <v>3817</v>
      </c>
      <c r="D3937" s="141"/>
      <c r="E3937" s="118"/>
      <c r="F3937" s="118"/>
      <c r="G3937" s="118" t="s">
        <v>3001</v>
      </c>
      <c r="H3937" s="118" t="s">
        <v>3358</v>
      </c>
      <c r="I3937" s="118" t="s">
        <v>7462</v>
      </c>
      <c r="J3937" s="118" t="s">
        <v>7233</v>
      </c>
      <c r="K3937" s="141"/>
      <c r="L3937" s="135" t="str">
        <f t="shared" si="223"/>
        <v>Ovibos moschatus</v>
      </c>
      <c r="M3937" s="133">
        <f t="shared" si="222"/>
        <v>5.5664400000000009</v>
      </c>
      <c r="N3937" s="133">
        <v>368502.12788516423</v>
      </c>
      <c r="O3937" s="183"/>
      <c r="P3937" s="108">
        <v>60</v>
      </c>
    </row>
    <row r="3938" spans="1:17">
      <c r="A3938" s="213" t="s">
        <v>3816</v>
      </c>
      <c r="B3938" s="130"/>
      <c r="C3938" s="118" t="s">
        <v>3817</v>
      </c>
      <c r="D3938" s="141"/>
      <c r="E3938" s="118"/>
      <c r="F3938" s="118"/>
      <c r="G3938" s="118" t="s">
        <v>3001</v>
      </c>
      <c r="H3938" s="118" t="s">
        <v>3358</v>
      </c>
      <c r="I3938" s="118" t="s">
        <v>4120</v>
      </c>
      <c r="J3938" s="118" t="s">
        <v>7464</v>
      </c>
      <c r="K3938" s="141"/>
      <c r="L3938" s="135" t="str">
        <f t="shared" si="223"/>
        <v>Ovis dalli</v>
      </c>
      <c r="M3938" s="133">
        <f t="shared" si="222"/>
        <v>4.745470000000001</v>
      </c>
      <c r="N3938" s="133">
        <v>55650.619084470993</v>
      </c>
      <c r="O3938" s="179" t="s">
        <v>3356</v>
      </c>
      <c r="P3938" s="108">
        <v>60</v>
      </c>
    </row>
    <row r="3939" spans="1:17" ht="12" customHeight="1">
      <c r="A3939" s="213" t="s">
        <v>3816</v>
      </c>
      <c r="B3939" s="130"/>
      <c r="C3939" s="118" t="s">
        <v>3817</v>
      </c>
      <c r="D3939" s="141"/>
      <c r="E3939" s="118"/>
      <c r="F3939" s="118"/>
      <c r="G3939" s="118" t="s">
        <v>3001</v>
      </c>
      <c r="H3939" s="118" t="s">
        <v>3358</v>
      </c>
      <c r="I3939" s="118" t="s">
        <v>4120</v>
      </c>
      <c r="J3939" s="118" t="s">
        <v>4121</v>
      </c>
      <c r="K3939" s="141"/>
      <c r="L3939" s="135" t="str">
        <f t="shared" si="223"/>
        <v>Ovis canadensis</v>
      </c>
      <c r="M3939" s="133">
        <f t="shared" si="222"/>
        <v>4.8730000000000011</v>
      </c>
      <c r="N3939" s="133">
        <v>74644.875841006782</v>
      </c>
      <c r="O3939" s="179" t="s">
        <v>6984</v>
      </c>
      <c r="P3939" s="111">
        <v>60</v>
      </c>
      <c r="Q3939" s="88" t="s">
        <v>6642</v>
      </c>
    </row>
    <row r="3940" spans="1:17" ht="24" customHeight="1">
      <c r="A3940" s="213" t="s">
        <v>3816</v>
      </c>
      <c r="B3940" s="130"/>
      <c r="C3940" s="118" t="s">
        <v>3817</v>
      </c>
      <c r="D3940" s="141"/>
      <c r="E3940" s="118"/>
      <c r="F3940" s="118"/>
      <c r="G3940" s="118" t="s">
        <v>3001</v>
      </c>
      <c r="H3940" s="118" t="s">
        <v>3905</v>
      </c>
      <c r="I3940" s="118" t="s">
        <v>4317</v>
      </c>
      <c r="J3940" s="118" t="s">
        <v>4332</v>
      </c>
      <c r="K3940" s="141"/>
      <c r="L3940" s="135" t="str">
        <f t="shared" si="223"/>
        <v>Alces alces</v>
      </c>
      <c r="M3940" s="133">
        <f t="shared" si="222"/>
        <v>5.5550900000000007</v>
      </c>
      <c r="N3940" s="133">
        <v>358996.32269922015</v>
      </c>
      <c r="O3940" s="179" t="s">
        <v>3356</v>
      </c>
      <c r="P3940" s="108">
        <v>60</v>
      </c>
      <c r="Q3940" s="88"/>
    </row>
    <row r="3941" spans="1:17">
      <c r="A3941" s="216" t="s">
        <v>3816</v>
      </c>
      <c r="B3941" s="138"/>
      <c r="C3941" s="139" t="s">
        <v>3817</v>
      </c>
      <c r="D3941" s="222"/>
      <c r="E3941" s="139"/>
      <c r="F3941" s="139"/>
      <c r="G3941" s="139" t="s">
        <v>3001</v>
      </c>
      <c r="H3941" s="139" t="s">
        <v>3905</v>
      </c>
      <c r="I3941" s="139" t="s">
        <v>3906</v>
      </c>
      <c r="J3941" s="139" t="s">
        <v>3863</v>
      </c>
      <c r="K3941" s="222"/>
      <c r="L3941" s="135" t="str">
        <f t="shared" si="223"/>
        <v>Cervus elaphus</v>
      </c>
      <c r="M3941" s="133">
        <f t="shared" si="222"/>
        <v>5.3379600000000007</v>
      </c>
      <c r="N3941" s="140">
        <v>217750.92071073258</v>
      </c>
      <c r="O3941" s="185"/>
      <c r="P3941" s="113">
        <v>60</v>
      </c>
    </row>
    <row r="3942" spans="1:17">
      <c r="A3942" s="213" t="s">
        <v>3816</v>
      </c>
      <c r="B3942" s="130"/>
      <c r="C3942" s="118" t="s">
        <v>3817</v>
      </c>
      <c r="D3942" s="141"/>
      <c r="E3942" s="118"/>
      <c r="F3942" s="118"/>
      <c r="G3942" s="118" t="s">
        <v>3001</v>
      </c>
      <c r="H3942" s="118" t="s">
        <v>3905</v>
      </c>
      <c r="I3942" s="118" t="s">
        <v>4333</v>
      </c>
      <c r="J3942" s="118" t="s">
        <v>3355</v>
      </c>
      <c r="K3942" s="141"/>
      <c r="L3942" s="135" t="str">
        <f t="shared" si="223"/>
        <v>Mazama americana</v>
      </c>
      <c r="M3942" s="133">
        <f t="shared" si="222"/>
        <v>4.3579300000000005</v>
      </c>
      <c r="N3942" s="133">
        <v>22799.7455390334</v>
      </c>
      <c r="O3942" s="179" t="s">
        <v>3356</v>
      </c>
      <c r="P3942" s="108">
        <v>60</v>
      </c>
      <c r="Q3942" s="90" t="s">
        <v>6987</v>
      </c>
    </row>
    <row r="3943" spans="1:17">
      <c r="A3943" s="213" t="s">
        <v>3816</v>
      </c>
      <c r="B3943" s="130"/>
      <c r="C3943" s="118" t="s">
        <v>3817</v>
      </c>
      <c r="D3943" s="141"/>
      <c r="E3943" s="118"/>
      <c r="F3943" s="118"/>
      <c r="G3943" s="118" t="s">
        <v>3001</v>
      </c>
      <c r="H3943" s="118" t="s">
        <v>3905</v>
      </c>
      <c r="I3943" s="118" t="s">
        <v>4334</v>
      </c>
      <c r="J3943" s="118" t="s">
        <v>4335</v>
      </c>
      <c r="K3943" s="141"/>
      <c r="L3943" s="135" t="str">
        <f t="shared" si="223"/>
        <v>Odocoileus hemionus</v>
      </c>
      <c r="M3943" s="133">
        <f t="shared" si="222"/>
        <v>4.7340999999999998</v>
      </c>
      <c r="N3943" s="133">
        <v>54212.570508795718</v>
      </c>
      <c r="O3943" s="179" t="s">
        <v>3356</v>
      </c>
      <c r="P3943" s="111">
        <v>60</v>
      </c>
    </row>
    <row r="3944" spans="1:17">
      <c r="A3944" s="213" t="s">
        <v>3816</v>
      </c>
      <c r="B3944" s="130"/>
      <c r="C3944" s="118" t="s">
        <v>3817</v>
      </c>
      <c r="D3944" s="141"/>
      <c r="E3944" s="118"/>
      <c r="F3944" s="118"/>
      <c r="G3944" s="118" t="s">
        <v>3001</v>
      </c>
      <c r="H3944" s="118" t="s">
        <v>3905</v>
      </c>
      <c r="I3944" s="118" t="s">
        <v>4334</v>
      </c>
      <c r="J3944" s="118" t="s">
        <v>4114</v>
      </c>
      <c r="K3944" s="285" t="s">
        <v>8327</v>
      </c>
      <c r="L3944" s="135" t="str">
        <f t="shared" si="223"/>
        <v>Odocoileus virginianus</v>
      </c>
      <c r="M3944" s="133">
        <f t="shared" si="222"/>
        <v>4.7443600000000012</v>
      </c>
      <c r="N3944" s="133">
        <v>55508.564980303127</v>
      </c>
      <c r="O3944" s="179" t="s">
        <v>3356</v>
      </c>
      <c r="P3944" s="111">
        <v>60</v>
      </c>
    </row>
    <row r="3945" spans="1:17">
      <c r="A3945" s="213" t="s">
        <v>3816</v>
      </c>
      <c r="B3945" s="130"/>
      <c r="C3945" s="118" t="s">
        <v>3817</v>
      </c>
      <c r="D3945" s="141"/>
      <c r="E3945" s="118"/>
      <c r="F3945" s="118"/>
      <c r="G3945" s="118" t="s">
        <v>3001</v>
      </c>
      <c r="H3945" s="118" t="s">
        <v>3905</v>
      </c>
      <c r="I3945" s="118" t="s">
        <v>4115</v>
      </c>
      <c r="J3945" s="118" t="s">
        <v>3676</v>
      </c>
      <c r="K3945" s="285" t="s">
        <v>8326</v>
      </c>
      <c r="L3945" s="135" t="str">
        <f t="shared" si="223"/>
        <v>Rangifer tarandus</v>
      </c>
      <c r="M3945" s="133">
        <f t="shared" si="222"/>
        <v>4.9346699999999997</v>
      </c>
      <c r="N3945" s="133">
        <v>86033.977192547318</v>
      </c>
      <c r="O3945" s="179" t="s">
        <v>3356</v>
      </c>
      <c r="P3945" s="108">
        <v>60</v>
      </c>
    </row>
    <row r="3946" spans="1:17">
      <c r="A3946" s="118" t="s">
        <v>3816</v>
      </c>
      <c r="B3946" s="130"/>
      <c r="C3946" s="118" t="s">
        <v>3817</v>
      </c>
      <c r="D3946" s="141"/>
      <c r="E3946" s="118"/>
      <c r="F3946" s="118"/>
      <c r="G3946" s="118" t="s">
        <v>3001</v>
      </c>
      <c r="H3946" s="118" t="s">
        <v>4561</v>
      </c>
      <c r="I3946" s="118" t="s">
        <v>3949</v>
      </c>
      <c r="J3946" s="118" t="s">
        <v>3950</v>
      </c>
      <c r="K3946" s="141"/>
      <c r="L3946" s="135" t="str">
        <f t="shared" si="223"/>
        <v>Pecari tajacu</v>
      </c>
      <c r="M3946" s="133">
        <f t="shared" si="222"/>
        <v>4.327700000000001</v>
      </c>
      <c r="N3946" s="133">
        <v>21266.694872358308</v>
      </c>
      <c r="O3946" s="179" t="s">
        <v>3356</v>
      </c>
      <c r="P3946" s="108">
        <v>60</v>
      </c>
    </row>
    <row r="3947" spans="1:17" ht="15" customHeight="1">
      <c r="A3947" s="213" t="s">
        <v>3816</v>
      </c>
      <c r="B3947" s="130"/>
      <c r="C3947" s="118" t="s">
        <v>3817</v>
      </c>
      <c r="D3947" s="141"/>
      <c r="E3947" s="118"/>
      <c r="F3947" s="118"/>
      <c r="G3947" s="118" t="s">
        <v>3001</v>
      </c>
      <c r="H3947" s="118" t="s">
        <v>4561</v>
      </c>
      <c r="I3947" s="118" t="s">
        <v>4562</v>
      </c>
      <c r="J3947" s="118" t="s">
        <v>4563</v>
      </c>
      <c r="K3947" s="141"/>
      <c r="L3947" s="135" t="str">
        <f t="shared" si="223"/>
        <v>Tayassu pecari</v>
      </c>
      <c r="M3947" s="133">
        <f t="shared" si="222"/>
        <v>4.5083100000000007</v>
      </c>
      <c r="N3947" s="133">
        <v>32233.688154104955</v>
      </c>
      <c r="O3947" s="179" t="s">
        <v>3356</v>
      </c>
      <c r="P3947" s="111">
        <v>60</v>
      </c>
    </row>
    <row r="3948" spans="1:17" ht="38.25">
      <c r="A3948" s="213" t="s">
        <v>3816</v>
      </c>
      <c r="B3948" s="141" t="s">
        <v>2277</v>
      </c>
      <c r="C3948" s="118" t="s">
        <v>3931</v>
      </c>
      <c r="D3948" s="141">
        <v>1952</v>
      </c>
      <c r="E3948" s="118"/>
      <c r="F3948" s="118"/>
      <c r="G3948" s="118" t="s">
        <v>3954</v>
      </c>
      <c r="H3948" s="118" t="s">
        <v>4613</v>
      </c>
      <c r="I3948" s="118" t="s">
        <v>7918</v>
      </c>
      <c r="J3948" s="118" t="s">
        <v>4081</v>
      </c>
      <c r="K3948" s="141" t="s">
        <v>95</v>
      </c>
      <c r="L3948" s="135" t="str">
        <f t="shared" si="223"/>
        <v>Monachus tropicalis</v>
      </c>
      <c r="M3948" s="133">
        <f t="shared" si="222"/>
        <v>5.3010299956639813</v>
      </c>
      <c r="N3948" s="133">
        <v>200000</v>
      </c>
      <c r="O3948" s="179" t="s">
        <v>6773</v>
      </c>
      <c r="P3948" s="108">
        <v>141</v>
      </c>
      <c r="Q3948" s="80" t="s">
        <v>6907</v>
      </c>
    </row>
    <row r="3949" spans="1:17">
      <c r="A3949" s="213"/>
      <c r="B3949" s="141"/>
      <c r="C3949" s="335" t="s">
        <v>5092</v>
      </c>
      <c r="D3949" s="141"/>
      <c r="E3949" s="118"/>
      <c r="F3949" s="118"/>
      <c r="G3949" s="302" t="s">
        <v>3954</v>
      </c>
      <c r="H3949" s="302" t="s">
        <v>3955</v>
      </c>
      <c r="I3949" s="338" t="s">
        <v>8376</v>
      </c>
      <c r="J3949" s="338" t="s">
        <v>8377</v>
      </c>
      <c r="K3949" s="302" t="s">
        <v>8378</v>
      </c>
      <c r="L3949" s="135" t="str">
        <f t="shared" si="223"/>
        <v xml:space="preserve">Miracinonyx   inexpectatus </v>
      </c>
      <c r="N3949" s="133"/>
      <c r="O3949" s="179"/>
      <c r="P3949" s="376" t="s">
        <v>8463</v>
      </c>
      <c r="Q3949" s="80"/>
    </row>
    <row r="3950" spans="1:17">
      <c r="A3950" s="214" t="s">
        <v>3816</v>
      </c>
      <c r="B3950" s="135"/>
      <c r="C3950" s="136" t="s">
        <v>5092</v>
      </c>
      <c r="D3950" s="220"/>
      <c r="E3950" s="136"/>
      <c r="F3950" s="136"/>
      <c r="G3950" s="134" t="s">
        <v>3954</v>
      </c>
      <c r="H3950" s="134" t="s">
        <v>4257</v>
      </c>
      <c r="I3950" s="134" t="s">
        <v>7258</v>
      </c>
      <c r="J3950" s="134" t="s">
        <v>7259</v>
      </c>
      <c r="K3950" s="135"/>
      <c r="L3950" s="135" t="str">
        <f t="shared" si="223"/>
        <v>Brachyprotoma  obtusata</v>
      </c>
      <c r="M3950" s="133">
        <f t="shared" si="222"/>
        <v>3.6532125137753435</v>
      </c>
      <c r="N3950" s="137">
        <v>4500</v>
      </c>
      <c r="O3950" s="180"/>
      <c r="P3950" s="109" t="s">
        <v>1042</v>
      </c>
    </row>
    <row r="3951" spans="1:17">
      <c r="A3951" s="214" t="s">
        <v>3816</v>
      </c>
      <c r="B3951" s="135"/>
      <c r="C3951" s="136" t="s">
        <v>5092</v>
      </c>
      <c r="D3951" s="220"/>
      <c r="E3951" s="136"/>
      <c r="F3951" s="136"/>
      <c r="G3951" s="134" t="s">
        <v>3954</v>
      </c>
      <c r="H3951" s="134" t="s">
        <v>7321</v>
      </c>
      <c r="I3951" s="134" t="s">
        <v>4839</v>
      </c>
      <c r="J3951" s="134" t="s">
        <v>7070</v>
      </c>
      <c r="K3951" s="135"/>
      <c r="L3951" s="135" t="str">
        <f t="shared" si="223"/>
        <v>Felis amnicola</v>
      </c>
      <c r="M3951" s="133">
        <f t="shared" si="222"/>
        <v>3.6989700043360187</v>
      </c>
      <c r="N3951" s="137">
        <v>5000</v>
      </c>
      <c r="O3951" s="180"/>
      <c r="P3951" s="109">
        <v>31</v>
      </c>
    </row>
    <row r="3952" spans="1:17">
      <c r="A3952" s="214" t="s">
        <v>3816</v>
      </c>
      <c r="B3952" s="135"/>
      <c r="C3952" s="136" t="s">
        <v>5092</v>
      </c>
      <c r="D3952" s="220"/>
      <c r="E3952" s="136"/>
      <c r="F3952" s="136"/>
      <c r="G3952" s="134" t="s">
        <v>3954</v>
      </c>
      <c r="H3952" s="134" t="s">
        <v>3955</v>
      </c>
      <c r="I3952" s="134" t="s">
        <v>5969</v>
      </c>
      <c r="J3952" s="134" t="s">
        <v>3092</v>
      </c>
      <c r="K3952" s="135"/>
      <c r="L3952" s="135" t="str">
        <f t="shared" si="223"/>
        <v>Cuon alpinus</v>
      </c>
      <c r="M3952" s="133">
        <f t="shared" si="222"/>
        <v>4.2304489213782741</v>
      </c>
      <c r="N3952" s="137">
        <v>17000</v>
      </c>
      <c r="O3952" s="180"/>
      <c r="P3952" s="109" t="s">
        <v>1042</v>
      </c>
    </row>
    <row r="3953" spans="1:19">
      <c r="A3953" s="214" t="s">
        <v>3816</v>
      </c>
      <c r="B3953" s="135"/>
      <c r="C3953" s="136" t="s">
        <v>5092</v>
      </c>
      <c r="D3953" s="220"/>
      <c r="E3953" s="136"/>
      <c r="F3953" s="136"/>
      <c r="G3953" s="134" t="s">
        <v>3954</v>
      </c>
      <c r="H3953" s="134" t="s">
        <v>3955</v>
      </c>
      <c r="I3953" s="134" t="s">
        <v>3956</v>
      </c>
      <c r="J3953" s="134" t="s">
        <v>7271</v>
      </c>
      <c r="K3953" s="135"/>
      <c r="L3953" s="135" t="str">
        <f t="shared" si="223"/>
        <v>Canis dirus</v>
      </c>
      <c r="M3953" s="133">
        <f t="shared" si="222"/>
        <v>4.8129133566428557</v>
      </c>
      <c r="N3953" s="137">
        <v>65000</v>
      </c>
      <c r="O3953" s="180"/>
      <c r="P3953" s="109" t="s">
        <v>976</v>
      </c>
    </row>
    <row r="3954" spans="1:19" ht="15" customHeight="1">
      <c r="A3954" s="214" t="s">
        <v>3816</v>
      </c>
      <c r="B3954" s="135"/>
      <c r="C3954" s="136" t="s">
        <v>5092</v>
      </c>
      <c r="D3954" s="220"/>
      <c r="E3954" s="136"/>
      <c r="F3954" s="136"/>
      <c r="G3954" s="134" t="s">
        <v>3954</v>
      </c>
      <c r="H3954" s="134" t="s">
        <v>7321</v>
      </c>
      <c r="I3954" s="134" t="s">
        <v>7068</v>
      </c>
      <c r="J3954" s="134" t="s">
        <v>7069</v>
      </c>
      <c r="K3954" s="135"/>
      <c r="L3954" s="135" t="str">
        <f t="shared" si="223"/>
        <v>Miracinonyx trumani</v>
      </c>
      <c r="M3954" s="133">
        <f t="shared" si="222"/>
        <v>4.9444826721501682</v>
      </c>
      <c r="N3954" s="137">
        <v>88000</v>
      </c>
      <c r="O3954" s="180"/>
      <c r="P3954" s="109">
        <v>31</v>
      </c>
    </row>
    <row r="3955" spans="1:19">
      <c r="A3955" s="214" t="s">
        <v>3816</v>
      </c>
      <c r="B3955" s="135"/>
      <c r="C3955" s="136" t="s">
        <v>5092</v>
      </c>
      <c r="D3955" s="220"/>
      <c r="E3955" s="136"/>
      <c r="F3955" s="136"/>
      <c r="G3955" s="134" t="s">
        <v>3954</v>
      </c>
      <c r="H3955" s="134" t="s">
        <v>7434</v>
      </c>
      <c r="I3955" s="134" t="s">
        <v>4906</v>
      </c>
      <c r="J3955" s="134" t="s">
        <v>2190</v>
      </c>
      <c r="K3955" s="135"/>
      <c r="L3955" s="135" t="str">
        <f t="shared" si="223"/>
        <v>Tremarctos floridanus</v>
      </c>
      <c r="M3955" s="133">
        <f t="shared" si="222"/>
        <v>5.1760912590556813</v>
      </c>
      <c r="N3955" s="137">
        <v>150000</v>
      </c>
      <c r="O3955" s="180"/>
      <c r="P3955" s="109" t="s">
        <v>248</v>
      </c>
    </row>
    <row r="3956" spans="1:19">
      <c r="A3956" s="214" t="s">
        <v>3816</v>
      </c>
      <c r="B3956" s="135"/>
      <c r="C3956" s="136" t="s">
        <v>5092</v>
      </c>
      <c r="D3956" s="220"/>
      <c r="E3956" s="136"/>
      <c r="F3956" s="136"/>
      <c r="G3956" s="134" t="s">
        <v>3954</v>
      </c>
      <c r="H3956" s="134" t="s">
        <v>7321</v>
      </c>
      <c r="I3956" s="134" t="s">
        <v>7116</v>
      </c>
      <c r="J3956" s="134" t="s">
        <v>7059</v>
      </c>
      <c r="K3956" s="135" t="s">
        <v>8474</v>
      </c>
      <c r="L3956" s="135" t="str">
        <f t="shared" si="223"/>
        <v>Homotherium serum</v>
      </c>
      <c r="M3956" s="133">
        <f t="shared" si="222"/>
        <v>5.2764618041732438</v>
      </c>
      <c r="N3956" s="137">
        <v>189000</v>
      </c>
      <c r="O3956" s="180"/>
      <c r="P3956" s="109">
        <v>35</v>
      </c>
    </row>
    <row r="3957" spans="1:19">
      <c r="A3957" s="214" t="s">
        <v>3816</v>
      </c>
      <c r="B3957" s="135"/>
      <c r="C3957" s="136" t="s">
        <v>5092</v>
      </c>
      <c r="D3957" s="220"/>
      <c r="E3957" s="136"/>
      <c r="F3957" s="136"/>
      <c r="G3957" s="134" t="s">
        <v>3954</v>
      </c>
      <c r="H3957" s="134" t="s">
        <v>7434</v>
      </c>
      <c r="I3957" s="134" t="s">
        <v>7261</v>
      </c>
      <c r="J3957" s="134" t="s">
        <v>7262</v>
      </c>
      <c r="L3957" s="135" t="str">
        <f t="shared" si="223"/>
        <v>Arctodus pristinus</v>
      </c>
      <c r="M3957" s="133">
        <f t="shared" si="222"/>
        <v>5.4771212547196626</v>
      </c>
      <c r="N3957" s="137">
        <v>300000</v>
      </c>
      <c r="O3957" s="180"/>
      <c r="P3957" s="109" t="s">
        <v>1044</v>
      </c>
    </row>
    <row r="3958" spans="1:19">
      <c r="A3958" s="214" t="s">
        <v>3816</v>
      </c>
      <c r="B3958" s="135"/>
      <c r="C3958" s="136" t="s">
        <v>5092</v>
      </c>
      <c r="D3958" s="220"/>
      <c r="E3958" s="136"/>
      <c r="F3958" s="136"/>
      <c r="G3958" s="134" t="s">
        <v>3954</v>
      </c>
      <c r="H3958" s="134" t="s">
        <v>7321</v>
      </c>
      <c r="I3958" s="134" t="s">
        <v>7266</v>
      </c>
      <c r="J3958" s="134" t="s">
        <v>7257</v>
      </c>
      <c r="K3958" s="135" t="s">
        <v>8476</v>
      </c>
      <c r="L3958" s="135" t="str">
        <f t="shared" si="223"/>
        <v>Smilodon fatalis</v>
      </c>
      <c r="M3958" s="133">
        <f t="shared" si="222"/>
        <v>5.6020599913279625</v>
      </c>
      <c r="N3958" s="137">
        <v>400000</v>
      </c>
      <c r="O3958" s="180"/>
      <c r="P3958" s="109">
        <v>31</v>
      </c>
    </row>
    <row r="3959" spans="1:19">
      <c r="A3959" s="214" t="s">
        <v>3816</v>
      </c>
      <c r="B3959" s="135"/>
      <c r="C3959" s="136" t="s">
        <v>5092</v>
      </c>
      <c r="D3959" s="220"/>
      <c r="E3959" s="136"/>
      <c r="F3959" s="136"/>
      <c r="G3959" s="134" t="s">
        <v>3954</v>
      </c>
      <c r="H3959" s="134" t="s">
        <v>7321</v>
      </c>
      <c r="I3959" s="134" t="s">
        <v>4860</v>
      </c>
      <c r="J3959" s="134" t="s">
        <v>7060</v>
      </c>
      <c r="K3959" s="135" t="s">
        <v>8477</v>
      </c>
      <c r="L3959" s="135" t="str">
        <f t="shared" si="223"/>
        <v>Panthera leo atrox</v>
      </c>
      <c r="M3959" s="133">
        <f t="shared" si="222"/>
        <v>5.6366884479532828</v>
      </c>
      <c r="N3959" s="137">
        <v>433200</v>
      </c>
      <c r="O3959" s="180"/>
      <c r="P3959" s="109">
        <v>31</v>
      </c>
    </row>
    <row r="3960" spans="1:19">
      <c r="A3960" s="214" t="s">
        <v>3816</v>
      </c>
      <c r="B3960" s="135"/>
      <c r="C3960" s="136" t="s">
        <v>5092</v>
      </c>
      <c r="D3960" s="220"/>
      <c r="E3960" s="136"/>
      <c r="F3960" s="136"/>
      <c r="G3960" s="134" t="s">
        <v>3954</v>
      </c>
      <c r="H3960" s="134" t="s">
        <v>7434</v>
      </c>
      <c r="I3960" s="134" t="s">
        <v>7261</v>
      </c>
      <c r="J3960" s="134" t="s">
        <v>8213</v>
      </c>
      <c r="K3960" s="135" t="s">
        <v>8475</v>
      </c>
      <c r="L3960" s="135" t="str">
        <f t="shared" si="223"/>
        <v>Arctodus simus</v>
      </c>
      <c r="M3960" s="133">
        <f t="shared" si="222"/>
        <v>5.8573324964312681</v>
      </c>
      <c r="N3960" s="137">
        <v>720000</v>
      </c>
      <c r="O3960" s="180"/>
      <c r="P3960" s="109" t="s">
        <v>1045</v>
      </c>
      <c r="S3960" s="83"/>
    </row>
    <row r="3961" spans="1:19">
      <c r="A3961" s="213" t="s">
        <v>3816</v>
      </c>
      <c r="B3961" s="130"/>
      <c r="C3961" s="121" t="s">
        <v>3817</v>
      </c>
      <c r="D3961" s="156"/>
      <c r="E3961" s="121"/>
      <c r="F3961" s="121"/>
      <c r="G3961" s="121" t="s">
        <v>3954</v>
      </c>
      <c r="H3961" s="121" t="s">
        <v>3955</v>
      </c>
      <c r="I3961" s="121" t="s">
        <v>2047</v>
      </c>
      <c r="J3961" s="121" t="s">
        <v>2048</v>
      </c>
      <c r="K3961" s="156"/>
      <c r="L3961" s="135" t="str">
        <f t="shared" si="223"/>
        <v>Alopex lagopus</v>
      </c>
      <c r="M3961" s="133">
        <f t="shared" ref="M3961:M4024" si="224">LOG(N3961)</f>
        <v>3.53782</v>
      </c>
      <c r="N3961" s="143">
        <v>3450.0071886717133</v>
      </c>
      <c r="O3961" s="179" t="s">
        <v>3356</v>
      </c>
      <c r="P3961" s="108">
        <v>60</v>
      </c>
    </row>
    <row r="3962" spans="1:19">
      <c r="A3962" s="213" t="s">
        <v>3816</v>
      </c>
      <c r="B3962" s="130"/>
      <c r="C3962" s="118" t="s">
        <v>3817</v>
      </c>
      <c r="D3962" s="141"/>
      <c r="E3962" s="118"/>
      <c r="F3962" s="118"/>
      <c r="G3962" s="118" t="s">
        <v>3954</v>
      </c>
      <c r="H3962" s="118" t="s">
        <v>3955</v>
      </c>
      <c r="I3962" s="118" t="s">
        <v>3956</v>
      </c>
      <c r="J3962" s="118" t="s">
        <v>4655</v>
      </c>
      <c r="K3962" s="285" t="s">
        <v>8478</v>
      </c>
      <c r="L3962" s="135" t="str">
        <f t="shared" si="223"/>
        <v>Canis latrans</v>
      </c>
      <c r="M3962" s="133">
        <f t="shared" si="224"/>
        <v>4.1273100000000005</v>
      </c>
      <c r="N3962" s="133">
        <v>13406.332918647711</v>
      </c>
      <c r="O3962" s="179" t="s">
        <v>3356</v>
      </c>
      <c r="P3962" s="108">
        <v>60</v>
      </c>
    </row>
    <row r="3963" spans="1:19">
      <c r="A3963" s="213" t="s">
        <v>3816</v>
      </c>
      <c r="B3963" s="130"/>
      <c r="C3963" s="118" t="s">
        <v>3817</v>
      </c>
      <c r="D3963" s="141"/>
      <c r="E3963" s="118"/>
      <c r="F3963" s="118"/>
      <c r="G3963" s="118" t="s">
        <v>3954</v>
      </c>
      <c r="H3963" s="118" t="s">
        <v>3955</v>
      </c>
      <c r="I3963" s="118" t="s">
        <v>3956</v>
      </c>
      <c r="J3963" s="118" t="s">
        <v>2329</v>
      </c>
      <c r="K3963" s="285" t="s">
        <v>8479</v>
      </c>
      <c r="L3963" s="135" t="str">
        <f t="shared" si="223"/>
        <v>Canis rufus</v>
      </c>
      <c r="M3963" s="133">
        <f t="shared" si="224"/>
        <v>4.3614100000000002</v>
      </c>
      <c r="N3963" s="133">
        <v>22983.173734904718</v>
      </c>
      <c r="O3963" s="179" t="s">
        <v>6778</v>
      </c>
      <c r="P3963" s="108">
        <v>60</v>
      </c>
      <c r="Q3963" s="90" t="s">
        <v>7071</v>
      </c>
    </row>
    <row r="3964" spans="1:19">
      <c r="A3964" s="213" t="s">
        <v>3816</v>
      </c>
      <c r="B3964" s="130"/>
      <c r="C3964" s="118" t="s">
        <v>3817</v>
      </c>
      <c r="D3964" s="141"/>
      <c r="E3964" s="118"/>
      <c r="F3964" s="118"/>
      <c r="G3964" s="118" t="s">
        <v>3954</v>
      </c>
      <c r="H3964" s="118" t="s">
        <v>3955</v>
      </c>
      <c r="I3964" s="118" t="s">
        <v>3956</v>
      </c>
      <c r="J3964" s="118" t="s">
        <v>4674</v>
      </c>
      <c r="K3964" s="285" t="s">
        <v>8480</v>
      </c>
      <c r="L3964" s="135" t="str">
        <f t="shared" si="223"/>
        <v>Canis lupus</v>
      </c>
      <c r="M3964" s="133">
        <f t="shared" si="224"/>
        <v>4.6309361190641916</v>
      </c>
      <c r="N3964" s="133">
        <v>42750</v>
      </c>
      <c r="O3964" s="188"/>
      <c r="P3964" s="111">
        <v>75</v>
      </c>
    </row>
    <row r="3965" spans="1:19" ht="38.25">
      <c r="A3965" s="213" t="s">
        <v>3816</v>
      </c>
      <c r="B3965" s="130" t="s">
        <v>2447</v>
      </c>
      <c r="C3965" s="118" t="s">
        <v>3817</v>
      </c>
      <c r="D3965" s="141"/>
      <c r="E3965" s="118"/>
      <c r="F3965" s="118"/>
      <c r="G3965" s="118" t="s">
        <v>3954</v>
      </c>
      <c r="H3965" s="118" t="s">
        <v>3955</v>
      </c>
      <c r="I3965" s="118" t="s">
        <v>2330</v>
      </c>
      <c r="J3965" s="118" t="s">
        <v>5770</v>
      </c>
      <c r="K3965" s="141"/>
      <c r="L3965" s="135" t="str">
        <f t="shared" si="223"/>
        <v>Urocyon littoralis</v>
      </c>
      <c r="M3965" s="133">
        <f t="shared" si="224"/>
        <v>3.2778383330020473</v>
      </c>
      <c r="N3965" s="133">
        <v>1896</v>
      </c>
      <c r="O3965" s="179" t="s">
        <v>6954</v>
      </c>
      <c r="P3965" s="108">
        <v>68</v>
      </c>
      <c r="Q3965" s="90" t="s">
        <v>6642</v>
      </c>
    </row>
    <row r="3966" spans="1:19">
      <c r="A3966" s="213" t="s">
        <v>3816</v>
      </c>
      <c r="B3966" s="130"/>
      <c r="C3966" s="118" t="s">
        <v>3817</v>
      </c>
      <c r="D3966" s="141"/>
      <c r="E3966" s="118"/>
      <c r="F3966" s="118"/>
      <c r="G3966" s="118" t="s">
        <v>3954</v>
      </c>
      <c r="H3966" s="118" t="s">
        <v>3955</v>
      </c>
      <c r="I3966" s="118" t="s">
        <v>2330</v>
      </c>
      <c r="J3966" s="118" t="s">
        <v>2331</v>
      </c>
      <c r="K3966" s="285" t="s">
        <v>8481</v>
      </c>
      <c r="L3966" s="135" t="str">
        <f t="shared" si="223"/>
        <v>Urocyon cinereoargenteus</v>
      </c>
      <c r="M3966" s="133">
        <f t="shared" si="224"/>
        <v>3.5836200000000002</v>
      </c>
      <c r="N3966" s="133">
        <v>3833.7165526970089</v>
      </c>
      <c r="O3966" s="179" t="s">
        <v>3356</v>
      </c>
      <c r="P3966" s="108">
        <v>60</v>
      </c>
    </row>
    <row r="3967" spans="1:19">
      <c r="A3967" s="118" t="s">
        <v>3816</v>
      </c>
      <c r="B3967" s="130"/>
      <c r="C3967" s="118" t="s">
        <v>3817</v>
      </c>
      <c r="D3967" s="141"/>
      <c r="E3967" s="118"/>
      <c r="F3967" s="118"/>
      <c r="G3967" s="118" t="s">
        <v>3954</v>
      </c>
      <c r="H3967" s="118" t="s">
        <v>3955</v>
      </c>
      <c r="I3967" s="118" t="s">
        <v>4544</v>
      </c>
      <c r="J3967" s="118" t="s">
        <v>2332</v>
      </c>
      <c r="K3967" s="285" t="s">
        <v>8473</v>
      </c>
      <c r="L3967" s="135" t="str">
        <f t="shared" si="223"/>
        <v>Vulpes velox</v>
      </c>
      <c r="M3967" s="133">
        <f t="shared" si="224"/>
        <v>3.3419300000000001</v>
      </c>
      <c r="N3967" s="133">
        <v>2197.505648176154</v>
      </c>
      <c r="O3967" s="179" t="s">
        <v>6773</v>
      </c>
      <c r="P3967" s="108">
        <v>60</v>
      </c>
      <c r="Q3967" s="90" t="s">
        <v>6642</v>
      </c>
    </row>
    <row r="3968" spans="1:19">
      <c r="A3968" s="118" t="s">
        <v>3816</v>
      </c>
      <c r="B3968" s="130"/>
      <c r="C3968" s="118" t="s">
        <v>3817</v>
      </c>
      <c r="D3968" s="141"/>
      <c r="E3968" s="118"/>
      <c r="F3968" s="118"/>
      <c r="G3968" s="118" t="s">
        <v>3954</v>
      </c>
      <c r="H3968" s="118" t="s">
        <v>3955</v>
      </c>
      <c r="I3968" s="118" t="s">
        <v>4544</v>
      </c>
      <c r="J3968" s="118" t="s">
        <v>4676</v>
      </c>
      <c r="K3968" s="285" t="s">
        <v>8472</v>
      </c>
      <c r="L3968" s="135" t="str">
        <f t="shared" si="223"/>
        <v>Vulpes vulpes</v>
      </c>
      <c r="M3968" s="133">
        <f t="shared" si="224"/>
        <v>3.6161300000000005</v>
      </c>
      <c r="N3968" s="133">
        <v>4131.7116050966706</v>
      </c>
      <c r="O3968" s="179" t="s">
        <v>3356</v>
      </c>
      <c r="P3968" s="108">
        <v>60</v>
      </c>
    </row>
    <row r="3969" spans="1:17">
      <c r="A3969" s="213" t="s">
        <v>3816</v>
      </c>
      <c r="B3969" s="130"/>
      <c r="C3969" s="118" t="s">
        <v>3817</v>
      </c>
      <c r="D3969" s="141"/>
      <c r="E3969" s="118"/>
      <c r="F3969" s="118"/>
      <c r="G3969" s="118" t="s">
        <v>3954</v>
      </c>
      <c r="H3969" s="118" t="s">
        <v>7321</v>
      </c>
      <c r="I3969" s="118" t="s">
        <v>7324</v>
      </c>
      <c r="J3969" s="118" t="s">
        <v>7325</v>
      </c>
      <c r="K3969" s="141"/>
      <c r="L3969" s="135" t="str">
        <f t="shared" si="223"/>
        <v>Herpailurus yaguarondi</v>
      </c>
      <c r="M3969" s="133">
        <f t="shared" si="224"/>
        <v>3.9542400000000004</v>
      </c>
      <c r="N3969" s="133">
        <v>8999.9479963720187</v>
      </c>
      <c r="O3969" s="179" t="s">
        <v>3356</v>
      </c>
      <c r="P3969" s="117">
        <v>66</v>
      </c>
    </row>
    <row r="3970" spans="1:17">
      <c r="A3970" s="213" t="s">
        <v>3816</v>
      </c>
      <c r="B3970" s="130"/>
      <c r="C3970" s="118" t="s">
        <v>3817</v>
      </c>
      <c r="D3970" s="141"/>
      <c r="E3970" s="118"/>
      <c r="F3970" s="118"/>
      <c r="G3970" s="118" t="s">
        <v>3954</v>
      </c>
      <c r="H3970" s="118" t="s">
        <v>7321</v>
      </c>
      <c r="I3970" s="118" t="s">
        <v>7326</v>
      </c>
      <c r="J3970" s="118" t="s">
        <v>3570</v>
      </c>
      <c r="K3970" s="141"/>
      <c r="L3970" s="135" t="str">
        <f t="shared" si="223"/>
        <v>Leopardus tigrinus</v>
      </c>
      <c r="M3970" s="133">
        <f t="shared" si="224"/>
        <v>3.3521825181113627</v>
      </c>
      <c r="N3970" s="133">
        <v>2250</v>
      </c>
      <c r="O3970" s="179" t="s">
        <v>6773</v>
      </c>
      <c r="P3970" s="117">
        <v>61</v>
      </c>
      <c r="Q3970" s="90" t="s">
        <v>6985</v>
      </c>
    </row>
    <row r="3971" spans="1:17">
      <c r="A3971" s="213" t="s">
        <v>3816</v>
      </c>
      <c r="B3971" s="130"/>
      <c r="C3971" s="118" t="s">
        <v>3817</v>
      </c>
      <c r="D3971" s="141"/>
      <c r="E3971" s="118"/>
      <c r="F3971" s="118"/>
      <c r="G3971" s="118" t="s">
        <v>3954</v>
      </c>
      <c r="H3971" s="118" t="s">
        <v>7321</v>
      </c>
      <c r="I3971" s="118" t="s">
        <v>7326</v>
      </c>
      <c r="J3971" s="118" t="s">
        <v>7378</v>
      </c>
      <c r="K3971" s="141"/>
      <c r="L3971" s="135" t="str">
        <f t="shared" si="223"/>
        <v>Leopardus wiedii</v>
      </c>
      <c r="M3971" s="133">
        <f t="shared" si="224"/>
        <v>3.5118800000000006</v>
      </c>
      <c r="N3971" s="133">
        <v>3249.9748485428022</v>
      </c>
      <c r="O3971" s="179" t="s">
        <v>3356</v>
      </c>
      <c r="P3971" s="108">
        <v>60</v>
      </c>
    </row>
    <row r="3972" spans="1:17">
      <c r="A3972" s="213" t="s">
        <v>3816</v>
      </c>
      <c r="B3972" s="130"/>
      <c r="C3972" s="118" t="s">
        <v>3817</v>
      </c>
      <c r="D3972" s="141"/>
      <c r="E3972" s="118"/>
      <c r="F3972" s="118"/>
      <c r="G3972" s="118" t="s">
        <v>3954</v>
      </c>
      <c r="H3972" s="118" t="s">
        <v>7321</v>
      </c>
      <c r="I3972" s="118" t="s">
        <v>7326</v>
      </c>
      <c r="J3972" s="118" t="s">
        <v>7377</v>
      </c>
      <c r="K3972" s="141"/>
      <c r="L3972" s="135" t="str">
        <f t="shared" si="223"/>
        <v>Leopardus pardalis</v>
      </c>
      <c r="M3972" s="133">
        <f t="shared" si="224"/>
        <v>4.0755499999999998</v>
      </c>
      <c r="N3972" s="133">
        <v>11900.083260453186</v>
      </c>
      <c r="O3972" s="179" t="s">
        <v>3356</v>
      </c>
      <c r="P3972" s="108">
        <v>60</v>
      </c>
    </row>
    <row r="3973" spans="1:17">
      <c r="A3973" s="213" t="s">
        <v>3816</v>
      </c>
      <c r="B3973" s="130"/>
      <c r="C3973" s="118" t="s">
        <v>3817</v>
      </c>
      <c r="D3973" s="141"/>
      <c r="E3973" s="118"/>
      <c r="F3973" s="118"/>
      <c r="G3973" s="118" t="s">
        <v>3954</v>
      </c>
      <c r="H3973" s="118" t="s">
        <v>7321</v>
      </c>
      <c r="I3973" s="118" t="s">
        <v>7379</v>
      </c>
      <c r="J3973" s="118" t="s">
        <v>2329</v>
      </c>
      <c r="K3973" s="141"/>
      <c r="L3973" s="135" t="str">
        <f t="shared" ref="L3973:L4036" si="225">I3973&amp;" "&amp;J3973</f>
        <v>Lynx rufus</v>
      </c>
      <c r="M3973" s="133">
        <f t="shared" si="224"/>
        <v>3.949590000000001</v>
      </c>
      <c r="N3973" s="133">
        <v>8904.0994091113262</v>
      </c>
      <c r="O3973" s="179" t="s">
        <v>3356</v>
      </c>
      <c r="P3973" s="108">
        <v>60</v>
      </c>
    </row>
    <row r="3974" spans="1:17">
      <c r="A3974" s="118" t="s">
        <v>3816</v>
      </c>
      <c r="B3974" s="130"/>
      <c r="C3974" s="118" t="s">
        <v>3817</v>
      </c>
      <c r="D3974" s="141"/>
      <c r="E3974" s="118"/>
      <c r="F3974" s="118"/>
      <c r="G3974" s="118" t="s">
        <v>3954</v>
      </c>
      <c r="H3974" s="118" t="s">
        <v>7321</v>
      </c>
      <c r="I3974" s="118" t="s">
        <v>7379</v>
      </c>
      <c r="J3974" s="118" t="s">
        <v>4121</v>
      </c>
      <c r="K3974" s="141"/>
      <c r="L3974" s="135" t="str">
        <f t="shared" si="225"/>
        <v>Lynx canadensis</v>
      </c>
      <c r="M3974" s="133">
        <f t="shared" si="224"/>
        <v>3.9718900000000006</v>
      </c>
      <c r="N3974" s="133">
        <v>9373.2456720393548</v>
      </c>
      <c r="O3974" s="179" t="s">
        <v>3356</v>
      </c>
      <c r="P3974" s="108">
        <v>60</v>
      </c>
    </row>
    <row r="3975" spans="1:17" ht="25.5">
      <c r="A3975" s="213" t="s">
        <v>3816</v>
      </c>
      <c r="B3975" s="130"/>
      <c r="C3975" s="118" t="s">
        <v>3817</v>
      </c>
      <c r="D3975" s="141"/>
      <c r="E3975" s="118"/>
      <c r="F3975" s="118"/>
      <c r="G3975" s="118" t="s">
        <v>3954</v>
      </c>
      <c r="H3975" s="118" t="s">
        <v>7321</v>
      </c>
      <c r="I3975" s="118" t="s">
        <v>4860</v>
      </c>
      <c r="J3975" s="118" t="s">
        <v>2466</v>
      </c>
      <c r="K3975" s="141"/>
      <c r="L3975" s="135" t="str">
        <f t="shared" si="225"/>
        <v>Panthera onca</v>
      </c>
      <c r="M3975" s="133">
        <f t="shared" si="224"/>
        <v>5</v>
      </c>
      <c r="N3975" s="133">
        <v>100000</v>
      </c>
      <c r="O3975" s="179" t="s">
        <v>6908</v>
      </c>
      <c r="P3975" s="108">
        <v>60</v>
      </c>
      <c r="Q3975" s="90" t="s">
        <v>6985</v>
      </c>
    </row>
    <row r="3976" spans="1:17">
      <c r="A3976" s="213" t="s">
        <v>3816</v>
      </c>
      <c r="B3976" s="130"/>
      <c r="C3976" s="118" t="s">
        <v>3817</v>
      </c>
      <c r="D3976" s="141"/>
      <c r="E3976" s="118"/>
      <c r="F3976" s="118"/>
      <c r="G3976" s="118" t="s">
        <v>3954</v>
      </c>
      <c r="H3976" s="118" t="s">
        <v>7321</v>
      </c>
      <c r="I3976" s="118" t="s">
        <v>2185</v>
      </c>
      <c r="J3976" s="118" t="s">
        <v>3569</v>
      </c>
      <c r="K3976" s="141"/>
      <c r="L3976" s="135" t="str">
        <f t="shared" si="225"/>
        <v>Puma concolor</v>
      </c>
      <c r="M3976" s="133">
        <f t="shared" si="224"/>
        <v>4.71265</v>
      </c>
      <c r="N3976" s="133">
        <v>51600.035450694937</v>
      </c>
      <c r="O3976" s="179" t="s">
        <v>6916</v>
      </c>
      <c r="P3976" s="108">
        <v>60</v>
      </c>
      <c r="Q3976" s="90" t="s">
        <v>6985</v>
      </c>
    </row>
    <row r="3977" spans="1:17">
      <c r="A3977" s="213" t="s">
        <v>3816</v>
      </c>
      <c r="B3977" s="130"/>
      <c r="C3977" s="118" t="s">
        <v>3817</v>
      </c>
      <c r="D3977" s="141"/>
      <c r="E3977" s="118"/>
      <c r="F3977" s="118"/>
      <c r="G3977" s="118" t="s">
        <v>3954</v>
      </c>
      <c r="H3977" s="118" t="s">
        <v>4257</v>
      </c>
      <c r="I3977" s="118" t="s">
        <v>4444</v>
      </c>
      <c r="J3977" s="118" t="s">
        <v>4483</v>
      </c>
      <c r="K3977" s="141"/>
      <c r="L3977" s="135" t="str">
        <f t="shared" si="225"/>
        <v>Conepatus semistriatus</v>
      </c>
      <c r="M3977" s="133">
        <f t="shared" si="224"/>
        <v>3.0791800000000005</v>
      </c>
      <c r="N3977" s="133">
        <v>1199.9965570481172</v>
      </c>
      <c r="O3977" s="179" t="s">
        <v>3356</v>
      </c>
      <c r="P3977" s="108">
        <v>60</v>
      </c>
    </row>
    <row r="3978" spans="1:17">
      <c r="A3978" s="213" t="s">
        <v>3816</v>
      </c>
      <c r="B3978" s="130"/>
      <c r="C3978" s="118" t="s">
        <v>3817</v>
      </c>
      <c r="D3978" s="141"/>
      <c r="E3978" s="118"/>
      <c r="F3978" s="118"/>
      <c r="G3978" s="118" t="s">
        <v>3954</v>
      </c>
      <c r="H3978" s="118" t="s">
        <v>4257</v>
      </c>
      <c r="I3978" s="118" t="s">
        <v>4444</v>
      </c>
      <c r="J3978" s="118" t="s">
        <v>4482</v>
      </c>
      <c r="K3978" s="141"/>
      <c r="L3978" s="135" t="str">
        <f t="shared" si="225"/>
        <v>Conepatus mesoleucus</v>
      </c>
      <c r="M3978" s="133">
        <f t="shared" si="224"/>
        <v>3.3032000000000004</v>
      </c>
      <c r="N3978" s="133">
        <v>2010.0182471136952</v>
      </c>
      <c r="O3978" s="179" t="s">
        <v>3356</v>
      </c>
      <c r="P3978" s="108">
        <v>60</v>
      </c>
    </row>
    <row r="3979" spans="1:17">
      <c r="A3979" s="213" t="s">
        <v>3816</v>
      </c>
      <c r="B3979" s="130"/>
      <c r="C3979" s="118" t="s">
        <v>3817</v>
      </c>
      <c r="D3979" s="141"/>
      <c r="E3979" s="118"/>
      <c r="F3979" s="118"/>
      <c r="G3979" s="118" t="s">
        <v>3954</v>
      </c>
      <c r="H3979" s="118" t="s">
        <v>4257</v>
      </c>
      <c r="I3979" s="118" t="s">
        <v>4444</v>
      </c>
      <c r="J3979" s="118" t="s">
        <v>4445</v>
      </c>
      <c r="K3979" s="141"/>
      <c r="L3979" s="135" t="str">
        <f t="shared" si="225"/>
        <v>Conepatus leuconotus</v>
      </c>
      <c r="M3979" s="133">
        <f t="shared" si="224"/>
        <v>3.5440700000000001</v>
      </c>
      <c r="N3979" s="133">
        <v>3500.0157607101446</v>
      </c>
      <c r="O3979" s="179" t="s">
        <v>3356</v>
      </c>
      <c r="P3979" s="117">
        <v>66</v>
      </c>
    </row>
    <row r="3980" spans="1:17">
      <c r="A3980" s="213" t="s">
        <v>3816</v>
      </c>
      <c r="B3980" s="130"/>
      <c r="C3980" s="118" t="s">
        <v>3817</v>
      </c>
      <c r="D3980" s="141"/>
      <c r="E3980" s="118"/>
      <c r="F3980" s="118"/>
      <c r="G3980" s="118" t="s">
        <v>3954</v>
      </c>
      <c r="H3980" s="118" t="s">
        <v>4257</v>
      </c>
      <c r="I3980" s="118" t="s">
        <v>3819</v>
      </c>
      <c r="J3980" s="118" t="s">
        <v>3820</v>
      </c>
      <c r="K3980" s="141"/>
      <c r="L3980" s="135" t="str">
        <f t="shared" si="225"/>
        <v>Eira barbara</v>
      </c>
      <c r="M3980" s="133">
        <f t="shared" si="224"/>
        <v>3.5921800000000004</v>
      </c>
      <c r="N3980" s="133">
        <v>3910.0291936232725</v>
      </c>
      <c r="O3980" s="179" t="s">
        <v>3356</v>
      </c>
      <c r="P3980" s="108">
        <v>60</v>
      </c>
    </row>
    <row r="3981" spans="1:17" ht="114.75">
      <c r="A3981" s="213" t="s">
        <v>3816</v>
      </c>
      <c r="B3981" s="130" t="s">
        <v>7062</v>
      </c>
      <c r="C3981" s="118" t="s">
        <v>3817</v>
      </c>
      <c r="D3981" s="141"/>
      <c r="E3981" s="118"/>
      <c r="F3981" s="118"/>
      <c r="G3981" s="118" t="s">
        <v>3954</v>
      </c>
      <c r="H3981" s="118" t="s">
        <v>4257</v>
      </c>
      <c r="I3981" s="118" t="s">
        <v>5329</v>
      </c>
      <c r="J3981" s="118" t="s">
        <v>5330</v>
      </c>
      <c r="K3981" s="141"/>
      <c r="L3981" s="135" t="str">
        <f t="shared" si="225"/>
        <v>Enhydra lutris</v>
      </c>
      <c r="M3981" s="133">
        <f t="shared" si="224"/>
        <v>4.3710678622717358</v>
      </c>
      <c r="N3981" s="133">
        <v>23500</v>
      </c>
      <c r="O3981" s="179" t="s">
        <v>6993</v>
      </c>
      <c r="P3981" s="108">
        <v>68</v>
      </c>
      <c r="Q3981" s="90" t="s">
        <v>6640</v>
      </c>
    </row>
    <row r="3982" spans="1:17" ht="12" customHeight="1">
      <c r="A3982" s="213" t="s">
        <v>3816</v>
      </c>
      <c r="B3982" s="130"/>
      <c r="C3982" s="118" t="s">
        <v>3817</v>
      </c>
      <c r="D3982" s="141"/>
      <c r="E3982" s="118"/>
      <c r="F3982" s="118"/>
      <c r="G3982" s="118" t="s">
        <v>3954</v>
      </c>
      <c r="H3982" s="118" t="s">
        <v>4257</v>
      </c>
      <c r="I3982" s="118" t="s">
        <v>3821</v>
      </c>
      <c r="J3982" s="118" t="s">
        <v>3822</v>
      </c>
      <c r="K3982" s="141"/>
      <c r="L3982" s="135" t="str">
        <f t="shared" si="225"/>
        <v>Galictis vittata</v>
      </c>
      <c r="M3982" s="133">
        <f t="shared" si="224"/>
        <v>3.5051500000000004</v>
      </c>
      <c r="N3982" s="133">
        <v>3200.0001597448445</v>
      </c>
      <c r="O3982" s="179" t="s">
        <v>3356</v>
      </c>
      <c r="P3982" s="108">
        <v>60</v>
      </c>
      <c r="Q3982" s="88"/>
    </row>
    <row r="3983" spans="1:17">
      <c r="A3983" s="213" t="s">
        <v>3816</v>
      </c>
      <c r="B3983" s="130"/>
      <c r="C3983" s="118" t="s">
        <v>3817</v>
      </c>
      <c r="D3983" s="141"/>
      <c r="E3983" s="118"/>
      <c r="F3983" s="118"/>
      <c r="G3983" s="118" t="s">
        <v>3954</v>
      </c>
      <c r="H3983" s="118" t="s">
        <v>4257</v>
      </c>
      <c r="I3983" s="118" t="s">
        <v>3823</v>
      </c>
      <c r="J3983" s="118" t="s">
        <v>3824</v>
      </c>
      <c r="K3983" s="141"/>
      <c r="L3983" s="135" t="str">
        <f t="shared" si="225"/>
        <v>Gulo gulo</v>
      </c>
      <c r="M3983" s="133">
        <f t="shared" si="224"/>
        <v>4.1621200000000007</v>
      </c>
      <c r="N3983" s="133">
        <v>14525.129062929564</v>
      </c>
      <c r="O3983" s="179" t="s">
        <v>7081</v>
      </c>
      <c r="P3983" s="108">
        <v>60</v>
      </c>
      <c r="Q3983" s="90" t="s">
        <v>6988</v>
      </c>
    </row>
    <row r="3984" spans="1:17" ht="25.5">
      <c r="A3984" s="213" t="s">
        <v>3816</v>
      </c>
      <c r="B3984" s="130"/>
      <c r="C3984" s="118" t="s">
        <v>3817</v>
      </c>
      <c r="D3984" s="141"/>
      <c r="E3984" s="118"/>
      <c r="F3984" s="118"/>
      <c r="G3984" s="118" t="s">
        <v>3954</v>
      </c>
      <c r="H3984" s="118" t="s">
        <v>4257</v>
      </c>
      <c r="I3984" s="118" t="s">
        <v>4447</v>
      </c>
      <c r="J3984" s="118" t="s">
        <v>4456</v>
      </c>
      <c r="K3984" s="141"/>
      <c r="L3984" s="135" t="str">
        <f t="shared" si="225"/>
        <v>Lontra longicaudis</v>
      </c>
      <c r="M3984" s="133">
        <f t="shared" si="224"/>
        <v>3.8165700000000005</v>
      </c>
      <c r="N3984" s="133">
        <v>6554.9593078038397</v>
      </c>
      <c r="O3984" s="179" t="s">
        <v>6955</v>
      </c>
      <c r="P3984" s="108">
        <v>60</v>
      </c>
      <c r="Q3984" s="90" t="s">
        <v>6987</v>
      </c>
    </row>
    <row r="3985" spans="1:17">
      <c r="A3985" s="213" t="s">
        <v>3816</v>
      </c>
      <c r="B3985" s="130"/>
      <c r="C3985" s="118" t="s">
        <v>3817</v>
      </c>
      <c r="D3985" s="141"/>
      <c r="E3985" s="118"/>
      <c r="F3985" s="118"/>
      <c r="G3985" s="118" t="s">
        <v>3954</v>
      </c>
      <c r="H3985" s="118" t="s">
        <v>4257</v>
      </c>
      <c r="I3985" s="118" t="s">
        <v>4447</v>
      </c>
      <c r="J3985" s="118" t="s">
        <v>4121</v>
      </c>
      <c r="K3985" s="141"/>
      <c r="L3985" s="135" t="str">
        <f t="shared" si="225"/>
        <v>Lontra canadensis</v>
      </c>
      <c r="M3985" s="133">
        <f t="shared" si="224"/>
        <v>3.9078100000000004</v>
      </c>
      <c r="N3985" s="133">
        <v>8087.4200428728464</v>
      </c>
      <c r="O3985" s="179" t="s">
        <v>3356</v>
      </c>
      <c r="P3985" s="108">
        <v>60</v>
      </c>
    </row>
    <row r="3986" spans="1:17">
      <c r="A3986" s="213" t="s">
        <v>3816</v>
      </c>
      <c r="B3986" s="130"/>
      <c r="C3986" s="118" t="s">
        <v>3817</v>
      </c>
      <c r="D3986" s="141"/>
      <c r="E3986" s="118"/>
      <c r="F3986" s="118"/>
      <c r="G3986" s="118" t="s">
        <v>3954</v>
      </c>
      <c r="H3986" s="118" t="s">
        <v>4257</v>
      </c>
      <c r="I3986" s="118" t="s">
        <v>3828</v>
      </c>
      <c r="J3986" s="118" t="s">
        <v>3355</v>
      </c>
      <c r="K3986" s="141"/>
      <c r="L3986" s="135" t="str">
        <f t="shared" si="225"/>
        <v>Martes americana</v>
      </c>
      <c r="M3986" s="133">
        <f t="shared" si="224"/>
        <v>3.0969100000000003</v>
      </c>
      <c r="N3986" s="133">
        <v>1249.9999625598048</v>
      </c>
      <c r="O3986" s="179" t="s">
        <v>3356</v>
      </c>
      <c r="P3986" s="108">
        <v>60</v>
      </c>
    </row>
    <row r="3987" spans="1:17">
      <c r="A3987" s="213" t="s">
        <v>3816</v>
      </c>
      <c r="B3987" s="130"/>
      <c r="C3987" s="118" t="s">
        <v>3817</v>
      </c>
      <c r="D3987" s="141"/>
      <c r="E3987" s="118"/>
      <c r="F3987" s="118"/>
      <c r="G3987" s="118" t="s">
        <v>3954</v>
      </c>
      <c r="H3987" s="118" t="s">
        <v>4257</v>
      </c>
      <c r="I3987" s="118" t="s">
        <v>3828</v>
      </c>
      <c r="J3987" s="118" t="s">
        <v>3831</v>
      </c>
      <c r="K3987" s="141"/>
      <c r="L3987" s="135" t="str">
        <f t="shared" si="225"/>
        <v>Martes pennanti</v>
      </c>
      <c r="M3987" s="133">
        <f t="shared" si="224"/>
        <v>3.6020599913279625</v>
      </c>
      <c r="N3987" s="133">
        <v>4000</v>
      </c>
      <c r="O3987" s="179" t="s">
        <v>3356</v>
      </c>
      <c r="P3987" s="108">
        <v>75</v>
      </c>
    </row>
    <row r="3988" spans="1:17" ht="12" customHeight="1">
      <c r="A3988" s="213" t="s">
        <v>3816</v>
      </c>
      <c r="B3988" s="130"/>
      <c r="C3988" s="118" t="s">
        <v>3817</v>
      </c>
      <c r="D3988" s="141"/>
      <c r="E3988" s="118"/>
      <c r="F3988" s="118"/>
      <c r="G3988" s="118" t="s">
        <v>3954</v>
      </c>
      <c r="H3988" s="118" t="s">
        <v>4257</v>
      </c>
      <c r="I3988" s="118" t="s">
        <v>3832</v>
      </c>
      <c r="J3988" s="118" t="s">
        <v>3833</v>
      </c>
      <c r="K3988" s="141"/>
      <c r="L3988" s="135" t="str">
        <f t="shared" si="225"/>
        <v>Mephitis macroura</v>
      </c>
      <c r="M3988" s="133">
        <f t="shared" si="224"/>
        <v>2.9037700000000002</v>
      </c>
      <c r="N3988" s="133">
        <v>801.25361144095211</v>
      </c>
      <c r="O3988" s="179" t="s">
        <v>3356</v>
      </c>
      <c r="P3988" s="108">
        <v>60</v>
      </c>
      <c r="Q3988" s="88"/>
    </row>
    <row r="3989" spans="1:17" ht="24" customHeight="1">
      <c r="A3989" s="213" t="s">
        <v>3816</v>
      </c>
      <c r="B3989" s="130"/>
      <c r="C3989" s="118" t="s">
        <v>3817</v>
      </c>
      <c r="D3989" s="141"/>
      <c r="E3989" s="118"/>
      <c r="F3989" s="118"/>
      <c r="G3989" s="118" t="s">
        <v>3954</v>
      </c>
      <c r="H3989" s="118" t="s">
        <v>4257</v>
      </c>
      <c r="I3989" s="118" t="s">
        <v>3832</v>
      </c>
      <c r="J3989" s="118" t="s">
        <v>3373</v>
      </c>
      <c r="K3989" s="141"/>
      <c r="L3989" s="135" t="str">
        <f t="shared" si="225"/>
        <v>Mephitis mephitis</v>
      </c>
      <c r="M3989" s="133">
        <f t="shared" si="224"/>
        <v>3.3191100000000002</v>
      </c>
      <c r="N3989" s="133">
        <v>2085.0189189058024</v>
      </c>
      <c r="O3989" s="179" t="s">
        <v>3356</v>
      </c>
      <c r="P3989" s="108">
        <v>60</v>
      </c>
    </row>
    <row r="3990" spans="1:17" ht="12" customHeight="1">
      <c r="A3990" s="213" t="s">
        <v>3816</v>
      </c>
      <c r="B3990" s="130"/>
      <c r="C3990" s="118" t="s">
        <v>3817</v>
      </c>
      <c r="D3990" s="141"/>
      <c r="E3990" s="118"/>
      <c r="F3990" s="118"/>
      <c r="G3990" s="118" t="s">
        <v>3954</v>
      </c>
      <c r="H3990" s="118" t="s">
        <v>4257</v>
      </c>
      <c r="I3990" s="118" t="s">
        <v>4479</v>
      </c>
      <c r="J3990" s="118" t="s">
        <v>3806</v>
      </c>
      <c r="K3990" s="141"/>
      <c r="L3990" s="135" t="str">
        <f t="shared" si="225"/>
        <v>Mustela nivalis</v>
      </c>
      <c r="M3990" s="133">
        <f t="shared" si="224"/>
        <v>1.6711700000000003</v>
      </c>
      <c r="N3990" s="133">
        <v>46.899693012675471</v>
      </c>
      <c r="O3990" s="179" t="s">
        <v>3356</v>
      </c>
      <c r="P3990" s="108">
        <v>60</v>
      </c>
      <c r="Q3990" s="88"/>
    </row>
    <row r="3991" spans="1:17">
      <c r="A3991" s="213" t="s">
        <v>3816</v>
      </c>
      <c r="B3991" s="130"/>
      <c r="C3991" s="118" t="s">
        <v>3817</v>
      </c>
      <c r="D3991" s="141"/>
      <c r="E3991" s="118"/>
      <c r="F3991" s="118"/>
      <c r="G3991" s="118" t="s">
        <v>3954</v>
      </c>
      <c r="H3991" s="118" t="s">
        <v>4257</v>
      </c>
      <c r="I3991" s="118" t="s">
        <v>4479</v>
      </c>
      <c r="J3991" s="118" t="s">
        <v>3374</v>
      </c>
      <c r="K3991" s="141"/>
      <c r="L3991" s="135" t="str">
        <f t="shared" si="225"/>
        <v>Mustela erminea</v>
      </c>
      <c r="M3991" s="133">
        <f t="shared" si="224"/>
        <v>1.8451000000000002</v>
      </c>
      <c r="N3991" s="133">
        <v>70.000315913089707</v>
      </c>
      <c r="O3991" s="179" t="s">
        <v>3356</v>
      </c>
      <c r="P3991" s="108">
        <v>60</v>
      </c>
    </row>
    <row r="3992" spans="1:17">
      <c r="A3992" s="213" t="s">
        <v>3816</v>
      </c>
      <c r="B3992" s="130"/>
      <c r="C3992" s="118" t="s">
        <v>3817</v>
      </c>
      <c r="D3992" s="141"/>
      <c r="E3992" s="118"/>
      <c r="F3992" s="118"/>
      <c r="G3992" s="118" t="s">
        <v>3954</v>
      </c>
      <c r="H3992" s="118" t="s">
        <v>4257</v>
      </c>
      <c r="I3992" s="118" t="s">
        <v>4479</v>
      </c>
      <c r="J3992" s="118" t="s">
        <v>4488</v>
      </c>
      <c r="K3992" s="141"/>
      <c r="L3992" s="135" t="str">
        <f t="shared" si="225"/>
        <v>Mustela frenata</v>
      </c>
      <c r="M3992" s="133">
        <f t="shared" si="224"/>
        <v>2.1673200000000001</v>
      </c>
      <c r="N3992" s="133">
        <v>147.00090213722874</v>
      </c>
      <c r="O3992" s="179" t="s">
        <v>3356</v>
      </c>
      <c r="P3992" s="108">
        <v>60</v>
      </c>
    </row>
    <row r="3993" spans="1:17">
      <c r="A3993" s="213" t="s">
        <v>3816</v>
      </c>
      <c r="B3993" s="130"/>
      <c r="C3993" s="118" t="s">
        <v>3817</v>
      </c>
      <c r="D3993" s="141"/>
      <c r="E3993" s="118"/>
      <c r="F3993" s="118"/>
      <c r="G3993" s="118" t="s">
        <v>3954</v>
      </c>
      <c r="H3993" s="118" t="s">
        <v>4257</v>
      </c>
      <c r="I3993" s="118" t="s">
        <v>4479</v>
      </c>
      <c r="J3993" s="118" t="s">
        <v>4856</v>
      </c>
      <c r="K3993" s="141"/>
      <c r="L3993" s="135" t="str">
        <f t="shared" si="225"/>
        <v>Mustela nigripes</v>
      </c>
      <c r="M3993" s="133">
        <f t="shared" si="224"/>
        <v>2.9294199999999999</v>
      </c>
      <c r="N3993" s="133">
        <v>850.0021025917174</v>
      </c>
      <c r="O3993" s="179" t="s">
        <v>6890</v>
      </c>
      <c r="P3993" s="108">
        <v>60</v>
      </c>
      <c r="Q3993" s="90" t="s">
        <v>7008</v>
      </c>
    </row>
    <row r="3994" spans="1:17" ht="12" customHeight="1">
      <c r="A3994" s="213" t="s">
        <v>3816</v>
      </c>
      <c r="B3994" s="130"/>
      <c r="C3994" s="118" t="s">
        <v>3817</v>
      </c>
      <c r="D3994" s="141"/>
      <c r="E3994" s="118"/>
      <c r="F3994" s="118"/>
      <c r="G3994" s="118" t="s">
        <v>3954</v>
      </c>
      <c r="H3994" s="118" t="s">
        <v>4257</v>
      </c>
      <c r="I3994" s="118" t="s">
        <v>4479</v>
      </c>
      <c r="J3994" s="118" t="s">
        <v>4291</v>
      </c>
      <c r="K3994" s="141"/>
      <c r="L3994" s="135" t="str">
        <f t="shared" si="225"/>
        <v>Mustela vison</v>
      </c>
      <c r="M3994" s="133">
        <f t="shared" si="224"/>
        <v>2.9754100000000006</v>
      </c>
      <c r="N3994" s="133">
        <v>944.95254712028554</v>
      </c>
      <c r="O3994" s="179" t="s">
        <v>3356</v>
      </c>
      <c r="P3994" s="108">
        <v>60</v>
      </c>
      <c r="Q3994" s="88"/>
    </row>
    <row r="3995" spans="1:17">
      <c r="A3995" s="213" t="s">
        <v>3816</v>
      </c>
      <c r="B3995" s="130"/>
      <c r="C3995" s="118" t="s">
        <v>3817</v>
      </c>
      <c r="D3995" s="141"/>
      <c r="E3995" s="118"/>
      <c r="F3995" s="118"/>
      <c r="G3995" s="118" t="s">
        <v>3954</v>
      </c>
      <c r="H3995" s="118" t="s">
        <v>4257</v>
      </c>
      <c r="I3995" s="118" t="s">
        <v>4292</v>
      </c>
      <c r="J3995" s="118" t="s">
        <v>4293</v>
      </c>
      <c r="K3995" s="141"/>
      <c r="L3995" s="135" t="str">
        <f t="shared" si="225"/>
        <v>Spilogale pygmaea</v>
      </c>
      <c r="M3995" s="133">
        <f t="shared" si="224"/>
        <v>2.37107</v>
      </c>
      <c r="N3995" s="133">
        <v>235.00115674363673</v>
      </c>
      <c r="O3995" s="179" t="s">
        <v>3356</v>
      </c>
      <c r="P3995" s="108">
        <v>60</v>
      </c>
    </row>
    <row r="3996" spans="1:17">
      <c r="A3996" s="213" t="s">
        <v>3816</v>
      </c>
      <c r="B3996" s="130"/>
      <c r="C3996" s="118" t="s">
        <v>3817</v>
      </c>
      <c r="D3996" s="141"/>
      <c r="E3996" s="118"/>
      <c r="F3996" s="118"/>
      <c r="G3996" s="118" t="s">
        <v>3954</v>
      </c>
      <c r="H3996" s="118" t="s">
        <v>4257</v>
      </c>
      <c r="I3996" s="118" t="s">
        <v>4292</v>
      </c>
      <c r="J3996" s="118" t="s">
        <v>3597</v>
      </c>
      <c r="K3996" s="141"/>
      <c r="L3996" s="135" t="str">
        <f t="shared" si="225"/>
        <v>Spilogale putorius</v>
      </c>
      <c r="M3996" s="133">
        <f t="shared" si="224"/>
        <v>2.5327500000000005</v>
      </c>
      <c r="N3996" s="133">
        <v>340.99656171336346</v>
      </c>
      <c r="O3996" s="179" t="s">
        <v>3356</v>
      </c>
      <c r="P3996" s="108">
        <v>60</v>
      </c>
    </row>
    <row r="3997" spans="1:17" ht="15" customHeight="1">
      <c r="A3997" s="213" t="s">
        <v>3816</v>
      </c>
      <c r="B3997" s="130"/>
      <c r="C3997" s="118" t="s">
        <v>3817</v>
      </c>
      <c r="D3997" s="141"/>
      <c r="E3997" s="118"/>
      <c r="F3997" s="118"/>
      <c r="G3997" s="118" t="s">
        <v>3954</v>
      </c>
      <c r="H3997" s="118" t="s">
        <v>4257</v>
      </c>
      <c r="I3997" s="118" t="s">
        <v>4294</v>
      </c>
      <c r="J3997" s="118" t="s">
        <v>4295</v>
      </c>
      <c r="K3997" s="141"/>
      <c r="L3997" s="135" t="str">
        <f t="shared" si="225"/>
        <v>Taxidea taxus</v>
      </c>
      <c r="M3997" s="133">
        <f t="shared" si="224"/>
        <v>3.8517199999999998</v>
      </c>
      <c r="N3997" s="133">
        <v>7107.5512513855301</v>
      </c>
      <c r="O3997" s="179" t="s">
        <v>3356</v>
      </c>
      <c r="P3997" s="108">
        <v>60</v>
      </c>
    </row>
    <row r="3998" spans="1:17" ht="76.5">
      <c r="A3998" s="213" t="s">
        <v>3816</v>
      </c>
      <c r="B3998" s="130" t="s">
        <v>2272</v>
      </c>
      <c r="C3998" s="118" t="s">
        <v>3817</v>
      </c>
      <c r="D3998" s="141"/>
      <c r="E3998" s="118"/>
      <c r="F3998" s="118"/>
      <c r="G3998" s="118" t="s">
        <v>3954</v>
      </c>
      <c r="H3998" s="118" t="s">
        <v>3531</v>
      </c>
      <c r="I3998" s="118" t="s">
        <v>3473</v>
      </c>
      <c r="J3998" s="118" t="s">
        <v>6570</v>
      </c>
      <c r="K3998" s="141"/>
      <c r="L3998" s="135" t="str">
        <f t="shared" si="225"/>
        <v>Odobenus rosmarus</v>
      </c>
      <c r="M3998" s="133">
        <f t="shared" si="224"/>
        <v>5.9164539485499255</v>
      </c>
      <c r="N3998" s="133">
        <v>825000</v>
      </c>
      <c r="O3998" s="179" t="s">
        <v>6736</v>
      </c>
      <c r="P3998" s="108">
        <v>68</v>
      </c>
    </row>
    <row r="3999" spans="1:17" ht="12" customHeight="1">
      <c r="A3999" s="213" t="s">
        <v>3816</v>
      </c>
      <c r="B3999" s="130" t="s">
        <v>2608</v>
      </c>
      <c r="C3999" s="118" t="s">
        <v>3817</v>
      </c>
      <c r="D3999" s="141"/>
      <c r="E3999" s="118"/>
      <c r="F3999" s="118"/>
      <c r="G3999" s="118" t="s">
        <v>3954</v>
      </c>
      <c r="H3999" s="118" t="s">
        <v>4468</v>
      </c>
      <c r="I3999" s="118" t="s">
        <v>4080</v>
      </c>
      <c r="J3999" s="118" t="s">
        <v>5708</v>
      </c>
      <c r="K3999" s="141"/>
      <c r="L3999" s="135" t="str">
        <f t="shared" si="225"/>
        <v>Arctocephalus townsendi</v>
      </c>
      <c r="M3999" s="133">
        <f t="shared" si="224"/>
        <v>5.0211892990699383</v>
      </c>
      <c r="N3999" s="133">
        <f>AVERAGE(165000, 45000)</f>
        <v>105000</v>
      </c>
      <c r="O3999" s="179" t="s">
        <v>6882</v>
      </c>
      <c r="P3999" s="108">
        <v>105</v>
      </c>
      <c r="Q3999" s="88" t="s">
        <v>6988</v>
      </c>
    </row>
    <row r="4000" spans="1:17" ht="12" customHeight="1">
      <c r="A4000" s="213" t="s">
        <v>3816</v>
      </c>
      <c r="B4000" s="130" t="s">
        <v>5008</v>
      </c>
      <c r="C4000" s="118" t="s">
        <v>3817</v>
      </c>
      <c r="D4000" s="141"/>
      <c r="E4000" s="118"/>
      <c r="F4000" s="118"/>
      <c r="G4000" s="118" t="s">
        <v>3954</v>
      </c>
      <c r="H4000" s="118" t="s">
        <v>4468</v>
      </c>
      <c r="I4000" s="118" t="s">
        <v>3470</v>
      </c>
      <c r="J4000" s="118" t="s">
        <v>4470</v>
      </c>
      <c r="K4000" s="141"/>
      <c r="L4000" s="135" t="str">
        <f t="shared" si="225"/>
        <v>Callorhinus ursinus</v>
      </c>
      <c r="M4000" s="133">
        <f t="shared" si="224"/>
        <v>4.6544942021251376</v>
      </c>
      <c r="N4000" s="133">
        <v>45133</v>
      </c>
      <c r="O4000" s="179" t="s">
        <v>1539</v>
      </c>
      <c r="P4000" s="108">
        <v>68</v>
      </c>
      <c r="Q4000" s="88" t="s">
        <v>6988</v>
      </c>
    </row>
    <row r="4001" spans="1:17" ht="12" customHeight="1">
      <c r="A4001" s="213" t="s">
        <v>3816</v>
      </c>
      <c r="B4001" s="130" t="s">
        <v>4650</v>
      </c>
      <c r="C4001" s="118" t="s">
        <v>3817</v>
      </c>
      <c r="D4001" s="141"/>
      <c r="E4001" s="118"/>
      <c r="F4001" s="118"/>
      <c r="G4001" s="118" t="s">
        <v>3954</v>
      </c>
      <c r="H4001" s="118" t="s">
        <v>4468</v>
      </c>
      <c r="I4001" s="118" t="s">
        <v>3471</v>
      </c>
      <c r="J4001" s="118" t="s">
        <v>4836</v>
      </c>
      <c r="K4001" s="141"/>
      <c r="L4001" s="135" t="str">
        <f t="shared" si="225"/>
        <v>Eumetopias jubatus</v>
      </c>
      <c r="M4001" s="133">
        <f t="shared" si="224"/>
        <v>5.4913616938342731</v>
      </c>
      <c r="N4001" s="133">
        <v>310000</v>
      </c>
      <c r="O4001" s="179" t="s">
        <v>7079</v>
      </c>
      <c r="P4001" s="108">
        <v>68</v>
      </c>
      <c r="Q4001" s="88" t="s">
        <v>6640</v>
      </c>
    </row>
    <row r="4002" spans="1:17" ht="63.75">
      <c r="A4002" s="213" t="s">
        <v>3816</v>
      </c>
      <c r="B4002" s="130" t="s">
        <v>2436</v>
      </c>
      <c r="C4002" s="118" t="s">
        <v>3817</v>
      </c>
      <c r="D4002" s="141"/>
      <c r="E4002" s="118"/>
      <c r="F4002" s="118"/>
      <c r="G4002" s="118" t="s">
        <v>3954</v>
      </c>
      <c r="H4002" s="118" t="s">
        <v>4468</v>
      </c>
      <c r="I4002" s="118" t="s">
        <v>3242</v>
      </c>
      <c r="J4002" s="118" t="s">
        <v>6394</v>
      </c>
      <c r="K4002" s="141"/>
      <c r="L4002" s="135" t="str">
        <f t="shared" si="225"/>
        <v>Zalophus californianus</v>
      </c>
      <c r="M4002" s="133">
        <f t="shared" si="224"/>
        <v>4.9030899869919438</v>
      </c>
      <c r="N4002" s="133">
        <v>80000</v>
      </c>
      <c r="O4002" s="179" t="s">
        <v>6736</v>
      </c>
      <c r="P4002" s="108">
        <v>68</v>
      </c>
    </row>
    <row r="4003" spans="1:17" ht="12" customHeight="1">
      <c r="A4003" s="213" t="s">
        <v>3816</v>
      </c>
      <c r="B4003" s="130" t="s">
        <v>6209</v>
      </c>
      <c r="C4003" s="118" t="s">
        <v>3817</v>
      </c>
      <c r="D4003" s="141"/>
      <c r="E4003" s="118"/>
      <c r="F4003" s="118"/>
      <c r="G4003" s="118" t="s">
        <v>3954</v>
      </c>
      <c r="H4003" s="118" t="s">
        <v>4613</v>
      </c>
      <c r="I4003" s="118" t="s">
        <v>6082</v>
      </c>
      <c r="J4003" s="118" t="s">
        <v>2461</v>
      </c>
      <c r="K4003" s="141"/>
      <c r="L4003" s="135" t="str">
        <f t="shared" si="225"/>
        <v>Cystophora cristata</v>
      </c>
      <c r="M4003" s="133">
        <f t="shared" si="224"/>
        <v>5.3046348377743318</v>
      </c>
      <c r="N4003" s="133">
        <v>201667</v>
      </c>
      <c r="O4003" s="179" t="s">
        <v>6736</v>
      </c>
      <c r="P4003" s="108">
        <v>68</v>
      </c>
      <c r="Q4003" s="88"/>
    </row>
    <row r="4004" spans="1:17" ht="76.5">
      <c r="A4004" s="213" t="s">
        <v>3816</v>
      </c>
      <c r="B4004" s="130" t="s">
        <v>6123</v>
      </c>
      <c r="C4004" s="118" t="s">
        <v>3817</v>
      </c>
      <c r="D4004" s="141"/>
      <c r="E4004" s="118"/>
      <c r="F4004" s="118"/>
      <c r="G4004" s="118" t="s">
        <v>3954</v>
      </c>
      <c r="H4004" s="118" t="s">
        <v>4613</v>
      </c>
      <c r="I4004" s="118" t="s">
        <v>6241</v>
      </c>
      <c r="J4004" s="118" t="s">
        <v>6242</v>
      </c>
      <c r="K4004" s="141"/>
      <c r="L4004" s="135" t="str">
        <f t="shared" si="225"/>
        <v>Erignathus barbatus</v>
      </c>
      <c r="M4004" s="133">
        <f t="shared" si="224"/>
        <v>5.4471580313422194</v>
      </c>
      <c r="N4004" s="133">
        <v>280000</v>
      </c>
      <c r="O4004" s="179" t="s">
        <v>6736</v>
      </c>
      <c r="P4004" s="108">
        <v>68</v>
      </c>
    </row>
    <row r="4005" spans="1:17" ht="89.25">
      <c r="A4005" s="213" t="s">
        <v>3816</v>
      </c>
      <c r="B4005" s="130" t="s">
        <v>2563</v>
      </c>
      <c r="C4005" s="118" t="s">
        <v>3817</v>
      </c>
      <c r="D4005" s="141"/>
      <c r="E4005" s="118"/>
      <c r="F4005" s="118"/>
      <c r="G4005" s="118" t="s">
        <v>3954</v>
      </c>
      <c r="H4005" s="118" t="s">
        <v>4613</v>
      </c>
      <c r="I4005" s="118" t="s">
        <v>6079</v>
      </c>
      <c r="J4005" s="118" t="s">
        <v>6080</v>
      </c>
      <c r="K4005" s="141"/>
      <c r="L4005" s="135" t="str">
        <f t="shared" si="225"/>
        <v>Halichoerus grypus</v>
      </c>
      <c r="M4005" s="133">
        <f t="shared" si="224"/>
        <v>5.1977408041873305</v>
      </c>
      <c r="N4005" s="133">
        <v>157667</v>
      </c>
      <c r="O4005" s="179" t="s">
        <v>6736</v>
      </c>
      <c r="P4005" s="108">
        <v>68</v>
      </c>
    </row>
    <row r="4006" spans="1:17" ht="38.25">
      <c r="A4006" s="213" t="s">
        <v>3816</v>
      </c>
      <c r="B4006" s="130" t="s">
        <v>2510</v>
      </c>
      <c r="C4006" s="118" t="s">
        <v>3817</v>
      </c>
      <c r="D4006" s="141"/>
      <c r="E4006" s="118"/>
      <c r="F4006" s="118"/>
      <c r="G4006" s="118" t="s">
        <v>3954</v>
      </c>
      <c r="H4006" s="118" t="s">
        <v>4613</v>
      </c>
      <c r="I4006" s="118" t="s">
        <v>2517</v>
      </c>
      <c r="J4006" s="118" t="s">
        <v>7917</v>
      </c>
      <c r="K4006" s="141"/>
      <c r="L4006" s="135" t="str">
        <f t="shared" si="225"/>
        <v>Mirounga angustirostris</v>
      </c>
      <c r="M4006" s="133">
        <f t="shared" si="224"/>
        <v>5.8750612633917001</v>
      </c>
      <c r="N4006" s="133">
        <v>750000</v>
      </c>
      <c r="O4006" s="179" t="s">
        <v>6736</v>
      </c>
      <c r="P4006" s="108">
        <v>68</v>
      </c>
    </row>
    <row r="4007" spans="1:17">
      <c r="A4007" s="213" t="s">
        <v>3816</v>
      </c>
      <c r="B4007" s="141" t="s">
        <v>2648</v>
      </c>
      <c r="C4007" s="118" t="s">
        <v>3817</v>
      </c>
      <c r="D4007" s="141"/>
      <c r="E4007" s="118"/>
      <c r="F4007" s="118"/>
      <c r="G4007" s="118" t="s">
        <v>3954</v>
      </c>
      <c r="H4007" s="121" t="s">
        <v>4613</v>
      </c>
      <c r="I4007" s="118" t="s">
        <v>7919</v>
      </c>
      <c r="J4007" s="118" t="s">
        <v>5337</v>
      </c>
      <c r="K4007" s="141"/>
      <c r="L4007" s="135" t="str">
        <f t="shared" si="225"/>
        <v>Phoca hispida</v>
      </c>
      <c r="M4007" s="133">
        <f t="shared" si="224"/>
        <v>4.9585638832219674</v>
      </c>
      <c r="N4007" s="133">
        <v>90900</v>
      </c>
      <c r="O4007" s="179" t="s">
        <v>6736</v>
      </c>
      <c r="P4007" s="108">
        <v>68</v>
      </c>
    </row>
    <row r="4008" spans="1:17" ht="15" customHeight="1">
      <c r="A4008" s="118" t="s">
        <v>3816</v>
      </c>
      <c r="B4008" s="130" t="s">
        <v>2604</v>
      </c>
      <c r="C4008" s="118" t="s">
        <v>3817</v>
      </c>
      <c r="D4008" s="141"/>
      <c r="E4008" s="118"/>
      <c r="F4008" s="118"/>
      <c r="G4008" s="118" t="s">
        <v>3954</v>
      </c>
      <c r="H4008" s="118" t="s">
        <v>4613</v>
      </c>
      <c r="I4008" s="118" t="s">
        <v>7919</v>
      </c>
      <c r="J4008" s="118" t="s">
        <v>5338</v>
      </c>
      <c r="K4008" s="141"/>
      <c r="L4008" s="135" t="str">
        <f t="shared" si="225"/>
        <v>Phoca vitulina</v>
      </c>
      <c r="M4008" s="133">
        <f t="shared" si="224"/>
        <v>5</v>
      </c>
      <c r="N4008" s="133">
        <v>100000</v>
      </c>
      <c r="O4008" s="179" t="s">
        <v>6736</v>
      </c>
      <c r="P4008" s="108">
        <v>68</v>
      </c>
    </row>
    <row r="4009" spans="1:17" ht="12" customHeight="1">
      <c r="A4009" s="213" t="s">
        <v>3816</v>
      </c>
      <c r="B4009" s="130" t="s">
        <v>2458</v>
      </c>
      <c r="C4009" s="118" t="s">
        <v>3817</v>
      </c>
      <c r="D4009" s="141"/>
      <c r="E4009" s="118"/>
      <c r="F4009" s="118"/>
      <c r="G4009" s="118" t="s">
        <v>3954</v>
      </c>
      <c r="H4009" s="118" t="s">
        <v>4613</v>
      </c>
      <c r="I4009" s="118" t="s">
        <v>7919</v>
      </c>
      <c r="J4009" s="118" t="s">
        <v>5336</v>
      </c>
      <c r="K4009" s="141"/>
      <c r="L4009" s="135" t="str">
        <f t="shared" si="225"/>
        <v>Phoca groenlandica</v>
      </c>
      <c r="M4009" s="133">
        <f t="shared" si="224"/>
        <v>5.0791812460476251</v>
      </c>
      <c r="N4009" s="133">
        <v>120000</v>
      </c>
      <c r="O4009" s="179" t="s">
        <v>6736</v>
      </c>
      <c r="P4009" s="108">
        <v>68</v>
      </c>
      <c r="Q4009" s="88"/>
    </row>
    <row r="4010" spans="1:17" ht="15" customHeight="1">
      <c r="A4010" s="213" t="s">
        <v>3816</v>
      </c>
      <c r="B4010" s="130" t="s">
        <v>2278</v>
      </c>
      <c r="C4010" s="118" t="s">
        <v>3817</v>
      </c>
      <c r="D4010" s="141"/>
      <c r="E4010" s="118"/>
      <c r="F4010" s="118"/>
      <c r="G4010" s="118" t="s">
        <v>3954</v>
      </c>
      <c r="H4010" s="118" t="s">
        <v>2127</v>
      </c>
      <c r="I4010" s="118" t="s">
        <v>4086</v>
      </c>
      <c r="J4010" s="118" t="s">
        <v>6112</v>
      </c>
      <c r="K4010" s="141"/>
      <c r="L4010" s="135" t="str">
        <f t="shared" si="225"/>
        <v>Bassaricyon lasius</v>
      </c>
      <c r="M4010" s="133">
        <f t="shared" si="224"/>
        <v>3.0791812460476247</v>
      </c>
      <c r="N4010" s="133">
        <v>1200</v>
      </c>
      <c r="O4010" s="179" t="s">
        <v>7119</v>
      </c>
      <c r="P4010" s="108">
        <v>70</v>
      </c>
      <c r="Q4010" s="90" t="s">
        <v>6640</v>
      </c>
    </row>
    <row r="4011" spans="1:17" ht="25.5">
      <c r="A4011" s="213" t="s">
        <v>3816</v>
      </c>
      <c r="B4011" s="130" t="s">
        <v>2279</v>
      </c>
      <c r="C4011" s="118" t="s">
        <v>3817</v>
      </c>
      <c r="D4011" s="141"/>
      <c r="E4011" s="118"/>
      <c r="F4011" s="118"/>
      <c r="G4011" s="118" t="s">
        <v>3954</v>
      </c>
      <c r="H4011" s="118" t="s">
        <v>2127</v>
      </c>
      <c r="I4011" s="118" t="s">
        <v>4086</v>
      </c>
      <c r="J4011" s="118" t="s">
        <v>6097</v>
      </c>
      <c r="K4011" s="141"/>
      <c r="L4011" s="135" t="str">
        <f t="shared" si="225"/>
        <v>Bassaricyon pauli</v>
      </c>
      <c r="M4011" s="133">
        <f t="shared" si="224"/>
        <v>3.0791812460476247</v>
      </c>
      <c r="N4011" s="133">
        <v>1200</v>
      </c>
      <c r="O4011" s="179" t="s">
        <v>7119</v>
      </c>
      <c r="P4011" s="108">
        <v>70</v>
      </c>
      <c r="Q4011" s="90" t="s">
        <v>6640</v>
      </c>
    </row>
    <row r="4012" spans="1:17">
      <c r="A4012" s="212" t="s">
        <v>3816</v>
      </c>
      <c r="B4012" s="145"/>
      <c r="C4012" s="110" t="s">
        <v>3817</v>
      </c>
      <c r="D4012" s="145"/>
      <c r="E4012" s="110"/>
      <c r="F4012" s="110"/>
      <c r="G4012" s="110" t="s">
        <v>3954</v>
      </c>
      <c r="H4012" s="110" t="s">
        <v>2127</v>
      </c>
      <c r="I4012" s="110" t="s">
        <v>4086</v>
      </c>
      <c r="J4012" s="110" t="s">
        <v>4629</v>
      </c>
      <c r="K4012" s="145"/>
      <c r="L4012" s="135" t="str">
        <f t="shared" si="225"/>
        <v>Bassaricyon gabbii</v>
      </c>
      <c r="M4012" s="133">
        <f t="shared" si="224"/>
        <v>3.0969100130080562</v>
      </c>
      <c r="N4012" s="146">
        <v>1250</v>
      </c>
      <c r="O4012" s="183" t="s">
        <v>7081</v>
      </c>
      <c r="P4012" s="115">
        <v>61</v>
      </c>
      <c r="Q4012" s="97" t="s">
        <v>6642</v>
      </c>
    </row>
    <row r="4013" spans="1:17" ht="25.5">
      <c r="A4013" s="213" t="s">
        <v>3816</v>
      </c>
      <c r="B4013" s="130"/>
      <c r="C4013" s="118" t="s">
        <v>3817</v>
      </c>
      <c r="D4013" s="141"/>
      <c r="E4013" s="118"/>
      <c r="F4013" s="118"/>
      <c r="G4013" s="118" t="s">
        <v>3954</v>
      </c>
      <c r="H4013" s="118" t="s">
        <v>2127</v>
      </c>
      <c r="I4013" s="118" t="s">
        <v>2128</v>
      </c>
      <c r="J4013" s="118" t="s">
        <v>4749</v>
      </c>
      <c r="K4013" s="141"/>
      <c r="L4013" s="135" t="str">
        <f t="shared" si="225"/>
        <v>Bassariscus sumichrasti</v>
      </c>
      <c r="M4013" s="133">
        <f t="shared" si="224"/>
        <v>2.9542400000000004</v>
      </c>
      <c r="N4013" s="133">
        <v>899.99479963720182</v>
      </c>
      <c r="O4013" s="179" t="s">
        <v>6908</v>
      </c>
      <c r="P4013" s="108">
        <v>60</v>
      </c>
      <c r="Q4013" s="90" t="s">
        <v>6642</v>
      </c>
    </row>
    <row r="4014" spans="1:17" ht="12" customHeight="1">
      <c r="A4014" s="213" t="s">
        <v>3816</v>
      </c>
      <c r="B4014" s="130"/>
      <c r="C4014" s="118" t="s">
        <v>3817</v>
      </c>
      <c r="D4014" s="141"/>
      <c r="E4014" s="118"/>
      <c r="F4014" s="118"/>
      <c r="G4014" s="118" t="s">
        <v>3954</v>
      </c>
      <c r="H4014" s="118" t="s">
        <v>2127</v>
      </c>
      <c r="I4014" s="118" t="s">
        <v>2128</v>
      </c>
      <c r="J4014" s="118" t="s">
        <v>2129</v>
      </c>
      <c r="K4014" s="141"/>
      <c r="L4014" s="135" t="str">
        <f t="shared" si="225"/>
        <v>Bassariscus astutus</v>
      </c>
      <c r="M4014" s="133">
        <f t="shared" si="224"/>
        <v>3.0528900000000005</v>
      </c>
      <c r="N4014" s="133">
        <v>1129.5097912741824</v>
      </c>
      <c r="O4014" s="179" t="s">
        <v>3356</v>
      </c>
      <c r="P4014" s="108">
        <v>60</v>
      </c>
      <c r="Q4014" s="88"/>
    </row>
    <row r="4015" spans="1:17">
      <c r="A4015" s="213" t="s">
        <v>3816</v>
      </c>
      <c r="B4015" s="130"/>
      <c r="C4015" s="118" t="s">
        <v>3817</v>
      </c>
      <c r="D4015" s="141"/>
      <c r="E4015" s="118"/>
      <c r="F4015" s="118"/>
      <c r="G4015" s="118" t="s">
        <v>3954</v>
      </c>
      <c r="H4015" s="118" t="s">
        <v>2127</v>
      </c>
      <c r="I4015" s="118" t="s">
        <v>4750</v>
      </c>
      <c r="J4015" s="118" t="s">
        <v>7215</v>
      </c>
      <c r="K4015" s="141"/>
      <c r="L4015" s="135" t="str">
        <f t="shared" si="225"/>
        <v>Nasua nasua</v>
      </c>
      <c r="M4015" s="133">
        <f t="shared" si="224"/>
        <v>3.5790800000000003</v>
      </c>
      <c r="N4015" s="133">
        <v>3793.8486381195939</v>
      </c>
      <c r="O4015" s="179" t="s">
        <v>3356</v>
      </c>
      <c r="P4015" s="108">
        <v>60</v>
      </c>
    </row>
    <row r="4016" spans="1:17" ht="15" customHeight="1">
      <c r="A4016" s="213" t="s">
        <v>3816</v>
      </c>
      <c r="B4016" s="130"/>
      <c r="C4016" s="121" t="s">
        <v>3817</v>
      </c>
      <c r="D4016" s="156"/>
      <c r="E4016" s="121"/>
      <c r="F4016" s="121"/>
      <c r="G4016" s="121" t="s">
        <v>3954</v>
      </c>
      <c r="H4016" s="121" t="s">
        <v>2127</v>
      </c>
      <c r="I4016" s="121" t="s">
        <v>4750</v>
      </c>
      <c r="J4016" s="121" t="s">
        <v>4617</v>
      </c>
      <c r="K4016" s="156"/>
      <c r="L4016" s="135" t="str">
        <f t="shared" si="225"/>
        <v>Nasua narica</v>
      </c>
      <c r="M4016" s="133">
        <f t="shared" si="224"/>
        <v>3.6053100000000002</v>
      </c>
      <c r="N4016" s="133">
        <v>4030.0459691891647</v>
      </c>
      <c r="O4016" s="179" t="s">
        <v>3356</v>
      </c>
      <c r="P4016" s="108">
        <v>60</v>
      </c>
    </row>
    <row r="4017" spans="1:19">
      <c r="A4017" s="213" t="s">
        <v>3816</v>
      </c>
      <c r="B4017" s="130"/>
      <c r="C4017" s="118" t="s">
        <v>3817</v>
      </c>
      <c r="D4017" s="141"/>
      <c r="E4017" s="118"/>
      <c r="F4017" s="118"/>
      <c r="G4017" s="118" t="s">
        <v>3954</v>
      </c>
      <c r="H4017" s="118" t="s">
        <v>2127</v>
      </c>
      <c r="I4017" s="118" t="s">
        <v>7216</v>
      </c>
      <c r="J4017" s="118" t="s">
        <v>7217</v>
      </c>
      <c r="K4017" s="141"/>
      <c r="L4017" s="135" t="str">
        <f t="shared" si="225"/>
        <v>Potos flavus</v>
      </c>
      <c r="M4017" s="133">
        <f t="shared" si="224"/>
        <v>3.4771212547196626</v>
      </c>
      <c r="N4017" s="133">
        <v>3000</v>
      </c>
      <c r="O4017" s="179" t="s">
        <v>3356</v>
      </c>
      <c r="P4017" s="108">
        <v>75</v>
      </c>
    </row>
    <row r="4018" spans="1:19" ht="25.5">
      <c r="A4018" s="213" t="s">
        <v>3816</v>
      </c>
      <c r="B4018" s="130"/>
      <c r="C4018" s="118" t="s">
        <v>3817</v>
      </c>
      <c r="D4018" s="141"/>
      <c r="E4018" s="118"/>
      <c r="F4018" s="118"/>
      <c r="G4018" s="118" t="s">
        <v>3954</v>
      </c>
      <c r="H4018" s="118" t="s">
        <v>2127</v>
      </c>
      <c r="I4018" s="118" t="s">
        <v>7218</v>
      </c>
      <c r="J4018" s="118" t="s">
        <v>7234</v>
      </c>
      <c r="K4018" s="141"/>
      <c r="L4018" s="135" t="str">
        <f t="shared" si="225"/>
        <v>Procyon pygmaeus</v>
      </c>
      <c r="M4018" s="133">
        <f t="shared" si="224"/>
        <v>3.3979400000000002</v>
      </c>
      <c r="N4018" s="133">
        <v>2499.9999500797412</v>
      </c>
      <c r="O4018" s="179" t="s">
        <v>7119</v>
      </c>
      <c r="P4018" s="117">
        <v>66</v>
      </c>
      <c r="Q4018" s="88" t="s">
        <v>6640</v>
      </c>
    </row>
    <row r="4019" spans="1:19">
      <c r="A4019" s="213" t="s">
        <v>3816</v>
      </c>
      <c r="B4019" s="130"/>
      <c r="C4019" s="118" t="s">
        <v>3817</v>
      </c>
      <c r="D4019" s="141"/>
      <c r="E4019" s="118"/>
      <c r="F4019" s="118"/>
      <c r="G4019" s="118" t="s">
        <v>3954</v>
      </c>
      <c r="H4019" s="118" t="s">
        <v>2127</v>
      </c>
      <c r="I4019" s="118" t="s">
        <v>7218</v>
      </c>
      <c r="J4019" s="118" t="s">
        <v>4085</v>
      </c>
      <c r="K4019" s="141"/>
      <c r="L4019" s="135" t="str">
        <f t="shared" si="225"/>
        <v>Procyon lotor</v>
      </c>
      <c r="M4019" s="133">
        <f t="shared" si="224"/>
        <v>3.7423300000000004</v>
      </c>
      <c r="N4019" s="133">
        <v>5524.9709644247541</v>
      </c>
      <c r="O4019" s="179" t="s">
        <v>3356</v>
      </c>
      <c r="P4019" s="108">
        <v>60</v>
      </c>
    </row>
    <row r="4020" spans="1:19">
      <c r="A4020" s="213" t="s">
        <v>3816</v>
      </c>
      <c r="B4020" s="130"/>
      <c r="C4020" s="118" t="s">
        <v>3817</v>
      </c>
      <c r="D4020" s="141"/>
      <c r="E4020" s="118"/>
      <c r="F4020" s="118"/>
      <c r="G4020" s="118" t="s">
        <v>3954</v>
      </c>
      <c r="H4020" s="118" t="s">
        <v>7434</v>
      </c>
      <c r="I4020" s="118" t="s">
        <v>7435</v>
      </c>
      <c r="J4020" s="118" t="s">
        <v>7461</v>
      </c>
      <c r="K4020" s="141"/>
      <c r="L4020" s="135" t="str">
        <f t="shared" si="225"/>
        <v>Ursus americanus</v>
      </c>
      <c r="M4020" s="133">
        <f t="shared" si="224"/>
        <v>4.9997800000000012</v>
      </c>
      <c r="N4020" s="133">
        <v>99949.355956381492</v>
      </c>
      <c r="O4020" s="179" t="s">
        <v>3356</v>
      </c>
      <c r="P4020" s="108">
        <v>60</v>
      </c>
    </row>
    <row r="4021" spans="1:19">
      <c r="A4021" s="213" t="s">
        <v>3816</v>
      </c>
      <c r="B4021" s="130"/>
      <c r="C4021" s="118" t="s">
        <v>3817</v>
      </c>
      <c r="D4021" s="141"/>
      <c r="E4021" s="118"/>
      <c r="F4021" s="118"/>
      <c r="G4021" s="118" t="s">
        <v>3954</v>
      </c>
      <c r="H4021" s="118" t="s">
        <v>7434</v>
      </c>
      <c r="I4021" s="118" t="s">
        <v>7435</v>
      </c>
      <c r="J4021" s="118" t="s">
        <v>7436</v>
      </c>
      <c r="K4021" s="141"/>
      <c r="L4021" s="135" t="str">
        <f t="shared" si="225"/>
        <v>Ursus arctos</v>
      </c>
      <c r="M4021" s="133">
        <f t="shared" si="224"/>
        <v>5.1443899999999996</v>
      </c>
      <c r="N4021" s="133">
        <v>139440.84310611372</v>
      </c>
      <c r="O4021" s="179" t="s">
        <v>3356</v>
      </c>
      <c r="P4021" s="108">
        <v>60</v>
      </c>
    </row>
    <row r="4022" spans="1:19" ht="25.5">
      <c r="A4022" s="213" t="s">
        <v>3816</v>
      </c>
      <c r="B4022" s="130"/>
      <c r="C4022" s="118" t="s">
        <v>3817</v>
      </c>
      <c r="D4022" s="141"/>
      <c r="E4022" s="118"/>
      <c r="F4022" s="118"/>
      <c r="G4022" s="118" t="s">
        <v>3954</v>
      </c>
      <c r="H4022" s="118" t="s">
        <v>7434</v>
      </c>
      <c r="I4022" s="118" t="s">
        <v>7435</v>
      </c>
      <c r="J4022" s="118" t="s">
        <v>7437</v>
      </c>
      <c r="K4022" s="141"/>
      <c r="L4022" s="135" t="str">
        <f t="shared" si="225"/>
        <v>Ursus maritimus</v>
      </c>
      <c r="M4022" s="133">
        <f t="shared" si="224"/>
        <v>5.5471599999999999</v>
      </c>
      <c r="N4022" s="133">
        <v>352500.71318520396</v>
      </c>
      <c r="O4022" s="179" t="s">
        <v>6955</v>
      </c>
      <c r="P4022" s="108">
        <v>60</v>
      </c>
      <c r="Q4022" s="90" t="s">
        <v>6642</v>
      </c>
    </row>
    <row r="4023" spans="1:19" ht="38.25">
      <c r="A4023" s="212" t="s">
        <v>3816</v>
      </c>
      <c r="B4023" s="141" t="s">
        <v>1407</v>
      </c>
      <c r="C4023" s="148" t="s">
        <v>3817</v>
      </c>
      <c r="D4023" s="223"/>
      <c r="E4023" s="148"/>
      <c r="F4023" s="148"/>
      <c r="G4023" s="109" t="s">
        <v>2663</v>
      </c>
      <c r="H4023" s="148" t="s">
        <v>2839</v>
      </c>
      <c r="I4023" s="148" t="s">
        <v>1408</v>
      </c>
      <c r="J4023" s="148" t="s">
        <v>1502</v>
      </c>
      <c r="K4023" s="223"/>
      <c r="L4023" s="135" t="str">
        <f t="shared" si="225"/>
        <v>Balantiopteryx io</v>
      </c>
      <c r="M4023" s="133">
        <f t="shared" si="224"/>
        <v>0.63346845557958653</v>
      </c>
      <c r="N4023" s="149">
        <v>4.3</v>
      </c>
      <c r="O4023" s="191"/>
      <c r="P4023" s="109">
        <v>153</v>
      </c>
      <c r="R4023" s="92"/>
    </row>
    <row r="4024" spans="1:19" ht="38.25">
      <c r="A4024" s="212" t="s">
        <v>3816</v>
      </c>
      <c r="B4024" s="141" t="s">
        <v>4934</v>
      </c>
      <c r="C4024" s="148" t="s">
        <v>3817</v>
      </c>
      <c r="D4024" s="223"/>
      <c r="E4024" s="148"/>
      <c r="F4024" s="148"/>
      <c r="G4024" s="109" t="s">
        <v>2663</v>
      </c>
      <c r="H4024" s="148" t="s">
        <v>2839</v>
      </c>
      <c r="I4024" s="148" t="s">
        <v>1408</v>
      </c>
      <c r="J4024" s="148" t="s">
        <v>4935</v>
      </c>
      <c r="K4024" s="223"/>
      <c r="L4024" s="135" t="str">
        <f t="shared" si="225"/>
        <v>Balantiopteryx plicata</v>
      </c>
      <c r="M4024" s="133">
        <f t="shared" si="224"/>
        <v>0.80542533525031323</v>
      </c>
      <c r="N4024" s="149">
        <v>6.3888888888890003</v>
      </c>
      <c r="O4024" s="191"/>
      <c r="P4024" s="109">
        <v>153</v>
      </c>
      <c r="Q4024" s="91"/>
      <c r="R4024" s="92"/>
    </row>
    <row r="4025" spans="1:19" ht="25.5">
      <c r="A4025" s="212" t="s">
        <v>3816</v>
      </c>
      <c r="B4025" s="141" t="s">
        <v>4938</v>
      </c>
      <c r="C4025" s="148" t="s">
        <v>3817</v>
      </c>
      <c r="D4025" s="223"/>
      <c r="E4025" s="148"/>
      <c r="F4025" s="148"/>
      <c r="G4025" s="109" t="s">
        <v>2663</v>
      </c>
      <c r="H4025" s="148" t="s">
        <v>2839</v>
      </c>
      <c r="I4025" s="148" t="s">
        <v>4773</v>
      </c>
      <c r="J4025" s="148" t="s">
        <v>4933</v>
      </c>
      <c r="K4025" s="223"/>
      <c r="L4025" s="135" t="str">
        <f t="shared" si="225"/>
        <v>Centronycteris maximiliani</v>
      </c>
      <c r="M4025" s="151">
        <f t="shared" ref="M4025:M4088" si="226">LOG(N4025)</f>
        <v>0.69897000433601886</v>
      </c>
      <c r="N4025" s="151">
        <v>5</v>
      </c>
      <c r="O4025" s="189"/>
      <c r="P4025" s="109">
        <v>246</v>
      </c>
      <c r="Q4025" s="91"/>
      <c r="R4025" s="83"/>
    </row>
    <row r="4026" spans="1:19" ht="25.5">
      <c r="A4026" s="212" t="s">
        <v>3816</v>
      </c>
      <c r="B4026" s="141" t="s">
        <v>1637</v>
      </c>
      <c r="C4026" s="148" t="s">
        <v>3817</v>
      </c>
      <c r="D4026" s="223"/>
      <c r="E4026" s="148"/>
      <c r="F4026" s="148"/>
      <c r="G4026" s="109" t="s">
        <v>2663</v>
      </c>
      <c r="H4026" s="148" t="s">
        <v>2839</v>
      </c>
      <c r="I4026" s="148" t="s">
        <v>1638</v>
      </c>
      <c r="J4026" s="148" t="s">
        <v>5644</v>
      </c>
      <c r="K4026" s="223"/>
      <c r="L4026" s="135" t="str">
        <f t="shared" si="225"/>
        <v>Cormura brevirostris</v>
      </c>
      <c r="M4026" s="133">
        <f t="shared" si="226"/>
        <v>0.96260607292412703</v>
      </c>
      <c r="N4026" s="149">
        <v>9.1750000000000007</v>
      </c>
      <c r="O4026" s="191"/>
      <c r="P4026" s="109">
        <v>153</v>
      </c>
      <c r="Q4026" s="91"/>
      <c r="R4026" s="82"/>
    </row>
    <row r="4027" spans="1:19" ht="38.25">
      <c r="A4027" s="212" t="s">
        <v>3816</v>
      </c>
      <c r="B4027" s="141" t="s">
        <v>1291</v>
      </c>
      <c r="C4027" s="148" t="s">
        <v>3817</v>
      </c>
      <c r="D4027" s="223"/>
      <c r="E4027" s="148"/>
      <c r="F4027" s="148"/>
      <c r="G4027" s="109" t="s">
        <v>2663</v>
      </c>
      <c r="H4027" s="148" t="s">
        <v>2839</v>
      </c>
      <c r="I4027" s="148" t="s">
        <v>1292</v>
      </c>
      <c r="J4027" s="148" t="s">
        <v>6087</v>
      </c>
      <c r="K4027" s="223"/>
      <c r="L4027" s="135" t="str">
        <f t="shared" si="225"/>
        <v>Cyttarops alecto</v>
      </c>
      <c r="M4027" s="133">
        <f t="shared" si="226"/>
        <v>0.72427586960078905</v>
      </c>
      <c r="N4027" s="149">
        <v>5.3</v>
      </c>
      <c r="O4027" s="191"/>
      <c r="P4027" s="109">
        <v>153</v>
      </c>
      <c r="Q4027" s="91"/>
      <c r="R4027" s="82"/>
    </row>
    <row r="4028" spans="1:19" ht="25.5">
      <c r="A4028" s="212" t="s">
        <v>3816</v>
      </c>
      <c r="B4028" s="141" t="s">
        <v>1509</v>
      </c>
      <c r="C4028" s="148" t="s">
        <v>3817</v>
      </c>
      <c r="D4028" s="223"/>
      <c r="E4028" s="148"/>
      <c r="F4028" s="148"/>
      <c r="G4028" s="109" t="s">
        <v>2663</v>
      </c>
      <c r="H4028" s="148" t="s">
        <v>2839</v>
      </c>
      <c r="I4028" s="148" t="s">
        <v>1731</v>
      </c>
      <c r="J4028" s="148" t="s">
        <v>1192</v>
      </c>
      <c r="K4028" s="223"/>
      <c r="L4028" s="135" t="str">
        <f t="shared" si="225"/>
        <v>Diclidurus albus</v>
      </c>
      <c r="M4028" s="133">
        <f t="shared" si="226"/>
        <v>1.1931245983544616</v>
      </c>
      <c r="N4028" s="149">
        <v>15.6</v>
      </c>
      <c r="O4028" s="191"/>
      <c r="P4028" s="109">
        <v>153</v>
      </c>
      <c r="Q4028" s="91"/>
      <c r="R4028" s="82"/>
      <c r="S4028" s="92"/>
    </row>
    <row r="4029" spans="1:19" ht="102">
      <c r="A4029" s="212" t="s">
        <v>3816</v>
      </c>
      <c r="B4029" s="130" t="s">
        <v>4533</v>
      </c>
      <c r="C4029" s="153" t="s">
        <v>3817</v>
      </c>
      <c r="D4029" s="224"/>
      <c r="E4029" s="153"/>
      <c r="F4029" s="153"/>
      <c r="G4029" s="109" t="s">
        <v>2663</v>
      </c>
      <c r="H4029" s="153" t="s">
        <v>2839</v>
      </c>
      <c r="I4029" s="153" t="s">
        <v>1452</v>
      </c>
      <c r="J4029" s="153" t="s">
        <v>4141</v>
      </c>
      <c r="K4029" s="224"/>
      <c r="L4029" s="135" t="str">
        <f t="shared" si="225"/>
        <v>Peropteryx macrotis</v>
      </c>
      <c r="M4029" s="133">
        <f t="shared" si="226"/>
        <v>0.73399928653838686</v>
      </c>
      <c r="N4029" s="149">
        <v>5.42</v>
      </c>
      <c r="O4029" s="191"/>
      <c r="P4029" s="109">
        <v>153</v>
      </c>
      <c r="Q4029" s="91"/>
      <c r="S4029" s="92"/>
    </row>
    <row r="4030" spans="1:19" ht="25.5">
      <c r="A4030" s="212" t="s">
        <v>3816</v>
      </c>
      <c r="B4030" s="141" t="s">
        <v>1793</v>
      </c>
      <c r="C4030" s="148" t="s">
        <v>3817</v>
      </c>
      <c r="D4030" s="223"/>
      <c r="E4030" s="148"/>
      <c r="F4030" s="148"/>
      <c r="G4030" s="109" t="s">
        <v>2663</v>
      </c>
      <c r="H4030" s="148" t="s">
        <v>2839</v>
      </c>
      <c r="I4030" s="148" t="s">
        <v>1452</v>
      </c>
      <c r="J4030" s="148" t="s">
        <v>6423</v>
      </c>
      <c r="K4030" s="223"/>
      <c r="L4030" s="135" t="str">
        <f t="shared" si="225"/>
        <v>Peropteryx kappleri</v>
      </c>
      <c r="M4030" s="133">
        <f t="shared" si="226"/>
        <v>0.97405090279287732</v>
      </c>
      <c r="N4030" s="149">
        <v>9.42</v>
      </c>
      <c r="O4030" s="191"/>
      <c r="P4030" s="109">
        <v>153</v>
      </c>
      <c r="Q4030" s="91"/>
      <c r="S4030" s="82"/>
    </row>
    <row r="4031" spans="1:19" ht="63.75">
      <c r="A4031" s="212" t="s">
        <v>3816</v>
      </c>
      <c r="B4031" s="141" t="s">
        <v>4534</v>
      </c>
      <c r="C4031" s="148" t="s">
        <v>3817</v>
      </c>
      <c r="D4031" s="223"/>
      <c r="E4031" s="148"/>
      <c r="F4031" s="148"/>
      <c r="G4031" s="109" t="s">
        <v>2663</v>
      </c>
      <c r="H4031" s="148" t="s">
        <v>2839</v>
      </c>
      <c r="I4031" s="148" t="s">
        <v>4535</v>
      </c>
      <c r="J4031" s="148" t="s">
        <v>7088</v>
      </c>
      <c r="K4031" s="223"/>
      <c r="L4031" s="135" t="str">
        <f t="shared" si="225"/>
        <v>Rhynchonycteris naso</v>
      </c>
      <c r="M4031" s="133">
        <f t="shared" si="226"/>
        <v>0.6239381001884875</v>
      </c>
      <c r="N4031" s="149">
        <v>4.2066666666670001</v>
      </c>
      <c r="O4031" s="191"/>
      <c r="P4031" s="109">
        <v>153</v>
      </c>
      <c r="Q4031" s="91"/>
      <c r="S4031" s="92"/>
    </row>
    <row r="4032" spans="1:19" ht="63.75">
      <c r="A4032" s="212" t="s">
        <v>3816</v>
      </c>
      <c r="B4032" s="141" t="s">
        <v>1399</v>
      </c>
      <c r="C4032" s="148" t="s">
        <v>3817</v>
      </c>
      <c r="D4032" s="223"/>
      <c r="E4032" s="148"/>
      <c r="F4032" s="148"/>
      <c r="G4032" s="109" t="s">
        <v>2663</v>
      </c>
      <c r="H4032" s="148" t="s">
        <v>2839</v>
      </c>
      <c r="I4032" s="148" t="s">
        <v>1131</v>
      </c>
      <c r="J4032" s="148" t="s">
        <v>1400</v>
      </c>
      <c r="K4032" s="223"/>
      <c r="L4032" s="135" t="str">
        <f t="shared" si="225"/>
        <v>Saccopteryx leptura</v>
      </c>
      <c r="M4032" s="133">
        <f t="shared" si="226"/>
        <v>0.69108149212296843</v>
      </c>
      <c r="N4032" s="149">
        <v>4.91</v>
      </c>
      <c r="O4032" s="191"/>
      <c r="P4032" s="109">
        <v>153</v>
      </c>
      <c r="Q4032" s="82"/>
      <c r="S4032" s="82"/>
    </row>
    <row r="4033" spans="1:19" ht="63.75">
      <c r="A4033" s="212" t="s">
        <v>3816</v>
      </c>
      <c r="B4033" s="141" t="s">
        <v>1293</v>
      </c>
      <c r="C4033" s="150" t="s">
        <v>3817</v>
      </c>
      <c r="D4033" s="221"/>
      <c r="E4033" s="150"/>
      <c r="F4033" s="150"/>
      <c r="G4033" s="110" t="s">
        <v>2663</v>
      </c>
      <c r="H4033" s="150" t="s">
        <v>2839</v>
      </c>
      <c r="I4033" s="150" t="s">
        <v>1131</v>
      </c>
      <c r="J4033" s="150" t="s">
        <v>1243</v>
      </c>
      <c r="K4033" s="221"/>
      <c r="L4033" s="135" t="str">
        <f t="shared" si="225"/>
        <v>Saccopteryx bilineata</v>
      </c>
      <c r="M4033" s="133">
        <f t="shared" si="226"/>
        <v>0.90880029619332359</v>
      </c>
      <c r="N4033" s="152">
        <v>8.1058823529410002</v>
      </c>
      <c r="O4033" s="191"/>
      <c r="P4033" s="109">
        <v>153</v>
      </c>
      <c r="Q4033" s="82"/>
      <c r="S4033" s="82"/>
    </row>
    <row r="4034" spans="1:19" ht="15" customHeight="1">
      <c r="A4034" s="212" t="s">
        <v>3816</v>
      </c>
      <c r="B4034" s="141" t="s">
        <v>4569</v>
      </c>
      <c r="C4034" s="148" t="s">
        <v>3817</v>
      </c>
      <c r="D4034" s="223"/>
      <c r="E4034" s="148"/>
      <c r="F4034" s="148"/>
      <c r="G4034" s="109" t="s">
        <v>2663</v>
      </c>
      <c r="H4034" s="148" t="s">
        <v>1398</v>
      </c>
      <c r="I4034" s="148" t="s">
        <v>4570</v>
      </c>
      <c r="J4034" s="148" t="s">
        <v>4413</v>
      </c>
      <c r="K4034" s="223"/>
      <c r="L4034" s="135" t="str">
        <f t="shared" si="225"/>
        <v>Furipterus horrens</v>
      </c>
      <c r="M4034" s="133">
        <f t="shared" si="226"/>
        <v>0.50197164591870946</v>
      </c>
      <c r="N4034" s="149">
        <v>3.1766666666669998</v>
      </c>
      <c r="O4034" s="191"/>
      <c r="P4034" s="109">
        <v>153</v>
      </c>
      <c r="Q4034" s="91"/>
      <c r="R4034" s="92"/>
    </row>
    <row r="4035" spans="1:19" ht="63.75">
      <c r="A4035" s="212" t="s">
        <v>3816</v>
      </c>
      <c r="B4035" s="141" t="s">
        <v>1449</v>
      </c>
      <c r="C4035" s="148" t="s">
        <v>3817</v>
      </c>
      <c r="D4035" s="223"/>
      <c r="E4035" s="148"/>
      <c r="F4035" s="148"/>
      <c r="G4035" s="109" t="s">
        <v>2663</v>
      </c>
      <c r="H4035" s="148" t="s">
        <v>2533</v>
      </c>
      <c r="I4035" s="148" t="s">
        <v>4536</v>
      </c>
      <c r="J4035" s="148" t="s">
        <v>5254</v>
      </c>
      <c r="K4035" s="223"/>
      <c r="L4035" s="135" t="str">
        <f t="shared" si="225"/>
        <v>Eumops bonariensis</v>
      </c>
      <c r="M4035" s="133">
        <f t="shared" si="226"/>
        <v>1.0755469613925308</v>
      </c>
      <c r="N4035" s="149">
        <v>11.9</v>
      </c>
      <c r="O4035" s="191"/>
      <c r="P4035" s="109">
        <v>153</v>
      </c>
    </row>
    <row r="4036" spans="1:19" ht="51">
      <c r="A4036" s="212" t="s">
        <v>3816</v>
      </c>
      <c r="B4036" s="141" t="s">
        <v>4537</v>
      </c>
      <c r="C4036" s="150" t="s">
        <v>3817</v>
      </c>
      <c r="D4036" s="221"/>
      <c r="E4036" s="150"/>
      <c r="F4036" s="150"/>
      <c r="G4036" s="110" t="s">
        <v>2663</v>
      </c>
      <c r="H4036" s="148" t="s">
        <v>2533</v>
      </c>
      <c r="I4036" s="150" t="s">
        <v>4536</v>
      </c>
      <c r="J4036" s="150" t="s">
        <v>4538</v>
      </c>
      <c r="K4036" s="221"/>
      <c r="L4036" s="135" t="str">
        <f t="shared" si="225"/>
        <v>Eumops hansae</v>
      </c>
      <c r="M4036" s="133">
        <f t="shared" si="226"/>
        <v>1.1775364999298621</v>
      </c>
      <c r="N4036" s="152">
        <v>15.05</v>
      </c>
      <c r="O4036" s="191"/>
      <c r="P4036" s="109">
        <v>153</v>
      </c>
    </row>
    <row r="4037" spans="1:19" ht="51">
      <c r="A4037" s="212" t="s">
        <v>3816</v>
      </c>
      <c r="B4037" s="141" t="s">
        <v>4539</v>
      </c>
      <c r="C4037" s="150" t="s">
        <v>3817</v>
      </c>
      <c r="D4037" s="221"/>
      <c r="E4037" s="150"/>
      <c r="F4037" s="150"/>
      <c r="G4037" s="110" t="s">
        <v>2663</v>
      </c>
      <c r="H4037" s="150" t="s">
        <v>2533</v>
      </c>
      <c r="I4037" s="150" t="s">
        <v>4536</v>
      </c>
      <c r="J4037" s="150" t="s">
        <v>4540</v>
      </c>
      <c r="K4037" s="221"/>
      <c r="L4037" s="135" t="str">
        <f t="shared" ref="L4037:L4100" si="227">I4037&amp;" "&amp;J4037</f>
        <v>Eumops auripendulus</v>
      </c>
      <c r="M4037" s="133">
        <f t="shared" si="226"/>
        <v>1.4540822707310899</v>
      </c>
      <c r="N4037" s="152">
        <v>28.45</v>
      </c>
      <c r="O4037" s="191"/>
      <c r="P4037" s="109">
        <v>153</v>
      </c>
    </row>
    <row r="4038" spans="1:19" ht="51">
      <c r="A4038" s="212" t="s">
        <v>3816</v>
      </c>
      <c r="B4038" s="141" t="s">
        <v>1794</v>
      </c>
      <c r="C4038" s="150" t="s">
        <v>3817</v>
      </c>
      <c r="D4038" s="221"/>
      <c r="E4038" s="150"/>
      <c r="F4038" s="150"/>
      <c r="G4038" s="110" t="s">
        <v>2663</v>
      </c>
      <c r="H4038" s="150" t="s">
        <v>2533</v>
      </c>
      <c r="I4038" s="150" t="s">
        <v>4536</v>
      </c>
      <c r="J4038" s="150" t="s">
        <v>1795</v>
      </c>
      <c r="K4038" s="221"/>
      <c r="L4038" s="135" t="str">
        <f t="shared" si="227"/>
        <v>Eumops glaucinus</v>
      </c>
      <c r="M4038" s="133">
        <f t="shared" si="226"/>
        <v>1.5487987437823512</v>
      </c>
      <c r="N4038" s="152">
        <v>35.383333333332999</v>
      </c>
      <c r="O4038" s="191"/>
      <c r="P4038" s="109">
        <v>153</v>
      </c>
    </row>
    <row r="4039" spans="1:19" ht="63.75">
      <c r="A4039" s="212" t="s">
        <v>3816</v>
      </c>
      <c r="B4039" s="130" t="s">
        <v>4873</v>
      </c>
      <c r="C4039" s="155" t="s">
        <v>3817</v>
      </c>
      <c r="D4039" s="225"/>
      <c r="E4039" s="155"/>
      <c r="F4039" s="155"/>
      <c r="G4039" s="110" t="s">
        <v>2663</v>
      </c>
      <c r="H4039" s="155" t="s">
        <v>2533</v>
      </c>
      <c r="I4039" s="155" t="s">
        <v>4536</v>
      </c>
      <c r="J4039" s="155" t="s">
        <v>1797</v>
      </c>
      <c r="K4039" s="225"/>
      <c r="L4039" s="135" t="str">
        <f t="shared" si="227"/>
        <v>Eumops perotis</v>
      </c>
      <c r="M4039" s="133">
        <f t="shared" si="226"/>
        <v>1.708675792726537</v>
      </c>
      <c r="N4039" s="152">
        <v>51.13</v>
      </c>
      <c r="O4039" s="191"/>
      <c r="P4039" s="109">
        <v>153</v>
      </c>
    </row>
    <row r="4040" spans="1:19" ht="25.5">
      <c r="A4040" s="212" t="s">
        <v>3816</v>
      </c>
      <c r="B4040" s="141" t="s">
        <v>1365</v>
      </c>
      <c r="C4040" s="150" t="s">
        <v>3817</v>
      </c>
      <c r="D4040" s="221"/>
      <c r="E4040" s="150"/>
      <c r="F4040" s="150"/>
      <c r="G4040" s="110" t="s">
        <v>2663</v>
      </c>
      <c r="H4040" s="150" t="s">
        <v>2533</v>
      </c>
      <c r="I4040" s="150" t="s">
        <v>4536</v>
      </c>
      <c r="J4040" s="150" t="s">
        <v>6738</v>
      </c>
      <c r="K4040" s="221"/>
      <c r="L4040" s="135" t="str">
        <f t="shared" si="227"/>
        <v>Eumops underwoodi</v>
      </c>
      <c r="M4040" s="133">
        <f t="shared" si="226"/>
        <v>1.7379873263334309</v>
      </c>
      <c r="N4040" s="152">
        <v>54.7</v>
      </c>
      <c r="O4040" s="191"/>
      <c r="P4040" s="109">
        <v>153</v>
      </c>
    </row>
    <row r="4041" spans="1:19" ht="38.25">
      <c r="A4041" s="212" t="s">
        <v>3816</v>
      </c>
      <c r="B4041" s="141" t="s">
        <v>1598</v>
      </c>
      <c r="C4041" s="148" t="s">
        <v>3817</v>
      </c>
      <c r="D4041" s="223"/>
      <c r="E4041" s="148"/>
      <c r="F4041" s="148"/>
      <c r="G4041" s="109" t="s">
        <v>2663</v>
      </c>
      <c r="H4041" s="148" t="s">
        <v>2533</v>
      </c>
      <c r="I4041" s="148" t="s">
        <v>1601</v>
      </c>
      <c r="J4041" s="148" t="s">
        <v>1491</v>
      </c>
      <c r="K4041" s="223"/>
      <c r="L4041" s="135" t="str">
        <f t="shared" si="227"/>
        <v>Molossops planirostris</v>
      </c>
      <c r="M4041" s="133">
        <f t="shared" si="226"/>
        <v>1.0941715463244894</v>
      </c>
      <c r="N4041" s="149">
        <v>12.421428571429001</v>
      </c>
      <c r="O4041" s="191"/>
      <c r="P4041" s="109">
        <v>153</v>
      </c>
    </row>
    <row r="4042" spans="1:19" ht="38.25">
      <c r="A4042" s="212" t="s">
        <v>3816</v>
      </c>
      <c r="B4042" s="141" t="s">
        <v>1705</v>
      </c>
      <c r="C4042" s="150" t="s">
        <v>3817</v>
      </c>
      <c r="D4042" s="221"/>
      <c r="E4042" s="150"/>
      <c r="F4042" s="150"/>
      <c r="G4042" s="110" t="s">
        <v>2663</v>
      </c>
      <c r="H4042" s="148" t="s">
        <v>2533</v>
      </c>
      <c r="I4042" s="150" t="s">
        <v>1601</v>
      </c>
      <c r="J4042" s="150" t="s">
        <v>1599</v>
      </c>
      <c r="K4042" s="221"/>
      <c r="L4042" s="135" t="str">
        <f t="shared" si="227"/>
        <v>Molossops greenhalli</v>
      </c>
      <c r="M4042" s="133">
        <f t="shared" si="226"/>
        <v>1.1751250862836704</v>
      </c>
      <c r="N4042" s="152">
        <v>14.966666666667001</v>
      </c>
      <c r="O4042" s="191"/>
      <c r="P4042" s="109">
        <v>153</v>
      </c>
    </row>
    <row r="4043" spans="1:19" ht="114.75">
      <c r="A4043" s="110" t="s">
        <v>3816</v>
      </c>
      <c r="B4043" s="130" t="s">
        <v>1831</v>
      </c>
      <c r="C4043" s="153" t="s">
        <v>3817</v>
      </c>
      <c r="D4043" s="224"/>
      <c r="E4043" s="153"/>
      <c r="F4043" s="153"/>
      <c r="G4043" s="109" t="s">
        <v>2663</v>
      </c>
      <c r="H4043" s="153" t="s">
        <v>2533</v>
      </c>
      <c r="I4043" s="153" t="s">
        <v>1832</v>
      </c>
      <c r="J4043" s="153" t="s">
        <v>1833</v>
      </c>
      <c r="K4043" s="224"/>
      <c r="L4043" s="135" t="str">
        <f t="shared" si="227"/>
        <v>Molossus molossus</v>
      </c>
      <c r="M4043" s="133">
        <f t="shared" si="226"/>
        <v>1.1328997699444829</v>
      </c>
      <c r="N4043" s="149">
        <v>13.58</v>
      </c>
      <c r="O4043" s="191"/>
      <c r="P4043" s="109">
        <v>153</v>
      </c>
    </row>
    <row r="4044" spans="1:19" ht="38.25">
      <c r="A4044" s="212" t="s">
        <v>3816</v>
      </c>
      <c r="B4044" s="130" t="s">
        <v>1494</v>
      </c>
      <c r="C4044" s="153" t="s">
        <v>3817</v>
      </c>
      <c r="D4044" s="224"/>
      <c r="E4044" s="153"/>
      <c r="F4044" s="153"/>
      <c r="G4044" s="109" t="s">
        <v>2663</v>
      </c>
      <c r="H4044" s="153" t="s">
        <v>2533</v>
      </c>
      <c r="I4044" s="153" t="s">
        <v>1832</v>
      </c>
      <c r="J4044" s="153" t="s">
        <v>1495</v>
      </c>
      <c r="K4044" s="224"/>
      <c r="L4044" s="135" t="str">
        <f t="shared" si="227"/>
        <v>Molossus bondae</v>
      </c>
      <c r="M4044" s="133">
        <f t="shared" si="226"/>
        <v>1.2504200023088941</v>
      </c>
      <c r="N4044" s="149">
        <v>17.8</v>
      </c>
      <c r="O4044" s="191"/>
      <c r="P4044" s="109">
        <v>153</v>
      </c>
    </row>
    <row r="4045" spans="1:19" ht="38.25">
      <c r="A4045" s="212" t="s">
        <v>3816</v>
      </c>
      <c r="B4045" s="144" t="s">
        <v>1641</v>
      </c>
      <c r="C4045" s="155" t="s">
        <v>3817</v>
      </c>
      <c r="D4045" s="225"/>
      <c r="E4045" s="155"/>
      <c r="F4045" s="155"/>
      <c r="G4045" s="110" t="s">
        <v>2663</v>
      </c>
      <c r="H4045" s="153" t="s">
        <v>2533</v>
      </c>
      <c r="I4045" s="155" t="s">
        <v>1832</v>
      </c>
      <c r="J4045" s="155" t="s">
        <v>1401</v>
      </c>
      <c r="K4045" s="225"/>
      <c r="L4045" s="135" t="str">
        <f t="shared" si="227"/>
        <v>Molossus sinaloae</v>
      </c>
      <c r="M4045" s="133">
        <f t="shared" si="226"/>
        <v>1.3537239375889489</v>
      </c>
      <c r="N4045" s="152">
        <v>22.58</v>
      </c>
      <c r="O4045" s="191"/>
      <c r="P4045" s="109">
        <v>153</v>
      </c>
    </row>
    <row r="4046" spans="1:19" ht="51">
      <c r="A4046" s="212" t="s">
        <v>3816</v>
      </c>
      <c r="B4046" s="141" t="s">
        <v>464</v>
      </c>
      <c r="C4046" s="150" t="s">
        <v>3817</v>
      </c>
      <c r="D4046" s="221"/>
      <c r="E4046" s="150"/>
      <c r="F4046" s="150"/>
      <c r="G4046" s="110" t="s">
        <v>2663</v>
      </c>
      <c r="H4046" s="150" t="s">
        <v>2533</v>
      </c>
      <c r="I4046" s="150" t="s">
        <v>1832</v>
      </c>
      <c r="J4046" s="150" t="s">
        <v>465</v>
      </c>
      <c r="K4046" s="221"/>
      <c r="L4046" s="135" t="str">
        <f t="shared" si="227"/>
        <v>Molossus pretiosus</v>
      </c>
      <c r="M4046" s="133">
        <f t="shared" si="226"/>
        <v>1.4313637641589874</v>
      </c>
      <c r="N4046" s="151">
        <v>27</v>
      </c>
      <c r="O4046" s="183"/>
      <c r="P4046" s="109">
        <v>250</v>
      </c>
    </row>
    <row r="4047" spans="1:19" ht="51">
      <c r="A4047" s="212" t="s">
        <v>3816</v>
      </c>
      <c r="B4047" s="130" t="s">
        <v>4422</v>
      </c>
      <c r="C4047" s="155" t="s">
        <v>3817</v>
      </c>
      <c r="D4047" s="225"/>
      <c r="E4047" s="155"/>
      <c r="F4047" s="155"/>
      <c r="G4047" s="110" t="s">
        <v>2663</v>
      </c>
      <c r="H4047" s="155" t="s">
        <v>2533</v>
      </c>
      <c r="I4047" s="155" t="s">
        <v>1832</v>
      </c>
      <c r="J4047" s="155" t="s">
        <v>5946</v>
      </c>
      <c r="K4047" s="225"/>
      <c r="L4047" s="135" t="str">
        <f t="shared" si="227"/>
        <v>Molossus ater</v>
      </c>
      <c r="M4047" s="133">
        <f t="shared" si="226"/>
        <v>1.500510910526337</v>
      </c>
      <c r="N4047" s="152">
        <v>31.66</v>
      </c>
      <c r="O4047" s="191"/>
      <c r="P4047" s="109">
        <v>153</v>
      </c>
    </row>
    <row r="4048" spans="1:19" ht="51">
      <c r="A4048" s="212" t="s">
        <v>3816</v>
      </c>
      <c r="B4048" s="130" t="s">
        <v>1785</v>
      </c>
      <c r="C4048" s="153" t="s">
        <v>3817</v>
      </c>
      <c r="D4048" s="224"/>
      <c r="E4048" s="153"/>
      <c r="F4048" s="153"/>
      <c r="G4048" s="109" t="s">
        <v>2663</v>
      </c>
      <c r="H4048" s="153" t="s">
        <v>2533</v>
      </c>
      <c r="I4048" s="153" t="s">
        <v>4349</v>
      </c>
      <c r="J4048" s="153" t="s">
        <v>5515</v>
      </c>
      <c r="K4048" s="224"/>
      <c r="L4048" s="135" t="str">
        <f t="shared" si="227"/>
        <v>Nyctinomops laticaudatus</v>
      </c>
      <c r="M4048" s="133">
        <f t="shared" si="226"/>
        <v>1.0870712059065355</v>
      </c>
      <c r="N4048" s="149">
        <v>12.22</v>
      </c>
      <c r="O4048" s="191"/>
      <c r="P4048" s="109">
        <v>153</v>
      </c>
    </row>
    <row r="4049" spans="1:16" ht="51">
      <c r="A4049" s="212" t="s">
        <v>3816</v>
      </c>
      <c r="B4049" s="141" t="s">
        <v>1441</v>
      </c>
      <c r="C4049" s="150" t="s">
        <v>3817</v>
      </c>
      <c r="D4049" s="221"/>
      <c r="E4049" s="150"/>
      <c r="F4049" s="150"/>
      <c r="G4049" s="110" t="s">
        <v>2663</v>
      </c>
      <c r="H4049" s="148" t="s">
        <v>2533</v>
      </c>
      <c r="I4049" s="150" t="s">
        <v>4349</v>
      </c>
      <c r="J4049" s="150" t="s">
        <v>1442</v>
      </c>
      <c r="K4049" s="221"/>
      <c r="L4049" s="135" t="str">
        <f t="shared" si="227"/>
        <v>Nyctinomops femorosaccus</v>
      </c>
      <c r="M4049" s="133">
        <f t="shared" si="226"/>
        <v>1.1650958747542182</v>
      </c>
      <c r="N4049" s="152">
        <v>14.625</v>
      </c>
      <c r="O4049" s="191"/>
      <c r="P4049" s="109">
        <v>153</v>
      </c>
    </row>
    <row r="4050" spans="1:16" ht="38.25">
      <c r="A4050" s="212" t="s">
        <v>3816</v>
      </c>
      <c r="B4050" s="141" t="s">
        <v>4526</v>
      </c>
      <c r="C4050" s="150" t="s">
        <v>3817</v>
      </c>
      <c r="D4050" s="221"/>
      <c r="E4050" s="150"/>
      <c r="F4050" s="150"/>
      <c r="G4050" s="110" t="s">
        <v>2663</v>
      </c>
      <c r="H4050" s="148" t="s">
        <v>2533</v>
      </c>
      <c r="I4050" s="150" t="s">
        <v>4349</v>
      </c>
      <c r="J4050" s="150" t="s">
        <v>4527</v>
      </c>
      <c r="K4050" s="221"/>
      <c r="L4050" s="135" t="str">
        <f t="shared" si="227"/>
        <v>Nyctinomops aurispinosus</v>
      </c>
      <c r="M4050" s="133">
        <f t="shared" si="226"/>
        <v>1.2540644529143379</v>
      </c>
      <c r="N4050" s="152">
        <v>17.95</v>
      </c>
      <c r="O4050" s="191"/>
      <c r="P4050" s="109">
        <v>153</v>
      </c>
    </row>
    <row r="4051" spans="1:16" ht="51">
      <c r="A4051" s="212" t="s">
        <v>3816</v>
      </c>
      <c r="B4051" s="141" t="s">
        <v>2013</v>
      </c>
      <c r="C4051" s="150" t="s">
        <v>3817</v>
      </c>
      <c r="D4051" s="221"/>
      <c r="E4051" s="150"/>
      <c r="F4051" s="150"/>
      <c r="G4051" s="110" t="s">
        <v>2663</v>
      </c>
      <c r="H4051" s="148" t="s">
        <v>2533</v>
      </c>
      <c r="I4051" s="150" t="s">
        <v>4349</v>
      </c>
      <c r="J4051" s="150" t="s">
        <v>4141</v>
      </c>
      <c r="K4051" s="221"/>
      <c r="L4051" s="135" t="str">
        <f t="shared" si="227"/>
        <v>Nyctinomops macrotis</v>
      </c>
      <c r="M4051" s="133">
        <f t="shared" si="226"/>
        <v>1.2648178230095364</v>
      </c>
      <c r="N4051" s="152">
        <v>18.399999999999999</v>
      </c>
      <c r="O4051" s="191"/>
      <c r="P4051" s="109">
        <v>153</v>
      </c>
    </row>
    <row r="4052" spans="1:16" ht="51">
      <c r="A4052" s="212" t="s">
        <v>3816</v>
      </c>
      <c r="B4052" s="130" t="s">
        <v>1627</v>
      </c>
      <c r="C4052" s="155" t="s">
        <v>3817</v>
      </c>
      <c r="D4052" s="225"/>
      <c r="E4052" s="155"/>
      <c r="F4052" s="155"/>
      <c r="G4052" s="110" t="s">
        <v>2663</v>
      </c>
      <c r="H4052" s="155" t="s">
        <v>2533</v>
      </c>
      <c r="I4052" s="155" t="s">
        <v>4532</v>
      </c>
      <c r="J4052" s="155" t="s">
        <v>3499</v>
      </c>
      <c r="K4052" s="225"/>
      <c r="L4052" s="135" t="str">
        <f t="shared" si="227"/>
        <v>Promops centralis</v>
      </c>
      <c r="M4052" s="133">
        <f t="shared" si="226"/>
        <v>1.4211101297934343</v>
      </c>
      <c r="N4052" s="152">
        <v>26.37</v>
      </c>
      <c r="O4052" s="191"/>
      <c r="P4052" s="109">
        <v>153</v>
      </c>
    </row>
    <row r="4053" spans="1:16" ht="63.75">
      <c r="A4053" s="212" t="s">
        <v>3816</v>
      </c>
      <c r="B4053" s="130" t="s">
        <v>1788</v>
      </c>
      <c r="C4053" s="155" t="s">
        <v>3817</v>
      </c>
      <c r="D4053" s="225"/>
      <c r="E4053" s="155"/>
      <c r="F4053" s="155"/>
      <c r="G4053" s="110" t="s">
        <v>2663</v>
      </c>
      <c r="H4053" s="155" t="s">
        <v>2533</v>
      </c>
      <c r="I4053" s="155" t="s">
        <v>2501</v>
      </c>
      <c r="J4053" s="155" t="s">
        <v>4467</v>
      </c>
      <c r="K4053" s="225"/>
      <c r="L4053" s="135" t="str">
        <f t="shared" si="227"/>
        <v>Tadarida brasiliensis</v>
      </c>
      <c r="M4053" s="133">
        <f t="shared" si="226"/>
        <v>1.0965624383741355</v>
      </c>
      <c r="N4053" s="152">
        <v>12.49</v>
      </c>
      <c r="O4053" s="191"/>
      <c r="P4053" s="109">
        <v>153</v>
      </c>
    </row>
    <row r="4054" spans="1:16" ht="102">
      <c r="A4054" s="212" t="s">
        <v>3816</v>
      </c>
      <c r="B4054" s="130" t="s">
        <v>731</v>
      </c>
      <c r="C4054" s="155" t="s">
        <v>3817</v>
      </c>
      <c r="D4054" s="225"/>
      <c r="E4054" s="155"/>
      <c r="F4054" s="155"/>
      <c r="G4054" s="110" t="s">
        <v>2663</v>
      </c>
      <c r="H4054" s="153" t="s">
        <v>4686</v>
      </c>
      <c r="I4054" s="155" t="s">
        <v>4687</v>
      </c>
      <c r="J4054" s="155" t="s">
        <v>653</v>
      </c>
      <c r="K4054" s="225"/>
      <c r="L4054" s="135" t="str">
        <f t="shared" si="227"/>
        <v>Mormoops megalophylla</v>
      </c>
      <c r="M4054" s="133">
        <f t="shared" si="226"/>
        <v>1.2027606873932</v>
      </c>
      <c r="N4054" s="152">
        <v>15.95</v>
      </c>
      <c r="O4054" s="191"/>
      <c r="P4054" s="109">
        <v>153</v>
      </c>
    </row>
    <row r="4055" spans="1:16" ht="51">
      <c r="A4055" s="212" t="s">
        <v>3816</v>
      </c>
      <c r="B4055" s="141" t="s">
        <v>1503</v>
      </c>
      <c r="C4055" s="148" t="s">
        <v>3817</v>
      </c>
      <c r="D4055" s="223"/>
      <c r="E4055" s="148"/>
      <c r="F4055" s="148"/>
      <c r="G4055" s="109" t="s">
        <v>2663</v>
      </c>
      <c r="H4055" s="148" t="s">
        <v>4686</v>
      </c>
      <c r="I4055" s="148" t="s">
        <v>869</v>
      </c>
      <c r="J4055" s="148" t="s">
        <v>3251</v>
      </c>
      <c r="K4055" s="223"/>
      <c r="L4055" s="135" t="str">
        <f t="shared" si="227"/>
        <v>Pteronotus personatus</v>
      </c>
      <c r="M4055" s="133">
        <f t="shared" si="226"/>
        <v>0.93993504439943132</v>
      </c>
      <c r="N4055" s="149">
        <v>8.708333333333</v>
      </c>
      <c r="O4055" s="191"/>
      <c r="P4055" s="109">
        <v>153</v>
      </c>
    </row>
    <row r="4056" spans="1:16" ht="63.75">
      <c r="A4056" s="212" t="s">
        <v>3816</v>
      </c>
      <c r="B4056" s="130" t="s">
        <v>4592</v>
      </c>
      <c r="C4056" s="153" t="s">
        <v>3817</v>
      </c>
      <c r="D4056" s="224"/>
      <c r="E4056" s="153"/>
      <c r="F4056" s="153"/>
      <c r="G4056" s="109" t="s">
        <v>2663</v>
      </c>
      <c r="H4056" s="153" t="s">
        <v>4686</v>
      </c>
      <c r="I4056" s="153" t="s">
        <v>869</v>
      </c>
      <c r="J4056" s="153" t="s">
        <v>4423</v>
      </c>
      <c r="K4056" s="224"/>
      <c r="L4056" s="135" t="str">
        <f t="shared" si="227"/>
        <v>Pteronotus davyi</v>
      </c>
      <c r="M4056" s="133">
        <f t="shared" si="226"/>
        <v>0.96425963019684902</v>
      </c>
      <c r="N4056" s="149">
        <v>9.2100000000000009</v>
      </c>
      <c r="O4056" s="191"/>
      <c r="P4056" s="109">
        <v>153</v>
      </c>
    </row>
    <row r="4057" spans="1:16" ht="38.25">
      <c r="A4057" s="212" t="s">
        <v>3816</v>
      </c>
      <c r="B4057" s="141" t="s">
        <v>2033</v>
      </c>
      <c r="C4057" s="148" t="s">
        <v>3817</v>
      </c>
      <c r="D4057" s="223"/>
      <c r="E4057" s="148"/>
      <c r="F4057" s="148"/>
      <c r="G4057" s="109" t="s">
        <v>2663</v>
      </c>
      <c r="H4057" s="148" t="s">
        <v>4686</v>
      </c>
      <c r="I4057" s="148" t="s">
        <v>869</v>
      </c>
      <c r="J4057" s="148" t="s">
        <v>4596</v>
      </c>
      <c r="K4057" s="223"/>
      <c r="L4057" s="135" t="str">
        <f t="shared" si="227"/>
        <v>Pteronotus gymnonotus</v>
      </c>
      <c r="M4057" s="133">
        <f t="shared" si="226"/>
        <v>1.1591158218277691</v>
      </c>
      <c r="N4057" s="149">
        <v>14.425000000000001</v>
      </c>
      <c r="O4057" s="191"/>
      <c r="P4057" s="109">
        <v>153</v>
      </c>
    </row>
    <row r="4058" spans="1:16" ht="102">
      <c r="A4058" s="212" t="s">
        <v>3816</v>
      </c>
      <c r="B4058" s="130" t="s">
        <v>458</v>
      </c>
      <c r="C4058" s="155" t="s">
        <v>3817</v>
      </c>
      <c r="D4058" s="225"/>
      <c r="E4058" s="155"/>
      <c r="F4058" s="155"/>
      <c r="G4058" s="110" t="s">
        <v>2663</v>
      </c>
      <c r="H4058" s="153" t="s">
        <v>4686</v>
      </c>
      <c r="I4058" s="155" t="s">
        <v>869</v>
      </c>
      <c r="J4058" s="155" t="s">
        <v>419</v>
      </c>
      <c r="K4058" s="225"/>
      <c r="L4058" s="135" t="str">
        <f t="shared" si="227"/>
        <v>Pteronotus parnellii</v>
      </c>
      <c r="M4058" s="133">
        <f t="shared" si="226"/>
        <v>1.2938043599193367</v>
      </c>
      <c r="N4058" s="152">
        <v>19.670000000000002</v>
      </c>
      <c r="O4058" s="191"/>
      <c r="P4058" s="109">
        <v>153</v>
      </c>
    </row>
    <row r="4059" spans="1:16" ht="63.75">
      <c r="A4059" s="212" t="s">
        <v>3816</v>
      </c>
      <c r="B4059" s="141" t="s">
        <v>2171</v>
      </c>
      <c r="C4059" s="148" t="s">
        <v>3817</v>
      </c>
      <c r="D4059" s="223"/>
      <c r="E4059" s="148"/>
      <c r="F4059" s="148"/>
      <c r="G4059" s="109" t="s">
        <v>2663</v>
      </c>
      <c r="H4059" s="148" t="s">
        <v>2039</v>
      </c>
      <c r="I4059" s="148" t="s">
        <v>2040</v>
      </c>
      <c r="J4059" s="148" t="s">
        <v>6467</v>
      </c>
      <c r="K4059" s="223"/>
      <c r="L4059" s="135" t="str">
        <f t="shared" si="227"/>
        <v>Natalus stramineus</v>
      </c>
      <c r="M4059" s="133">
        <f t="shared" si="226"/>
        <v>0.73909744611747508</v>
      </c>
      <c r="N4059" s="149">
        <v>5.484</v>
      </c>
      <c r="O4059" s="191"/>
      <c r="P4059" s="109">
        <v>153</v>
      </c>
    </row>
    <row r="4060" spans="1:16" ht="38.25">
      <c r="A4060" s="212" t="s">
        <v>3816</v>
      </c>
      <c r="B4060" s="141" t="s">
        <v>618</v>
      </c>
      <c r="C4060" s="150" t="s">
        <v>3817</v>
      </c>
      <c r="D4060" s="221"/>
      <c r="E4060" s="150"/>
      <c r="F4060" s="150"/>
      <c r="G4060" s="110" t="s">
        <v>2663</v>
      </c>
      <c r="H4060" s="150" t="s">
        <v>2141</v>
      </c>
      <c r="I4060" s="150" t="s">
        <v>4443</v>
      </c>
      <c r="J4060" s="150" t="s">
        <v>4379</v>
      </c>
      <c r="K4060" s="221"/>
      <c r="L4060" s="135" t="str">
        <f t="shared" si="227"/>
        <v>Noctilio albiventris</v>
      </c>
      <c r="M4060" s="133">
        <f t="shared" si="226"/>
        <v>1.4892263865098645</v>
      </c>
      <c r="N4060" s="152">
        <v>30.847955555555998</v>
      </c>
      <c r="O4060" s="191"/>
      <c r="P4060" s="109">
        <v>153</v>
      </c>
    </row>
    <row r="4061" spans="1:16" ht="76.5">
      <c r="A4061" s="212" t="s">
        <v>3816</v>
      </c>
      <c r="B4061" s="130" t="s">
        <v>4606</v>
      </c>
      <c r="C4061" s="155" t="s">
        <v>3817</v>
      </c>
      <c r="D4061" s="225"/>
      <c r="E4061" s="155"/>
      <c r="F4061" s="155"/>
      <c r="G4061" s="110" t="s">
        <v>2663</v>
      </c>
      <c r="H4061" s="155" t="s">
        <v>2141</v>
      </c>
      <c r="I4061" s="155" t="s">
        <v>4443</v>
      </c>
      <c r="J4061" s="155" t="s">
        <v>4597</v>
      </c>
      <c r="K4061" s="225"/>
      <c r="L4061" s="135" t="str">
        <f t="shared" si="227"/>
        <v>Noctilio leporinus</v>
      </c>
      <c r="M4061" s="133">
        <f t="shared" si="226"/>
        <v>1.7800291273373383</v>
      </c>
      <c r="N4061" s="152">
        <v>60.26</v>
      </c>
      <c r="O4061" s="191"/>
      <c r="P4061" s="109">
        <v>153</v>
      </c>
    </row>
    <row r="4062" spans="1:16" ht="63.75">
      <c r="A4062" s="109" t="s">
        <v>3816</v>
      </c>
      <c r="B4062" s="130" t="s">
        <v>511</v>
      </c>
      <c r="C4062" s="153" t="s">
        <v>3817</v>
      </c>
      <c r="D4062" s="224"/>
      <c r="E4062" s="153"/>
      <c r="F4062" s="153"/>
      <c r="G4062" s="109" t="s">
        <v>2663</v>
      </c>
      <c r="H4062" s="153" t="s">
        <v>512</v>
      </c>
      <c r="I4062" s="153" t="s">
        <v>513</v>
      </c>
      <c r="J4062" s="153" t="s">
        <v>582</v>
      </c>
      <c r="K4062" s="224"/>
      <c r="L4062" s="135" t="str">
        <f t="shared" si="227"/>
        <v>Ametrida centurio</v>
      </c>
      <c r="M4062" s="133">
        <f t="shared" si="226"/>
        <v>1.0141003215196205</v>
      </c>
      <c r="N4062" s="149">
        <v>10.33</v>
      </c>
      <c r="O4062" s="191"/>
      <c r="P4062" s="109">
        <v>153</v>
      </c>
    </row>
    <row r="4063" spans="1:16" ht="76.5">
      <c r="A4063" s="212" t="s">
        <v>3816</v>
      </c>
      <c r="B4063" s="130" t="s">
        <v>2014</v>
      </c>
      <c r="C4063" s="155" t="s">
        <v>3817</v>
      </c>
      <c r="D4063" s="225"/>
      <c r="E4063" s="155"/>
      <c r="F4063" s="155"/>
      <c r="G4063" s="110" t="s">
        <v>2663</v>
      </c>
      <c r="H4063" s="153" t="s">
        <v>512</v>
      </c>
      <c r="I4063" s="155" t="s">
        <v>491</v>
      </c>
      <c r="J4063" s="155" t="s">
        <v>3777</v>
      </c>
      <c r="K4063" s="225"/>
      <c r="L4063" s="135" t="str">
        <f t="shared" si="227"/>
        <v>Anoura geoffroyi</v>
      </c>
      <c r="M4063" s="133">
        <f t="shared" si="226"/>
        <v>1.167317334748176</v>
      </c>
      <c r="N4063" s="152">
        <v>14.7</v>
      </c>
      <c r="O4063" s="191"/>
      <c r="P4063" s="109">
        <v>153</v>
      </c>
    </row>
    <row r="4064" spans="1:16" ht="15" customHeight="1">
      <c r="A4064" s="212" t="s">
        <v>3816</v>
      </c>
      <c r="B4064" s="141" t="s">
        <v>2015</v>
      </c>
      <c r="C4064" s="150" t="s">
        <v>3817</v>
      </c>
      <c r="D4064" s="221"/>
      <c r="E4064" s="150"/>
      <c r="F4064" s="150"/>
      <c r="G4064" s="110" t="s">
        <v>2663</v>
      </c>
      <c r="H4064" s="148" t="s">
        <v>512</v>
      </c>
      <c r="I4064" s="150" t="s">
        <v>491</v>
      </c>
      <c r="J4064" s="150" t="s">
        <v>2012</v>
      </c>
      <c r="K4064" s="221"/>
      <c r="L4064" s="135" t="str">
        <f t="shared" si="227"/>
        <v>Anoura cultrata</v>
      </c>
      <c r="M4064" s="133">
        <f t="shared" si="226"/>
        <v>1.2265999052073575</v>
      </c>
      <c r="N4064" s="152">
        <v>16.850000000000001</v>
      </c>
      <c r="O4064" s="191"/>
      <c r="P4064" s="109">
        <v>153</v>
      </c>
    </row>
    <row r="4065" spans="1:16" ht="51">
      <c r="A4065" s="212" t="s">
        <v>3816</v>
      </c>
      <c r="B4065" s="130" t="s">
        <v>1884</v>
      </c>
      <c r="C4065" s="153" t="s">
        <v>3817</v>
      </c>
      <c r="D4065" s="224"/>
      <c r="E4065" s="153"/>
      <c r="F4065" s="153"/>
      <c r="G4065" s="109" t="s">
        <v>2663</v>
      </c>
      <c r="H4065" s="153" t="s">
        <v>512</v>
      </c>
      <c r="I4065" s="153" t="s">
        <v>1885</v>
      </c>
      <c r="J4065" s="153" t="s">
        <v>5787</v>
      </c>
      <c r="K4065" s="224"/>
      <c r="L4065" s="135" t="str">
        <f t="shared" si="227"/>
        <v>Artibeus glaucus</v>
      </c>
      <c r="M4065" s="133">
        <f t="shared" si="226"/>
        <v>1.0437551269686796</v>
      </c>
      <c r="N4065" s="149">
        <v>11.06</v>
      </c>
      <c r="O4065" s="191"/>
      <c r="P4065" s="109">
        <v>153</v>
      </c>
    </row>
    <row r="4066" spans="1:16" ht="38.25">
      <c r="A4066" s="110" t="s">
        <v>3816</v>
      </c>
      <c r="B4066" s="141" t="s">
        <v>579</v>
      </c>
      <c r="C4066" s="148" t="s">
        <v>3817</v>
      </c>
      <c r="D4066" s="223"/>
      <c r="E4066" s="148"/>
      <c r="F4066" s="148"/>
      <c r="G4066" s="109" t="s">
        <v>2663</v>
      </c>
      <c r="H4066" s="148" t="s">
        <v>512</v>
      </c>
      <c r="I4066" s="148" t="s">
        <v>1885</v>
      </c>
      <c r="J4066" s="148" t="s">
        <v>2049</v>
      </c>
      <c r="K4066" s="223"/>
      <c r="L4066" s="135" t="str">
        <f t="shared" si="227"/>
        <v>Artibeus phaeotis</v>
      </c>
      <c r="M4066" s="133">
        <f t="shared" si="226"/>
        <v>1.0639897471525535</v>
      </c>
      <c r="N4066" s="149">
        <v>11.5875</v>
      </c>
      <c r="O4066" s="191"/>
      <c r="P4066" s="109">
        <v>153</v>
      </c>
    </row>
    <row r="4067" spans="1:16" ht="25.5">
      <c r="A4067" s="110" t="s">
        <v>3816</v>
      </c>
      <c r="B4067" s="141" t="s">
        <v>576</v>
      </c>
      <c r="C4067" s="150" t="s">
        <v>3817</v>
      </c>
      <c r="D4067" s="221"/>
      <c r="E4067" s="150"/>
      <c r="F4067" s="150"/>
      <c r="G4067" s="110" t="s">
        <v>2663</v>
      </c>
      <c r="H4067" s="148" t="s">
        <v>512</v>
      </c>
      <c r="I4067" s="150" t="s">
        <v>1885</v>
      </c>
      <c r="J4067" s="150" t="s">
        <v>1983</v>
      </c>
      <c r="K4067" s="221"/>
      <c r="L4067" s="135" t="str">
        <f t="shared" si="227"/>
        <v>Artibeus toltecus</v>
      </c>
      <c r="M4067" s="133">
        <f t="shared" si="226"/>
        <v>1.1875207208364631</v>
      </c>
      <c r="N4067" s="152">
        <v>15.4</v>
      </c>
      <c r="O4067" s="191"/>
      <c r="P4067" s="109">
        <v>153</v>
      </c>
    </row>
    <row r="4068" spans="1:16" ht="51">
      <c r="A4068" s="110" t="s">
        <v>3816</v>
      </c>
      <c r="B4068" s="141" t="s">
        <v>2061</v>
      </c>
      <c r="C4068" s="150" t="s">
        <v>3817</v>
      </c>
      <c r="D4068" s="221"/>
      <c r="E4068" s="150"/>
      <c r="F4068" s="150"/>
      <c r="G4068" s="110" t="s">
        <v>2663</v>
      </c>
      <c r="H4068" s="148" t="s">
        <v>512</v>
      </c>
      <c r="I4068" s="150" t="s">
        <v>1885</v>
      </c>
      <c r="J4068" s="150" t="s">
        <v>2062</v>
      </c>
      <c r="K4068" s="221"/>
      <c r="L4068" s="135" t="str">
        <f t="shared" si="227"/>
        <v>Artibeus hartii</v>
      </c>
      <c r="M4068" s="133">
        <f t="shared" si="226"/>
        <v>1.2030328870147107</v>
      </c>
      <c r="N4068" s="152">
        <v>15.96</v>
      </c>
      <c r="O4068" s="191"/>
      <c r="P4068" s="109">
        <v>153</v>
      </c>
    </row>
    <row r="4069" spans="1:16" ht="63.75">
      <c r="A4069" s="212" t="s">
        <v>3816</v>
      </c>
      <c r="B4069" s="141" t="s">
        <v>1642</v>
      </c>
      <c r="C4069" s="150" t="s">
        <v>3817</v>
      </c>
      <c r="D4069" s="221"/>
      <c r="E4069" s="150"/>
      <c r="F4069" s="150"/>
      <c r="G4069" s="110" t="s">
        <v>2663</v>
      </c>
      <c r="H4069" s="148" t="s">
        <v>512</v>
      </c>
      <c r="I4069" s="150" t="s">
        <v>1885</v>
      </c>
      <c r="J4069" s="150" t="s">
        <v>7237</v>
      </c>
      <c r="K4069" s="221"/>
      <c r="L4069" s="135" t="str">
        <f t="shared" si="227"/>
        <v>Artibeus aztecus</v>
      </c>
      <c r="M4069" s="133">
        <f t="shared" si="226"/>
        <v>1.3092041796704075</v>
      </c>
      <c r="N4069" s="152">
        <v>20.38</v>
      </c>
      <c r="O4069" s="191"/>
      <c r="P4069" s="109">
        <v>153</v>
      </c>
    </row>
    <row r="4070" spans="1:16" ht="25.5">
      <c r="A4070" s="212" t="s">
        <v>3816</v>
      </c>
      <c r="B4070" s="141" t="s">
        <v>2042</v>
      </c>
      <c r="C4070" s="148" t="s">
        <v>3817</v>
      </c>
      <c r="D4070" s="223"/>
      <c r="E4070" s="148"/>
      <c r="F4070" s="148"/>
      <c r="G4070" s="109" t="s">
        <v>2663</v>
      </c>
      <c r="H4070" s="148" t="s">
        <v>512</v>
      </c>
      <c r="I4070" s="148" t="s">
        <v>1885</v>
      </c>
      <c r="J4070" s="148" t="s">
        <v>3535</v>
      </c>
      <c r="K4070" s="223"/>
      <c r="L4070" s="135" t="str">
        <f t="shared" si="227"/>
        <v>Artibeus inopinatus</v>
      </c>
      <c r="M4070" s="151">
        <f t="shared" si="226"/>
        <v>1.4668676203541096</v>
      </c>
      <c r="N4070" s="151">
        <v>29.3</v>
      </c>
      <c r="O4070" s="189"/>
      <c r="P4070" s="109">
        <v>254</v>
      </c>
    </row>
    <row r="4071" spans="1:16" ht="36" customHeight="1">
      <c r="A4071" s="212" t="s">
        <v>3816</v>
      </c>
      <c r="B4071" s="141" t="s">
        <v>1646</v>
      </c>
      <c r="C4071" s="150" t="s">
        <v>3817</v>
      </c>
      <c r="D4071" s="221"/>
      <c r="E4071" s="150"/>
      <c r="F4071" s="150"/>
      <c r="G4071" s="110" t="s">
        <v>2663</v>
      </c>
      <c r="H4071" s="150" t="s">
        <v>512</v>
      </c>
      <c r="I4071" s="150" t="s">
        <v>1885</v>
      </c>
      <c r="J4071" s="150" t="s">
        <v>3776</v>
      </c>
      <c r="K4071" s="221"/>
      <c r="L4071" s="135" t="str">
        <f t="shared" si="227"/>
        <v>Artibeus hirsutus</v>
      </c>
      <c r="M4071" s="133">
        <f t="shared" si="226"/>
        <v>1.5879914264312436</v>
      </c>
      <c r="N4071" s="152">
        <v>38.725000000000001</v>
      </c>
      <c r="O4071" s="191"/>
      <c r="P4071" s="109">
        <v>153</v>
      </c>
    </row>
    <row r="4072" spans="1:16" ht="15" customHeight="1">
      <c r="A4072" s="212" t="s">
        <v>3816</v>
      </c>
      <c r="B4072" s="130" t="s">
        <v>562</v>
      </c>
      <c r="C4072" s="155" t="s">
        <v>3817</v>
      </c>
      <c r="D4072" s="225"/>
      <c r="E4072" s="155"/>
      <c r="F4072" s="155"/>
      <c r="G4072" s="110" t="s">
        <v>2663</v>
      </c>
      <c r="H4072" s="155" t="s">
        <v>512</v>
      </c>
      <c r="I4072" s="155" t="s">
        <v>1885</v>
      </c>
      <c r="J4072" s="155" t="s">
        <v>561</v>
      </c>
      <c r="K4072" s="225"/>
      <c r="L4072" s="135" t="str">
        <f t="shared" si="227"/>
        <v>Artibeus jamaicensis</v>
      </c>
      <c r="M4072" s="133">
        <f t="shared" si="226"/>
        <v>1.6250036010148634</v>
      </c>
      <c r="N4072" s="152">
        <v>42.17</v>
      </c>
      <c r="O4072" s="191"/>
      <c r="P4072" s="109">
        <v>153</v>
      </c>
    </row>
    <row r="4073" spans="1:16" ht="76.5">
      <c r="A4073" s="212" t="s">
        <v>3816</v>
      </c>
      <c r="B4073" s="130" t="s">
        <v>474</v>
      </c>
      <c r="C4073" s="155" t="s">
        <v>3817</v>
      </c>
      <c r="D4073" s="225"/>
      <c r="E4073" s="155"/>
      <c r="F4073" s="155"/>
      <c r="G4073" s="110" t="s">
        <v>2663</v>
      </c>
      <c r="H4073" s="155" t="s">
        <v>512</v>
      </c>
      <c r="I4073" s="155" t="s">
        <v>1885</v>
      </c>
      <c r="J4073" s="155" t="s">
        <v>475</v>
      </c>
      <c r="K4073" s="225"/>
      <c r="L4073" s="135" t="str">
        <f t="shared" si="227"/>
        <v>Artibeus lituratus</v>
      </c>
      <c r="M4073" s="133">
        <f t="shared" si="226"/>
        <v>1.7805333253164044</v>
      </c>
      <c r="N4073" s="152">
        <v>60.33</v>
      </c>
      <c r="O4073" s="191"/>
      <c r="P4073" s="109">
        <v>153</v>
      </c>
    </row>
    <row r="4074" spans="1:16" ht="25.5">
      <c r="A4074" s="212" t="s">
        <v>3816</v>
      </c>
      <c r="B4074" s="156" t="s">
        <v>393</v>
      </c>
      <c r="C4074" s="148" t="s">
        <v>3817</v>
      </c>
      <c r="D4074" s="223"/>
      <c r="E4074" s="148"/>
      <c r="F4074" s="148"/>
      <c r="G4074" s="109" t="s">
        <v>2663</v>
      </c>
      <c r="H4074" s="148" t="s">
        <v>512</v>
      </c>
      <c r="I4074" s="148" t="s">
        <v>394</v>
      </c>
      <c r="J4074" s="148" t="s">
        <v>395</v>
      </c>
      <c r="K4074" s="223"/>
      <c r="L4074" s="135" t="str">
        <f t="shared" si="227"/>
        <v>Carollia castanea</v>
      </c>
      <c r="M4074" s="133">
        <f t="shared" si="226"/>
        <v>1.1227618173540364</v>
      </c>
      <c r="N4074" s="149">
        <v>13.266666666667</v>
      </c>
      <c r="O4074" s="191"/>
      <c r="P4074" s="109">
        <v>153</v>
      </c>
    </row>
    <row r="4075" spans="1:16" ht="38.25">
      <c r="A4075" s="212" t="s">
        <v>3816</v>
      </c>
      <c r="B4075" s="141" t="s">
        <v>391</v>
      </c>
      <c r="C4075" s="148" t="s">
        <v>3817</v>
      </c>
      <c r="D4075" s="223"/>
      <c r="E4075" s="148"/>
      <c r="F4075" s="148"/>
      <c r="G4075" s="109" t="s">
        <v>2663</v>
      </c>
      <c r="H4075" s="148" t="s">
        <v>512</v>
      </c>
      <c r="I4075" s="148" t="s">
        <v>394</v>
      </c>
      <c r="J4075" s="148" t="s">
        <v>7354</v>
      </c>
      <c r="K4075" s="223"/>
      <c r="L4075" s="135" t="str">
        <f t="shared" si="227"/>
        <v>Carollia brevicauda</v>
      </c>
      <c r="M4075" s="133">
        <f t="shared" si="226"/>
        <v>1.1583624920952498</v>
      </c>
      <c r="N4075" s="149">
        <v>14.4</v>
      </c>
      <c r="O4075" s="191"/>
      <c r="P4075" s="109">
        <v>153</v>
      </c>
    </row>
    <row r="4076" spans="1:16" ht="25.5">
      <c r="A4076" s="212" t="s">
        <v>3816</v>
      </c>
      <c r="B4076" s="141" t="s">
        <v>4594</v>
      </c>
      <c r="C4076" s="150" t="s">
        <v>3817</v>
      </c>
      <c r="D4076" s="221"/>
      <c r="E4076" s="150"/>
      <c r="F4076" s="150"/>
      <c r="G4076" s="110" t="s">
        <v>2663</v>
      </c>
      <c r="H4076" s="148" t="s">
        <v>512</v>
      </c>
      <c r="I4076" s="150" t="s">
        <v>394</v>
      </c>
      <c r="J4076" s="150" t="s">
        <v>4595</v>
      </c>
      <c r="K4076" s="221"/>
      <c r="L4076" s="135" t="str">
        <f t="shared" si="227"/>
        <v>Carollia subrufa</v>
      </c>
      <c r="M4076" s="133">
        <f t="shared" si="226"/>
        <v>1.1928461151888416</v>
      </c>
      <c r="N4076" s="152">
        <v>15.59</v>
      </c>
      <c r="O4076" s="191"/>
      <c r="P4076" s="109">
        <v>153</v>
      </c>
    </row>
    <row r="4077" spans="1:16" ht="114.75">
      <c r="A4077" s="212" t="s">
        <v>3816</v>
      </c>
      <c r="B4077" s="130" t="s">
        <v>628</v>
      </c>
      <c r="C4077" s="153" t="s">
        <v>3817</v>
      </c>
      <c r="D4077" s="224"/>
      <c r="E4077" s="153"/>
      <c r="F4077" s="153"/>
      <c r="G4077" s="109" t="s">
        <v>2663</v>
      </c>
      <c r="H4077" s="153" t="s">
        <v>512</v>
      </c>
      <c r="I4077" s="153" t="s">
        <v>394</v>
      </c>
      <c r="J4077" s="153" t="s">
        <v>5370</v>
      </c>
      <c r="K4077" s="224"/>
      <c r="L4077" s="135" t="str">
        <f t="shared" si="227"/>
        <v>Carollia perspicillata</v>
      </c>
      <c r="M4077" s="133">
        <f t="shared" si="226"/>
        <v>1.2762319579218335</v>
      </c>
      <c r="N4077" s="149">
        <v>18.89</v>
      </c>
      <c r="O4077" s="191"/>
      <c r="P4077" s="109">
        <v>153</v>
      </c>
    </row>
    <row r="4078" spans="1:16" ht="38.25">
      <c r="A4078" s="212" t="s">
        <v>3816</v>
      </c>
      <c r="B4078" s="130" t="s">
        <v>2035</v>
      </c>
      <c r="C4078" s="155" t="s">
        <v>3817</v>
      </c>
      <c r="D4078" s="225"/>
      <c r="E4078" s="155"/>
      <c r="F4078" s="155"/>
      <c r="G4078" s="110" t="s">
        <v>2663</v>
      </c>
      <c r="H4078" s="153" t="s">
        <v>512</v>
      </c>
      <c r="I4078" s="155" t="s">
        <v>2036</v>
      </c>
      <c r="J4078" s="155" t="s">
        <v>6403</v>
      </c>
      <c r="K4078" s="225"/>
      <c r="L4078" s="135" t="str">
        <f t="shared" si="227"/>
        <v>Centurio senex</v>
      </c>
      <c r="M4078" s="133">
        <f t="shared" si="226"/>
        <v>1.3289908554494287</v>
      </c>
      <c r="N4078" s="152">
        <v>21.33</v>
      </c>
      <c r="O4078" s="191"/>
      <c r="P4078" s="109">
        <v>153</v>
      </c>
    </row>
    <row r="4079" spans="1:16" ht="38.25">
      <c r="A4079" s="212" t="s">
        <v>3816</v>
      </c>
      <c r="B4079" s="130" t="s">
        <v>2149</v>
      </c>
      <c r="C4079" s="153" t="s">
        <v>3817</v>
      </c>
      <c r="D4079" s="224"/>
      <c r="E4079" s="153"/>
      <c r="F4079" s="153"/>
      <c r="G4079" s="109" t="s">
        <v>2663</v>
      </c>
      <c r="H4079" s="153" t="s">
        <v>512</v>
      </c>
      <c r="I4079" s="153" t="s">
        <v>399</v>
      </c>
      <c r="J4079" s="153" t="s">
        <v>480</v>
      </c>
      <c r="K4079" s="224"/>
      <c r="L4079" s="135" t="str">
        <f t="shared" si="227"/>
        <v>Chiroderma trinitatum</v>
      </c>
      <c r="M4079" s="133">
        <f t="shared" si="226"/>
        <v>1.1360860973840974</v>
      </c>
      <c r="N4079" s="149">
        <v>13.68</v>
      </c>
      <c r="O4079" s="191"/>
      <c r="P4079" s="109">
        <v>153</v>
      </c>
    </row>
    <row r="4080" spans="1:16" ht="38.25">
      <c r="A4080" s="212" t="s">
        <v>3816</v>
      </c>
      <c r="B4080" s="130" t="s">
        <v>536</v>
      </c>
      <c r="C4080" s="155" t="s">
        <v>3817</v>
      </c>
      <c r="D4080" s="225"/>
      <c r="E4080" s="155"/>
      <c r="F4080" s="155"/>
      <c r="G4080" s="110" t="s">
        <v>2663</v>
      </c>
      <c r="H4080" s="155" t="s">
        <v>512</v>
      </c>
      <c r="I4080" s="155" t="s">
        <v>399</v>
      </c>
      <c r="J4080" s="155" t="s">
        <v>2028</v>
      </c>
      <c r="K4080" s="225"/>
      <c r="L4080" s="135" t="str">
        <f t="shared" si="227"/>
        <v>Chiroderma villosum</v>
      </c>
      <c r="M4080" s="133">
        <f t="shared" si="226"/>
        <v>1.3639878297484915</v>
      </c>
      <c r="N4080" s="152">
        <v>23.12</v>
      </c>
      <c r="O4080" s="191"/>
      <c r="P4080" s="109">
        <v>153</v>
      </c>
    </row>
    <row r="4081" spans="1:16" ht="38.25">
      <c r="A4081" s="212" t="s">
        <v>3816</v>
      </c>
      <c r="B4081" s="141" t="s">
        <v>2034</v>
      </c>
      <c r="C4081" s="150" t="s">
        <v>3817</v>
      </c>
      <c r="D4081" s="221"/>
      <c r="E4081" s="150"/>
      <c r="F4081" s="150"/>
      <c r="G4081" s="110" t="s">
        <v>2663</v>
      </c>
      <c r="H4081" s="150" t="s">
        <v>512</v>
      </c>
      <c r="I4081" s="150" t="s">
        <v>399</v>
      </c>
      <c r="J4081" s="150" t="s">
        <v>8076</v>
      </c>
      <c r="K4081" s="221"/>
      <c r="L4081" s="135" t="str">
        <f t="shared" si="227"/>
        <v>Chiroderma salvini</v>
      </c>
      <c r="M4081" s="133">
        <f t="shared" si="226"/>
        <v>1.406823940314623</v>
      </c>
      <c r="N4081" s="152">
        <v>25.516666666667</v>
      </c>
      <c r="O4081" s="191"/>
      <c r="P4081" s="109">
        <v>153</v>
      </c>
    </row>
    <row r="4082" spans="1:16" ht="38.25">
      <c r="A4082" s="212" t="s">
        <v>3816</v>
      </c>
      <c r="B4082" s="141" t="s">
        <v>1649</v>
      </c>
      <c r="C4082" s="148" t="s">
        <v>3817</v>
      </c>
      <c r="D4082" s="223"/>
      <c r="E4082" s="148"/>
      <c r="F4082" s="148"/>
      <c r="G4082" s="109" t="s">
        <v>2663</v>
      </c>
      <c r="H4082" s="148" t="s">
        <v>512</v>
      </c>
      <c r="I4082" s="148" t="s">
        <v>2146</v>
      </c>
      <c r="J4082" s="148" t="s">
        <v>4329</v>
      </c>
      <c r="K4082" s="223"/>
      <c r="L4082" s="135" t="str">
        <f t="shared" si="227"/>
        <v>Choeroniscus godmani</v>
      </c>
      <c r="M4082" s="133">
        <f t="shared" si="226"/>
        <v>0.89762709129044149</v>
      </c>
      <c r="N4082" s="149">
        <v>7.9</v>
      </c>
      <c r="O4082" s="191"/>
      <c r="P4082" s="109">
        <v>153</v>
      </c>
    </row>
    <row r="4083" spans="1:16" ht="63.75">
      <c r="A4083" s="212" t="s">
        <v>3816</v>
      </c>
      <c r="B4083" s="141" t="s">
        <v>508</v>
      </c>
      <c r="C4083" s="150" t="s">
        <v>3817</v>
      </c>
      <c r="D4083" s="221"/>
      <c r="E4083" s="150"/>
      <c r="F4083" s="150"/>
      <c r="G4083" s="110" t="s">
        <v>2663</v>
      </c>
      <c r="H4083" s="148" t="s">
        <v>512</v>
      </c>
      <c r="I4083" s="150" t="s">
        <v>509</v>
      </c>
      <c r="J4083" s="150" t="s">
        <v>4375</v>
      </c>
      <c r="K4083" s="221"/>
      <c r="L4083" s="135" t="str">
        <f t="shared" si="227"/>
        <v>Choeronycteris mexicana</v>
      </c>
      <c r="M4083" s="133">
        <f t="shared" si="226"/>
        <v>1.2201080880400552</v>
      </c>
      <c r="N4083" s="152">
        <v>16.600000000000001</v>
      </c>
      <c r="O4083" s="191"/>
      <c r="P4083" s="109">
        <v>153</v>
      </c>
    </row>
    <row r="4084" spans="1:16" ht="38.25">
      <c r="A4084" s="212" t="s">
        <v>3816</v>
      </c>
      <c r="B4084" s="141" t="s">
        <v>510</v>
      </c>
      <c r="C4084" s="150" t="s">
        <v>3817</v>
      </c>
      <c r="D4084" s="221"/>
      <c r="E4084" s="150"/>
      <c r="F4084" s="150"/>
      <c r="G4084" s="110" t="s">
        <v>2663</v>
      </c>
      <c r="H4084" s="150" t="s">
        <v>512</v>
      </c>
      <c r="I4084" s="150" t="s">
        <v>602</v>
      </c>
      <c r="J4084" s="150" t="s">
        <v>7385</v>
      </c>
      <c r="K4084" s="221"/>
      <c r="L4084" s="135" t="str">
        <f t="shared" si="227"/>
        <v>Chrotopterus auritus</v>
      </c>
      <c r="M4084" s="133">
        <f t="shared" si="226"/>
        <v>1.8913283438821973</v>
      </c>
      <c r="N4084" s="152">
        <v>77.862499999999997</v>
      </c>
      <c r="O4084" s="191"/>
      <c r="P4084" s="109">
        <v>153</v>
      </c>
    </row>
    <row r="4085" spans="1:16" ht="63.75">
      <c r="A4085" s="212" t="s">
        <v>3816</v>
      </c>
      <c r="B4085" s="130" t="s">
        <v>598</v>
      </c>
      <c r="C4085" s="155" t="s">
        <v>3817</v>
      </c>
      <c r="D4085" s="225"/>
      <c r="E4085" s="155"/>
      <c r="F4085" s="155"/>
      <c r="G4085" s="110" t="s">
        <v>2663</v>
      </c>
      <c r="H4085" s="155" t="s">
        <v>512</v>
      </c>
      <c r="I4085" s="155" t="s">
        <v>599</v>
      </c>
      <c r="J4085" s="155" t="s">
        <v>600</v>
      </c>
      <c r="K4085" s="225"/>
      <c r="L4085" s="135" t="str">
        <f t="shared" si="227"/>
        <v>Desmodus rotundus</v>
      </c>
      <c r="M4085" s="133">
        <f t="shared" si="226"/>
        <v>1.5212688755983852</v>
      </c>
      <c r="N4085" s="152">
        <v>33.21</v>
      </c>
      <c r="O4085" s="191"/>
      <c r="P4085" s="109">
        <v>153</v>
      </c>
    </row>
    <row r="4086" spans="1:16" ht="51">
      <c r="A4086" s="212" t="s">
        <v>3816</v>
      </c>
      <c r="B4086" s="141" t="s">
        <v>684</v>
      </c>
      <c r="C4086" s="150" t="s">
        <v>3817</v>
      </c>
      <c r="D4086" s="221"/>
      <c r="E4086" s="150"/>
      <c r="F4086" s="150"/>
      <c r="G4086" s="110" t="s">
        <v>2663</v>
      </c>
      <c r="H4086" s="148" t="s">
        <v>512</v>
      </c>
      <c r="I4086" s="150" t="s">
        <v>685</v>
      </c>
      <c r="J4086" s="150" t="s">
        <v>609</v>
      </c>
      <c r="K4086" s="221"/>
      <c r="L4086" s="135" t="str">
        <f t="shared" si="227"/>
        <v>Diaemus youngi</v>
      </c>
      <c r="M4086" s="133">
        <f t="shared" si="226"/>
        <v>1.5569721916970685</v>
      </c>
      <c r="N4086" s="152">
        <v>36.055555555555998</v>
      </c>
      <c r="O4086" s="191"/>
      <c r="P4086" s="109">
        <v>153</v>
      </c>
    </row>
    <row r="4087" spans="1:16" ht="38.25">
      <c r="A4087" s="212" t="s">
        <v>3816</v>
      </c>
      <c r="B4087" s="141" t="s">
        <v>4756</v>
      </c>
      <c r="C4087" s="150" t="s">
        <v>3817</v>
      </c>
      <c r="D4087" s="221"/>
      <c r="E4087" s="150"/>
      <c r="F4087" s="150"/>
      <c r="G4087" s="110" t="s">
        <v>2663</v>
      </c>
      <c r="H4087" s="150" t="s">
        <v>512</v>
      </c>
      <c r="I4087" s="150" t="s">
        <v>4757</v>
      </c>
      <c r="J4087" s="150" t="s">
        <v>4758</v>
      </c>
      <c r="K4087" s="221"/>
      <c r="L4087" s="135" t="str">
        <f t="shared" si="227"/>
        <v>Diphylla ecaudata</v>
      </c>
      <c r="M4087" s="133">
        <f t="shared" si="226"/>
        <v>1.4668676203541096</v>
      </c>
      <c r="N4087" s="152">
        <v>29.3</v>
      </c>
      <c r="O4087" s="191"/>
      <c r="P4087" s="109">
        <v>153</v>
      </c>
    </row>
    <row r="4088" spans="1:16" ht="38.25">
      <c r="A4088" s="212" t="s">
        <v>3816</v>
      </c>
      <c r="B4088" s="141" t="s">
        <v>611</v>
      </c>
      <c r="C4088" s="148" t="s">
        <v>3817</v>
      </c>
      <c r="D4088" s="223"/>
      <c r="E4088" s="148"/>
      <c r="F4088" s="148"/>
      <c r="G4088" s="109" t="s">
        <v>2663</v>
      </c>
      <c r="H4088" s="148" t="s">
        <v>512</v>
      </c>
      <c r="I4088" s="148" t="s">
        <v>612</v>
      </c>
      <c r="J4088" s="148" t="s">
        <v>520</v>
      </c>
      <c r="K4088" s="223"/>
      <c r="L4088" s="135" t="str">
        <f t="shared" si="227"/>
        <v>Ectophylla alba</v>
      </c>
      <c r="M4088" s="133">
        <f t="shared" si="226"/>
        <v>0.76004532796581059</v>
      </c>
      <c r="N4088" s="149">
        <v>5.7549999999999999</v>
      </c>
      <c r="O4088" s="191"/>
      <c r="P4088" s="109">
        <v>153</v>
      </c>
    </row>
    <row r="4089" spans="1:16" ht="25.5">
      <c r="A4089" s="212" t="s">
        <v>3816</v>
      </c>
      <c r="B4089" s="141" t="s">
        <v>439</v>
      </c>
      <c r="C4089" s="150" t="s">
        <v>3817</v>
      </c>
      <c r="D4089" s="221"/>
      <c r="E4089" s="150"/>
      <c r="F4089" s="150"/>
      <c r="G4089" s="110" t="s">
        <v>2663</v>
      </c>
      <c r="H4089" s="150" t="s">
        <v>512</v>
      </c>
      <c r="I4089" s="150" t="s">
        <v>440</v>
      </c>
      <c r="J4089" s="150" t="s">
        <v>856</v>
      </c>
      <c r="K4089" s="221"/>
      <c r="L4089" s="135" t="str">
        <f t="shared" si="227"/>
        <v>Glossophaga morenoi</v>
      </c>
      <c r="M4089" s="133">
        <f t="shared" ref="M4089:M4114" si="228">LOG(N4089)</f>
        <v>0.9242792860618817</v>
      </c>
      <c r="N4089" s="152">
        <v>8.4</v>
      </c>
      <c r="O4089" s="192"/>
      <c r="P4089" s="109">
        <v>153</v>
      </c>
    </row>
    <row r="4090" spans="1:16" ht="51">
      <c r="A4090" s="212" t="s">
        <v>3816</v>
      </c>
      <c r="B4090" s="141" t="s">
        <v>863</v>
      </c>
      <c r="C4090" s="148" t="s">
        <v>3817</v>
      </c>
      <c r="D4090" s="223"/>
      <c r="E4090" s="148"/>
      <c r="F4090" s="148"/>
      <c r="G4090" s="109" t="s">
        <v>2663</v>
      </c>
      <c r="H4090" s="148" t="s">
        <v>512</v>
      </c>
      <c r="I4090" s="148" t="s">
        <v>440</v>
      </c>
      <c r="J4090" s="148" t="s">
        <v>853</v>
      </c>
      <c r="K4090" s="223"/>
      <c r="L4090" s="135" t="str">
        <f t="shared" si="227"/>
        <v>Glossophaga commissarisi</v>
      </c>
      <c r="M4090" s="133">
        <f t="shared" si="228"/>
        <v>0.9493900066449128</v>
      </c>
      <c r="N4090" s="149">
        <v>8.9</v>
      </c>
      <c r="O4090" s="191"/>
      <c r="P4090" s="109">
        <v>153</v>
      </c>
    </row>
    <row r="4091" spans="1:16" ht="102">
      <c r="A4091" s="212" t="s">
        <v>3816</v>
      </c>
      <c r="B4091" s="130" t="s">
        <v>764</v>
      </c>
      <c r="C4091" s="153" t="s">
        <v>3817</v>
      </c>
      <c r="D4091" s="224"/>
      <c r="E4091" s="153"/>
      <c r="F4091" s="153"/>
      <c r="G4091" s="109" t="s">
        <v>2663</v>
      </c>
      <c r="H4091" s="153" t="s">
        <v>512</v>
      </c>
      <c r="I4091" s="153" t="s">
        <v>440</v>
      </c>
      <c r="J4091" s="153" t="s">
        <v>851</v>
      </c>
      <c r="K4091" s="224"/>
      <c r="L4091" s="135" t="str">
        <f t="shared" si="227"/>
        <v>Glossophaga soricina</v>
      </c>
      <c r="M4091" s="133">
        <f t="shared" si="228"/>
        <v>1.0017337128090005</v>
      </c>
      <c r="N4091" s="149">
        <v>10.039999999999999</v>
      </c>
      <c r="O4091" s="191"/>
      <c r="P4091" s="109">
        <v>153</v>
      </c>
    </row>
    <row r="4092" spans="1:16" ht="51">
      <c r="A4092" s="212" t="s">
        <v>3816</v>
      </c>
      <c r="B4092" s="141" t="s">
        <v>515</v>
      </c>
      <c r="C4092" s="148" t="s">
        <v>3817</v>
      </c>
      <c r="D4092" s="223"/>
      <c r="E4092" s="148"/>
      <c r="F4092" s="148"/>
      <c r="G4092" s="109" t="s">
        <v>2663</v>
      </c>
      <c r="H4092" s="148" t="s">
        <v>512</v>
      </c>
      <c r="I4092" s="148" t="s">
        <v>440</v>
      </c>
      <c r="J4092" s="148" t="s">
        <v>516</v>
      </c>
      <c r="K4092" s="223"/>
      <c r="L4092" s="135" t="str">
        <f t="shared" si="227"/>
        <v>Glossophaga leachii</v>
      </c>
      <c r="M4092" s="133">
        <f t="shared" si="228"/>
        <v>1.0043213737826426</v>
      </c>
      <c r="N4092" s="149">
        <v>10.1</v>
      </c>
      <c r="O4092" s="191"/>
      <c r="P4092" s="109">
        <v>153</v>
      </c>
    </row>
    <row r="4093" spans="1:16" ht="25.5">
      <c r="A4093" s="212" t="s">
        <v>3816</v>
      </c>
      <c r="B4093" s="141" t="s">
        <v>518</v>
      </c>
      <c r="C4093" s="148" t="s">
        <v>3817</v>
      </c>
      <c r="D4093" s="223"/>
      <c r="E4093" s="148"/>
      <c r="F4093" s="148"/>
      <c r="G4093" s="109" t="s">
        <v>2663</v>
      </c>
      <c r="H4093" s="148" t="s">
        <v>512</v>
      </c>
      <c r="I4093" s="148" t="s">
        <v>519</v>
      </c>
      <c r="J4093" s="148" t="s">
        <v>6738</v>
      </c>
      <c r="K4093" s="223"/>
      <c r="L4093" s="135" t="str">
        <f t="shared" si="227"/>
        <v>Hylonycteris underwoodi</v>
      </c>
      <c r="M4093" s="133">
        <f t="shared" si="228"/>
        <v>0.82282164530310464</v>
      </c>
      <c r="N4093" s="149">
        <v>6.65</v>
      </c>
      <c r="O4093" s="191"/>
      <c r="P4093" s="109">
        <v>153</v>
      </c>
    </row>
    <row r="4094" spans="1:16" ht="76.5">
      <c r="A4094" s="212" t="s">
        <v>3816</v>
      </c>
      <c r="B4094" s="141" t="s">
        <v>2063</v>
      </c>
      <c r="C4094" s="150" t="s">
        <v>3817</v>
      </c>
      <c r="D4094" s="221"/>
      <c r="E4094" s="150"/>
      <c r="F4094" s="150"/>
      <c r="G4094" s="110" t="s">
        <v>2663</v>
      </c>
      <c r="H4094" s="150" t="s">
        <v>512</v>
      </c>
      <c r="I4094" s="150" t="s">
        <v>2064</v>
      </c>
      <c r="J4094" s="150" t="s">
        <v>1985</v>
      </c>
      <c r="K4094" s="221"/>
      <c r="L4094" s="135" t="str">
        <f t="shared" si="227"/>
        <v>Leptonycteris curasoae</v>
      </c>
      <c r="M4094" s="133">
        <f t="shared" si="228"/>
        <v>1.3695531735295527</v>
      </c>
      <c r="N4094" s="152">
        <v>23.418181818181999</v>
      </c>
      <c r="O4094" s="191"/>
      <c r="P4094" s="109">
        <v>153</v>
      </c>
    </row>
    <row r="4095" spans="1:16" ht="38.25">
      <c r="A4095" s="212" t="s">
        <v>3816</v>
      </c>
      <c r="B4095" s="141" t="s">
        <v>1880</v>
      </c>
      <c r="C4095" s="150" t="s">
        <v>3817</v>
      </c>
      <c r="D4095" s="221"/>
      <c r="E4095" s="150"/>
      <c r="F4095" s="150"/>
      <c r="G4095" s="110" t="s">
        <v>2663</v>
      </c>
      <c r="H4095" s="150" t="s">
        <v>512</v>
      </c>
      <c r="I4095" s="150" t="s">
        <v>2064</v>
      </c>
      <c r="J4095" s="150" t="s">
        <v>3806</v>
      </c>
      <c r="K4095" s="221"/>
      <c r="L4095" s="135" t="str">
        <f t="shared" si="227"/>
        <v>Leptonycteris nivalis</v>
      </c>
      <c r="M4095" s="133">
        <f t="shared" si="228"/>
        <v>1.4089180208467798</v>
      </c>
      <c r="N4095" s="152">
        <v>25.64</v>
      </c>
      <c r="O4095" s="191"/>
      <c r="P4095" s="109">
        <v>153</v>
      </c>
    </row>
    <row r="4096" spans="1:16" ht="38.25">
      <c r="A4096" s="212" t="s">
        <v>3816</v>
      </c>
      <c r="B4096" s="141" t="s">
        <v>1882</v>
      </c>
      <c r="C4096" s="148" t="s">
        <v>3817</v>
      </c>
      <c r="D4096" s="223"/>
      <c r="E4096" s="148"/>
      <c r="F4096" s="148"/>
      <c r="G4096" s="109" t="s">
        <v>2663</v>
      </c>
      <c r="H4096" s="148" t="s">
        <v>512</v>
      </c>
      <c r="I4096" s="148" t="s">
        <v>577</v>
      </c>
      <c r="J4096" s="148" t="s">
        <v>578</v>
      </c>
      <c r="K4096" s="223"/>
      <c r="L4096" s="135" t="str">
        <f t="shared" si="227"/>
        <v>Lichonycteris obscura</v>
      </c>
      <c r="M4096" s="133">
        <f t="shared" si="228"/>
        <v>0.74818802700620035</v>
      </c>
      <c r="N4096" s="149">
        <v>5.6</v>
      </c>
      <c r="O4096" s="191"/>
      <c r="P4096" s="109">
        <v>153</v>
      </c>
    </row>
    <row r="4097" spans="1:22" ht="51">
      <c r="A4097" s="212" t="s">
        <v>3816</v>
      </c>
      <c r="B4097" s="141" t="s">
        <v>1886</v>
      </c>
      <c r="C4097" s="148" t="s">
        <v>3817</v>
      </c>
      <c r="D4097" s="223"/>
      <c r="E4097" s="148"/>
      <c r="F4097" s="148"/>
      <c r="G4097" s="109" t="s">
        <v>2663</v>
      </c>
      <c r="H4097" s="148" t="s">
        <v>512</v>
      </c>
      <c r="I4097" s="148" t="s">
        <v>1887</v>
      </c>
      <c r="J4097" s="148" t="s">
        <v>4759</v>
      </c>
      <c r="K4097" s="223"/>
      <c r="L4097" s="135" t="str">
        <f t="shared" si="227"/>
        <v>Lionycteris spurrelli</v>
      </c>
      <c r="M4097" s="133">
        <f t="shared" si="228"/>
        <v>0.92341673467226648</v>
      </c>
      <c r="N4097" s="149">
        <v>8.3833333333330007</v>
      </c>
      <c r="O4097" s="191"/>
      <c r="P4097" s="109">
        <v>153</v>
      </c>
    </row>
    <row r="4098" spans="1:22" ht="38.25">
      <c r="A4098" s="212" t="s">
        <v>3816</v>
      </c>
      <c r="B4098" s="141" t="s">
        <v>2069</v>
      </c>
      <c r="C4098" s="148" t="s">
        <v>3817</v>
      </c>
      <c r="D4098" s="223"/>
      <c r="E4098" s="148"/>
      <c r="F4098" s="148"/>
      <c r="G4098" s="109" t="s">
        <v>2663</v>
      </c>
      <c r="H4098" s="148" t="s">
        <v>512</v>
      </c>
      <c r="I4098" s="148" t="s">
        <v>2067</v>
      </c>
      <c r="J4098" s="148" t="s">
        <v>6743</v>
      </c>
      <c r="K4098" s="223"/>
      <c r="L4098" s="135" t="str">
        <f t="shared" si="227"/>
        <v>Lonchophylla mordax</v>
      </c>
      <c r="M4098" s="133">
        <f t="shared" si="228"/>
        <v>1.0293837776852097</v>
      </c>
      <c r="N4098" s="149">
        <v>10.7</v>
      </c>
      <c r="O4098" s="191"/>
      <c r="P4098" s="109">
        <v>153</v>
      </c>
    </row>
    <row r="4099" spans="1:22" ht="25.5">
      <c r="A4099" s="212" t="s">
        <v>3816</v>
      </c>
      <c r="B4099" s="141" t="s">
        <v>2070</v>
      </c>
      <c r="C4099" s="148" t="s">
        <v>3817</v>
      </c>
      <c r="D4099" s="223"/>
      <c r="E4099" s="148"/>
      <c r="F4099" s="148"/>
      <c r="G4099" s="109" t="s">
        <v>2663</v>
      </c>
      <c r="H4099" s="148" t="s">
        <v>512</v>
      </c>
      <c r="I4099" s="148" t="s">
        <v>2067</v>
      </c>
      <c r="J4099" s="148" t="s">
        <v>4701</v>
      </c>
      <c r="K4099" s="223"/>
      <c r="L4099" s="135" t="str">
        <f t="shared" si="227"/>
        <v>Lonchophylla robusta</v>
      </c>
      <c r="M4099" s="133">
        <f t="shared" si="228"/>
        <v>1.1139433523068367</v>
      </c>
      <c r="N4099" s="149">
        <v>13</v>
      </c>
      <c r="O4099" s="191"/>
      <c r="P4099" s="109">
        <v>153</v>
      </c>
    </row>
    <row r="4100" spans="1:22" ht="63.75">
      <c r="A4100" s="212" t="s">
        <v>3816</v>
      </c>
      <c r="B4100" s="141" t="s">
        <v>463</v>
      </c>
      <c r="C4100" s="148" t="s">
        <v>3817</v>
      </c>
      <c r="D4100" s="223"/>
      <c r="E4100" s="148"/>
      <c r="F4100" s="148"/>
      <c r="G4100" s="109" t="s">
        <v>2663</v>
      </c>
      <c r="H4100" s="148" t="s">
        <v>512</v>
      </c>
      <c r="I4100" s="148" t="s">
        <v>472</v>
      </c>
      <c r="J4100" s="148" t="s">
        <v>4380</v>
      </c>
      <c r="K4100" s="223"/>
      <c r="L4100" s="135" t="str">
        <f t="shared" si="227"/>
        <v>Lonchorhina aurita</v>
      </c>
      <c r="M4100" s="133">
        <f t="shared" si="228"/>
        <v>1.1958996524092338</v>
      </c>
      <c r="N4100" s="149">
        <v>15.7</v>
      </c>
      <c r="O4100" s="191"/>
      <c r="P4100" s="109">
        <v>153</v>
      </c>
    </row>
    <row r="4101" spans="1:22" ht="15" customHeight="1">
      <c r="A4101" s="212" t="s">
        <v>3816</v>
      </c>
      <c r="B4101" s="141" t="s">
        <v>818</v>
      </c>
      <c r="C4101" s="148" t="s">
        <v>3817</v>
      </c>
      <c r="D4101" s="223"/>
      <c r="E4101" s="148"/>
      <c r="F4101" s="148"/>
      <c r="G4101" s="109" t="s">
        <v>2663</v>
      </c>
      <c r="H4101" s="148" t="s">
        <v>512</v>
      </c>
      <c r="I4101" s="148" t="s">
        <v>819</v>
      </c>
      <c r="J4101" s="148" t="s">
        <v>484</v>
      </c>
      <c r="K4101" s="223"/>
      <c r="L4101" s="135" t="str">
        <f t="shared" ref="L4101:L4164" si="229">I4101&amp;" "&amp;J4101</f>
        <v>Macrophyllum macrophyllum</v>
      </c>
      <c r="M4101" s="133">
        <f t="shared" si="228"/>
        <v>0.90848501887864974</v>
      </c>
      <c r="N4101" s="149">
        <v>8.1</v>
      </c>
      <c r="O4101" s="191"/>
      <c r="P4101" s="109">
        <v>153</v>
      </c>
      <c r="U4101"/>
      <c r="V4101"/>
    </row>
    <row r="4102" spans="1:22" ht="63.75">
      <c r="A4102" s="212" t="s">
        <v>3816</v>
      </c>
      <c r="B4102" s="141" t="s">
        <v>559</v>
      </c>
      <c r="C4102" s="148" t="s">
        <v>3817</v>
      </c>
      <c r="D4102" s="223"/>
      <c r="E4102" s="148"/>
      <c r="F4102" s="148"/>
      <c r="G4102" s="109" t="s">
        <v>2663</v>
      </c>
      <c r="H4102" s="148" t="s">
        <v>512</v>
      </c>
      <c r="I4102" s="148" t="s">
        <v>560</v>
      </c>
      <c r="J4102" s="148" t="s">
        <v>4404</v>
      </c>
      <c r="K4102" s="223"/>
      <c r="L4102" s="135" t="str">
        <f t="shared" si="229"/>
        <v>Macrotus californicus</v>
      </c>
      <c r="M4102" s="133">
        <f t="shared" si="228"/>
        <v>1.0653929615619915</v>
      </c>
      <c r="N4102" s="149">
        <v>11.625</v>
      </c>
      <c r="O4102" s="191"/>
      <c r="P4102" s="109">
        <v>153</v>
      </c>
    </row>
    <row r="4103" spans="1:22" ht="76.5">
      <c r="A4103" s="212" t="s">
        <v>3816</v>
      </c>
      <c r="B4103" s="141" t="s">
        <v>554</v>
      </c>
      <c r="C4103" s="148" t="s">
        <v>3817</v>
      </c>
      <c r="D4103" s="223"/>
      <c r="E4103" s="148"/>
      <c r="F4103" s="148"/>
      <c r="G4103" s="109" t="s">
        <v>2663</v>
      </c>
      <c r="H4103" s="148" t="s">
        <v>512</v>
      </c>
      <c r="I4103" s="148" t="s">
        <v>560</v>
      </c>
      <c r="J4103" s="148" t="s">
        <v>642</v>
      </c>
      <c r="K4103" s="223"/>
      <c r="L4103" s="135" t="str">
        <f t="shared" si="229"/>
        <v>Macrotus waterhousii</v>
      </c>
      <c r="M4103" s="133">
        <f t="shared" si="228"/>
        <v>1.105510184769974</v>
      </c>
      <c r="N4103" s="149">
        <v>12.75</v>
      </c>
      <c r="O4103" s="191"/>
      <c r="P4103" s="109">
        <v>153</v>
      </c>
    </row>
    <row r="4104" spans="1:22" ht="38.25">
      <c r="A4104" s="212" t="s">
        <v>3816</v>
      </c>
      <c r="B4104" s="141" t="s">
        <v>896</v>
      </c>
      <c r="C4104" s="148" t="s">
        <v>3817</v>
      </c>
      <c r="D4104" s="223"/>
      <c r="E4104" s="148"/>
      <c r="F4104" s="148"/>
      <c r="G4104" s="109" t="s">
        <v>2663</v>
      </c>
      <c r="H4104" s="148" t="s">
        <v>512</v>
      </c>
      <c r="I4104" s="148" t="s">
        <v>817</v>
      </c>
      <c r="J4104" s="148" t="s">
        <v>4025</v>
      </c>
      <c r="K4104" s="223"/>
      <c r="L4104" s="135" t="str">
        <f t="shared" si="229"/>
        <v>Mesophylla macconnelli</v>
      </c>
      <c r="M4104" s="133">
        <f t="shared" si="228"/>
        <v>0.84010609445675777</v>
      </c>
      <c r="N4104" s="149">
        <v>6.92</v>
      </c>
      <c r="O4104" s="191"/>
      <c r="P4104" s="109">
        <v>153</v>
      </c>
    </row>
    <row r="4105" spans="1:22" ht="63.75">
      <c r="A4105" s="212" t="s">
        <v>3816</v>
      </c>
      <c r="B4105" s="130" t="s">
        <v>899</v>
      </c>
      <c r="C4105" s="153" t="s">
        <v>3817</v>
      </c>
      <c r="D4105" s="224"/>
      <c r="E4105" s="153"/>
      <c r="F4105" s="153"/>
      <c r="G4105" s="109" t="s">
        <v>2663</v>
      </c>
      <c r="H4105" s="153" t="s">
        <v>512</v>
      </c>
      <c r="I4105" s="153" t="s">
        <v>900</v>
      </c>
      <c r="J4105" s="153" t="s">
        <v>2000</v>
      </c>
      <c r="K4105" s="224"/>
      <c r="L4105" s="135" t="str">
        <f t="shared" si="229"/>
        <v>Micronycteris megalotis</v>
      </c>
      <c r="M4105" s="133">
        <f t="shared" si="228"/>
        <v>0.80140371001735511</v>
      </c>
      <c r="N4105" s="149">
        <v>6.33</v>
      </c>
      <c r="O4105" s="191"/>
      <c r="P4105" s="109">
        <v>153</v>
      </c>
    </row>
    <row r="4106" spans="1:22" ht="38.25">
      <c r="A4106" s="212" t="s">
        <v>3816</v>
      </c>
      <c r="B4106" s="130" t="s">
        <v>1053</v>
      </c>
      <c r="C4106" s="153" t="s">
        <v>3817</v>
      </c>
      <c r="D4106" s="224"/>
      <c r="E4106" s="153"/>
      <c r="F4106" s="153"/>
      <c r="G4106" s="109" t="s">
        <v>2663</v>
      </c>
      <c r="H4106" s="153" t="s">
        <v>512</v>
      </c>
      <c r="I4106" s="153" t="s">
        <v>900</v>
      </c>
      <c r="J4106" s="153" t="s">
        <v>5124</v>
      </c>
      <c r="K4106" s="224"/>
      <c r="L4106" s="135" t="str">
        <f t="shared" si="229"/>
        <v>Micronycteris minuta</v>
      </c>
      <c r="M4106" s="133">
        <f t="shared" si="228"/>
        <v>0.81291335664285558</v>
      </c>
      <c r="N4106" s="149">
        <v>6.5</v>
      </c>
      <c r="O4106" s="191"/>
      <c r="P4106" s="109">
        <v>153</v>
      </c>
    </row>
    <row r="4107" spans="1:22" ht="15" customHeight="1">
      <c r="A4107" s="212" t="s">
        <v>3816</v>
      </c>
      <c r="B4107" s="141" t="s">
        <v>656</v>
      </c>
      <c r="C4107" s="148" t="s">
        <v>3817</v>
      </c>
      <c r="D4107" s="223"/>
      <c r="E4107" s="148"/>
      <c r="F4107" s="148"/>
      <c r="G4107" s="109" t="s">
        <v>2663</v>
      </c>
      <c r="H4107" s="148" t="s">
        <v>512</v>
      </c>
      <c r="I4107" s="148" t="s">
        <v>900</v>
      </c>
      <c r="J4107" s="148" t="s">
        <v>730</v>
      </c>
      <c r="K4107" s="223"/>
      <c r="L4107" s="135" t="str">
        <f t="shared" si="229"/>
        <v>Micronycteris schmidtorum</v>
      </c>
      <c r="M4107" s="133">
        <f t="shared" si="228"/>
        <v>0.87698718442771928</v>
      </c>
      <c r="N4107" s="149">
        <v>7.5333333333330001</v>
      </c>
      <c r="O4107" s="191"/>
      <c r="P4107" s="109">
        <v>153</v>
      </c>
    </row>
    <row r="4108" spans="1:22" ht="51">
      <c r="A4108" s="212" t="s">
        <v>3816</v>
      </c>
      <c r="B4108" s="130" t="s">
        <v>655</v>
      </c>
      <c r="C4108" s="153" t="s">
        <v>3817</v>
      </c>
      <c r="D4108" s="224"/>
      <c r="E4108" s="153"/>
      <c r="F4108" s="153"/>
      <c r="G4108" s="109" t="s">
        <v>2663</v>
      </c>
      <c r="H4108" s="153" t="s">
        <v>512</v>
      </c>
      <c r="I4108" s="153" t="s">
        <v>900</v>
      </c>
      <c r="J4108" s="153" t="s">
        <v>565</v>
      </c>
      <c r="K4108" s="224"/>
      <c r="L4108" s="135" t="str">
        <f t="shared" si="229"/>
        <v>Micronycteris nicefori</v>
      </c>
      <c r="M4108" s="133">
        <f t="shared" si="228"/>
        <v>0.91539983521226986</v>
      </c>
      <c r="N4108" s="149">
        <v>8.23</v>
      </c>
      <c r="O4108" s="191"/>
      <c r="P4108" s="109">
        <v>153</v>
      </c>
    </row>
    <row r="4109" spans="1:22" ht="15" customHeight="1">
      <c r="A4109" s="212" t="s">
        <v>3816</v>
      </c>
      <c r="B4109" s="130" t="s">
        <v>657</v>
      </c>
      <c r="C4109" s="153" t="s">
        <v>3817</v>
      </c>
      <c r="D4109" s="224"/>
      <c r="E4109" s="153"/>
      <c r="F4109" s="153"/>
      <c r="G4109" s="109" t="s">
        <v>2663</v>
      </c>
      <c r="H4109" s="153" t="s">
        <v>512</v>
      </c>
      <c r="I4109" s="153" t="s">
        <v>900</v>
      </c>
      <c r="J4109" s="153" t="s">
        <v>8312</v>
      </c>
      <c r="K4109" s="224"/>
      <c r="L4109" s="135" t="str">
        <f t="shared" si="229"/>
        <v>Micronycteris sylvestris</v>
      </c>
      <c r="M4109" s="133">
        <f t="shared" si="228"/>
        <v>0.94448267215016868</v>
      </c>
      <c r="N4109" s="149">
        <v>8.8000000000000007</v>
      </c>
      <c r="O4109" s="191"/>
      <c r="P4109" s="109">
        <v>153</v>
      </c>
    </row>
    <row r="4110" spans="1:22" ht="38.25">
      <c r="A4110" s="110" t="s">
        <v>3816</v>
      </c>
      <c r="B4110" s="141" t="s">
        <v>566</v>
      </c>
      <c r="C4110" s="148" t="s">
        <v>3817</v>
      </c>
      <c r="D4110" s="223"/>
      <c r="E4110" s="148"/>
      <c r="F4110" s="148"/>
      <c r="G4110" s="109" t="s">
        <v>2663</v>
      </c>
      <c r="H4110" s="148" t="s">
        <v>512</v>
      </c>
      <c r="I4110" s="148" t="s">
        <v>900</v>
      </c>
      <c r="J4110" s="148" t="s">
        <v>7539</v>
      </c>
      <c r="K4110" s="223"/>
      <c r="L4110" s="135" t="str">
        <f t="shared" si="229"/>
        <v>Micronycteris brachyotis</v>
      </c>
      <c r="M4110" s="133">
        <f t="shared" si="228"/>
        <v>1.0211892990699381</v>
      </c>
      <c r="N4110" s="149">
        <v>10.5</v>
      </c>
      <c r="O4110" s="191"/>
      <c r="P4110" s="109">
        <v>153</v>
      </c>
    </row>
    <row r="4111" spans="1:22" ht="51">
      <c r="A4111" s="110" t="s">
        <v>3816</v>
      </c>
      <c r="B4111" s="130" t="s">
        <v>473</v>
      </c>
      <c r="C4111" s="153" t="s">
        <v>3817</v>
      </c>
      <c r="D4111" s="224"/>
      <c r="E4111" s="153"/>
      <c r="F4111" s="153"/>
      <c r="G4111" s="109" t="s">
        <v>2663</v>
      </c>
      <c r="H4111" s="153" t="s">
        <v>512</v>
      </c>
      <c r="I4111" s="153" t="s">
        <v>900</v>
      </c>
      <c r="J4111" s="153" t="s">
        <v>620</v>
      </c>
      <c r="K4111" s="224"/>
      <c r="L4111" s="135" t="str">
        <f t="shared" si="229"/>
        <v>Micronycteris hirsuta</v>
      </c>
      <c r="M4111" s="133">
        <f t="shared" si="228"/>
        <v>1.0941215958405615</v>
      </c>
      <c r="N4111" s="149">
        <v>12.42</v>
      </c>
      <c r="O4111" s="191"/>
      <c r="P4111" s="109">
        <v>153</v>
      </c>
    </row>
    <row r="4112" spans="1:22" ht="25.5">
      <c r="A4112" s="110" t="s">
        <v>3816</v>
      </c>
      <c r="B4112" s="141" t="s">
        <v>621</v>
      </c>
      <c r="C4112" s="150" t="s">
        <v>3817</v>
      </c>
      <c r="D4112" s="221"/>
      <c r="E4112" s="150"/>
      <c r="F4112" s="150"/>
      <c r="G4112" s="110" t="s">
        <v>2663</v>
      </c>
      <c r="H4112" s="148" t="s">
        <v>512</v>
      </c>
      <c r="I4112" s="150" t="s">
        <v>900</v>
      </c>
      <c r="J4112" s="150" t="s">
        <v>532</v>
      </c>
      <c r="K4112" s="221"/>
      <c r="L4112" s="135" t="str">
        <f t="shared" si="229"/>
        <v>Micronycteris daviesi</v>
      </c>
      <c r="M4112" s="133">
        <f t="shared" si="228"/>
        <v>1.2624510897304295</v>
      </c>
      <c r="N4112" s="152">
        <v>18.3</v>
      </c>
      <c r="O4112" s="191"/>
      <c r="P4112" s="109">
        <v>153</v>
      </c>
    </row>
    <row r="4113" spans="1:16" ht="15" customHeight="1">
      <c r="A4113" s="110" t="s">
        <v>3816</v>
      </c>
      <c r="B4113" s="130" t="s">
        <v>2148</v>
      </c>
      <c r="C4113" s="153" t="s">
        <v>3817</v>
      </c>
      <c r="D4113" s="224"/>
      <c r="E4113" s="153"/>
      <c r="F4113" s="153"/>
      <c r="G4113" s="109" t="s">
        <v>2663</v>
      </c>
      <c r="H4113" s="153" t="s">
        <v>512</v>
      </c>
      <c r="I4113" s="153" t="s">
        <v>4517</v>
      </c>
      <c r="J4113" s="153" t="s">
        <v>2029</v>
      </c>
      <c r="K4113" s="224"/>
      <c r="L4113" s="135" t="str">
        <f t="shared" si="229"/>
        <v>Mimon crenulatum</v>
      </c>
      <c r="M4113" s="133">
        <f t="shared" si="228"/>
        <v>1.1383026981662814</v>
      </c>
      <c r="N4113" s="149">
        <v>13.75</v>
      </c>
      <c r="O4113" s="191"/>
      <c r="P4113" s="109">
        <v>153</v>
      </c>
    </row>
    <row r="4114" spans="1:16" ht="25.5">
      <c r="A4114" s="110" t="s">
        <v>3816</v>
      </c>
      <c r="B4114" s="141" t="s">
        <v>619</v>
      </c>
      <c r="C4114" s="150" t="s">
        <v>3817</v>
      </c>
      <c r="D4114" s="221"/>
      <c r="E4114" s="150"/>
      <c r="F4114" s="150"/>
      <c r="G4114" s="110" t="s">
        <v>2663</v>
      </c>
      <c r="H4114" s="150" t="s">
        <v>512</v>
      </c>
      <c r="I4114" s="150" t="s">
        <v>4517</v>
      </c>
      <c r="J4114" s="150" t="s">
        <v>5734</v>
      </c>
      <c r="K4114" s="221"/>
      <c r="L4114" s="135" t="str">
        <f t="shared" si="229"/>
        <v>Mimon bennettii</v>
      </c>
      <c r="M4114" s="133">
        <f t="shared" si="228"/>
        <v>1.4014005407815442</v>
      </c>
      <c r="N4114" s="151">
        <v>25.2</v>
      </c>
      <c r="O4114" s="183"/>
      <c r="P4114" s="110">
        <v>249</v>
      </c>
    </row>
    <row r="4115" spans="1:16" ht="38.25">
      <c r="A4115" s="110" t="s">
        <v>3816</v>
      </c>
      <c r="B4115" s="141" t="s">
        <v>2022</v>
      </c>
      <c r="C4115" s="148" t="s">
        <v>3817</v>
      </c>
      <c r="D4115" s="223"/>
      <c r="E4115" s="148"/>
      <c r="F4115" s="148"/>
      <c r="G4115" s="109" t="s">
        <v>2663</v>
      </c>
      <c r="H4115" s="148" t="s">
        <v>512</v>
      </c>
      <c r="I4115" s="148" t="s">
        <v>2023</v>
      </c>
      <c r="J4115" s="148" t="s">
        <v>2024</v>
      </c>
      <c r="K4115" s="223"/>
      <c r="L4115" s="135" t="str">
        <f t="shared" si="229"/>
        <v>Musonycteris harrisoni</v>
      </c>
      <c r="M4115" s="151">
        <v>-999</v>
      </c>
      <c r="N4115" s="151">
        <v>-999</v>
      </c>
      <c r="O4115" s="189"/>
      <c r="P4115" s="109">
        <v>-999</v>
      </c>
    </row>
    <row r="4116" spans="1:16" ht="25.5">
      <c r="A4116" s="110" t="s">
        <v>3816</v>
      </c>
      <c r="B4116" s="141" t="s">
        <v>2147</v>
      </c>
      <c r="C4116" s="150" t="s">
        <v>3817</v>
      </c>
      <c r="D4116" s="221"/>
      <c r="E4116" s="150"/>
      <c r="F4116" s="150"/>
      <c r="G4116" s="110" t="s">
        <v>2663</v>
      </c>
      <c r="H4116" s="150" t="s">
        <v>512</v>
      </c>
      <c r="I4116" s="150" t="s">
        <v>5069</v>
      </c>
      <c r="J4116" s="150" t="s">
        <v>4505</v>
      </c>
      <c r="K4116" s="221"/>
      <c r="L4116" s="135" t="str">
        <f t="shared" si="229"/>
        <v>Phylloderma stenops</v>
      </c>
      <c r="M4116" s="133">
        <f t="shared" ref="M4116:M4122" si="230">LOG(N4116)</f>
        <v>1.7297720531082863</v>
      </c>
      <c r="N4116" s="152">
        <v>53.674999999999997</v>
      </c>
      <c r="O4116" s="191"/>
      <c r="P4116" s="109">
        <v>153</v>
      </c>
    </row>
    <row r="4117" spans="1:16" ht="76.5">
      <c r="A4117" s="110" t="s">
        <v>3816</v>
      </c>
      <c r="B4117" s="130" t="s">
        <v>507</v>
      </c>
      <c r="C4117" s="155" t="s">
        <v>3817</v>
      </c>
      <c r="D4117" s="225"/>
      <c r="E4117" s="155"/>
      <c r="F4117" s="155"/>
      <c r="G4117" s="110" t="s">
        <v>2663</v>
      </c>
      <c r="H4117" s="155" t="s">
        <v>512</v>
      </c>
      <c r="I4117" s="155" t="s">
        <v>1957</v>
      </c>
      <c r="J4117" s="155" t="s">
        <v>4347</v>
      </c>
      <c r="K4117" s="225"/>
      <c r="L4117" s="135" t="str">
        <f t="shared" si="229"/>
        <v>Phyllostomus discolor</v>
      </c>
      <c r="M4117" s="133">
        <f t="shared" si="230"/>
        <v>1.5704261783589726</v>
      </c>
      <c r="N4117" s="152">
        <v>37.19</v>
      </c>
      <c r="O4117" s="191"/>
      <c r="P4117" s="109">
        <v>153</v>
      </c>
    </row>
    <row r="4118" spans="1:16" ht="24" customHeight="1">
      <c r="A4118" s="110" t="s">
        <v>3816</v>
      </c>
      <c r="B4118" s="130" t="s">
        <v>601</v>
      </c>
      <c r="C4118" s="155" t="s">
        <v>3817</v>
      </c>
      <c r="D4118" s="225"/>
      <c r="E4118" s="155"/>
      <c r="F4118" s="155"/>
      <c r="G4118" s="110" t="s">
        <v>2663</v>
      </c>
      <c r="H4118" s="155" t="s">
        <v>512</v>
      </c>
      <c r="I4118" s="155" t="s">
        <v>1957</v>
      </c>
      <c r="J4118" s="155" t="s">
        <v>610</v>
      </c>
      <c r="K4118" s="225"/>
      <c r="L4118" s="135" t="str">
        <f t="shared" si="229"/>
        <v>Phyllostomus hastatus</v>
      </c>
      <c r="M4118" s="133">
        <f t="shared" si="230"/>
        <v>1.9660478210764538</v>
      </c>
      <c r="N4118" s="152">
        <v>92.48</v>
      </c>
      <c r="O4118" s="191"/>
      <c r="P4118" s="109">
        <v>153</v>
      </c>
    </row>
    <row r="4119" spans="1:16" ht="24" customHeight="1">
      <c r="A4119" s="110" t="s">
        <v>3816</v>
      </c>
      <c r="B4119" s="141" t="s">
        <v>862</v>
      </c>
      <c r="C4119" s="148" t="s">
        <v>3817</v>
      </c>
      <c r="D4119" s="223"/>
      <c r="E4119" s="148"/>
      <c r="F4119" s="148"/>
      <c r="G4119" s="109" t="s">
        <v>2663</v>
      </c>
      <c r="H4119" s="148" t="s">
        <v>512</v>
      </c>
      <c r="I4119" s="148" t="s">
        <v>854</v>
      </c>
      <c r="J4119" s="148" t="s">
        <v>855</v>
      </c>
      <c r="K4119" s="223"/>
      <c r="L4119" s="135" t="str">
        <f t="shared" si="229"/>
        <v>Platyrrhinus helleri</v>
      </c>
      <c r="M4119" s="133">
        <f t="shared" si="230"/>
        <v>1.1303337684950061</v>
      </c>
      <c r="N4119" s="149">
        <v>13.5</v>
      </c>
      <c r="O4119" s="191"/>
      <c r="P4119" s="109">
        <v>153</v>
      </c>
    </row>
    <row r="4120" spans="1:16" ht="36" customHeight="1">
      <c r="A4120" s="110" t="s">
        <v>3816</v>
      </c>
      <c r="B4120" s="141" t="s">
        <v>2845</v>
      </c>
      <c r="C4120" s="150" t="s">
        <v>3817</v>
      </c>
      <c r="D4120" s="221"/>
      <c r="E4120" s="150"/>
      <c r="F4120" s="150"/>
      <c r="G4120" s="110" t="s">
        <v>2663</v>
      </c>
      <c r="H4120" s="150" t="s">
        <v>512</v>
      </c>
      <c r="I4120" s="150" t="s">
        <v>854</v>
      </c>
      <c r="J4120" s="150" t="s">
        <v>698</v>
      </c>
      <c r="K4120" s="221"/>
      <c r="L4120" s="135" t="str">
        <f t="shared" si="229"/>
        <v>Platyrrhinus umbratus</v>
      </c>
      <c r="M4120" s="133">
        <f t="shared" si="230"/>
        <v>1.3891660843645324</v>
      </c>
      <c r="N4120" s="152">
        <v>24.5</v>
      </c>
      <c r="O4120" s="191"/>
      <c r="P4120" s="109">
        <v>153</v>
      </c>
    </row>
    <row r="4121" spans="1:16" ht="25.5">
      <c r="A4121" s="110" t="s">
        <v>3816</v>
      </c>
      <c r="B4121" s="141" t="s">
        <v>693</v>
      </c>
      <c r="C4121" s="150" t="s">
        <v>3817</v>
      </c>
      <c r="D4121" s="221"/>
      <c r="E4121" s="150"/>
      <c r="F4121" s="150"/>
      <c r="G4121" s="110" t="s">
        <v>2663</v>
      </c>
      <c r="H4121" s="150" t="s">
        <v>512</v>
      </c>
      <c r="I4121" s="150" t="s">
        <v>854</v>
      </c>
      <c r="J4121" s="150" t="s">
        <v>3630</v>
      </c>
      <c r="K4121" s="221"/>
      <c r="L4121" s="135" t="str">
        <f t="shared" si="229"/>
        <v>Platyrrhinus dorsalis</v>
      </c>
      <c r="M4121" s="133">
        <f t="shared" si="230"/>
        <v>1.414973347970818</v>
      </c>
      <c r="N4121" s="152">
        <v>26</v>
      </c>
      <c r="O4121" s="191"/>
      <c r="P4121" s="109">
        <v>153</v>
      </c>
    </row>
    <row r="4122" spans="1:16" ht="72" customHeight="1">
      <c r="A4122" s="109" t="s">
        <v>3816</v>
      </c>
      <c r="B4122" s="141" t="s">
        <v>691</v>
      </c>
      <c r="C4122" s="150" t="s">
        <v>3817</v>
      </c>
      <c r="D4122" s="221"/>
      <c r="E4122" s="150"/>
      <c r="F4122" s="150"/>
      <c r="G4122" s="110" t="s">
        <v>2663</v>
      </c>
      <c r="H4122" s="150" t="s">
        <v>512</v>
      </c>
      <c r="I4122" s="150" t="s">
        <v>854</v>
      </c>
      <c r="J4122" s="150" t="s">
        <v>857</v>
      </c>
      <c r="K4122" s="221"/>
      <c r="L4122" s="135" t="str">
        <f t="shared" si="229"/>
        <v>Platyrrhinus vittatus</v>
      </c>
      <c r="M4122" s="133">
        <f t="shared" si="230"/>
        <v>1.6170003411208989</v>
      </c>
      <c r="N4122" s="152">
        <v>41.4</v>
      </c>
      <c r="O4122" s="191"/>
      <c r="P4122" s="109">
        <v>153</v>
      </c>
    </row>
    <row r="4123" spans="1:16" ht="25.5">
      <c r="A4123" s="110" t="s">
        <v>3816</v>
      </c>
      <c r="B4123" s="141" t="s">
        <v>866</v>
      </c>
      <c r="C4123" s="150" t="s">
        <v>3817</v>
      </c>
      <c r="D4123" s="221"/>
      <c r="E4123" s="150"/>
      <c r="F4123" s="150"/>
      <c r="G4123" s="110" t="s">
        <v>2663</v>
      </c>
      <c r="H4123" s="150" t="s">
        <v>512</v>
      </c>
      <c r="I4123" s="150" t="s">
        <v>1973</v>
      </c>
      <c r="J4123" s="150" t="s">
        <v>867</v>
      </c>
      <c r="K4123" s="221"/>
      <c r="L4123" s="135" t="str">
        <f t="shared" si="229"/>
        <v>Sturnira luisi</v>
      </c>
      <c r="M4123" s="151">
        <v>-999</v>
      </c>
      <c r="N4123" s="146">
        <v>-999</v>
      </c>
      <c r="O4123" s="189"/>
      <c r="P4123" s="109">
        <v>-999</v>
      </c>
    </row>
    <row r="4124" spans="1:16" ht="63.75">
      <c r="A4124" s="110" t="s">
        <v>3816</v>
      </c>
      <c r="B4124" s="141" t="s">
        <v>4874</v>
      </c>
      <c r="C4124" s="150" t="s">
        <v>3817</v>
      </c>
      <c r="D4124" s="221"/>
      <c r="E4124" s="150"/>
      <c r="F4124" s="150"/>
      <c r="G4124" s="110" t="s">
        <v>2663</v>
      </c>
      <c r="H4124" s="150" t="s">
        <v>512</v>
      </c>
      <c r="I4124" s="150" t="s">
        <v>1973</v>
      </c>
      <c r="J4124" s="150" t="s">
        <v>4875</v>
      </c>
      <c r="K4124" s="221"/>
      <c r="L4124" s="135" t="str">
        <f t="shared" si="229"/>
        <v>Sturnira lilium</v>
      </c>
      <c r="M4124" s="133">
        <f t="shared" ref="M4124:M4148" si="231">LOG(N4124)</f>
        <v>1.2810191558083406</v>
      </c>
      <c r="N4124" s="152">
        <v>19.099374999999998</v>
      </c>
      <c r="O4124" s="191"/>
      <c r="P4124" s="109">
        <v>153</v>
      </c>
    </row>
    <row r="4125" spans="1:16" ht="38.25">
      <c r="A4125" s="110" t="s">
        <v>3816</v>
      </c>
      <c r="B4125" s="141" t="s">
        <v>4414</v>
      </c>
      <c r="C4125" s="150" t="s">
        <v>3817</v>
      </c>
      <c r="D4125" s="221"/>
      <c r="E4125" s="150"/>
      <c r="F4125" s="150"/>
      <c r="G4125" s="110" t="s">
        <v>2663</v>
      </c>
      <c r="H4125" s="150" t="s">
        <v>512</v>
      </c>
      <c r="I4125" s="150" t="s">
        <v>1973</v>
      </c>
      <c r="J4125" s="150" t="s">
        <v>4871</v>
      </c>
      <c r="K4125" s="221"/>
      <c r="L4125" s="135" t="str">
        <f t="shared" si="229"/>
        <v>Sturnira ludovici</v>
      </c>
      <c r="M4125" s="133">
        <f t="shared" si="231"/>
        <v>1.3226774749122494</v>
      </c>
      <c r="N4125" s="152">
        <v>21.022166666667001</v>
      </c>
      <c r="O4125" s="191"/>
      <c r="P4125" s="109">
        <v>153</v>
      </c>
    </row>
    <row r="4126" spans="1:16">
      <c r="A4126" s="110" t="s">
        <v>3816</v>
      </c>
      <c r="B4126" s="141" t="s">
        <v>5081</v>
      </c>
      <c r="C4126" s="150" t="s">
        <v>3817</v>
      </c>
      <c r="D4126" s="221"/>
      <c r="E4126" s="150"/>
      <c r="F4126" s="150"/>
      <c r="G4126" s="110" t="s">
        <v>2663</v>
      </c>
      <c r="H4126" s="150" t="s">
        <v>512</v>
      </c>
      <c r="I4126" s="150" t="s">
        <v>1973</v>
      </c>
      <c r="J4126" s="150" t="s">
        <v>6743</v>
      </c>
      <c r="K4126" s="221"/>
      <c r="L4126" s="135" t="str">
        <f t="shared" si="229"/>
        <v>Sturnira mordax</v>
      </c>
      <c r="M4126" s="133">
        <f t="shared" si="231"/>
        <v>1.3993275321586789</v>
      </c>
      <c r="N4126" s="151">
        <f>AVERAGE(26, 20.3, 23.9, 27.2, 28)</f>
        <v>25.08</v>
      </c>
      <c r="O4126" s="183"/>
      <c r="P4126" s="110">
        <v>238</v>
      </c>
    </row>
    <row r="4127" spans="1:16" ht="38.25">
      <c r="A4127" s="109" t="s">
        <v>3816</v>
      </c>
      <c r="B4127" s="130" t="s">
        <v>481</v>
      </c>
      <c r="C4127" s="155" t="s">
        <v>3817</v>
      </c>
      <c r="D4127" s="225"/>
      <c r="E4127" s="155"/>
      <c r="F4127" s="155"/>
      <c r="G4127" s="110" t="s">
        <v>2663</v>
      </c>
      <c r="H4127" s="155" t="s">
        <v>512</v>
      </c>
      <c r="I4127" s="155" t="s">
        <v>482</v>
      </c>
      <c r="J4127" s="155" t="s">
        <v>483</v>
      </c>
      <c r="K4127" s="225"/>
      <c r="L4127" s="135" t="str">
        <f t="shared" si="229"/>
        <v>Tonatia brasiliense</v>
      </c>
      <c r="M4127" s="133">
        <f t="shared" si="231"/>
        <v>0.97220283837906452</v>
      </c>
      <c r="N4127" s="152">
        <v>9.3800000000000008</v>
      </c>
      <c r="O4127" s="192"/>
      <c r="P4127" s="109">
        <v>153</v>
      </c>
    </row>
    <row r="4128" spans="1:16" ht="36" customHeight="1">
      <c r="A4128" s="110" t="s">
        <v>3816</v>
      </c>
      <c r="B4128" s="141" t="s">
        <v>728</v>
      </c>
      <c r="C4128" s="150" t="s">
        <v>3817</v>
      </c>
      <c r="D4128" s="221"/>
      <c r="E4128" s="150"/>
      <c r="F4128" s="150"/>
      <c r="G4128" s="110" t="s">
        <v>2663</v>
      </c>
      <c r="H4128" s="150" t="s">
        <v>512</v>
      </c>
      <c r="I4128" s="150" t="s">
        <v>482</v>
      </c>
      <c r="J4128" s="150" t="s">
        <v>729</v>
      </c>
      <c r="K4128" s="221"/>
      <c r="L4128" s="135" t="str">
        <f t="shared" si="229"/>
        <v>Tonatia evotis</v>
      </c>
      <c r="M4128" s="133">
        <f t="shared" si="231"/>
        <v>1.2966651902615312</v>
      </c>
      <c r="N4128" s="152">
        <v>19.8</v>
      </c>
      <c r="O4128" s="192"/>
      <c r="P4128" s="109">
        <v>153</v>
      </c>
    </row>
    <row r="4129" spans="1:16" ht="51">
      <c r="A4129" s="110" t="s">
        <v>3816</v>
      </c>
      <c r="B4129" s="130" t="s">
        <v>2789</v>
      </c>
      <c r="C4129" s="155" t="s">
        <v>3817</v>
      </c>
      <c r="D4129" s="225"/>
      <c r="E4129" s="155"/>
      <c r="F4129" s="155"/>
      <c r="G4129" s="110" t="s">
        <v>2663</v>
      </c>
      <c r="H4129" s="155" t="s">
        <v>512</v>
      </c>
      <c r="I4129" s="155" t="s">
        <v>482</v>
      </c>
      <c r="J4129" s="155" t="s">
        <v>5610</v>
      </c>
      <c r="K4129" s="225"/>
      <c r="L4129" s="135" t="str">
        <f t="shared" si="229"/>
        <v>Tonatia bidens</v>
      </c>
      <c r="M4129" s="133">
        <f t="shared" si="231"/>
        <v>1.4445132063340429</v>
      </c>
      <c r="N4129" s="152">
        <v>27.83</v>
      </c>
      <c r="O4129" s="192"/>
      <c r="P4129" s="109">
        <v>153</v>
      </c>
    </row>
    <row r="4130" spans="1:16">
      <c r="A4130" s="110" t="s">
        <v>3816</v>
      </c>
      <c r="B4130" s="141" t="s">
        <v>2790</v>
      </c>
      <c r="C4130" s="150" t="s">
        <v>3817</v>
      </c>
      <c r="D4130" s="221"/>
      <c r="E4130" s="150"/>
      <c r="F4130" s="150"/>
      <c r="G4130" s="110" t="s">
        <v>2663</v>
      </c>
      <c r="H4130" s="150" t="s">
        <v>512</v>
      </c>
      <c r="I4130" s="150" t="s">
        <v>482</v>
      </c>
      <c r="J4130" s="150" t="s">
        <v>2779</v>
      </c>
      <c r="K4130" s="221"/>
      <c r="L4130" s="135" t="str">
        <f t="shared" si="229"/>
        <v>Tonatia silvicola</v>
      </c>
      <c r="M4130" s="133">
        <f t="shared" si="231"/>
        <v>1.4727564493172123</v>
      </c>
      <c r="N4130" s="152">
        <v>29.7</v>
      </c>
      <c r="O4130" s="192"/>
      <c r="P4130" s="109">
        <v>153</v>
      </c>
    </row>
    <row r="4131" spans="1:16" ht="51">
      <c r="A4131" s="110" t="s">
        <v>3816</v>
      </c>
      <c r="B4131" s="130" t="s">
        <v>2953</v>
      </c>
      <c r="C4131" s="155" t="s">
        <v>3817</v>
      </c>
      <c r="D4131" s="225"/>
      <c r="E4131" s="155"/>
      <c r="F4131" s="155"/>
      <c r="G4131" s="110" t="s">
        <v>2663</v>
      </c>
      <c r="H4131" s="155" t="s">
        <v>512</v>
      </c>
      <c r="I4131" s="155" t="s">
        <v>652</v>
      </c>
      <c r="J4131" s="155" t="s">
        <v>479</v>
      </c>
      <c r="K4131" s="225"/>
      <c r="L4131" s="135" t="str">
        <f t="shared" si="229"/>
        <v>Trachops cirrhosus</v>
      </c>
      <c r="M4131" s="133">
        <f t="shared" si="231"/>
        <v>1.5759956202032677</v>
      </c>
      <c r="N4131" s="152">
        <v>37.67</v>
      </c>
      <c r="O4131" s="192"/>
      <c r="P4131" s="109">
        <v>153</v>
      </c>
    </row>
    <row r="4132" spans="1:16" ht="38.25">
      <c r="A4132" s="110" t="s">
        <v>3816</v>
      </c>
      <c r="B4132" s="130" t="s">
        <v>719</v>
      </c>
      <c r="C4132" s="155" t="s">
        <v>3817</v>
      </c>
      <c r="D4132" s="225"/>
      <c r="E4132" s="155"/>
      <c r="F4132" s="155"/>
      <c r="G4132" s="110" t="s">
        <v>2663</v>
      </c>
      <c r="H4132" s="155" t="s">
        <v>512</v>
      </c>
      <c r="I4132" s="155" t="s">
        <v>568</v>
      </c>
      <c r="J4132" s="155" t="s">
        <v>567</v>
      </c>
      <c r="K4132" s="225"/>
      <c r="L4132" s="135" t="str">
        <f t="shared" si="229"/>
        <v>Uroderma bilobatum</v>
      </c>
      <c r="M4132" s="133">
        <f t="shared" si="231"/>
        <v>1.2195845262142546</v>
      </c>
      <c r="N4132" s="152">
        <v>16.579999999999998</v>
      </c>
      <c r="O4132" s="192"/>
      <c r="P4132" s="109">
        <v>153</v>
      </c>
    </row>
    <row r="4133" spans="1:16" ht="15" customHeight="1">
      <c r="A4133" s="110" t="s">
        <v>3816</v>
      </c>
      <c r="B4133" s="141" t="s">
        <v>646</v>
      </c>
      <c r="C4133" s="150" t="s">
        <v>3817</v>
      </c>
      <c r="D4133" s="221"/>
      <c r="E4133" s="150"/>
      <c r="F4133" s="150"/>
      <c r="G4133" s="110" t="s">
        <v>2663</v>
      </c>
      <c r="H4133" s="150" t="s">
        <v>512</v>
      </c>
      <c r="I4133" s="150" t="s">
        <v>568</v>
      </c>
      <c r="J4133" s="150" t="s">
        <v>476</v>
      </c>
      <c r="K4133" s="221"/>
      <c r="L4133" s="135" t="str">
        <f t="shared" si="229"/>
        <v>Uroderma magnirostrum</v>
      </c>
      <c r="M4133" s="133">
        <f t="shared" si="231"/>
        <v>1.2265999052073575</v>
      </c>
      <c r="N4133" s="152">
        <v>16.850000000000001</v>
      </c>
      <c r="O4133" s="192"/>
      <c r="P4133" s="109">
        <v>153</v>
      </c>
    </row>
    <row r="4134" spans="1:16" ht="51">
      <c r="A4134" s="110" t="s">
        <v>3816</v>
      </c>
      <c r="B4134" s="141" t="s">
        <v>2780</v>
      </c>
      <c r="C4134" s="150" t="s">
        <v>3817</v>
      </c>
      <c r="D4134" s="221"/>
      <c r="E4134" s="150"/>
      <c r="F4134" s="150"/>
      <c r="G4134" s="110" t="s">
        <v>2663</v>
      </c>
      <c r="H4134" s="150" t="s">
        <v>512</v>
      </c>
      <c r="I4134" s="150" t="s">
        <v>2633</v>
      </c>
      <c r="J4134" s="150" t="s">
        <v>7423</v>
      </c>
      <c r="K4134" s="221"/>
      <c r="L4134" s="135" t="str">
        <f t="shared" si="229"/>
        <v>Vampyressa pusilla</v>
      </c>
      <c r="M4134" s="133">
        <f t="shared" si="231"/>
        <v>0.93593889860685342</v>
      </c>
      <c r="N4134" s="152">
        <v>8.628571428571</v>
      </c>
      <c r="O4134" s="192"/>
      <c r="P4134" s="110">
        <v>153</v>
      </c>
    </row>
    <row r="4135" spans="1:16">
      <c r="A4135" s="110" t="s">
        <v>3816</v>
      </c>
      <c r="B4135" s="141" t="s">
        <v>539</v>
      </c>
      <c r="C4135" s="150" t="s">
        <v>3817</v>
      </c>
      <c r="D4135" s="221"/>
      <c r="E4135" s="150"/>
      <c r="F4135" s="150"/>
      <c r="G4135" s="110" t="s">
        <v>2663</v>
      </c>
      <c r="H4135" s="150" t="s">
        <v>512</v>
      </c>
      <c r="I4135" s="150" t="s">
        <v>2633</v>
      </c>
      <c r="J4135" s="150" t="s">
        <v>398</v>
      </c>
      <c r="K4135" s="221"/>
      <c r="L4135" s="135" t="str">
        <f t="shared" si="229"/>
        <v>Vampyressa nymphaea</v>
      </c>
      <c r="M4135" s="133">
        <f t="shared" si="231"/>
        <v>1.0718820073061255</v>
      </c>
      <c r="N4135" s="146">
        <v>11.8</v>
      </c>
      <c r="O4135" s="183"/>
      <c r="P4135" s="110">
        <v>252</v>
      </c>
    </row>
    <row r="4136" spans="1:16" ht="38.25">
      <c r="A4136" s="110" t="s">
        <v>3816</v>
      </c>
      <c r="B4136" s="130" t="s">
        <v>4940</v>
      </c>
      <c r="C4136" s="155" t="s">
        <v>3817</v>
      </c>
      <c r="D4136" s="225"/>
      <c r="E4136" s="155"/>
      <c r="F4136" s="155"/>
      <c r="G4136" s="110" t="s">
        <v>2663</v>
      </c>
      <c r="H4136" s="153" t="s">
        <v>512</v>
      </c>
      <c r="I4136" s="155" t="s">
        <v>392</v>
      </c>
      <c r="J4136" s="155" t="s">
        <v>533</v>
      </c>
      <c r="K4136" s="225"/>
      <c r="L4136" s="135" t="str">
        <f t="shared" si="229"/>
        <v>Vampyrodes caraccioli</v>
      </c>
      <c r="M4136" s="133">
        <f t="shared" si="231"/>
        <v>1.5403294747908738</v>
      </c>
      <c r="N4136" s="152">
        <v>34.700000000000003</v>
      </c>
      <c r="O4136" s="191"/>
      <c r="P4136" s="109">
        <v>153</v>
      </c>
    </row>
    <row r="4137" spans="1:16" ht="24" customHeight="1">
      <c r="A4137" s="110" t="s">
        <v>3816</v>
      </c>
      <c r="B4137" s="130" t="s">
        <v>4651</v>
      </c>
      <c r="C4137" s="155" t="s">
        <v>3817</v>
      </c>
      <c r="D4137" s="225"/>
      <c r="E4137" s="155"/>
      <c r="F4137" s="155"/>
      <c r="G4137" s="110" t="s">
        <v>2663</v>
      </c>
      <c r="H4137" s="155" t="s">
        <v>512</v>
      </c>
      <c r="I4137" s="155" t="s">
        <v>2150</v>
      </c>
      <c r="J4137" s="155" t="s">
        <v>5777</v>
      </c>
      <c r="K4137" s="225"/>
      <c r="L4137" s="135" t="str">
        <f t="shared" si="229"/>
        <v>Vampyrum spectrum</v>
      </c>
      <c r="M4137" s="133">
        <f t="shared" si="231"/>
        <v>2.228862128530563</v>
      </c>
      <c r="N4137" s="152">
        <v>169.38</v>
      </c>
      <c r="O4137" s="192"/>
      <c r="P4137" s="110">
        <v>153</v>
      </c>
    </row>
    <row r="4138" spans="1:16" ht="25.5">
      <c r="A4138" s="110" t="s">
        <v>3816</v>
      </c>
      <c r="B4138" s="141" t="s">
        <v>2762</v>
      </c>
      <c r="C4138" s="150" t="s">
        <v>3817</v>
      </c>
      <c r="D4138" s="221"/>
      <c r="E4138" s="150"/>
      <c r="F4138" s="150"/>
      <c r="G4138" s="110" t="s">
        <v>2663</v>
      </c>
      <c r="H4138" s="150" t="s">
        <v>6203</v>
      </c>
      <c r="I4138" s="150" t="s">
        <v>2763</v>
      </c>
      <c r="J4138" s="150" t="s">
        <v>2764</v>
      </c>
      <c r="K4138" s="221"/>
      <c r="L4138" s="135" t="str">
        <f t="shared" si="229"/>
        <v>Melonycteris aurantius</v>
      </c>
      <c r="M4138" s="133">
        <f t="shared" si="231"/>
        <v>1.4656787253038732</v>
      </c>
      <c r="N4138" s="152">
        <v>29.219899999999999</v>
      </c>
      <c r="O4138" s="192"/>
      <c r="P4138" s="109">
        <v>153</v>
      </c>
    </row>
    <row r="4139" spans="1:16" ht="51">
      <c r="A4139" s="110" t="s">
        <v>3816</v>
      </c>
      <c r="B4139" s="141" t="s">
        <v>546</v>
      </c>
      <c r="C4139" s="150" t="s">
        <v>3817</v>
      </c>
      <c r="D4139" s="221"/>
      <c r="E4139" s="150"/>
      <c r="F4139" s="150"/>
      <c r="G4139" s="110" t="s">
        <v>2663</v>
      </c>
      <c r="H4139" s="150" t="s">
        <v>547</v>
      </c>
      <c r="I4139" s="150" t="s">
        <v>548</v>
      </c>
      <c r="J4139" s="150" t="s">
        <v>872</v>
      </c>
      <c r="K4139" s="221"/>
      <c r="L4139" s="135" t="str">
        <f t="shared" si="229"/>
        <v>Thyroptera discifera</v>
      </c>
      <c r="M4139" s="133">
        <f t="shared" si="231"/>
        <v>0.49136169383427269</v>
      </c>
      <c r="N4139" s="152">
        <v>3.1</v>
      </c>
      <c r="O4139" s="192"/>
      <c r="P4139" s="109">
        <v>153</v>
      </c>
    </row>
    <row r="4140" spans="1:16" ht="38.25">
      <c r="A4140" s="110" t="s">
        <v>3816</v>
      </c>
      <c r="B4140" s="141" t="s">
        <v>1173</v>
      </c>
      <c r="C4140" s="150" t="s">
        <v>3817</v>
      </c>
      <c r="D4140" s="221"/>
      <c r="E4140" s="150"/>
      <c r="F4140" s="150"/>
      <c r="G4140" s="110" t="s">
        <v>2663</v>
      </c>
      <c r="H4140" s="150" t="s">
        <v>547</v>
      </c>
      <c r="I4140" s="150" t="s">
        <v>548</v>
      </c>
      <c r="J4140" s="150" t="s">
        <v>839</v>
      </c>
      <c r="K4140" s="221"/>
      <c r="L4140" s="135" t="str">
        <f t="shared" si="229"/>
        <v>Thyroptera tricolor</v>
      </c>
      <c r="M4140" s="133">
        <f t="shared" si="231"/>
        <v>0.63911279544208466</v>
      </c>
      <c r="N4140" s="152">
        <v>4.3562500000000002</v>
      </c>
      <c r="O4140" s="192"/>
      <c r="P4140" s="109">
        <v>153</v>
      </c>
    </row>
    <row r="4141" spans="1:16" ht="51">
      <c r="A4141" s="110" t="s">
        <v>3816</v>
      </c>
      <c r="B4141" s="141" t="s">
        <v>840</v>
      </c>
      <c r="C4141" s="150" t="s">
        <v>3817</v>
      </c>
      <c r="D4141" s="221"/>
      <c r="E4141" s="150"/>
      <c r="F4141" s="150"/>
      <c r="G4141" s="110" t="s">
        <v>2663</v>
      </c>
      <c r="H4141" s="150" t="s">
        <v>6205</v>
      </c>
      <c r="I4141" s="150" t="s">
        <v>2853</v>
      </c>
      <c r="J4141" s="150" t="s">
        <v>5379</v>
      </c>
      <c r="K4141" s="221"/>
      <c r="L4141" s="135" t="str">
        <f t="shared" si="229"/>
        <v>Antrozous pallidus</v>
      </c>
      <c r="M4141" s="133">
        <f t="shared" si="231"/>
        <v>1.3180633349627615</v>
      </c>
      <c r="N4141" s="152">
        <v>20.8</v>
      </c>
      <c r="O4141" s="192"/>
      <c r="P4141" s="109">
        <v>153</v>
      </c>
    </row>
    <row r="4142" spans="1:16" ht="51">
      <c r="A4142" s="110" t="s">
        <v>3816</v>
      </c>
      <c r="B4142" s="141" t="s">
        <v>2850</v>
      </c>
      <c r="C4142" s="150" t="s">
        <v>3817</v>
      </c>
      <c r="D4142" s="221"/>
      <c r="E4142" s="150"/>
      <c r="F4142" s="150"/>
      <c r="G4142" s="110" t="s">
        <v>2663</v>
      </c>
      <c r="H4142" s="150" t="s">
        <v>6205</v>
      </c>
      <c r="I4142" s="150" t="s">
        <v>2853</v>
      </c>
      <c r="J4142" s="150" t="s">
        <v>835</v>
      </c>
      <c r="K4142" s="221"/>
      <c r="L4142" s="135" t="str">
        <f t="shared" si="229"/>
        <v>Antrozous dubiaquercus</v>
      </c>
      <c r="M4142" s="133">
        <f t="shared" si="231"/>
        <v>1.3603093443420586</v>
      </c>
      <c r="N4142" s="152">
        <v>22.925000000000001</v>
      </c>
      <c r="O4142" s="192"/>
      <c r="P4142" s="109">
        <v>153</v>
      </c>
    </row>
    <row r="4143" spans="1:16" ht="38.25">
      <c r="A4143" s="110" t="s">
        <v>3816</v>
      </c>
      <c r="B4143" s="141" t="s">
        <v>878</v>
      </c>
      <c r="C4143" s="150" t="s">
        <v>3817</v>
      </c>
      <c r="D4143" s="221"/>
      <c r="E4143" s="150"/>
      <c r="F4143" s="150"/>
      <c r="G4143" s="110" t="s">
        <v>2663</v>
      </c>
      <c r="H4143" s="150" t="s">
        <v>6205</v>
      </c>
      <c r="I4143" s="150" t="s">
        <v>6273</v>
      </c>
      <c r="J4143" s="150" t="s">
        <v>879</v>
      </c>
      <c r="K4143" s="221"/>
      <c r="L4143" s="135" t="str">
        <f t="shared" si="229"/>
        <v>Eptesicus furinalis</v>
      </c>
      <c r="M4143" s="133">
        <f t="shared" si="231"/>
        <v>0.88855388573627403</v>
      </c>
      <c r="N4143" s="152">
        <v>7.7366666666670003</v>
      </c>
      <c r="O4143" s="192"/>
      <c r="P4143" s="109">
        <v>153</v>
      </c>
    </row>
    <row r="4144" spans="1:16" ht="51">
      <c r="A4144" s="110" t="s">
        <v>3816</v>
      </c>
      <c r="B4144" s="141" t="s">
        <v>994</v>
      </c>
      <c r="C4144" s="150" t="s">
        <v>3817</v>
      </c>
      <c r="D4144" s="221"/>
      <c r="E4144" s="150"/>
      <c r="F4144" s="150"/>
      <c r="G4144" s="110" t="s">
        <v>2663</v>
      </c>
      <c r="H4144" s="150" t="s">
        <v>6205</v>
      </c>
      <c r="I4144" s="150" t="s">
        <v>6273</v>
      </c>
      <c r="J4144" s="150" t="s">
        <v>4467</v>
      </c>
      <c r="K4144" s="221"/>
      <c r="L4144" s="135" t="str">
        <f t="shared" si="229"/>
        <v>Eptesicus brasiliensis</v>
      </c>
      <c r="M4144" s="133">
        <f t="shared" si="231"/>
        <v>0.97619708532739058</v>
      </c>
      <c r="N4144" s="152">
        <v>9.4666666666670007</v>
      </c>
      <c r="O4144" s="192"/>
      <c r="P4144" s="109">
        <v>153</v>
      </c>
    </row>
    <row r="4145" spans="1:16" ht="76.5">
      <c r="A4145" s="110" t="s">
        <v>3816</v>
      </c>
      <c r="B4145" s="141" t="s">
        <v>993</v>
      </c>
      <c r="C4145" s="150" t="s">
        <v>3817</v>
      </c>
      <c r="D4145" s="221"/>
      <c r="E4145" s="150"/>
      <c r="F4145" s="150"/>
      <c r="G4145" s="110" t="s">
        <v>2663</v>
      </c>
      <c r="H4145" s="150" t="s">
        <v>6205</v>
      </c>
      <c r="I4145" s="150" t="s">
        <v>6273</v>
      </c>
      <c r="J4145" s="150" t="s">
        <v>4847</v>
      </c>
      <c r="K4145" s="221"/>
      <c r="L4145" s="135" t="str">
        <f t="shared" si="229"/>
        <v>Eptesicus fuscus</v>
      </c>
      <c r="M4145" s="133">
        <f t="shared" si="231"/>
        <v>1.2164423949044796</v>
      </c>
      <c r="N4145" s="152">
        <v>16.460476190476001</v>
      </c>
      <c r="O4145" s="192"/>
      <c r="P4145" s="109">
        <v>153</v>
      </c>
    </row>
    <row r="4146" spans="1:16" ht="38.25">
      <c r="A4146" s="109" t="s">
        <v>3816</v>
      </c>
      <c r="B4146" s="141" t="s">
        <v>2842</v>
      </c>
      <c r="C4146" s="150" t="s">
        <v>3817</v>
      </c>
      <c r="D4146" s="221"/>
      <c r="E4146" s="150"/>
      <c r="F4146" s="150"/>
      <c r="G4146" s="110" t="s">
        <v>2663</v>
      </c>
      <c r="H4146" s="150" t="s">
        <v>6205</v>
      </c>
      <c r="I4146" s="150" t="s">
        <v>2843</v>
      </c>
      <c r="J4146" s="150" t="s">
        <v>2844</v>
      </c>
      <c r="K4146" s="221"/>
      <c r="L4146" s="135" t="str">
        <f t="shared" si="229"/>
        <v>Euderma maculatum</v>
      </c>
      <c r="M4146" s="133">
        <f t="shared" si="231"/>
        <v>1.1948610840022065</v>
      </c>
      <c r="N4146" s="152">
        <v>15.6625</v>
      </c>
      <c r="O4146" s="192"/>
      <c r="P4146" s="109">
        <v>153</v>
      </c>
    </row>
    <row r="4147" spans="1:16" ht="38.25">
      <c r="A4147" s="110" t="s">
        <v>3816</v>
      </c>
      <c r="B4147" s="141" t="s">
        <v>1146</v>
      </c>
      <c r="C4147" s="150" t="s">
        <v>3817</v>
      </c>
      <c r="D4147" s="221"/>
      <c r="E4147" s="150"/>
      <c r="F4147" s="150"/>
      <c r="G4147" s="110" t="s">
        <v>2663</v>
      </c>
      <c r="H4147" s="150" t="s">
        <v>6205</v>
      </c>
      <c r="I4147" s="150" t="s">
        <v>1147</v>
      </c>
      <c r="J4147" s="150" t="s">
        <v>3169</v>
      </c>
      <c r="K4147" s="221"/>
      <c r="L4147" s="135" t="str">
        <f t="shared" si="229"/>
        <v>Idionycteris phyllotis</v>
      </c>
      <c r="M4147" s="133">
        <f t="shared" si="231"/>
        <v>1.0803859471859834</v>
      </c>
      <c r="N4147" s="152">
        <v>12.033333333332999</v>
      </c>
      <c r="O4147" s="192"/>
      <c r="P4147" s="109">
        <v>153</v>
      </c>
    </row>
    <row r="4148" spans="1:16" ht="51">
      <c r="A4148" s="110" t="s">
        <v>3816</v>
      </c>
      <c r="B4148" s="141" t="s">
        <v>888</v>
      </c>
      <c r="C4148" s="150" t="s">
        <v>3817</v>
      </c>
      <c r="D4148" s="221"/>
      <c r="E4148" s="150"/>
      <c r="F4148" s="150"/>
      <c r="G4148" s="110" t="s">
        <v>2663</v>
      </c>
      <c r="H4148" s="150" t="s">
        <v>6205</v>
      </c>
      <c r="I4148" s="150" t="s">
        <v>889</v>
      </c>
      <c r="J4148" s="150" t="s">
        <v>133</v>
      </c>
      <c r="K4148" s="221"/>
      <c r="L4148" s="135" t="str">
        <f t="shared" si="229"/>
        <v>Lasionycteris noctivagans</v>
      </c>
      <c r="M4148" s="133">
        <f t="shared" si="231"/>
        <v>1.0193759583064697</v>
      </c>
      <c r="N4148" s="152">
        <v>10.456250000000001</v>
      </c>
      <c r="O4148" s="192"/>
      <c r="P4148" s="109">
        <v>153</v>
      </c>
    </row>
    <row r="4149" spans="1:16" ht="25.5">
      <c r="A4149" s="110" t="s">
        <v>3816</v>
      </c>
      <c r="B4149" s="141" t="s">
        <v>2772</v>
      </c>
      <c r="C4149" s="150" t="s">
        <v>3817</v>
      </c>
      <c r="D4149" s="221"/>
      <c r="E4149" s="150"/>
      <c r="F4149" s="150"/>
      <c r="G4149" s="110" t="s">
        <v>2663</v>
      </c>
      <c r="H4149" s="150" t="s">
        <v>6205</v>
      </c>
      <c r="I4149" s="150" t="s">
        <v>1018</v>
      </c>
      <c r="J4149" s="150" t="s">
        <v>2773</v>
      </c>
      <c r="K4149" s="221"/>
      <c r="L4149" s="135" t="str">
        <f t="shared" si="229"/>
        <v>Lasiurus egregius</v>
      </c>
      <c r="M4149" s="146">
        <v>-999</v>
      </c>
      <c r="N4149" s="146">
        <v>-999</v>
      </c>
      <c r="O4149" s="183"/>
      <c r="P4149" s="109">
        <v>-999</v>
      </c>
    </row>
    <row r="4150" spans="1:16" ht="51">
      <c r="A4150" s="110" t="s">
        <v>3816</v>
      </c>
      <c r="B4150" s="141" t="s">
        <v>1017</v>
      </c>
      <c r="C4150" s="150" t="s">
        <v>3817</v>
      </c>
      <c r="D4150" s="221"/>
      <c r="E4150" s="150"/>
      <c r="F4150" s="150"/>
      <c r="G4150" s="110" t="s">
        <v>2663</v>
      </c>
      <c r="H4150" s="150" t="s">
        <v>6205</v>
      </c>
      <c r="I4150" s="150" t="s">
        <v>1018</v>
      </c>
      <c r="J4150" s="150" t="s">
        <v>1019</v>
      </c>
      <c r="K4150" s="221"/>
      <c r="L4150" s="135" t="str">
        <f t="shared" si="229"/>
        <v>Lasiurus seminolus</v>
      </c>
      <c r="M4150" s="133">
        <f t="shared" ref="M4150:M4155" si="232">LOG(N4150)</f>
        <v>0.99508649650573289</v>
      </c>
      <c r="N4150" s="152">
        <v>9.8874999999999993</v>
      </c>
      <c r="O4150" s="192"/>
      <c r="P4150" s="109">
        <v>153</v>
      </c>
    </row>
    <row r="4151" spans="1:16" ht="89.25">
      <c r="A4151" s="110" t="s">
        <v>3816</v>
      </c>
      <c r="B4151" s="141" t="s">
        <v>1115</v>
      </c>
      <c r="C4151" s="150" t="s">
        <v>3817</v>
      </c>
      <c r="D4151" s="221"/>
      <c r="E4151" s="150"/>
      <c r="F4151" s="150"/>
      <c r="G4151" s="110" t="s">
        <v>2663</v>
      </c>
      <c r="H4151" s="150" t="s">
        <v>6205</v>
      </c>
      <c r="I4151" s="150" t="s">
        <v>1018</v>
      </c>
      <c r="J4151" s="150" t="s">
        <v>4627</v>
      </c>
      <c r="K4151" s="221"/>
      <c r="L4151" s="135" t="str">
        <f t="shared" si="229"/>
        <v>Lasiurus borealis</v>
      </c>
      <c r="M4151" s="133">
        <f t="shared" si="232"/>
        <v>1.0309031768392987</v>
      </c>
      <c r="N4151" s="152">
        <v>10.737500000000001</v>
      </c>
      <c r="O4151" s="192"/>
      <c r="P4151" s="109">
        <v>153</v>
      </c>
    </row>
    <row r="4152" spans="1:16" ht="51">
      <c r="A4152" s="110" t="s">
        <v>3816</v>
      </c>
      <c r="B4152" s="141" t="s">
        <v>891</v>
      </c>
      <c r="C4152" s="150" t="s">
        <v>3817</v>
      </c>
      <c r="D4152" s="221"/>
      <c r="E4152" s="150"/>
      <c r="F4152" s="150"/>
      <c r="G4152" s="110" t="s">
        <v>2663</v>
      </c>
      <c r="H4152" s="150" t="s">
        <v>6205</v>
      </c>
      <c r="I4152" s="150" t="s">
        <v>1018</v>
      </c>
      <c r="J4152" s="150" t="s">
        <v>4877</v>
      </c>
      <c r="K4152" s="221"/>
      <c r="L4152" s="135" t="str">
        <f t="shared" si="229"/>
        <v>Lasiurus ega</v>
      </c>
      <c r="M4152" s="133">
        <f t="shared" si="232"/>
        <v>1.1205739312058498</v>
      </c>
      <c r="N4152" s="152">
        <v>13.2</v>
      </c>
      <c r="O4152" s="192"/>
      <c r="P4152" s="109">
        <v>153</v>
      </c>
    </row>
    <row r="4153" spans="1:16">
      <c r="A4153" s="109" t="s">
        <v>3816</v>
      </c>
      <c r="B4153" s="141" t="s">
        <v>892</v>
      </c>
      <c r="C4153" s="150" t="s">
        <v>3817</v>
      </c>
      <c r="D4153" s="221"/>
      <c r="E4153" s="150"/>
      <c r="F4153" s="150"/>
      <c r="G4153" s="110" t="s">
        <v>2663</v>
      </c>
      <c r="H4153" s="150" t="s">
        <v>6205</v>
      </c>
      <c r="I4153" s="150" t="s">
        <v>1018</v>
      </c>
      <c r="J4153" s="150" t="s">
        <v>1335</v>
      </c>
      <c r="K4153" s="221"/>
      <c r="L4153" s="135" t="str">
        <f t="shared" si="229"/>
        <v>Lasiurus castaneus</v>
      </c>
      <c r="M4153" s="133">
        <f t="shared" si="232"/>
        <v>1.1346020532876688</v>
      </c>
      <c r="N4153" s="152">
        <v>13.633333333333001</v>
      </c>
      <c r="O4153" s="192"/>
      <c r="P4153" s="109">
        <v>153</v>
      </c>
    </row>
    <row r="4154" spans="1:16" ht="51">
      <c r="A4154" s="110" t="s">
        <v>3816</v>
      </c>
      <c r="B4154" s="141" t="s">
        <v>945</v>
      </c>
      <c r="C4154" s="150" t="s">
        <v>3817</v>
      </c>
      <c r="D4154" s="221"/>
      <c r="E4154" s="150"/>
      <c r="F4154" s="150"/>
      <c r="G4154" s="110" t="s">
        <v>2663</v>
      </c>
      <c r="H4154" s="150" t="s">
        <v>6205</v>
      </c>
      <c r="I4154" s="150" t="s">
        <v>1018</v>
      </c>
      <c r="J4154" s="150" t="s">
        <v>3587</v>
      </c>
      <c r="K4154" s="221"/>
      <c r="L4154" s="135" t="str">
        <f t="shared" si="229"/>
        <v>Lasiurus intermedius</v>
      </c>
      <c r="M4154" s="133">
        <f t="shared" si="232"/>
        <v>1.3621996388688864</v>
      </c>
      <c r="N4154" s="152">
        <v>23.024999999999999</v>
      </c>
      <c r="O4154" s="192"/>
      <c r="P4154" s="109">
        <v>153</v>
      </c>
    </row>
    <row r="4155" spans="1:16" ht="127.5">
      <c r="A4155" s="109" t="s">
        <v>3816</v>
      </c>
      <c r="B4155" s="141" t="s">
        <v>957</v>
      </c>
      <c r="C4155" s="150" t="s">
        <v>3817</v>
      </c>
      <c r="D4155" s="221"/>
      <c r="E4155" s="150"/>
      <c r="F4155" s="150"/>
      <c r="G4155" s="110" t="s">
        <v>2663</v>
      </c>
      <c r="H4155" s="150" t="s">
        <v>6205</v>
      </c>
      <c r="I4155" s="150" t="s">
        <v>1018</v>
      </c>
      <c r="J4155" s="150" t="s">
        <v>4485</v>
      </c>
      <c r="K4155" s="221"/>
      <c r="L4155" s="135" t="str">
        <f t="shared" si="229"/>
        <v>Lasiurus cinereus</v>
      </c>
      <c r="M4155" s="133">
        <f t="shared" si="232"/>
        <v>1.4027456770809181</v>
      </c>
      <c r="N4155" s="152">
        <v>25.278172727272999</v>
      </c>
      <c r="O4155" s="192"/>
      <c r="P4155" s="109">
        <v>153</v>
      </c>
    </row>
    <row r="4156" spans="1:16">
      <c r="A4156" s="110" t="s">
        <v>3816</v>
      </c>
      <c r="B4156" s="141" t="s">
        <v>1087</v>
      </c>
      <c r="C4156" s="150" t="s">
        <v>3817</v>
      </c>
      <c r="D4156" s="221"/>
      <c r="E4156" s="150"/>
      <c r="F4156" s="150"/>
      <c r="G4156" s="110" t="s">
        <v>2663</v>
      </c>
      <c r="H4156" s="150" t="s">
        <v>6205</v>
      </c>
      <c r="I4156" s="150" t="s">
        <v>6206</v>
      </c>
      <c r="J4156" s="150" t="s">
        <v>1083</v>
      </c>
      <c r="K4156" s="221"/>
      <c r="L4156" s="135" t="str">
        <f t="shared" si="229"/>
        <v>Myotis cobanensis</v>
      </c>
      <c r="M4156" s="146">
        <v>-999</v>
      </c>
      <c r="N4156" s="146">
        <v>-999</v>
      </c>
      <c r="O4156" s="183"/>
      <c r="P4156" s="110">
        <v>-999</v>
      </c>
    </row>
    <row r="4157" spans="1:16">
      <c r="A4157" s="110" t="s">
        <v>3816</v>
      </c>
      <c r="B4157" s="141" t="s">
        <v>1873</v>
      </c>
      <c r="C4157" s="150" t="s">
        <v>3817</v>
      </c>
      <c r="D4157" s="221"/>
      <c r="E4157" s="150"/>
      <c r="F4157" s="150"/>
      <c r="G4157" s="110" t="s">
        <v>2663</v>
      </c>
      <c r="H4157" s="150" t="s">
        <v>6205</v>
      </c>
      <c r="I4157" s="150" t="s">
        <v>6206</v>
      </c>
      <c r="J4157" s="150" t="s">
        <v>2223</v>
      </c>
      <c r="K4157" s="221"/>
      <c r="L4157" s="135" t="str">
        <f t="shared" si="229"/>
        <v>Myotis milleri</v>
      </c>
      <c r="M4157" s="146">
        <v>-999</v>
      </c>
      <c r="N4157" s="146">
        <v>-999</v>
      </c>
      <c r="O4157" s="183"/>
      <c r="P4157" s="110">
        <v>-999</v>
      </c>
    </row>
    <row r="4158" spans="1:16">
      <c r="A4158" s="110" t="s">
        <v>3816</v>
      </c>
      <c r="B4158" s="141" t="s">
        <v>1026</v>
      </c>
      <c r="C4158" s="150" t="s">
        <v>3817</v>
      </c>
      <c r="D4158" s="221"/>
      <c r="E4158" s="150"/>
      <c r="F4158" s="150"/>
      <c r="G4158" s="110" t="s">
        <v>2663</v>
      </c>
      <c r="H4158" s="150" t="s">
        <v>6205</v>
      </c>
      <c r="I4158" s="150" t="s">
        <v>6206</v>
      </c>
      <c r="J4158" s="150" t="s">
        <v>1022</v>
      </c>
      <c r="K4158" s="221"/>
      <c r="L4158" s="135" t="str">
        <f t="shared" si="229"/>
        <v>Myotis peninsularis</v>
      </c>
      <c r="M4158" s="146">
        <v>-999</v>
      </c>
      <c r="N4158" s="146">
        <v>-999</v>
      </c>
      <c r="O4158" s="183"/>
      <c r="P4158" s="110">
        <v>-999</v>
      </c>
    </row>
    <row r="4159" spans="1:16" ht="25.5">
      <c r="A4159" s="109" t="s">
        <v>3816</v>
      </c>
      <c r="B4159" s="141" t="s">
        <v>1122</v>
      </c>
      <c r="C4159" s="150" t="s">
        <v>3817</v>
      </c>
      <c r="D4159" s="221"/>
      <c r="E4159" s="150"/>
      <c r="F4159" s="150"/>
      <c r="G4159" s="110" t="s">
        <v>2663</v>
      </c>
      <c r="H4159" s="150" t="s">
        <v>6205</v>
      </c>
      <c r="I4159" s="150" t="s">
        <v>6206</v>
      </c>
      <c r="J4159" s="150" t="s">
        <v>7296</v>
      </c>
      <c r="K4159" s="221"/>
      <c r="L4159" s="135" t="str">
        <f t="shared" si="229"/>
        <v>Myotis planiceps</v>
      </c>
      <c r="M4159" s="146">
        <v>-999</v>
      </c>
      <c r="N4159" s="146">
        <v>-999</v>
      </c>
      <c r="O4159" s="183"/>
      <c r="P4159" s="110">
        <v>-999</v>
      </c>
    </row>
    <row r="4160" spans="1:16" ht="25.5">
      <c r="A4160" s="110" t="s">
        <v>3816</v>
      </c>
      <c r="B4160" s="141" t="s">
        <v>1213</v>
      </c>
      <c r="C4160" s="150" t="s">
        <v>3817</v>
      </c>
      <c r="D4160" s="221"/>
      <c r="E4160" s="150"/>
      <c r="F4160" s="150"/>
      <c r="G4160" s="110" t="s">
        <v>2663</v>
      </c>
      <c r="H4160" s="150" t="s">
        <v>6205</v>
      </c>
      <c r="I4160" s="150" t="s">
        <v>6206</v>
      </c>
      <c r="J4160" s="150" t="s">
        <v>2076</v>
      </c>
      <c r="K4160" s="221"/>
      <c r="L4160" s="135" t="str">
        <f t="shared" si="229"/>
        <v>Myotis elegans</v>
      </c>
      <c r="M4160" s="133">
        <f t="shared" ref="M4160:M4186" si="233">LOG(N4160)</f>
        <v>0.60745502321466849</v>
      </c>
      <c r="N4160" s="152">
        <v>4.05</v>
      </c>
      <c r="O4160" s="192"/>
      <c r="P4160" s="110">
        <v>153</v>
      </c>
    </row>
    <row r="4161" spans="1:22" ht="63.75">
      <c r="A4161" s="109" t="s">
        <v>3816</v>
      </c>
      <c r="B4161" s="141" t="s">
        <v>1136</v>
      </c>
      <c r="C4161" s="150" t="s">
        <v>3817</v>
      </c>
      <c r="D4161" s="221"/>
      <c r="E4161" s="150"/>
      <c r="F4161" s="150"/>
      <c r="G4161" s="110" t="s">
        <v>2663</v>
      </c>
      <c r="H4161" s="150" t="s">
        <v>6205</v>
      </c>
      <c r="I4161" s="150" t="s">
        <v>6206</v>
      </c>
      <c r="J4161" s="150" t="s">
        <v>4128</v>
      </c>
      <c r="K4161" s="221"/>
      <c r="L4161" s="135" t="str">
        <f t="shared" si="229"/>
        <v>Myotis nigricans</v>
      </c>
      <c r="M4161" s="133">
        <f t="shared" si="233"/>
        <v>0.6273658565927327</v>
      </c>
      <c r="N4161" s="152">
        <v>4.24</v>
      </c>
      <c r="O4161" s="192"/>
      <c r="P4161" s="110">
        <v>153</v>
      </c>
    </row>
    <row r="4162" spans="1:22">
      <c r="A4162" s="110" t="s">
        <v>3816</v>
      </c>
      <c r="B4162" s="141" t="s">
        <v>974</v>
      </c>
      <c r="C4162" s="150" t="s">
        <v>3817</v>
      </c>
      <c r="D4162" s="221"/>
      <c r="E4162" s="150"/>
      <c r="F4162" s="150"/>
      <c r="G4162" s="110" t="s">
        <v>2663</v>
      </c>
      <c r="H4162" s="150" t="s">
        <v>6205</v>
      </c>
      <c r="I4162" s="150" t="s">
        <v>6206</v>
      </c>
      <c r="J4162" s="150" t="s">
        <v>1056</v>
      </c>
      <c r="K4162" s="221"/>
      <c r="L4162" s="135" t="str">
        <f t="shared" si="229"/>
        <v>Myotis fortidens</v>
      </c>
      <c r="M4162" s="133">
        <f t="shared" si="233"/>
        <v>0.63848925695463732</v>
      </c>
      <c r="N4162" s="152">
        <v>4.3499999999999996</v>
      </c>
      <c r="O4162" s="192"/>
      <c r="P4162" s="110">
        <v>153</v>
      </c>
    </row>
    <row r="4163" spans="1:22" ht="38.25">
      <c r="A4163" s="110" t="s">
        <v>3816</v>
      </c>
      <c r="B4163" s="141" t="s">
        <v>1144</v>
      </c>
      <c r="C4163" s="150" t="s">
        <v>3817</v>
      </c>
      <c r="D4163" s="221"/>
      <c r="E4163" s="150"/>
      <c r="F4163" s="150"/>
      <c r="G4163" s="110" t="s">
        <v>2663</v>
      </c>
      <c r="H4163" s="150" t="s">
        <v>6205</v>
      </c>
      <c r="I4163" s="150" t="s">
        <v>6206</v>
      </c>
      <c r="J4163" s="150" t="s">
        <v>4404</v>
      </c>
      <c r="K4163" s="221"/>
      <c r="L4163" s="135" t="str">
        <f t="shared" si="229"/>
        <v>Myotis californicus</v>
      </c>
      <c r="M4163" s="133">
        <f t="shared" si="233"/>
        <v>0.66275783168157409</v>
      </c>
      <c r="N4163" s="152">
        <v>4.5999999999999996</v>
      </c>
      <c r="O4163" s="192"/>
      <c r="P4163" s="110">
        <v>153</v>
      </c>
      <c r="U4163" s="61"/>
      <c r="V4163" s="61"/>
    </row>
    <row r="4164" spans="1:22" ht="76.5">
      <c r="A4164" s="110" t="s">
        <v>3816</v>
      </c>
      <c r="B4164" s="141" t="s">
        <v>917</v>
      </c>
      <c r="C4164" s="150" t="s">
        <v>3817</v>
      </c>
      <c r="D4164" s="221"/>
      <c r="E4164" s="150"/>
      <c r="F4164" s="150"/>
      <c r="G4164" s="110" t="s">
        <v>2663</v>
      </c>
      <c r="H4164" s="150" t="s">
        <v>6205</v>
      </c>
      <c r="I4164" s="150" t="s">
        <v>6206</v>
      </c>
      <c r="J4164" s="150" t="s">
        <v>918</v>
      </c>
      <c r="K4164" s="221"/>
      <c r="L4164" s="135" t="str">
        <f t="shared" si="229"/>
        <v>Myotis leibii</v>
      </c>
      <c r="M4164" s="133">
        <f t="shared" si="233"/>
        <v>0.7103994661167724</v>
      </c>
      <c r="N4164" s="152">
        <v>5.1333333333329998</v>
      </c>
      <c r="O4164" s="192"/>
      <c r="P4164" s="110">
        <v>153</v>
      </c>
      <c r="U4164" s="61"/>
      <c r="V4164" s="61"/>
    </row>
    <row r="4165" spans="1:22" ht="25.5">
      <c r="A4165" s="110" t="s">
        <v>3816</v>
      </c>
      <c r="B4165" s="141" t="s">
        <v>777</v>
      </c>
      <c r="C4165" s="150" t="s">
        <v>3817</v>
      </c>
      <c r="D4165" s="221"/>
      <c r="E4165" s="150"/>
      <c r="F4165" s="150"/>
      <c r="G4165" s="110" t="s">
        <v>2663</v>
      </c>
      <c r="H4165" s="150" t="s">
        <v>6205</v>
      </c>
      <c r="I4165" s="150" t="s">
        <v>6206</v>
      </c>
      <c r="J4165" s="150" t="s">
        <v>6520</v>
      </c>
      <c r="K4165" s="221"/>
      <c r="L4165" s="135" t="str">
        <f t="shared" ref="L4165:L4228" si="234">I4165&amp;" "&amp;J4165</f>
        <v>Myotis albescens</v>
      </c>
      <c r="M4165" s="133">
        <f t="shared" si="233"/>
        <v>0.72427586960078905</v>
      </c>
      <c r="N4165" s="152">
        <v>5.3</v>
      </c>
      <c r="O4165" s="192"/>
      <c r="P4165" s="110">
        <v>153</v>
      </c>
    </row>
    <row r="4166" spans="1:22" ht="38.25">
      <c r="A4166" s="110" t="s">
        <v>3816</v>
      </c>
      <c r="B4166" s="141" t="s">
        <v>269</v>
      </c>
      <c r="C4166" s="150" t="s">
        <v>3817</v>
      </c>
      <c r="D4166" s="221"/>
      <c r="E4166" s="150"/>
      <c r="F4166" s="150"/>
      <c r="G4166" s="110" t="s">
        <v>2663</v>
      </c>
      <c r="H4166" s="150" t="s">
        <v>6205</v>
      </c>
      <c r="I4166" s="150" t="s">
        <v>6206</v>
      </c>
      <c r="J4166" s="150" t="s">
        <v>3744</v>
      </c>
      <c r="K4166" s="221"/>
      <c r="L4166" s="135" t="str">
        <f t="shared" si="234"/>
        <v>Myotis keaysi</v>
      </c>
      <c r="M4166" s="133">
        <f t="shared" si="233"/>
        <v>0.72427586960078905</v>
      </c>
      <c r="N4166" s="152">
        <v>5.3</v>
      </c>
      <c r="O4166" s="192"/>
      <c r="P4166" s="110" t="s">
        <v>7784</v>
      </c>
    </row>
    <row r="4167" spans="1:22" ht="76.5">
      <c r="A4167" s="110" t="s">
        <v>3816</v>
      </c>
      <c r="B4167" s="141" t="s">
        <v>877</v>
      </c>
      <c r="C4167" s="150" t="s">
        <v>3817</v>
      </c>
      <c r="D4167" s="221"/>
      <c r="E4167" s="150"/>
      <c r="F4167" s="150"/>
      <c r="G4167" s="110" t="s">
        <v>2663</v>
      </c>
      <c r="H4167" s="150" t="s">
        <v>6205</v>
      </c>
      <c r="I4167" s="150" t="s">
        <v>6206</v>
      </c>
      <c r="J4167" s="150" t="s">
        <v>1016</v>
      </c>
      <c r="K4167" s="221"/>
      <c r="L4167" s="135" t="str">
        <f t="shared" si="234"/>
        <v>Myotis yumanensis</v>
      </c>
      <c r="M4167" s="133">
        <f t="shared" si="233"/>
        <v>0.7313201017189318</v>
      </c>
      <c r="N4167" s="152">
        <v>5.3866666666669998</v>
      </c>
      <c r="O4167" s="192"/>
      <c r="P4167" s="110">
        <v>153</v>
      </c>
    </row>
    <row r="4168" spans="1:22" ht="25.5">
      <c r="A4168" s="110" t="s">
        <v>3816</v>
      </c>
      <c r="B4168" s="141" t="s">
        <v>1106</v>
      </c>
      <c r="C4168" s="150" t="s">
        <v>3817</v>
      </c>
      <c r="D4168" s="221"/>
      <c r="E4168" s="150"/>
      <c r="F4168" s="150"/>
      <c r="G4168" s="110" t="s">
        <v>2663</v>
      </c>
      <c r="H4168" s="150" t="s">
        <v>6205</v>
      </c>
      <c r="I4168" s="150" t="s">
        <v>6206</v>
      </c>
      <c r="J4168" s="150" t="s">
        <v>963</v>
      </c>
      <c r="K4168" s="221"/>
      <c r="L4168" s="135" t="str">
        <f t="shared" si="234"/>
        <v>Myotis oxyotus</v>
      </c>
      <c r="M4168" s="133">
        <f t="shared" si="233"/>
        <v>0.74036268949424389</v>
      </c>
      <c r="N4168" s="152">
        <v>5.5</v>
      </c>
      <c r="O4168" s="192"/>
      <c r="P4168" s="110">
        <v>153</v>
      </c>
    </row>
    <row r="4169" spans="1:22" ht="25.5">
      <c r="A4169" s="110" t="s">
        <v>3816</v>
      </c>
      <c r="B4169" s="141" t="s">
        <v>964</v>
      </c>
      <c r="C4169" s="150" t="s">
        <v>3817</v>
      </c>
      <c r="D4169" s="221"/>
      <c r="E4169" s="150"/>
      <c r="F4169" s="150"/>
      <c r="G4169" s="110" t="s">
        <v>2663</v>
      </c>
      <c r="H4169" s="150" t="s">
        <v>6205</v>
      </c>
      <c r="I4169" s="150" t="s">
        <v>6206</v>
      </c>
      <c r="J4169" s="150" t="s">
        <v>1025</v>
      </c>
      <c r="K4169" s="221"/>
      <c r="L4169" s="135" t="str">
        <f t="shared" si="234"/>
        <v>Myotis riparius</v>
      </c>
      <c r="M4169" s="133">
        <f t="shared" si="233"/>
        <v>0.74429298312267622</v>
      </c>
      <c r="N4169" s="152">
        <v>5.55</v>
      </c>
      <c r="O4169" s="192"/>
      <c r="P4169" s="110">
        <v>153</v>
      </c>
    </row>
    <row r="4170" spans="1:22" ht="76.5">
      <c r="A4170" s="110" t="s">
        <v>3816</v>
      </c>
      <c r="B4170" s="141" t="s">
        <v>948</v>
      </c>
      <c r="C4170" s="150" t="s">
        <v>3817</v>
      </c>
      <c r="D4170" s="221"/>
      <c r="E4170" s="150"/>
      <c r="F4170" s="150"/>
      <c r="G4170" s="110" t="s">
        <v>2663</v>
      </c>
      <c r="H4170" s="150" t="s">
        <v>6205</v>
      </c>
      <c r="I4170" s="150" t="s">
        <v>6206</v>
      </c>
      <c r="J4170" s="150" t="s">
        <v>949</v>
      </c>
      <c r="K4170" s="221"/>
      <c r="L4170" s="135" t="str">
        <f t="shared" si="234"/>
        <v>Myotis keenii</v>
      </c>
      <c r="M4170" s="133">
        <f t="shared" si="233"/>
        <v>0.79703659454404052</v>
      </c>
      <c r="N4170" s="152">
        <v>6.2666666666669997</v>
      </c>
      <c r="O4170" s="192"/>
      <c r="P4170" s="110">
        <v>153</v>
      </c>
    </row>
    <row r="4171" spans="1:22" ht="63.75">
      <c r="A4171" s="110" t="s">
        <v>3816</v>
      </c>
      <c r="B4171" s="141" t="s">
        <v>799</v>
      </c>
      <c r="C4171" s="150" t="s">
        <v>3817</v>
      </c>
      <c r="D4171" s="221"/>
      <c r="E4171" s="150"/>
      <c r="F4171" s="150"/>
      <c r="G4171" s="110" t="s">
        <v>2663</v>
      </c>
      <c r="H4171" s="150" t="s">
        <v>6205</v>
      </c>
      <c r="I4171" s="150" t="s">
        <v>6206</v>
      </c>
      <c r="J4171" s="150" t="s">
        <v>729</v>
      </c>
      <c r="K4171" s="221"/>
      <c r="L4171" s="135" t="str">
        <f t="shared" si="234"/>
        <v>Myotis evotis</v>
      </c>
      <c r="M4171" s="133">
        <f t="shared" si="233"/>
        <v>0.82607480270082645</v>
      </c>
      <c r="N4171" s="152">
        <v>6.7</v>
      </c>
      <c r="O4171" s="192"/>
      <c r="P4171" s="110">
        <v>153</v>
      </c>
    </row>
    <row r="4172" spans="1:22" ht="25.5">
      <c r="A4172" s="110" t="s">
        <v>3816</v>
      </c>
      <c r="B4172" s="141" t="s">
        <v>946</v>
      </c>
      <c r="C4172" s="150" t="s">
        <v>3817</v>
      </c>
      <c r="D4172" s="221"/>
      <c r="E4172" s="150"/>
      <c r="F4172" s="150"/>
      <c r="G4172" s="110" t="s">
        <v>2663</v>
      </c>
      <c r="H4172" s="150" t="s">
        <v>6205</v>
      </c>
      <c r="I4172" s="150" t="s">
        <v>6206</v>
      </c>
      <c r="J4172" s="150" t="s">
        <v>947</v>
      </c>
      <c r="K4172" s="221"/>
      <c r="L4172" s="135" t="str">
        <f t="shared" si="234"/>
        <v>Myotis austroriparius</v>
      </c>
      <c r="M4172" s="133">
        <f t="shared" si="233"/>
        <v>0.83489733934148724</v>
      </c>
      <c r="N4172" s="152">
        <v>6.8375000000000004</v>
      </c>
      <c r="O4172" s="192"/>
      <c r="P4172" s="110">
        <v>153</v>
      </c>
    </row>
    <row r="4173" spans="1:22" ht="51">
      <c r="A4173" s="109" t="s">
        <v>3816</v>
      </c>
      <c r="B4173" s="141" t="s">
        <v>954</v>
      </c>
      <c r="C4173" s="150" t="s">
        <v>3817</v>
      </c>
      <c r="D4173" s="221"/>
      <c r="E4173" s="150"/>
      <c r="F4173" s="150"/>
      <c r="G4173" s="110" t="s">
        <v>2663</v>
      </c>
      <c r="H4173" s="148" t="s">
        <v>6205</v>
      </c>
      <c r="I4173" s="150" t="s">
        <v>6206</v>
      </c>
      <c r="J4173" s="150" t="s">
        <v>955</v>
      </c>
      <c r="K4173" s="221"/>
      <c r="L4173" s="135" t="str">
        <f t="shared" si="234"/>
        <v>Myotis sodalis</v>
      </c>
      <c r="M4173" s="133">
        <f t="shared" si="233"/>
        <v>0.83929843840477258</v>
      </c>
      <c r="N4173" s="152">
        <v>6.9071428571429996</v>
      </c>
      <c r="O4173" s="192"/>
      <c r="P4173" s="110">
        <v>153</v>
      </c>
    </row>
    <row r="4174" spans="1:22" ht="51">
      <c r="A4174" s="110" t="s">
        <v>3816</v>
      </c>
      <c r="B4174" s="141" t="s">
        <v>2900</v>
      </c>
      <c r="C4174" s="150" t="s">
        <v>3817</v>
      </c>
      <c r="D4174" s="221"/>
      <c r="E4174" s="150"/>
      <c r="F4174" s="150"/>
      <c r="G4174" s="110" t="s">
        <v>2663</v>
      </c>
      <c r="H4174" s="150" t="s">
        <v>6205</v>
      </c>
      <c r="I4174" s="150" t="s">
        <v>6206</v>
      </c>
      <c r="J4174" s="150" t="s">
        <v>2901</v>
      </c>
      <c r="K4174" s="221"/>
      <c r="L4174" s="135" t="str">
        <f t="shared" si="234"/>
        <v>Myotis lucifugus</v>
      </c>
      <c r="M4174" s="133">
        <f t="shared" si="233"/>
        <v>0.8835647741346172</v>
      </c>
      <c r="N4174" s="152">
        <v>7.6482975272729998</v>
      </c>
      <c r="O4174" s="192"/>
      <c r="P4174" s="110">
        <v>153</v>
      </c>
    </row>
    <row r="4175" spans="1:22" ht="51">
      <c r="A4175" s="109" t="s">
        <v>3816</v>
      </c>
      <c r="B4175" s="141" t="s">
        <v>1255</v>
      </c>
      <c r="C4175" s="150" t="s">
        <v>3817</v>
      </c>
      <c r="D4175" s="221"/>
      <c r="E4175" s="150"/>
      <c r="F4175" s="150"/>
      <c r="G4175" s="110" t="s">
        <v>2663</v>
      </c>
      <c r="H4175" s="150" t="s">
        <v>6205</v>
      </c>
      <c r="I4175" s="150" t="s">
        <v>6206</v>
      </c>
      <c r="J4175" s="150" t="s">
        <v>1254</v>
      </c>
      <c r="K4175" s="221"/>
      <c r="L4175" s="135" t="str">
        <f t="shared" si="234"/>
        <v>Myotis thysanodes</v>
      </c>
      <c r="M4175" s="133">
        <f t="shared" si="233"/>
        <v>0.90989017904753688</v>
      </c>
      <c r="N4175" s="152">
        <v>8.1262500000000006</v>
      </c>
      <c r="O4175" s="192"/>
      <c r="P4175" s="110">
        <v>153</v>
      </c>
    </row>
    <row r="4176" spans="1:22" ht="89.25">
      <c r="A4176" s="110" t="s">
        <v>3816</v>
      </c>
      <c r="B4176" s="141" t="s">
        <v>193</v>
      </c>
      <c r="C4176" s="150" t="s">
        <v>3817</v>
      </c>
      <c r="D4176" s="221"/>
      <c r="E4176" s="150"/>
      <c r="F4176" s="150"/>
      <c r="G4176" s="110" t="s">
        <v>2663</v>
      </c>
      <c r="H4176" s="150" t="s">
        <v>6205</v>
      </c>
      <c r="I4176" s="150" t="s">
        <v>6206</v>
      </c>
      <c r="J4176" s="150" t="s">
        <v>4449</v>
      </c>
      <c r="K4176" s="221"/>
      <c r="L4176" s="135" t="str">
        <f t="shared" si="234"/>
        <v>Myotis volans</v>
      </c>
      <c r="M4176" s="133">
        <f t="shared" si="233"/>
        <v>0.92737036303902354</v>
      </c>
      <c r="N4176" s="152">
        <v>8.4600000000000009</v>
      </c>
      <c r="O4176" s="192"/>
      <c r="P4176" s="110">
        <v>153</v>
      </c>
    </row>
    <row r="4177" spans="1:16" ht="25.5">
      <c r="A4177" s="110" t="s">
        <v>3816</v>
      </c>
      <c r="B4177" s="141" t="s">
        <v>1164</v>
      </c>
      <c r="C4177" s="150" t="s">
        <v>3817</v>
      </c>
      <c r="D4177" s="221"/>
      <c r="E4177" s="150"/>
      <c r="F4177" s="150"/>
      <c r="G4177" s="110" t="s">
        <v>2663</v>
      </c>
      <c r="H4177" s="150" t="s">
        <v>6205</v>
      </c>
      <c r="I4177" s="150" t="s">
        <v>6206</v>
      </c>
      <c r="J4177" s="150" t="s">
        <v>1165</v>
      </c>
      <c r="K4177" s="221"/>
      <c r="L4177" s="135" t="str">
        <f t="shared" si="234"/>
        <v>Myotis velifer</v>
      </c>
      <c r="M4177" s="133">
        <f t="shared" si="233"/>
        <v>1.0041332104167602</v>
      </c>
      <c r="N4177" s="152">
        <v>10.095625</v>
      </c>
      <c r="O4177" s="192"/>
      <c r="P4177" s="110">
        <v>153</v>
      </c>
    </row>
    <row r="4178" spans="1:16" ht="51">
      <c r="A4178" s="110" t="s">
        <v>3816</v>
      </c>
      <c r="B4178" s="141" t="s">
        <v>160</v>
      </c>
      <c r="C4178" s="150" t="s">
        <v>3817</v>
      </c>
      <c r="D4178" s="221"/>
      <c r="E4178" s="150"/>
      <c r="F4178" s="150"/>
      <c r="G4178" s="110" t="s">
        <v>2663</v>
      </c>
      <c r="H4178" s="150" t="s">
        <v>6205</v>
      </c>
      <c r="I4178" s="150" t="s">
        <v>6206</v>
      </c>
      <c r="J4178" s="150" t="s">
        <v>161</v>
      </c>
      <c r="K4178" s="221"/>
      <c r="L4178" s="135" t="str">
        <f t="shared" si="234"/>
        <v>Myotis grisescens</v>
      </c>
      <c r="M4178" s="133">
        <f t="shared" si="233"/>
        <v>1.0229092794642256</v>
      </c>
      <c r="N4178" s="152">
        <v>10.541666666667</v>
      </c>
      <c r="O4178" s="192"/>
      <c r="P4178" s="110">
        <v>153</v>
      </c>
    </row>
    <row r="4179" spans="1:16" ht="38.25">
      <c r="A4179" s="109" t="s">
        <v>3816</v>
      </c>
      <c r="B4179" s="141" t="s">
        <v>1371</v>
      </c>
      <c r="C4179" s="150" t="s">
        <v>3817</v>
      </c>
      <c r="D4179" s="221"/>
      <c r="E4179" s="150"/>
      <c r="F4179" s="150"/>
      <c r="G4179" s="110" t="s">
        <v>2663</v>
      </c>
      <c r="H4179" s="150" t="s">
        <v>6205</v>
      </c>
      <c r="I4179" s="150" t="s">
        <v>6206</v>
      </c>
      <c r="J4179" s="150" t="s">
        <v>1262</v>
      </c>
      <c r="K4179" s="221"/>
      <c r="L4179" s="135" t="str">
        <f t="shared" si="234"/>
        <v>Myotis vivesi</v>
      </c>
      <c r="M4179" s="133">
        <f t="shared" si="233"/>
        <v>1.3979400086720377</v>
      </c>
      <c r="N4179" s="152">
        <v>25</v>
      </c>
      <c r="O4179" s="192"/>
      <c r="P4179" s="110">
        <v>153</v>
      </c>
    </row>
    <row r="4180" spans="1:16" ht="51">
      <c r="A4180" s="110" t="s">
        <v>3816</v>
      </c>
      <c r="B4180" s="141" t="s">
        <v>1263</v>
      </c>
      <c r="C4180" s="150" t="s">
        <v>3817</v>
      </c>
      <c r="D4180" s="221"/>
      <c r="E4180" s="150"/>
      <c r="F4180" s="150"/>
      <c r="G4180" s="110" t="s">
        <v>2663</v>
      </c>
      <c r="H4180" s="150" t="s">
        <v>6205</v>
      </c>
      <c r="I4180" s="150" t="s">
        <v>6206</v>
      </c>
      <c r="J4180" s="150" t="s">
        <v>2944</v>
      </c>
      <c r="K4180" s="221"/>
      <c r="L4180" s="135" t="str">
        <f t="shared" si="234"/>
        <v>Myotis auriculus</v>
      </c>
      <c r="M4180" s="133">
        <f t="shared" si="233"/>
        <v>1.5680256230379268</v>
      </c>
      <c r="N4180" s="152">
        <v>36.984999999999999</v>
      </c>
      <c r="O4180" s="192"/>
      <c r="P4180" s="110">
        <v>153</v>
      </c>
    </row>
    <row r="4181" spans="1:16" ht="63.75">
      <c r="A4181" s="110" t="s">
        <v>3816</v>
      </c>
      <c r="B4181" s="141" t="s">
        <v>1070</v>
      </c>
      <c r="C4181" s="150" t="s">
        <v>3817</v>
      </c>
      <c r="D4181" s="221"/>
      <c r="E4181" s="150"/>
      <c r="F4181" s="150"/>
      <c r="G4181" s="110" t="s">
        <v>2663</v>
      </c>
      <c r="H4181" s="148" t="s">
        <v>6205</v>
      </c>
      <c r="I4181" s="150" t="s">
        <v>2902</v>
      </c>
      <c r="J4181" s="150" t="s">
        <v>1071</v>
      </c>
      <c r="K4181" s="221"/>
      <c r="L4181" s="135" t="str">
        <f t="shared" si="234"/>
        <v>Nycticeius humeralis</v>
      </c>
      <c r="M4181" s="133">
        <f t="shared" si="233"/>
        <v>0.95369067393697171</v>
      </c>
      <c r="N4181" s="152">
        <v>8.9885714285709994</v>
      </c>
      <c r="O4181" s="192"/>
      <c r="P4181" s="110">
        <v>153</v>
      </c>
    </row>
    <row r="4182" spans="1:16" ht="63.75">
      <c r="A4182" s="109" t="s">
        <v>3816</v>
      </c>
      <c r="B4182" s="141" t="s">
        <v>995</v>
      </c>
      <c r="C4182" s="150" t="s">
        <v>3817</v>
      </c>
      <c r="D4182" s="221"/>
      <c r="E4182" s="150"/>
      <c r="F4182" s="150"/>
      <c r="G4182" s="110" t="s">
        <v>2663</v>
      </c>
      <c r="H4182" s="150" t="s">
        <v>6205</v>
      </c>
      <c r="I4182" s="150" t="s">
        <v>2710</v>
      </c>
      <c r="J4182" s="150" t="s">
        <v>996</v>
      </c>
      <c r="K4182" s="221"/>
      <c r="L4182" s="135" t="str">
        <f t="shared" si="234"/>
        <v>Pipistrellus hesperus</v>
      </c>
      <c r="M4182" s="133">
        <f t="shared" si="233"/>
        <v>0.56820172406699498</v>
      </c>
      <c r="N4182" s="152">
        <v>3.7</v>
      </c>
      <c r="O4182" s="192"/>
      <c r="P4182" s="110">
        <v>153</v>
      </c>
    </row>
    <row r="4183" spans="1:16" ht="51">
      <c r="A4183" s="110" t="s">
        <v>3816</v>
      </c>
      <c r="B4183" s="141" t="s">
        <v>1160</v>
      </c>
      <c r="C4183" s="150" t="s">
        <v>3817</v>
      </c>
      <c r="D4183" s="221"/>
      <c r="E4183" s="150"/>
      <c r="F4183" s="150"/>
      <c r="G4183" s="110" t="s">
        <v>2663</v>
      </c>
      <c r="H4183" s="150" t="s">
        <v>6205</v>
      </c>
      <c r="I4183" s="150" t="s">
        <v>2710</v>
      </c>
      <c r="J4183" s="150" t="s">
        <v>3302</v>
      </c>
      <c r="K4183" s="221"/>
      <c r="L4183" s="135" t="str">
        <f t="shared" si="234"/>
        <v>Pipistrellus subflavus</v>
      </c>
      <c r="M4183" s="133">
        <f t="shared" si="233"/>
        <v>0.76074549904385391</v>
      </c>
      <c r="N4183" s="152">
        <v>5.7642857142860002</v>
      </c>
      <c r="O4183" s="192"/>
      <c r="P4183" s="110">
        <v>153</v>
      </c>
    </row>
    <row r="4184" spans="1:16" ht="38.25">
      <c r="A4184" s="109" t="s">
        <v>3816</v>
      </c>
      <c r="B4184" s="141" t="s">
        <v>223</v>
      </c>
      <c r="C4184" s="150" t="s">
        <v>3817</v>
      </c>
      <c r="D4184" s="221"/>
      <c r="E4184" s="150"/>
      <c r="F4184" s="150"/>
      <c r="G4184" s="110" t="s">
        <v>2663</v>
      </c>
      <c r="H4184" s="150" t="s">
        <v>6205</v>
      </c>
      <c r="I4184" s="150" t="s">
        <v>221</v>
      </c>
      <c r="J4184" s="150" t="s">
        <v>4014</v>
      </c>
      <c r="K4184" s="221"/>
      <c r="L4184" s="135" t="str">
        <f t="shared" si="234"/>
        <v>Plecotus mexicanus</v>
      </c>
      <c r="M4184" s="133">
        <f t="shared" si="233"/>
        <v>0.88649072517248184</v>
      </c>
      <c r="N4184" s="152">
        <v>7.7</v>
      </c>
      <c r="O4184" s="192"/>
      <c r="P4184" s="110">
        <v>153</v>
      </c>
    </row>
    <row r="4185" spans="1:16" ht="38.25">
      <c r="A4185" s="110" t="s">
        <v>3816</v>
      </c>
      <c r="B4185" s="141" t="s">
        <v>131</v>
      </c>
      <c r="C4185" s="150" t="s">
        <v>3817</v>
      </c>
      <c r="D4185" s="221"/>
      <c r="E4185" s="150"/>
      <c r="F4185" s="150"/>
      <c r="G4185" s="110" t="s">
        <v>2663</v>
      </c>
      <c r="H4185" s="150" t="s">
        <v>6205</v>
      </c>
      <c r="I4185" s="150" t="s">
        <v>221</v>
      </c>
      <c r="J4185" s="150" t="s">
        <v>224</v>
      </c>
      <c r="K4185" s="221"/>
      <c r="L4185" s="135" t="str">
        <f t="shared" si="234"/>
        <v>Plecotus rafinesquii</v>
      </c>
      <c r="M4185" s="133">
        <f t="shared" si="233"/>
        <v>0.95808584852108514</v>
      </c>
      <c r="N4185" s="152">
        <v>9.08</v>
      </c>
      <c r="O4185" s="192"/>
      <c r="P4185" s="110">
        <v>153</v>
      </c>
    </row>
    <row r="4186" spans="1:16" ht="51">
      <c r="A4186" s="110" t="s">
        <v>3816</v>
      </c>
      <c r="B4186" s="141" t="s">
        <v>1651</v>
      </c>
      <c r="C4186" s="150" t="s">
        <v>3817</v>
      </c>
      <c r="D4186" s="221"/>
      <c r="E4186" s="150"/>
      <c r="F4186" s="150"/>
      <c r="G4186" s="110" t="s">
        <v>2663</v>
      </c>
      <c r="H4186" s="150" t="s">
        <v>6205</v>
      </c>
      <c r="I4186" s="150" t="s">
        <v>221</v>
      </c>
      <c r="J4186" s="150" t="s">
        <v>5148</v>
      </c>
      <c r="K4186" s="221"/>
      <c r="L4186" s="135" t="str">
        <f t="shared" si="234"/>
        <v>Plecotus townsendii</v>
      </c>
      <c r="M4186" s="133">
        <f t="shared" si="233"/>
        <v>0.99651167215417868</v>
      </c>
      <c r="N4186" s="152">
        <v>9.92</v>
      </c>
      <c r="O4186" s="192"/>
      <c r="P4186" s="110">
        <v>153</v>
      </c>
    </row>
    <row r="4187" spans="1:16" ht="25.5">
      <c r="A4187" s="110" t="s">
        <v>3816</v>
      </c>
      <c r="B4187" s="141" t="s">
        <v>217</v>
      </c>
      <c r="C4187" s="150" t="s">
        <v>3817</v>
      </c>
      <c r="D4187" s="221"/>
      <c r="E4187" s="150"/>
      <c r="F4187" s="150"/>
      <c r="G4187" s="110" t="s">
        <v>2663</v>
      </c>
      <c r="H4187" s="150" t="s">
        <v>6205</v>
      </c>
      <c r="I4187" s="150" t="s">
        <v>1074</v>
      </c>
      <c r="J4187" s="150" t="s">
        <v>4087</v>
      </c>
      <c r="K4187" s="221"/>
      <c r="L4187" s="135" t="str">
        <f t="shared" si="234"/>
        <v>Rhogeesa alleni</v>
      </c>
      <c r="M4187" s="146">
        <v>-999</v>
      </c>
      <c r="N4187" s="146">
        <v>-999</v>
      </c>
      <c r="O4187" s="183"/>
      <c r="P4187" s="110">
        <v>-999</v>
      </c>
    </row>
    <row r="4188" spans="1:16" ht="25.5">
      <c r="A4188" s="110" t="s">
        <v>3816</v>
      </c>
      <c r="B4188" s="141" t="s">
        <v>218</v>
      </c>
      <c r="C4188" s="150" t="s">
        <v>3817</v>
      </c>
      <c r="D4188" s="221"/>
      <c r="E4188" s="150"/>
      <c r="F4188" s="150"/>
      <c r="G4188" s="110" t="s">
        <v>2663</v>
      </c>
      <c r="H4188" s="150" t="s">
        <v>6205</v>
      </c>
      <c r="I4188" s="150" t="s">
        <v>1074</v>
      </c>
      <c r="J4188" s="150" t="s">
        <v>219</v>
      </c>
      <c r="K4188" s="221"/>
      <c r="L4188" s="135" t="str">
        <f t="shared" si="234"/>
        <v>Rhogeesa genowaysi</v>
      </c>
      <c r="M4188" s="146">
        <v>-999</v>
      </c>
      <c r="N4188" s="146">
        <v>-999</v>
      </c>
      <c r="O4188" s="183"/>
      <c r="P4188" s="110">
        <v>-999</v>
      </c>
    </row>
    <row r="4189" spans="1:16" ht="25.5">
      <c r="A4189" s="110" t="s">
        <v>3816</v>
      </c>
      <c r="B4189" s="141" t="s">
        <v>1113</v>
      </c>
      <c r="C4189" s="150" t="s">
        <v>3817</v>
      </c>
      <c r="D4189" s="221"/>
      <c r="E4189" s="150"/>
      <c r="F4189" s="150"/>
      <c r="G4189" s="110" t="s">
        <v>2663</v>
      </c>
      <c r="H4189" s="150" t="s">
        <v>6205</v>
      </c>
      <c r="I4189" s="150" t="s">
        <v>1074</v>
      </c>
      <c r="J4189" s="150" t="s">
        <v>3786</v>
      </c>
      <c r="K4189" s="221"/>
      <c r="L4189" s="135" t="str">
        <f t="shared" si="234"/>
        <v>Rhogeesa gracilis</v>
      </c>
      <c r="M4189" s="146">
        <v>-999</v>
      </c>
      <c r="N4189" s="146">
        <v>-999</v>
      </c>
      <c r="O4189" s="183"/>
      <c r="P4189" s="110">
        <v>-999</v>
      </c>
    </row>
    <row r="4190" spans="1:16">
      <c r="A4190" s="110" t="s">
        <v>3816</v>
      </c>
      <c r="B4190" s="141" t="s">
        <v>267</v>
      </c>
      <c r="C4190" s="150" t="s">
        <v>3817</v>
      </c>
      <c r="D4190" s="221"/>
      <c r="E4190" s="150"/>
      <c r="F4190" s="150"/>
      <c r="G4190" s="110" t="s">
        <v>2663</v>
      </c>
      <c r="H4190" s="150" t="s">
        <v>6205</v>
      </c>
      <c r="I4190" s="150" t="s">
        <v>1074</v>
      </c>
      <c r="J4190" s="150" t="s">
        <v>268</v>
      </c>
      <c r="K4190" s="221"/>
      <c r="L4190" s="135" t="str">
        <f t="shared" si="234"/>
        <v>Rhogeesa mira</v>
      </c>
      <c r="M4190" s="146">
        <v>-999</v>
      </c>
      <c r="N4190" s="146">
        <v>-999</v>
      </c>
      <c r="O4190" s="183"/>
      <c r="P4190" s="110">
        <v>-999</v>
      </c>
    </row>
    <row r="4191" spans="1:16" ht="38.25">
      <c r="A4191" s="110" t="s">
        <v>3816</v>
      </c>
      <c r="B4191" s="141" t="s">
        <v>1105</v>
      </c>
      <c r="C4191" s="150" t="s">
        <v>3817</v>
      </c>
      <c r="D4191" s="221"/>
      <c r="E4191" s="150"/>
      <c r="F4191" s="150"/>
      <c r="G4191" s="110" t="s">
        <v>2663</v>
      </c>
      <c r="H4191" s="150" t="s">
        <v>6205</v>
      </c>
      <c r="I4191" s="150" t="s">
        <v>1074</v>
      </c>
      <c r="J4191" s="150" t="s">
        <v>7431</v>
      </c>
      <c r="K4191" s="221"/>
      <c r="L4191" s="135" t="str">
        <f t="shared" si="234"/>
        <v>Rhogeesa parvula</v>
      </c>
      <c r="M4191" s="133">
        <f t="shared" ref="M4191:M4222" si="235">LOG(N4191)</f>
        <v>0.63848925695463732</v>
      </c>
      <c r="N4191" s="152">
        <v>4.3499999999999996</v>
      </c>
      <c r="O4191" s="192"/>
      <c r="P4191" s="110">
        <v>153</v>
      </c>
    </row>
    <row r="4192" spans="1:16" ht="38.25">
      <c r="A4192" s="110" t="s">
        <v>3816</v>
      </c>
      <c r="B4192" s="130" t="s">
        <v>215</v>
      </c>
      <c r="C4192" s="155" t="s">
        <v>3817</v>
      </c>
      <c r="D4192" s="225"/>
      <c r="E4192" s="155"/>
      <c r="F4192" s="155"/>
      <c r="G4192" s="110" t="s">
        <v>2663</v>
      </c>
      <c r="H4192" s="155" t="s">
        <v>6205</v>
      </c>
      <c r="I4192" s="155" t="s">
        <v>1074</v>
      </c>
      <c r="J4192" s="155" t="s">
        <v>1091</v>
      </c>
      <c r="K4192" s="225"/>
      <c r="L4192" s="135" t="str">
        <f t="shared" si="234"/>
        <v>Rhogeesa tumida</v>
      </c>
      <c r="M4192" s="133">
        <f t="shared" si="235"/>
        <v>0.64836001098093166</v>
      </c>
      <c r="N4192" s="152">
        <v>4.45</v>
      </c>
      <c r="O4192" s="192"/>
      <c r="P4192" s="110">
        <v>153</v>
      </c>
    </row>
    <row r="4193" spans="1:18" ht="24" customHeight="1">
      <c r="A4193" s="118" t="s">
        <v>3816</v>
      </c>
      <c r="B4193" s="130"/>
      <c r="C4193" s="118" t="s">
        <v>3817</v>
      </c>
      <c r="D4193" s="141"/>
      <c r="E4193" s="118"/>
      <c r="F4193" s="118"/>
      <c r="G4193" s="118" t="s">
        <v>4370</v>
      </c>
      <c r="H4193" s="118" t="s">
        <v>4371</v>
      </c>
      <c r="I4193" s="118" t="s">
        <v>4365</v>
      </c>
      <c r="J4193" s="118" t="s">
        <v>3062</v>
      </c>
      <c r="K4193" s="141"/>
      <c r="L4193" s="135" t="str">
        <f t="shared" si="234"/>
        <v>Caluromys derbianus</v>
      </c>
      <c r="M4193" s="133">
        <f t="shared" si="235"/>
        <v>2.4727600000000001</v>
      </c>
      <c r="N4193" s="133">
        <v>297.00242820745564</v>
      </c>
      <c r="O4193" s="179" t="s">
        <v>6641</v>
      </c>
      <c r="P4193" s="108">
        <v>60</v>
      </c>
      <c r="Q4193" s="88" t="s">
        <v>6988</v>
      </c>
    </row>
    <row r="4194" spans="1:18">
      <c r="A4194" s="118" t="s">
        <v>3816</v>
      </c>
      <c r="B4194" s="130"/>
      <c r="C4194" s="118" t="s">
        <v>3817</v>
      </c>
      <c r="D4194" s="141"/>
      <c r="E4194" s="118"/>
      <c r="F4194" s="118"/>
      <c r="G4194" s="118" t="s">
        <v>4370</v>
      </c>
      <c r="H4194" s="118" t="s">
        <v>4371</v>
      </c>
      <c r="I4194" s="118" t="s">
        <v>3063</v>
      </c>
      <c r="J4194" s="118" t="s">
        <v>4171</v>
      </c>
      <c r="K4194" s="141"/>
      <c r="L4194" s="135" t="str">
        <f t="shared" si="234"/>
        <v>Chironectes minimus</v>
      </c>
      <c r="M4194" s="133">
        <f t="shared" si="235"/>
        <v>2.9758900000000001</v>
      </c>
      <c r="N4194" s="133">
        <v>945.99752464115022</v>
      </c>
      <c r="O4194" s="179" t="s">
        <v>6882</v>
      </c>
      <c r="P4194" s="117">
        <v>60</v>
      </c>
      <c r="Q4194" s="90" t="s">
        <v>6642</v>
      </c>
    </row>
    <row r="4195" spans="1:18">
      <c r="A4195" s="118" t="s">
        <v>3816</v>
      </c>
      <c r="B4195" s="130"/>
      <c r="C4195" s="118" t="s">
        <v>3817</v>
      </c>
      <c r="D4195" s="141"/>
      <c r="E4195" s="118"/>
      <c r="F4195" s="118"/>
      <c r="G4195" s="118" t="s">
        <v>4370</v>
      </c>
      <c r="H4195" s="118" t="s">
        <v>4371</v>
      </c>
      <c r="I4195" s="118" t="s">
        <v>7179</v>
      </c>
      <c r="J4195" s="118" t="s">
        <v>3170</v>
      </c>
      <c r="K4195" s="141"/>
      <c r="L4195" s="135" t="str">
        <f t="shared" si="234"/>
        <v>Didelphis marsupialis</v>
      </c>
      <c r="M4195" s="133">
        <f t="shared" si="235"/>
        <v>3.0378900000000004</v>
      </c>
      <c r="N4195" s="133">
        <v>1091.1639266880236</v>
      </c>
      <c r="O4195" s="179" t="s">
        <v>3356</v>
      </c>
      <c r="P4195" s="108">
        <v>60</v>
      </c>
    </row>
    <row r="4196" spans="1:18">
      <c r="A4196" s="118" t="s">
        <v>3816</v>
      </c>
      <c r="B4196" s="130"/>
      <c r="C4196" s="118" t="s">
        <v>3817</v>
      </c>
      <c r="D4196" s="141"/>
      <c r="E4196" s="118"/>
      <c r="F4196" s="118"/>
      <c r="G4196" s="118" t="s">
        <v>4370</v>
      </c>
      <c r="H4196" s="118" t="s">
        <v>4371</v>
      </c>
      <c r="I4196" s="118" t="s">
        <v>7179</v>
      </c>
      <c r="J4196" s="118" t="s">
        <v>4366</v>
      </c>
      <c r="K4196" s="141"/>
      <c r="L4196" s="135" t="str">
        <f t="shared" si="234"/>
        <v>Didelphis virginiana</v>
      </c>
      <c r="M4196" s="133">
        <f t="shared" si="235"/>
        <v>3.3415300000000006</v>
      </c>
      <c r="N4196" s="133">
        <v>2195.4826024672425</v>
      </c>
      <c r="O4196" s="179" t="s">
        <v>3356</v>
      </c>
      <c r="P4196" s="108">
        <v>60</v>
      </c>
    </row>
    <row r="4197" spans="1:18">
      <c r="A4197" s="118" t="s">
        <v>3816</v>
      </c>
      <c r="B4197" s="130"/>
      <c r="C4197" s="118" t="s">
        <v>3817</v>
      </c>
      <c r="D4197" s="141"/>
      <c r="E4197" s="118"/>
      <c r="F4197" s="118"/>
      <c r="G4197" s="118" t="s">
        <v>4370</v>
      </c>
      <c r="H4197" s="118" t="s">
        <v>4371</v>
      </c>
      <c r="I4197" s="118" t="s">
        <v>4373</v>
      </c>
      <c r="J4197" s="118" t="s">
        <v>4375</v>
      </c>
      <c r="K4197" s="141"/>
      <c r="L4197" s="135" t="str">
        <f t="shared" si="234"/>
        <v>Marmosa mexicana</v>
      </c>
      <c r="M4197" s="133">
        <f t="shared" si="235"/>
        <v>1.69417</v>
      </c>
      <c r="N4197" s="133">
        <v>49.450421757337679</v>
      </c>
      <c r="O4197" s="179" t="s">
        <v>3356</v>
      </c>
      <c r="P4197" s="108">
        <v>60</v>
      </c>
    </row>
    <row r="4198" spans="1:18">
      <c r="A4198" s="118" t="s">
        <v>3816</v>
      </c>
      <c r="B4198" s="130"/>
      <c r="C4198" s="118" t="s">
        <v>3817</v>
      </c>
      <c r="D4198" s="141"/>
      <c r="E4198" s="118"/>
      <c r="F4198" s="118"/>
      <c r="G4198" s="118" t="s">
        <v>4370</v>
      </c>
      <c r="H4198" s="118" t="s">
        <v>4371</v>
      </c>
      <c r="I4198" s="118" t="s">
        <v>4373</v>
      </c>
      <c r="J4198" s="118" t="s">
        <v>4374</v>
      </c>
      <c r="K4198" s="141"/>
      <c r="L4198" s="135" t="str">
        <f t="shared" si="234"/>
        <v>Marmosa canescens</v>
      </c>
      <c r="M4198" s="133">
        <f t="shared" si="235"/>
        <v>1.7781500000000001</v>
      </c>
      <c r="N4198" s="133">
        <v>59.999827253364401</v>
      </c>
      <c r="O4198" s="179" t="s">
        <v>6882</v>
      </c>
      <c r="P4198" s="117">
        <v>66</v>
      </c>
      <c r="Q4198" s="90" t="s">
        <v>6987</v>
      </c>
    </row>
    <row r="4199" spans="1:18">
      <c r="A4199" s="118" t="s">
        <v>3816</v>
      </c>
      <c r="B4199" s="130"/>
      <c r="C4199" s="118" t="s">
        <v>3817</v>
      </c>
      <c r="D4199" s="141"/>
      <c r="E4199" s="118"/>
      <c r="F4199" s="118"/>
      <c r="G4199" s="118" t="s">
        <v>4370</v>
      </c>
      <c r="H4199" s="118" t="s">
        <v>4371</v>
      </c>
      <c r="I4199" s="118" t="s">
        <v>2327</v>
      </c>
      <c r="J4199" s="118" t="s">
        <v>2328</v>
      </c>
      <c r="K4199" s="141"/>
      <c r="L4199" s="135" t="str">
        <f t="shared" si="234"/>
        <v>Micoureus alstoni</v>
      </c>
      <c r="M4199" s="133">
        <f t="shared" si="235"/>
        <v>2.1215600000000001</v>
      </c>
      <c r="N4199" s="133">
        <v>132.30004746548298</v>
      </c>
      <c r="O4199" s="179" t="s">
        <v>3356</v>
      </c>
      <c r="P4199" s="117">
        <v>61</v>
      </c>
      <c r="Q4199" s="90" t="s">
        <v>6642</v>
      </c>
    </row>
    <row r="4200" spans="1:18">
      <c r="A4200" s="118" t="s">
        <v>3816</v>
      </c>
      <c r="B4200" s="130"/>
      <c r="C4200" s="118" t="s">
        <v>3817</v>
      </c>
      <c r="D4200" s="141"/>
      <c r="E4200" s="118"/>
      <c r="F4200" s="118"/>
      <c r="G4200" s="118" t="s">
        <v>4370</v>
      </c>
      <c r="H4200" s="118" t="s">
        <v>4371</v>
      </c>
      <c r="I4200" s="118" t="s">
        <v>4376</v>
      </c>
      <c r="J4200" s="118" t="s">
        <v>4377</v>
      </c>
      <c r="K4200" s="141"/>
      <c r="L4200" s="135" t="str">
        <f t="shared" si="234"/>
        <v>Philander opossum</v>
      </c>
      <c r="M4200" s="133">
        <f t="shared" si="235"/>
        <v>2.8750599999999999</v>
      </c>
      <c r="N4200" s="133">
        <v>749.99781820300223</v>
      </c>
      <c r="O4200" s="179" t="s">
        <v>3356</v>
      </c>
      <c r="P4200" s="108">
        <v>60</v>
      </c>
    </row>
    <row r="4201" spans="1:18">
      <c r="A4201" s="118" t="s">
        <v>3816</v>
      </c>
      <c r="B4201" s="130"/>
      <c r="C4201" s="118" t="s">
        <v>3817</v>
      </c>
      <c r="D4201" s="141"/>
      <c r="E4201" s="118"/>
      <c r="F4201" s="118"/>
      <c r="G4201" s="118" t="s">
        <v>7278</v>
      </c>
      <c r="H4201" s="118" t="s">
        <v>4905</v>
      </c>
      <c r="I4201" s="118" t="s">
        <v>7353</v>
      </c>
      <c r="J4201" s="118" t="s">
        <v>4106</v>
      </c>
      <c r="K4201" s="141"/>
      <c r="L4201" s="135" t="str">
        <f t="shared" si="234"/>
        <v>Blarina carolinensis</v>
      </c>
      <c r="M4201" s="133">
        <f t="shared" si="235"/>
        <v>1.1303337684950061</v>
      </c>
      <c r="N4201" s="133">
        <v>13.5</v>
      </c>
      <c r="O4201" s="179" t="s">
        <v>6964</v>
      </c>
      <c r="P4201" s="108">
        <v>103</v>
      </c>
    </row>
    <row r="4202" spans="1:18">
      <c r="A4202" s="118" t="s">
        <v>3816</v>
      </c>
      <c r="B4202" s="130"/>
      <c r="C4202" s="118" t="s">
        <v>3817</v>
      </c>
      <c r="D4202" s="141"/>
      <c r="E4202" s="118"/>
      <c r="F4202" s="118"/>
      <c r="G4202" s="118" t="s">
        <v>7278</v>
      </c>
      <c r="H4202" s="118" t="s">
        <v>4905</v>
      </c>
      <c r="I4202" s="118" t="s">
        <v>7353</v>
      </c>
      <c r="J4202" s="118" t="s">
        <v>8235</v>
      </c>
      <c r="K4202" s="141"/>
      <c r="L4202" s="135" t="str">
        <f t="shared" si="234"/>
        <v>Blarina hylophaga</v>
      </c>
      <c r="M4202" s="133">
        <f t="shared" si="235"/>
        <v>1.1613680022349748</v>
      </c>
      <c r="N4202" s="133">
        <f>AVERAGE(13, 16)</f>
        <v>14.5</v>
      </c>
      <c r="O4202" s="179" t="s">
        <v>3356</v>
      </c>
      <c r="P4202" s="108">
        <v>161</v>
      </c>
      <c r="Q4202" s="80" t="s">
        <v>1458</v>
      </c>
    </row>
    <row r="4203" spans="1:18">
      <c r="A4203" s="118" t="s">
        <v>3816</v>
      </c>
      <c r="B4203" s="130"/>
      <c r="C4203" s="118" t="s">
        <v>3817</v>
      </c>
      <c r="D4203" s="141"/>
      <c r="E4203" s="118"/>
      <c r="F4203" s="118"/>
      <c r="G4203" s="118" t="s">
        <v>7278</v>
      </c>
      <c r="H4203" s="118" t="s">
        <v>4905</v>
      </c>
      <c r="I4203" s="118" t="s">
        <v>7353</v>
      </c>
      <c r="J4203" s="118" t="s">
        <v>7354</v>
      </c>
      <c r="K4203" s="141"/>
      <c r="L4203" s="135" t="str">
        <f t="shared" si="234"/>
        <v>Blarina brevicauda</v>
      </c>
      <c r="M4203" s="133">
        <f t="shared" si="235"/>
        <v>1.4471580313422192</v>
      </c>
      <c r="N4203" s="133">
        <v>28</v>
      </c>
      <c r="O4203" s="179" t="s">
        <v>3356</v>
      </c>
      <c r="P4203" s="108">
        <v>75</v>
      </c>
    </row>
    <row r="4204" spans="1:18" ht="60" customHeight="1">
      <c r="A4204" s="118" t="s">
        <v>3816</v>
      </c>
      <c r="B4204" s="130"/>
      <c r="C4204" s="118" t="s">
        <v>3817</v>
      </c>
      <c r="D4204" s="141"/>
      <c r="E4204" s="118"/>
      <c r="F4204" s="118"/>
      <c r="G4204" s="118" t="s">
        <v>7278</v>
      </c>
      <c r="H4204" s="118" t="s">
        <v>4905</v>
      </c>
      <c r="I4204" s="118" t="s">
        <v>7355</v>
      </c>
      <c r="J4204" s="118" t="s">
        <v>7359</v>
      </c>
      <c r="K4204" s="141"/>
      <c r="L4204" s="135" t="str">
        <f t="shared" si="234"/>
        <v>Cryptotis parva</v>
      </c>
      <c r="M4204" s="133">
        <f t="shared" si="235"/>
        <v>0.69752000000000014</v>
      </c>
      <c r="N4204" s="133">
        <v>4.98333404543488</v>
      </c>
      <c r="O4204" s="179" t="s">
        <v>3356</v>
      </c>
      <c r="P4204" s="117">
        <v>66</v>
      </c>
      <c r="R4204" s="89"/>
    </row>
    <row r="4205" spans="1:18" ht="76.5">
      <c r="A4205" s="118" t="s">
        <v>3816</v>
      </c>
      <c r="B4205" s="141" t="s">
        <v>2249</v>
      </c>
      <c r="C4205" s="118" t="s">
        <v>3817</v>
      </c>
      <c r="D4205" s="141"/>
      <c r="E4205" s="118"/>
      <c r="F4205" s="118"/>
      <c r="G4205" s="118" t="s">
        <v>7278</v>
      </c>
      <c r="H4205" s="118" t="s">
        <v>4905</v>
      </c>
      <c r="I4205" s="118" t="s">
        <v>7355</v>
      </c>
      <c r="J4205" s="118" t="s">
        <v>5333</v>
      </c>
      <c r="K4205" s="141"/>
      <c r="L4205" s="135" t="str">
        <f t="shared" si="234"/>
        <v>Cryptotis hondurensis</v>
      </c>
      <c r="M4205" s="133">
        <f t="shared" si="235"/>
        <v>0.69897000433601886</v>
      </c>
      <c r="N4205" s="133">
        <v>5</v>
      </c>
      <c r="O4205" s="179" t="s">
        <v>7080</v>
      </c>
      <c r="P4205" s="108" t="s">
        <v>1497</v>
      </c>
      <c r="Q4205" s="80" t="s">
        <v>6988</v>
      </c>
      <c r="R4205" s="85" t="s">
        <v>1717</v>
      </c>
    </row>
    <row r="4206" spans="1:18">
      <c r="A4206" s="121" t="s">
        <v>3816</v>
      </c>
      <c r="B4206" s="130"/>
      <c r="C4206" s="118" t="s">
        <v>3817</v>
      </c>
      <c r="D4206" s="141"/>
      <c r="E4206" s="118"/>
      <c r="F4206" s="118"/>
      <c r="G4206" s="118" t="s">
        <v>7278</v>
      </c>
      <c r="H4206" s="118" t="s">
        <v>4905</v>
      </c>
      <c r="I4206" s="118" t="s">
        <v>7355</v>
      </c>
      <c r="J4206" s="118" t="s">
        <v>7358</v>
      </c>
      <c r="K4206" s="141"/>
      <c r="L4206" s="135" t="str">
        <f t="shared" si="234"/>
        <v>Cryptotis nigrescens</v>
      </c>
      <c r="M4206" s="133">
        <f t="shared" si="235"/>
        <v>0.7323937598229685</v>
      </c>
      <c r="N4206" s="133">
        <v>5.4</v>
      </c>
      <c r="O4206" s="179" t="s">
        <v>3356</v>
      </c>
      <c r="P4206" s="117">
        <v>224</v>
      </c>
    </row>
    <row r="4207" spans="1:18" ht="25.5">
      <c r="A4207" s="118" t="s">
        <v>3816</v>
      </c>
      <c r="B4207" s="141" t="s">
        <v>2572</v>
      </c>
      <c r="C4207" s="118" t="s">
        <v>3817</v>
      </c>
      <c r="D4207" s="141"/>
      <c r="E4207" s="118"/>
      <c r="F4207" s="118"/>
      <c r="G4207" s="118" t="s">
        <v>7278</v>
      </c>
      <c r="H4207" s="118" t="s">
        <v>4905</v>
      </c>
      <c r="I4207" s="118" t="s">
        <v>7355</v>
      </c>
      <c r="J4207" s="118" t="s">
        <v>3786</v>
      </c>
      <c r="K4207" s="141"/>
      <c r="L4207" s="135" t="str">
        <f t="shared" si="234"/>
        <v>Cryptotis gracilis</v>
      </c>
      <c r="M4207" s="133">
        <f t="shared" si="235"/>
        <v>0.84509804001425681</v>
      </c>
      <c r="N4207" s="133">
        <v>7</v>
      </c>
      <c r="O4207" s="179" t="s">
        <v>7080</v>
      </c>
      <c r="P4207" s="108" t="s">
        <v>184</v>
      </c>
      <c r="Q4207" s="80" t="s">
        <v>6988</v>
      </c>
    </row>
    <row r="4208" spans="1:18">
      <c r="A4208" s="118" t="s">
        <v>3816</v>
      </c>
      <c r="B4208" s="130"/>
      <c r="C4208" s="118" t="s">
        <v>3817</v>
      </c>
      <c r="D4208" s="141"/>
      <c r="E4208" s="118"/>
      <c r="F4208" s="118"/>
      <c r="G4208" s="118" t="s">
        <v>7278</v>
      </c>
      <c r="H4208" s="118" t="s">
        <v>4905</v>
      </c>
      <c r="I4208" s="118" t="s">
        <v>7355</v>
      </c>
      <c r="J4208" s="118" t="s">
        <v>7356</v>
      </c>
      <c r="K4208" s="141"/>
      <c r="L4208" s="135" t="str">
        <f t="shared" si="234"/>
        <v>Cryptotis goodwini</v>
      </c>
      <c r="M4208" s="133">
        <f t="shared" si="235"/>
        <v>0.84509999999999996</v>
      </c>
      <c r="N4208" s="133">
        <v>7.0000315913089688</v>
      </c>
      <c r="O4208" s="179" t="s">
        <v>3356</v>
      </c>
      <c r="P4208" s="117">
        <v>66</v>
      </c>
    </row>
    <row r="4209" spans="1:18">
      <c r="A4209" s="118" t="s">
        <v>3816</v>
      </c>
      <c r="B4209" s="130"/>
      <c r="C4209" s="118" t="s">
        <v>3817</v>
      </c>
      <c r="D4209" s="141"/>
      <c r="E4209" s="118"/>
      <c r="F4209" s="118"/>
      <c r="G4209" s="118" t="s">
        <v>7278</v>
      </c>
      <c r="H4209" s="118" t="s">
        <v>4905</v>
      </c>
      <c r="I4209" s="118" t="s">
        <v>7355</v>
      </c>
      <c r="J4209" s="118" t="s">
        <v>7357</v>
      </c>
      <c r="K4209" s="141"/>
      <c r="L4209" s="135" t="str">
        <f t="shared" si="234"/>
        <v>Cryptotis magna</v>
      </c>
      <c r="M4209" s="133">
        <f t="shared" si="235"/>
        <v>0.84509999999999996</v>
      </c>
      <c r="N4209" s="133">
        <v>7.0000315913089688</v>
      </c>
      <c r="O4209" s="179" t="s">
        <v>3356</v>
      </c>
      <c r="P4209" s="117">
        <v>66</v>
      </c>
    </row>
    <row r="4210" spans="1:18">
      <c r="A4210" s="118" t="s">
        <v>3816</v>
      </c>
      <c r="B4210" s="130"/>
      <c r="C4210" s="118" t="s">
        <v>3817</v>
      </c>
      <c r="D4210" s="141"/>
      <c r="E4210" s="118"/>
      <c r="F4210" s="118"/>
      <c r="G4210" s="118" t="s">
        <v>7278</v>
      </c>
      <c r="H4210" s="118" t="s">
        <v>4905</v>
      </c>
      <c r="I4210" s="118" t="s">
        <v>7355</v>
      </c>
      <c r="J4210" s="118" t="s">
        <v>4375</v>
      </c>
      <c r="K4210" s="141"/>
      <c r="L4210" s="135" t="str">
        <f t="shared" si="234"/>
        <v>Cryptotis mexicana</v>
      </c>
      <c r="M4210" s="133">
        <f t="shared" si="235"/>
        <v>0.84509999999999996</v>
      </c>
      <c r="N4210" s="133">
        <v>7.0000315913089688</v>
      </c>
      <c r="O4210" s="179" t="s">
        <v>3356</v>
      </c>
      <c r="P4210" s="117">
        <v>66</v>
      </c>
    </row>
    <row r="4211" spans="1:18" ht="76.5">
      <c r="A4211" s="118" t="s">
        <v>3816</v>
      </c>
      <c r="B4211" s="141" t="s">
        <v>2582</v>
      </c>
      <c r="C4211" s="118" t="s">
        <v>3817</v>
      </c>
      <c r="D4211" s="141"/>
      <c r="E4211" s="118"/>
      <c r="F4211" s="118"/>
      <c r="G4211" s="118" t="s">
        <v>7278</v>
      </c>
      <c r="H4211" s="118" t="s">
        <v>4905</v>
      </c>
      <c r="I4211" s="118" t="s">
        <v>7355</v>
      </c>
      <c r="J4211" s="118" t="s">
        <v>5629</v>
      </c>
      <c r="K4211" s="141"/>
      <c r="L4211" s="135" t="str">
        <f t="shared" si="234"/>
        <v>Cryptotis endersi</v>
      </c>
      <c r="M4211" s="133">
        <f t="shared" si="235"/>
        <v>0.90308998699194354</v>
      </c>
      <c r="N4211" s="133">
        <v>8</v>
      </c>
      <c r="O4211" s="179" t="s">
        <v>7080</v>
      </c>
      <c r="P4211" s="108" t="s">
        <v>1498</v>
      </c>
      <c r="Q4211" s="80" t="s">
        <v>6640</v>
      </c>
      <c r="R4211" s="85" t="s">
        <v>1743</v>
      </c>
    </row>
    <row r="4212" spans="1:18">
      <c r="A4212" s="118" t="s">
        <v>3816</v>
      </c>
      <c r="B4212" s="130"/>
      <c r="C4212" s="118" t="s">
        <v>3817</v>
      </c>
      <c r="D4212" s="141"/>
      <c r="E4212" s="118"/>
      <c r="F4212" s="118"/>
      <c r="G4212" s="118" t="s">
        <v>7278</v>
      </c>
      <c r="H4212" s="118" t="s">
        <v>4905</v>
      </c>
      <c r="I4212" s="118" t="s">
        <v>7355</v>
      </c>
      <c r="J4212" s="118" t="s">
        <v>7416</v>
      </c>
      <c r="K4212" s="141"/>
      <c r="L4212" s="135" t="str">
        <f t="shared" si="234"/>
        <v>Cryptotis goldmani</v>
      </c>
      <c r="M4212" s="133">
        <f t="shared" si="235"/>
        <v>0.90309000000000006</v>
      </c>
      <c r="N4212" s="133">
        <v>8.0000002396172594</v>
      </c>
      <c r="O4212" s="179" t="s">
        <v>3356</v>
      </c>
      <c r="P4212" s="117" t="s">
        <v>185</v>
      </c>
    </row>
    <row r="4213" spans="1:18" ht="72" customHeight="1">
      <c r="A4213" s="118" t="s">
        <v>3816</v>
      </c>
      <c r="B4213" s="130"/>
      <c r="C4213" s="118" t="s">
        <v>3817</v>
      </c>
      <c r="D4213" s="141"/>
      <c r="E4213" s="118"/>
      <c r="F4213" s="118"/>
      <c r="G4213" s="118" t="s">
        <v>7278</v>
      </c>
      <c r="H4213" s="118" t="s">
        <v>4905</v>
      </c>
      <c r="I4213" s="118" t="s">
        <v>4653</v>
      </c>
      <c r="J4213" s="118" t="s">
        <v>7405</v>
      </c>
      <c r="K4213" s="141"/>
      <c r="L4213" s="135" t="str">
        <f t="shared" si="234"/>
        <v>Megasorex gigas</v>
      </c>
      <c r="M4213" s="133">
        <f t="shared" si="235"/>
        <v>1.3010300000000001</v>
      </c>
      <c r="N4213" s="133">
        <v>20.000000199681054</v>
      </c>
      <c r="O4213" s="179" t="s">
        <v>3356</v>
      </c>
      <c r="P4213" s="117">
        <v>66</v>
      </c>
      <c r="R4213" s="89"/>
    </row>
    <row r="4214" spans="1:18">
      <c r="A4214" s="118" t="s">
        <v>3816</v>
      </c>
      <c r="B4214" s="130"/>
      <c r="C4214" s="118" t="s">
        <v>3817</v>
      </c>
      <c r="D4214" s="141"/>
      <c r="E4214" s="118"/>
      <c r="F4214" s="118"/>
      <c r="G4214" s="118" t="s">
        <v>7278</v>
      </c>
      <c r="H4214" s="118" t="s">
        <v>4905</v>
      </c>
      <c r="I4214" s="118" t="s">
        <v>7406</v>
      </c>
      <c r="J4214" s="118" t="s">
        <v>7198</v>
      </c>
      <c r="K4214" s="141"/>
      <c r="L4214" s="135" t="str">
        <f t="shared" si="234"/>
        <v>Notiosorex crawfordi</v>
      </c>
      <c r="M4214" s="133">
        <f t="shared" si="235"/>
        <v>0.64278999999999997</v>
      </c>
      <c r="N4214" s="133">
        <v>4.3932912960096422</v>
      </c>
      <c r="O4214" s="179" t="s">
        <v>3356</v>
      </c>
      <c r="P4214" s="108">
        <v>60</v>
      </c>
    </row>
    <row r="4215" spans="1:18" ht="25.5">
      <c r="A4215" s="118" t="s">
        <v>3816</v>
      </c>
      <c r="B4215" s="130"/>
      <c r="C4215" s="118" t="s">
        <v>3817</v>
      </c>
      <c r="D4215" s="141"/>
      <c r="E4215" s="118"/>
      <c r="F4215" s="118"/>
      <c r="G4215" s="118" t="s">
        <v>7278</v>
      </c>
      <c r="H4215" s="118" t="s">
        <v>4905</v>
      </c>
      <c r="I4215" s="118" t="s">
        <v>7199</v>
      </c>
      <c r="J4215" s="118" t="s">
        <v>4671</v>
      </c>
      <c r="K4215" s="141"/>
      <c r="L4215" s="135" t="str">
        <f t="shared" si="234"/>
        <v>Sorex arizonae</v>
      </c>
      <c r="M4215" s="133">
        <f t="shared" si="235"/>
        <v>0.38020999999999999</v>
      </c>
      <c r="N4215" s="133">
        <v>2.3999931380578885</v>
      </c>
      <c r="O4215" s="179" t="s">
        <v>7009</v>
      </c>
      <c r="P4215" s="108">
        <v>60</v>
      </c>
      <c r="Q4215" s="90" t="s">
        <v>6988</v>
      </c>
    </row>
    <row r="4216" spans="1:18" ht="36" customHeight="1">
      <c r="A4216" s="121" t="s">
        <v>3816</v>
      </c>
      <c r="B4216" s="130"/>
      <c r="C4216" s="118" t="s">
        <v>3817</v>
      </c>
      <c r="D4216" s="141"/>
      <c r="E4216" s="118"/>
      <c r="F4216" s="118"/>
      <c r="G4216" s="118" t="s">
        <v>7278</v>
      </c>
      <c r="H4216" s="118" t="s">
        <v>4905</v>
      </c>
      <c r="I4216" s="118" t="s">
        <v>7199</v>
      </c>
      <c r="J4216" s="118" t="s">
        <v>2177</v>
      </c>
      <c r="K4216" s="141"/>
      <c r="L4216" s="135" t="str">
        <f t="shared" si="234"/>
        <v>Sorex nanus</v>
      </c>
      <c r="M4216" s="133">
        <f t="shared" si="235"/>
        <v>0.38020999999999999</v>
      </c>
      <c r="N4216" s="133">
        <v>2.3999931380578885</v>
      </c>
      <c r="O4216" s="179" t="s">
        <v>3356</v>
      </c>
      <c r="P4216" s="108">
        <v>60</v>
      </c>
      <c r="R4216" s="89"/>
    </row>
    <row r="4217" spans="1:18">
      <c r="A4217" s="118" t="s">
        <v>3816</v>
      </c>
      <c r="B4217" s="130"/>
      <c r="C4217" s="118" t="s">
        <v>3817</v>
      </c>
      <c r="D4217" s="141"/>
      <c r="E4217" s="118"/>
      <c r="F4217" s="118"/>
      <c r="G4217" s="118" t="s">
        <v>7278</v>
      </c>
      <c r="H4217" s="118" t="s">
        <v>4905</v>
      </c>
      <c r="I4217" s="118" t="s">
        <v>7199</v>
      </c>
      <c r="J4217" s="118" t="s">
        <v>2464</v>
      </c>
      <c r="K4217" s="141"/>
      <c r="L4217" s="135" t="str">
        <f t="shared" si="234"/>
        <v>Sorex hoyi</v>
      </c>
      <c r="M4217" s="133">
        <f t="shared" si="235"/>
        <v>0.41078000000000009</v>
      </c>
      <c r="N4217" s="133">
        <v>2.5750164037920658</v>
      </c>
      <c r="O4217" s="179" t="s">
        <v>3356</v>
      </c>
      <c r="P4217" s="108">
        <v>60</v>
      </c>
    </row>
    <row r="4218" spans="1:18">
      <c r="A4218" s="118" t="s">
        <v>3816</v>
      </c>
      <c r="B4218" s="130"/>
      <c r="C4218" s="118" t="s">
        <v>3817</v>
      </c>
      <c r="D4218" s="141"/>
      <c r="E4218" s="118"/>
      <c r="F4218" s="118"/>
      <c r="G4218" s="118" t="s">
        <v>7278</v>
      </c>
      <c r="H4218" s="118" t="s">
        <v>4905</v>
      </c>
      <c r="I4218" s="118" t="s">
        <v>7199</v>
      </c>
      <c r="J4218" s="118" t="s">
        <v>4999</v>
      </c>
      <c r="K4218" s="141"/>
      <c r="L4218" s="135" t="str">
        <f t="shared" si="234"/>
        <v>Sorex gaspensis</v>
      </c>
      <c r="M4218" s="133">
        <f t="shared" si="235"/>
        <v>0.46089999999999992</v>
      </c>
      <c r="N4218" s="133">
        <v>2.8900143553494697</v>
      </c>
      <c r="O4218" s="179" t="s">
        <v>3356</v>
      </c>
      <c r="P4218" s="108">
        <v>60</v>
      </c>
    </row>
    <row r="4219" spans="1:18">
      <c r="A4219" s="118" t="s">
        <v>3816</v>
      </c>
      <c r="B4219" s="130"/>
      <c r="C4219" s="118" t="s">
        <v>3817</v>
      </c>
      <c r="D4219" s="141"/>
      <c r="E4219" s="118"/>
      <c r="F4219" s="118"/>
      <c r="G4219" s="118" t="s">
        <v>7278</v>
      </c>
      <c r="H4219" s="118" t="s">
        <v>4905</v>
      </c>
      <c r="I4219" s="118" t="s">
        <v>7199</v>
      </c>
      <c r="J4219" s="118" t="s">
        <v>2465</v>
      </c>
      <c r="K4219" s="141"/>
      <c r="L4219" s="135" t="str">
        <f t="shared" si="234"/>
        <v>Sorex preblei</v>
      </c>
      <c r="M4219" s="133">
        <f t="shared" si="235"/>
        <v>0.49136000000000002</v>
      </c>
      <c r="N4219" s="133">
        <v>3.0999879094111846</v>
      </c>
      <c r="O4219" s="179" t="s">
        <v>3356</v>
      </c>
      <c r="P4219" s="117">
        <v>66</v>
      </c>
    </row>
    <row r="4220" spans="1:18" ht="63.75">
      <c r="A4220" s="118" t="s">
        <v>3816</v>
      </c>
      <c r="B4220" s="141" t="s">
        <v>4959</v>
      </c>
      <c r="C4220" s="118" t="s">
        <v>3817</v>
      </c>
      <c r="D4220" s="141"/>
      <c r="E4220" s="118"/>
      <c r="F4220" s="118"/>
      <c r="G4220" s="118" t="s">
        <v>7278</v>
      </c>
      <c r="H4220" s="118" t="s">
        <v>4905</v>
      </c>
      <c r="I4220" s="118" t="s">
        <v>7199</v>
      </c>
      <c r="J4220" s="118" t="s">
        <v>6214</v>
      </c>
      <c r="K4220" s="141"/>
      <c r="L4220" s="135" t="str">
        <f t="shared" si="234"/>
        <v>Sorex haydeni</v>
      </c>
      <c r="M4220" s="133">
        <f t="shared" si="235"/>
        <v>0.54406804435027567</v>
      </c>
      <c r="N4220" s="133">
        <v>3.5</v>
      </c>
      <c r="O4220" s="179" t="s">
        <v>3356</v>
      </c>
      <c r="P4220" s="108" t="s">
        <v>257</v>
      </c>
      <c r="Q4220" s="80"/>
    </row>
    <row r="4221" spans="1:18">
      <c r="A4221" s="118" t="s">
        <v>3816</v>
      </c>
      <c r="B4221" s="130"/>
      <c r="C4221" s="118" t="s">
        <v>3817</v>
      </c>
      <c r="D4221" s="141"/>
      <c r="E4221" s="118"/>
      <c r="F4221" s="118"/>
      <c r="G4221" s="118" t="s">
        <v>7278</v>
      </c>
      <c r="H4221" s="118" t="s">
        <v>4905</v>
      </c>
      <c r="I4221" s="118" t="s">
        <v>7199</v>
      </c>
      <c r="J4221" s="118" t="s">
        <v>2428</v>
      </c>
      <c r="K4221" s="141"/>
      <c r="L4221" s="135" t="str">
        <f t="shared" si="234"/>
        <v>Sorex longirostris</v>
      </c>
      <c r="M4221" s="133">
        <f t="shared" si="235"/>
        <v>0.55328000000000011</v>
      </c>
      <c r="N4221" s="133">
        <v>3.5750325473263018</v>
      </c>
      <c r="O4221" s="179" t="s">
        <v>3356</v>
      </c>
      <c r="P4221" s="108">
        <v>60</v>
      </c>
    </row>
    <row r="4222" spans="1:18" ht="25.5">
      <c r="A4222" s="118" t="s">
        <v>3816</v>
      </c>
      <c r="B4222" s="141" t="s">
        <v>5029</v>
      </c>
      <c r="C4222" s="118" t="s">
        <v>3817</v>
      </c>
      <c r="D4222" s="141"/>
      <c r="E4222" s="118"/>
      <c r="F4222" s="118"/>
      <c r="G4222" s="118" t="s">
        <v>7278</v>
      </c>
      <c r="H4222" s="118" t="s">
        <v>4905</v>
      </c>
      <c r="I4222" s="118" t="s">
        <v>7199</v>
      </c>
      <c r="J4222" s="118" t="s">
        <v>5093</v>
      </c>
      <c r="K4222" s="141"/>
      <c r="L4222" s="135" t="str">
        <f t="shared" si="234"/>
        <v>Sorex ugyunak</v>
      </c>
      <c r="M4222" s="133">
        <f t="shared" si="235"/>
        <v>0.55630250076728727</v>
      </c>
      <c r="N4222" s="133">
        <v>3.6</v>
      </c>
      <c r="O4222" s="179" t="s">
        <v>3356</v>
      </c>
      <c r="P4222" s="108" t="s">
        <v>257</v>
      </c>
      <c r="Q4222" s="80"/>
    </row>
    <row r="4223" spans="1:18">
      <c r="A4223" s="121" t="s">
        <v>3816</v>
      </c>
      <c r="B4223" s="130"/>
      <c r="C4223" s="118" t="s">
        <v>3817</v>
      </c>
      <c r="D4223" s="141"/>
      <c r="E4223" s="118"/>
      <c r="F4223" s="118"/>
      <c r="G4223" s="118" t="s">
        <v>7278</v>
      </c>
      <c r="H4223" s="118" t="s">
        <v>4905</v>
      </c>
      <c r="I4223" s="118" t="s">
        <v>7199</v>
      </c>
      <c r="J4223" s="118" t="s">
        <v>2446</v>
      </c>
      <c r="K4223" s="141"/>
      <c r="L4223" s="135" t="str">
        <f t="shared" si="234"/>
        <v>Sorex tenellus</v>
      </c>
      <c r="M4223" s="133">
        <f t="shared" ref="M4223:M4254" si="236">LOG(N4223)</f>
        <v>0.57403000000000015</v>
      </c>
      <c r="N4223" s="133">
        <v>3.7499890535749247</v>
      </c>
      <c r="O4223" s="179" t="s">
        <v>3356</v>
      </c>
      <c r="P4223" s="108">
        <v>60</v>
      </c>
    </row>
    <row r="4224" spans="1:18">
      <c r="A4224" s="118" t="s">
        <v>3816</v>
      </c>
      <c r="B4224" s="130"/>
      <c r="C4224" s="118" t="s">
        <v>3817</v>
      </c>
      <c r="D4224" s="141"/>
      <c r="E4224" s="118"/>
      <c r="F4224" s="118"/>
      <c r="G4224" s="118" t="s">
        <v>7278</v>
      </c>
      <c r="H4224" s="118" t="s">
        <v>4905</v>
      </c>
      <c r="I4224" s="118" t="s">
        <v>7199</v>
      </c>
      <c r="J4224" s="118" t="s">
        <v>2309</v>
      </c>
      <c r="K4224" s="141"/>
      <c r="L4224" s="135" t="str">
        <f t="shared" si="234"/>
        <v>Sorex trowbridgii</v>
      </c>
      <c r="M4224" s="133">
        <f t="shared" si="236"/>
        <v>0.57977999999999996</v>
      </c>
      <c r="N4224" s="133">
        <v>3.7999685303685498</v>
      </c>
      <c r="O4224" s="179" t="s">
        <v>3356</v>
      </c>
      <c r="P4224" s="108">
        <v>60</v>
      </c>
    </row>
    <row r="4225" spans="1:18">
      <c r="A4225" s="118" t="s">
        <v>3816</v>
      </c>
      <c r="B4225" s="130"/>
      <c r="C4225" s="118" t="s">
        <v>3817</v>
      </c>
      <c r="D4225" s="141"/>
      <c r="E4225" s="118"/>
      <c r="F4225" s="118"/>
      <c r="G4225" s="118" t="s">
        <v>7278</v>
      </c>
      <c r="H4225" s="118" t="s">
        <v>4905</v>
      </c>
      <c r="I4225" s="118" t="s">
        <v>7199</v>
      </c>
      <c r="J4225" s="118" t="s">
        <v>5004</v>
      </c>
      <c r="K4225" s="141"/>
      <c r="L4225" s="135" t="str">
        <f t="shared" si="234"/>
        <v>Sorex saussurei</v>
      </c>
      <c r="M4225" s="133">
        <f t="shared" si="236"/>
        <v>0.66744999999999999</v>
      </c>
      <c r="N4225" s="133">
        <v>4.6499683834536754</v>
      </c>
      <c r="O4225" s="179" t="s">
        <v>3356</v>
      </c>
      <c r="P4225" s="108">
        <v>60</v>
      </c>
    </row>
    <row r="4226" spans="1:18">
      <c r="A4226" s="121" t="s">
        <v>3816</v>
      </c>
      <c r="B4226" s="130"/>
      <c r="C4226" s="118" t="s">
        <v>3817</v>
      </c>
      <c r="D4226" s="141"/>
      <c r="E4226" s="118"/>
      <c r="F4226" s="118"/>
      <c r="G4226" s="118" t="s">
        <v>7278</v>
      </c>
      <c r="H4226" s="118" t="s">
        <v>4905</v>
      </c>
      <c r="I4226" s="118" t="s">
        <v>7199</v>
      </c>
      <c r="J4226" s="118" t="s">
        <v>4485</v>
      </c>
      <c r="K4226" s="141"/>
      <c r="L4226" s="135" t="str">
        <f t="shared" si="234"/>
        <v>Sorex cinereus</v>
      </c>
      <c r="M4226" s="133">
        <f t="shared" si="236"/>
        <v>0.6682300000000001</v>
      </c>
      <c r="N4226" s="133">
        <v>4.6583273069369167</v>
      </c>
      <c r="O4226" s="179" t="s">
        <v>3356</v>
      </c>
      <c r="P4226" s="108">
        <v>60</v>
      </c>
    </row>
    <row r="4227" spans="1:18">
      <c r="A4227" s="118" t="s">
        <v>3816</v>
      </c>
      <c r="B4227" s="130"/>
      <c r="C4227" s="118" t="s">
        <v>3817</v>
      </c>
      <c r="D4227" s="141"/>
      <c r="E4227" s="118"/>
      <c r="F4227" s="118"/>
      <c r="G4227" s="118" t="s">
        <v>7278</v>
      </c>
      <c r="H4227" s="118" t="s">
        <v>4905</v>
      </c>
      <c r="I4227" s="118" t="s">
        <v>7199</v>
      </c>
      <c r="J4227" s="118" t="s">
        <v>4907</v>
      </c>
      <c r="K4227" s="141"/>
      <c r="L4227" s="135" t="str">
        <f t="shared" si="234"/>
        <v>Sorex ornatus</v>
      </c>
      <c r="M4227" s="133">
        <f t="shared" si="236"/>
        <v>0.69767000000000001</v>
      </c>
      <c r="N4227" s="133">
        <v>4.9850555253097726</v>
      </c>
      <c r="O4227" s="179" t="s">
        <v>3356</v>
      </c>
      <c r="P4227" s="108">
        <v>60</v>
      </c>
    </row>
    <row r="4228" spans="1:18">
      <c r="A4228" s="121" t="s">
        <v>3816</v>
      </c>
      <c r="B4228" s="130"/>
      <c r="C4228" s="118" t="s">
        <v>3817</v>
      </c>
      <c r="D4228" s="141"/>
      <c r="E4228" s="118"/>
      <c r="F4228" s="118"/>
      <c r="G4228" s="118" t="s">
        <v>7278</v>
      </c>
      <c r="H4228" s="118" t="s">
        <v>4905</v>
      </c>
      <c r="I4228" s="118" t="s">
        <v>7199</v>
      </c>
      <c r="J4228" s="118" t="s">
        <v>4824</v>
      </c>
      <c r="K4228" s="141"/>
      <c r="L4228" s="135" t="str">
        <f t="shared" si="234"/>
        <v>Sorex dispar</v>
      </c>
      <c r="M4228" s="133">
        <f t="shared" si="236"/>
        <v>0.69896999999999998</v>
      </c>
      <c r="N4228" s="133">
        <v>4.9999999500797392</v>
      </c>
      <c r="O4228" s="179" t="s">
        <v>3356</v>
      </c>
      <c r="P4228" s="108">
        <v>60</v>
      </c>
    </row>
    <row r="4229" spans="1:18">
      <c r="A4229" s="121" t="s">
        <v>3816</v>
      </c>
      <c r="B4229" s="130"/>
      <c r="C4229" s="121" t="s">
        <v>3817</v>
      </c>
      <c r="D4229" s="156"/>
      <c r="E4229" s="121"/>
      <c r="F4229" s="121"/>
      <c r="G4229" s="121" t="s">
        <v>7278</v>
      </c>
      <c r="H4229" s="118" t="s">
        <v>4905</v>
      </c>
      <c r="I4229" s="121" t="s">
        <v>7199</v>
      </c>
      <c r="J4229" s="121" t="s">
        <v>2417</v>
      </c>
      <c r="K4229" s="156"/>
      <c r="L4229" s="135" t="str">
        <f t="shared" ref="L4229:L4292" si="237">I4229&amp;" "&amp;J4229</f>
        <v>Sorex lyelli</v>
      </c>
      <c r="M4229" s="133">
        <f t="shared" si="236"/>
        <v>0.69896999999999998</v>
      </c>
      <c r="N4229" s="143">
        <v>4.9999999500797392</v>
      </c>
      <c r="O4229" s="179" t="s">
        <v>3356</v>
      </c>
      <c r="P4229" s="117">
        <v>66</v>
      </c>
    </row>
    <row r="4230" spans="1:18" ht="36" customHeight="1">
      <c r="A4230" s="118" t="s">
        <v>3816</v>
      </c>
      <c r="B4230" s="130"/>
      <c r="C4230" s="118" t="s">
        <v>3817</v>
      </c>
      <c r="D4230" s="141"/>
      <c r="E4230" s="118"/>
      <c r="F4230" s="118"/>
      <c r="G4230" s="118" t="s">
        <v>7278</v>
      </c>
      <c r="H4230" s="118" t="s">
        <v>4905</v>
      </c>
      <c r="I4230" s="118" t="s">
        <v>7199</v>
      </c>
      <c r="J4230" s="118" t="s">
        <v>2414</v>
      </c>
      <c r="K4230" s="141"/>
      <c r="L4230" s="135" t="str">
        <f t="shared" si="237"/>
        <v>Sorex monticolus</v>
      </c>
      <c r="M4230" s="133">
        <f t="shared" si="236"/>
        <v>0.72016000000000002</v>
      </c>
      <c r="N4230" s="133">
        <v>5.2500084208338169</v>
      </c>
      <c r="O4230" s="179" t="s">
        <v>3356</v>
      </c>
      <c r="P4230" s="108">
        <v>60</v>
      </c>
      <c r="R4230" s="89"/>
    </row>
    <row r="4231" spans="1:18">
      <c r="A4231" s="118" t="s">
        <v>3816</v>
      </c>
      <c r="B4231" s="130"/>
      <c r="C4231" s="118" t="s">
        <v>3817</v>
      </c>
      <c r="D4231" s="141"/>
      <c r="E4231" s="118"/>
      <c r="F4231" s="118"/>
      <c r="G4231" s="118" t="s">
        <v>7278</v>
      </c>
      <c r="H4231" s="118" t="s">
        <v>4905</v>
      </c>
      <c r="I4231" s="118" t="s">
        <v>7199</v>
      </c>
      <c r="J4231" s="118" t="s">
        <v>2222</v>
      </c>
      <c r="K4231" s="141"/>
      <c r="L4231" s="135" t="str">
        <f t="shared" si="237"/>
        <v>Sorex merriami</v>
      </c>
      <c r="M4231" s="133">
        <f t="shared" si="236"/>
        <v>0.77085000000000015</v>
      </c>
      <c r="N4231" s="133">
        <v>5.8999726713977338</v>
      </c>
      <c r="O4231" s="179" t="s">
        <v>3356</v>
      </c>
      <c r="P4231" s="108">
        <v>60</v>
      </c>
    </row>
    <row r="4232" spans="1:18">
      <c r="A4232" s="118" t="s">
        <v>3816</v>
      </c>
      <c r="B4232" s="130"/>
      <c r="C4232" s="118" t="s">
        <v>3817</v>
      </c>
      <c r="D4232" s="141"/>
      <c r="E4232" s="118"/>
      <c r="F4232" s="118"/>
      <c r="G4232" s="118" t="s">
        <v>7278</v>
      </c>
      <c r="H4232" s="118" t="s">
        <v>4905</v>
      </c>
      <c r="I4232" s="118" t="s">
        <v>7199</v>
      </c>
      <c r="J4232" s="118" t="s">
        <v>2194</v>
      </c>
      <c r="K4232" s="141"/>
      <c r="L4232" s="135" t="str">
        <f t="shared" si="237"/>
        <v>Sorex vagrans</v>
      </c>
      <c r="M4232" s="133">
        <f t="shared" si="236"/>
        <v>0.77085201164214423</v>
      </c>
      <c r="N4232" s="133">
        <f>AVERAGE(6.3, 5.5)</f>
        <v>5.9</v>
      </c>
      <c r="O4232" s="179" t="s">
        <v>3356</v>
      </c>
      <c r="P4232" s="108">
        <v>220</v>
      </c>
    </row>
    <row r="4233" spans="1:18">
      <c r="A4233" s="118" t="s">
        <v>3816</v>
      </c>
      <c r="B4233" s="130"/>
      <c r="C4233" s="118" t="s">
        <v>3817</v>
      </c>
      <c r="D4233" s="141"/>
      <c r="E4233" s="118"/>
      <c r="F4233" s="118"/>
      <c r="G4233" s="118" t="s">
        <v>7278</v>
      </c>
      <c r="H4233" s="118" t="s">
        <v>4905</v>
      </c>
      <c r="I4233" s="118" t="s">
        <v>7199</v>
      </c>
      <c r="J4233" s="118" t="s">
        <v>6027</v>
      </c>
      <c r="K4233" s="141"/>
      <c r="L4233" s="135" t="str">
        <f t="shared" si="237"/>
        <v>Sorex pacificus</v>
      </c>
      <c r="M4233" s="133">
        <f t="shared" si="236"/>
        <v>0.82672252016899206</v>
      </c>
      <c r="N4233" s="133">
        <v>6.71</v>
      </c>
      <c r="O4233" s="179" t="s">
        <v>6736</v>
      </c>
      <c r="P4233" s="108">
        <v>68</v>
      </c>
    </row>
    <row r="4234" spans="1:18">
      <c r="A4234" s="118" t="s">
        <v>3816</v>
      </c>
      <c r="B4234" s="130"/>
      <c r="C4234" s="118" t="s">
        <v>3817</v>
      </c>
      <c r="D4234" s="141"/>
      <c r="E4234" s="118"/>
      <c r="F4234" s="118"/>
      <c r="G4234" s="118" t="s">
        <v>7278</v>
      </c>
      <c r="H4234" s="118" t="s">
        <v>4905</v>
      </c>
      <c r="I4234" s="118" t="s">
        <v>7199</v>
      </c>
      <c r="J4234" s="118" t="s">
        <v>4825</v>
      </c>
      <c r="K4234" s="141"/>
      <c r="L4234" s="135" t="str">
        <f t="shared" si="237"/>
        <v>Sorex emarginatus</v>
      </c>
      <c r="M4234" s="133">
        <f t="shared" si="236"/>
        <v>0.84509999999999996</v>
      </c>
      <c r="N4234" s="133">
        <v>7.0000315913089688</v>
      </c>
      <c r="O4234" s="179" t="s">
        <v>3356</v>
      </c>
      <c r="P4234" s="117">
        <v>66</v>
      </c>
    </row>
    <row r="4235" spans="1:18">
      <c r="A4235" s="118" t="s">
        <v>3816</v>
      </c>
      <c r="B4235" s="130"/>
      <c r="C4235" s="118" t="s">
        <v>3817</v>
      </c>
      <c r="D4235" s="141"/>
      <c r="E4235" s="118"/>
      <c r="F4235" s="118"/>
      <c r="G4235" s="118" t="s">
        <v>7278</v>
      </c>
      <c r="H4235" s="118" t="s">
        <v>4905</v>
      </c>
      <c r="I4235" s="118" t="s">
        <v>7199</v>
      </c>
      <c r="J4235" s="118" t="s">
        <v>4984</v>
      </c>
      <c r="K4235" s="141"/>
      <c r="L4235" s="135" t="str">
        <f t="shared" si="237"/>
        <v>Sorex macrodon</v>
      </c>
      <c r="M4235" s="133">
        <f t="shared" si="236"/>
        <v>0.84509999999999996</v>
      </c>
      <c r="N4235" s="133">
        <v>7.0000315913089688</v>
      </c>
      <c r="O4235" s="179" t="s">
        <v>6882</v>
      </c>
      <c r="P4235" s="117">
        <v>66</v>
      </c>
      <c r="Q4235" s="90" t="s">
        <v>6642</v>
      </c>
    </row>
    <row r="4236" spans="1:18">
      <c r="A4236" s="118" t="s">
        <v>3816</v>
      </c>
      <c r="B4236" s="130"/>
      <c r="C4236" s="118" t="s">
        <v>3817</v>
      </c>
      <c r="D4236" s="141"/>
      <c r="E4236" s="118"/>
      <c r="F4236" s="118"/>
      <c r="G4236" s="118" t="s">
        <v>7278</v>
      </c>
      <c r="H4236" s="118" t="s">
        <v>4905</v>
      </c>
      <c r="I4236" s="118" t="s">
        <v>7199</v>
      </c>
      <c r="J4236" s="118" t="s">
        <v>2223</v>
      </c>
      <c r="K4236" s="141"/>
      <c r="L4236" s="135" t="str">
        <f t="shared" si="237"/>
        <v>Sorex milleri</v>
      </c>
      <c r="M4236" s="133">
        <f t="shared" si="236"/>
        <v>0.84509999999999996</v>
      </c>
      <c r="N4236" s="133">
        <v>7.0000315913089688</v>
      </c>
      <c r="O4236" s="179" t="s">
        <v>6882</v>
      </c>
      <c r="P4236" s="117">
        <v>66</v>
      </c>
      <c r="Q4236" s="90" t="s">
        <v>6988</v>
      </c>
    </row>
    <row r="4237" spans="1:18">
      <c r="A4237" s="121" t="s">
        <v>3816</v>
      </c>
      <c r="B4237" s="130"/>
      <c r="C4237" s="118" t="s">
        <v>3817</v>
      </c>
      <c r="D4237" s="141"/>
      <c r="E4237" s="118"/>
      <c r="F4237" s="118"/>
      <c r="G4237" s="118" t="s">
        <v>7278</v>
      </c>
      <c r="H4237" s="118" t="s">
        <v>4905</v>
      </c>
      <c r="I4237" s="118" t="s">
        <v>7199</v>
      </c>
      <c r="J4237" s="118" t="s">
        <v>2426</v>
      </c>
      <c r="K4237" s="141"/>
      <c r="L4237" s="135" t="str">
        <f t="shared" si="237"/>
        <v>Sorex oreopolus</v>
      </c>
      <c r="M4237" s="133">
        <f t="shared" si="236"/>
        <v>0.84509999999999996</v>
      </c>
      <c r="N4237" s="133">
        <v>7.0000315913089688</v>
      </c>
      <c r="O4237" s="179" t="s">
        <v>6882</v>
      </c>
      <c r="P4237" s="117">
        <v>66</v>
      </c>
      <c r="Q4237" s="90" t="s">
        <v>6642</v>
      </c>
    </row>
    <row r="4238" spans="1:18">
      <c r="A4238" s="118" t="s">
        <v>3816</v>
      </c>
      <c r="B4238" s="130"/>
      <c r="C4238" s="118" t="s">
        <v>3817</v>
      </c>
      <c r="D4238" s="141"/>
      <c r="E4238" s="118"/>
      <c r="F4238" s="118"/>
      <c r="G4238" s="118" t="s">
        <v>7278</v>
      </c>
      <c r="H4238" s="118" t="s">
        <v>4905</v>
      </c>
      <c r="I4238" s="118" t="s">
        <v>7199</v>
      </c>
      <c r="J4238" s="118" t="s">
        <v>2425</v>
      </c>
      <c r="K4238" s="141"/>
      <c r="L4238" s="135" t="str">
        <f t="shared" si="237"/>
        <v>Sorex sclateri</v>
      </c>
      <c r="M4238" s="133">
        <f t="shared" si="236"/>
        <v>0.84509999999999996</v>
      </c>
      <c r="N4238" s="133">
        <v>7.0000315913089688</v>
      </c>
      <c r="O4238" s="179" t="s">
        <v>7080</v>
      </c>
      <c r="P4238" s="117">
        <v>66</v>
      </c>
      <c r="Q4238" s="90" t="s">
        <v>6640</v>
      </c>
    </row>
    <row r="4239" spans="1:18">
      <c r="A4239" s="118" t="s">
        <v>3816</v>
      </c>
      <c r="B4239" s="130"/>
      <c r="C4239" s="118" t="s">
        <v>3817</v>
      </c>
      <c r="D4239" s="141"/>
      <c r="E4239" s="118"/>
      <c r="F4239" s="118"/>
      <c r="G4239" s="118" t="s">
        <v>7278</v>
      </c>
      <c r="H4239" s="118" t="s">
        <v>4905</v>
      </c>
      <c r="I4239" s="118" t="s">
        <v>7199</v>
      </c>
      <c r="J4239" s="118" t="s">
        <v>2445</v>
      </c>
      <c r="K4239" s="141"/>
      <c r="L4239" s="135" t="str">
        <f t="shared" si="237"/>
        <v>Sorex stizodon</v>
      </c>
      <c r="M4239" s="133">
        <f t="shared" si="236"/>
        <v>0.84509999999999996</v>
      </c>
      <c r="N4239" s="133">
        <v>7.0000315913089688</v>
      </c>
      <c r="O4239" s="179" t="s">
        <v>7080</v>
      </c>
      <c r="P4239" s="117">
        <v>66</v>
      </c>
      <c r="Q4239" s="90" t="s">
        <v>6640</v>
      </c>
    </row>
    <row r="4240" spans="1:18" ht="12" customHeight="1">
      <c r="A4240" s="118" t="s">
        <v>3816</v>
      </c>
      <c r="B4240" s="130"/>
      <c r="C4240" s="118" t="s">
        <v>3817</v>
      </c>
      <c r="D4240" s="141"/>
      <c r="E4240" s="118"/>
      <c r="F4240" s="118"/>
      <c r="G4240" s="118" t="s">
        <v>7278</v>
      </c>
      <c r="H4240" s="118" t="s">
        <v>4905</v>
      </c>
      <c r="I4240" s="118" t="s">
        <v>7199</v>
      </c>
      <c r="J4240" s="118" t="s">
        <v>2214</v>
      </c>
      <c r="K4240" s="141"/>
      <c r="L4240" s="135" t="str">
        <f t="shared" si="237"/>
        <v>Sorex ventralis</v>
      </c>
      <c r="M4240" s="133">
        <f t="shared" si="236"/>
        <v>0.84509999999999996</v>
      </c>
      <c r="N4240" s="133">
        <v>7.0000315913089688</v>
      </c>
      <c r="O4240" s="179" t="s">
        <v>3356</v>
      </c>
      <c r="P4240" s="117">
        <v>66</v>
      </c>
      <c r="R4240" s="89"/>
    </row>
    <row r="4241" spans="1:18">
      <c r="A4241" s="121" t="s">
        <v>3816</v>
      </c>
      <c r="B4241" s="130"/>
      <c r="C4241" s="118" t="s">
        <v>3817</v>
      </c>
      <c r="D4241" s="141"/>
      <c r="E4241" s="118"/>
      <c r="F4241" s="118"/>
      <c r="G4241" s="118" t="s">
        <v>7278</v>
      </c>
      <c r="H4241" s="118" t="s">
        <v>4905</v>
      </c>
      <c r="I4241" s="118" t="s">
        <v>7199</v>
      </c>
      <c r="J4241" s="118" t="s">
        <v>2215</v>
      </c>
      <c r="K4241" s="141"/>
      <c r="L4241" s="135" t="str">
        <f t="shared" si="237"/>
        <v>Sorex veraepacis</v>
      </c>
      <c r="M4241" s="133">
        <f t="shared" si="236"/>
        <v>0.87506000000000006</v>
      </c>
      <c r="N4241" s="133">
        <v>7.4999781820300226</v>
      </c>
      <c r="O4241" s="179" t="s">
        <v>3356</v>
      </c>
      <c r="P4241" s="108">
        <v>60</v>
      </c>
    </row>
    <row r="4242" spans="1:18" ht="38.25">
      <c r="A4242" s="118" t="s">
        <v>3816</v>
      </c>
      <c r="B4242" s="141" t="s">
        <v>5142</v>
      </c>
      <c r="C4242" s="118" t="s">
        <v>3817</v>
      </c>
      <c r="D4242" s="141"/>
      <c r="E4242" s="118"/>
      <c r="F4242" s="118"/>
      <c r="G4242" s="118" t="s">
        <v>7278</v>
      </c>
      <c r="H4242" s="118" t="s">
        <v>4905</v>
      </c>
      <c r="I4242" s="118" t="s">
        <v>7199</v>
      </c>
      <c r="J4242" s="118" t="s">
        <v>6829</v>
      </c>
      <c r="K4242" s="141"/>
      <c r="L4242" s="135" t="str">
        <f t="shared" si="237"/>
        <v>Sorex tundrensis</v>
      </c>
      <c r="M4242" s="133">
        <f t="shared" si="236"/>
        <v>0.87506126339170009</v>
      </c>
      <c r="N4242" s="133">
        <v>7.5</v>
      </c>
      <c r="O4242" s="179" t="s">
        <v>3356</v>
      </c>
      <c r="P4242" s="108" t="s">
        <v>257</v>
      </c>
      <c r="Q4242" s="80"/>
    </row>
    <row r="4243" spans="1:18">
      <c r="A4243" s="121" t="s">
        <v>3816</v>
      </c>
      <c r="B4243" s="130"/>
      <c r="C4243" s="118" t="s">
        <v>3817</v>
      </c>
      <c r="D4243" s="141"/>
      <c r="E4243" s="118"/>
      <c r="F4243" s="118"/>
      <c r="G4243" s="118" t="s">
        <v>7278</v>
      </c>
      <c r="H4243" s="118" t="s">
        <v>4905</v>
      </c>
      <c r="I4243" s="118" t="s">
        <v>7199</v>
      </c>
      <c r="J4243" s="118" t="s">
        <v>2046</v>
      </c>
      <c r="K4243" s="141"/>
      <c r="L4243" s="135" t="str">
        <f t="shared" si="237"/>
        <v>Sorex fumeus</v>
      </c>
      <c r="M4243" s="133">
        <f t="shared" si="236"/>
        <v>0.88649</v>
      </c>
      <c r="N4243" s="133">
        <v>7.6999871427713664</v>
      </c>
      <c r="O4243" s="179" t="s">
        <v>3356</v>
      </c>
      <c r="P4243" s="108">
        <v>60</v>
      </c>
    </row>
    <row r="4244" spans="1:18">
      <c r="A4244" s="118" t="s">
        <v>3816</v>
      </c>
      <c r="B4244" s="130"/>
      <c r="C4244" s="118" t="s">
        <v>3817</v>
      </c>
      <c r="D4244" s="141"/>
      <c r="E4244" s="118"/>
      <c r="F4244" s="118"/>
      <c r="G4244" s="118" t="s">
        <v>7278</v>
      </c>
      <c r="H4244" s="118" t="s">
        <v>4905</v>
      </c>
      <c r="I4244" s="118" t="s">
        <v>7199</v>
      </c>
      <c r="J4244" s="118" t="s">
        <v>7201</v>
      </c>
      <c r="K4244" s="141"/>
      <c r="L4244" s="135" t="str">
        <f t="shared" si="237"/>
        <v>Sorex arcticus</v>
      </c>
      <c r="M4244" s="133">
        <f t="shared" si="236"/>
        <v>0.91115999999999997</v>
      </c>
      <c r="N4244" s="133">
        <v>8.150044874672961</v>
      </c>
      <c r="O4244" s="179" t="s">
        <v>3356</v>
      </c>
      <c r="P4244" s="108">
        <v>60</v>
      </c>
    </row>
    <row r="4245" spans="1:18" ht="25.5">
      <c r="A4245" s="121" t="s">
        <v>3816</v>
      </c>
      <c r="B4245" s="141" t="s">
        <v>7573</v>
      </c>
      <c r="C4245" s="118" t="s">
        <v>3817</v>
      </c>
      <c r="D4245" s="141"/>
      <c r="E4245" s="118"/>
      <c r="F4245" s="118"/>
      <c r="G4245" s="118" t="s">
        <v>7278</v>
      </c>
      <c r="H4245" s="118" t="s">
        <v>4905</v>
      </c>
      <c r="I4245" s="118" t="s">
        <v>7199</v>
      </c>
      <c r="J4245" s="118" t="s">
        <v>7928</v>
      </c>
      <c r="K4245" s="141"/>
      <c r="L4245" s="135" t="str">
        <f t="shared" si="237"/>
        <v>Sorex sonomae</v>
      </c>
      <c r="M4245" s="133">
        <f t="shared" si="236"/>
        <v>0.91907809237607396</v>
      </c>
      <c r="N4245" s="133">
        <v>8.3000000000000007</v>
      </c>
      <c r="O4245" s="179" t="s">
        <v>3356</v>
      </c>
      <c r="P4245" s="108">
        <v>152</v>
      </c>
    </row>
    <row r="4246" spans="1:18">
      <c r="A4246" s="118" t="s">
        <v>3816</v>
      </c>
      <c r="B4246" s="130"/>
      <c r="C4246" s="118" t="s">
        <v>3817</v>
      </c>
      <c r="D4246" s="141"/>
      <c r="E4246" s="118"/>
      <c r="F4246" s="118"/>
      <c r="G4246" s="118" t="s">
        <v>7278</v>
      </c>
      <c r="H4246" s="118" t="s">
        <v>4905</v>
      </c>
      <c r="I4246" s="118" t="s">
        <v>7199</v>
      </c>
      <c r="J4246" s="118" t="s">
        <v>1944</v>
      </c>
      <c r="K4246" s="141"/>
      <c r="L4246" s="135" t="str">
        <f t="shared" si="237"/>
        <v>Sorex bairdii</v>
      </c>
      <c r="M4246" s="133">
        <f t="shared" si="236"/>
        <v>0.92116605063773871</v>
      </c>
      <c r="N4246" s="133">
        <v>8.34</v>
      </c>
      <c r="O4246" s="179" t="s">
        <v>6736</v>
      </c>
      <c r="P4246" s="108">
        <v>68</v>
      </c>
    </row>
    <row r="4247" spans="1:18" ht="24" customHeight="1">
      <c r="A4247" s="118" t="s">
        <v>3816</v>
      </c>
      <c r="B4247" s="130"/>
      <c r="C4247" s="118" t="s">
        <v>3817</v>
      </c>
      <c r="D4247" s="141"/>
      <c r="E4247" s="118"/>
      <c r="F4247" s="118"/>
      <c r="G4247" s="118" t="s">
        <v>7278</v>
      </c>
      <c r="H4247" s="118" t="s">
        <v>4905</v>
      </c>
      <c r="I4247" s="118" t="s">
        <v>7199</v>
      </c>
      <c r="J4247" s="118" t="s">
        <v>2182</v>
      </c>
      <c r="K4247" s="141"/>
      <c r="L4247" s="135" t="str">
        <f t="shared" si="237"/>
        <v>Sorex palustris</v>
      </c>
      <c r="M4247" s="133">
        <f t="shared" si="236"/>
        <v>1.1287200000000002</v>
      </c>
      <c r="N4247" s="133">
        <v>13.44992925475152</v>
      </c>
      <c r="O4247" s="179" t="s">
        <v>3356</v>
      </c>
      <c r="P4247" s="108">
        <v>60</v>
      </c>
      <c r="R4247" s="89"/>
    </row>
    <row r="4248" spans="1:18">
      <c r="A4248" s="118" t="s">
        <v>3816</v>
      </c>
      <c r="B4248" s="130"/>
      <c r="C4248" s="121" t="s">
        <v>3817</v>
      </c>
      <c r="D4248" s="156"/>
      <c r="E4248" s="121"/>
      <c r="F4248" s="121"/>
      <c r="G4248" s="121" t="s">
        <v>7278</v>
      </c>
      <c r="H4248" s="118" t="s">
        <v>4905</v>
      </c>
      <c r="I4248" s="118" t="s">
        <v>7199</v>
      </c>
      <c r="J4248" s="118" t="s">
        <v>7200</v>
      </c>
      <c r="K4248" s="141"/>
      <c r="L4248" s="135" t="str">
        <f t="shared" si="237"/>
        <v>Sorex alaskanus</v>
      </c>
      <c r="M4248" s="133">
        <f t="shared" si="236"/>
        <v>1.1461300000000003</v>
      </c>
      <c r="N4248" s="133">
        <v>14.000063322395309</v>
      </c>
      <c r="O4248" s="179" t="s">
        <v>3356</v>
      </c>
      <c r="P4248" s="117">
        <v>66</v>
      </c>
    </row>
    <row r="4249" spans="1:18" ht="12" customHeight="1">
      <c r="A4249" s="118" t="s">
        <v>3816</v>
      </c>
      <c r="B4249" s="130"/>
      <c r="C4249" s="118" t="s">
        <v>3817</v>
      </c>
      <c r="D4249" s="141"/>
      <c r="E4249" s="118"/>
      <c r="F4249" s="118"/>
      <c r="G4249" s="118" t="s">
        <v>7278</v>
      </c>
      <c r="H4249" s="118" t="s">
        <v>4905</v>
      </c>
      <c r="I4249" s="118" t="s">
        <v>7199</v>
      </c>
      <c r="J4249" s="118" t="s">
        <v>4823</v>
      </c>
      <c r="K4249" s="141"/>
      <c r="L4249" s="135" t="str">
        <f t="shared" si="237"/>
        <v>Sorex bendirii</v>
      </c>
      <c r="M4249" s="133">
        <f t="shared" si="236"/>
        <v>1.2068300000000003</v>
      </c>
      <c r="N4249" s="133">
        <v>16.100152882906027</v>
      </c>
      <c r="O4249" s="179" t="s">
        <v>3356</v>
      </c>
      <c r="P4249" s="108">
        <v>60</v>
      </c>
      <c r="R4249" s="89"/>
    </row>
    <row r="4250" spans="1:18">
      <c r="A4250" s="118" t="s">
        <v>3816</v>
      </c>
      <c r="B4250" s="130"/>
      <c r="C4250" s="118" t="s">
        <v>3817</v>
      </c>
      <c r="D4250" s="141"/>
      <c r="E4250" s="118"/>
      <c r="F4250" s="118"/>
      <c r="G4250" s="118" t="s">
        <v>7278</v>
      </c>
      <c r="H4250" s="118" t="s">
        <v>2180</v>
      </c>
      <c r="I4250" s="118" t="s">
        <v>2188</v>
      </c>
      <c r="J4250" s="118" t="s">
        <v>2461</v>
      </c>
      <c r="K4250" s="141"/>
      <c r="L4250" s="135" t="str">
        <f t="shared" si="237"/>
        <v>Condylura cristata</v>
      </c>
      <c r="M4250" s="133">
        <f t="shared" si="236"/>
        <v>1.9242792860618816</v>
      </c>
      <c r="N4250" s="133">
        <v>84</v>
      </c>
      <c r="O4250" s="179" t="s">
        <v>3356</v>
      </c>
      <c r="P4250" s="108">
        <v>75</v>
      </c>
    </row>
    <row r="4251" spans="1:18">
      <c r="A4251" s="118" t="s">
        <v>3816</v>
      </c>
      <c r="B4251" s="130"/>
      <c r="C4251" s="118" t="s">
        <v>3817</v>
      </c>
      <c r="D4251" s="141"/>
      <c r="E4251" s="118"/>
      <c r="F4251" s="118"/>
      <c r="G4251" s="118" t="s">
        <v>7278</v>
      </c>
      <c r="H4251" s="118" t="s">
        <v>2180</v>
      </c>
      <c r="I4251" s="118" t="s">
        <v>4981</v>
      </c>
      <c r="J4251" s="118" t="s">
        <v>4982</v>
      </c>
      <c r="K4251" s="141"/>
      <c r="L4251" s="135" t="str">
        <f t="shared" si="237"/>
        <v>Neurotrichus gibbsii</v>
      </c>
      <c r="M4251" s="133">
        <f t="shared" si="236"/>
        <v>0.94939000000000007</v>
      </c>
      <c r="N4251" s="133">
        <v>8.8999998638257569</v>
      </c>
      <c r="O4251" s="179" t="s">
        <v>3356</v>
      </c>
      <c r="P4251" s="108">
        <v>60</v>
      </c>
    </row>
    <row r="4252" spans="1:18">
      <c r="A4252" s="118" t="s">
        <v>3816</v>
      </c>
      <c r="B4252" s="130"/>
      <c r="C4252" s="118" t="s">
        <v>3817</v>
      </c>
      <c r="D4252" s="141"/>
      <c r="E4252" s="118"/>
      <c r="F4252" s="118"/>
      <c r="G4252" s="118" t="s">
        <v>7278</v>
      </c>
      <c r="H4252" s="118" t="s">
        <v>2180</v>
      </c>
      <c r="I4252" s="118" t="s">
        <v>2493</v>
      </c>
      <c r="J4252" s="118" t="s">
        <v>2334</v>
      </c>
      <c r="K4252" s="141"/>
      <c r="L4252" s="135" t="str">
        <f t="shared" si="237"/>
        <v>Parascalops breweri</v>
      </c>
      <c r="M4252" s="133">
        <f t="shared" si="236"/>
        <v>1.7075700000000003</v>
      </c>
      <c r="N4252" s="133">
        <v>50.999979320499577</v>
      </c>
      <c r="O4252" s="179" t="s">
        <v>3356</v>
      </c>
      <c r="P4252" s="108">
        <v>60</v>
      </c>
    </row>
    <row r="4253" spans="1:18">
      <c r="A4253" s="118" t="s">
        <v>3816</v>
      </c>
      <c r="B4253" s="130"/>
      <c r="C4253" s="118" t="s">
        <v>3817</v>
      </c>
      <c r="D4253" s="141"/>
      <c r="E4253" s="118"/>
      <c r="F4253" s="118"/>
      <c r="G4253" s="118" t="s">
        <v>7278</v>
      </c>
      <c r="H4253" s="118" t="s">
        <v>2180</v>
      </c>
      <c r="I4253" s="118" t="s">
        <v>7107</v>
      </c>
      <c r="J4253" s="118" t="s">
        <v>3953</v>
      </c>
      <c r="K4253" s="141"/>
      <c r="L4253" s="135" t="str">
        <f t="shared" si="237"/>
        <v>Scalopus aquaticus</v>
      </c>
      <c r="M4253" s="133">
        <f t="shared" si="236"/>
        <v>1.96027</v>
      </c>
      <c r="N4253" s="133">
        <v>91.257801093445721</v>
      </c>
      <c r="O4253" s="179" t="s">
        <v>3356</v>
      </c>
      <c r="P4253" s="108">
        <v>60</v>
      </c>
    </row>
    <row r="4254" spans="1:18">
      <c r="A4254" s="118" t="s">
        <v>3816</v>
      </c>
      <c r="B4254" s="130"/>
      <c r="C4254" s="118" t="s">
        <v>3817</v>
      </c>
      <c r="D4254" s="141"/>
      <c r="E4254" s="118"/>
      <c r="F4254" s="118"/>
      <c r="G4254" s="118" t="s">
        <v>7278</v>
      </c>
      <c r="H4254" s="118" t="s">
        <v>2180</v>
      </c>
      <c r="I4254" s="118" t="s">
        <v>4241</v>
      </c>
      <c r="J4254" s="118" t="s">
        <v>4242</v>
      </c>
      <c r="K4254" s="141"/>
      <c r="L4254" s="135" t="str">
        <f t="shared" si="237"/>
        <v>Scapanus latimanus</v>
      </c>
      <c r="M4254" s="133">
        <f t="shared" si="236"/>
        <v>1.7403600000000001</v>
      </c>
      <c r="N4254" s="133">
        <v>54.999659397640222</v>
      </c>
      <c r="O4254" s="179" t="s">
        <v>3356</v>
      </c>
      <c r="P4254" s="108">
        <v>60</v>
      </c>
    </row>
    <row r="4255" spans="1:18" ht="36" customHeight="1">
      <c r="A4255" s="118" t="s">
        <v>3816</v>
      </c>
      <c r="B4255" s="130"/>
      <c r="C4255" s="118" t="s">
        <v>3817</v>
      </c>
      <c r="D4255" s="141"/>
      <c r="E4255" s="118"/>
      <c r="F4255" s="118"/>
      <c r="G4255" s="118" t="s">
        <v>7278</v>
      </c>
      <c r="H4255" s="118" t="s">
        <v>2180</v>
      </c>
      <c r="I4255" s="118" t="s">
        <v>4241</v>
      </c>
      <c r="J4255" s="118" t="s">
        <v>5147</v>
      </c>
      <c r="K4255" s="141"/>
      <c r="L4255" s="135" t="str">
        <f t="shared" si="237"/>
        <v>Scapanus orarius</v>
      </c>
      <c r="M4255" s="133">
        <f t="shared" ref="M4255:M4269" si="238">LOG(N4255)</f>
        <v>1.7867500000000001</v>
      </c>
      <c r="N4255" s="133">
        <v>61.199799594124578</v>
      </c>
      <c r="O4255" s="179" t="s">
        <v>3356</v>
      </c>
      <c r="P4255" s="108">
        <v>60</v>
      </c>
      <c r="R4255" s="89"/>
    </row>
    <row r="4256" spans="1:18">
      <c r="A4256" s="118" t="s">
        <v>3816</v>
      </c>
      <c r="B4256" s="130"/>
      <c r="C4256" s="118" t="s">
        <v>3817</v>
      </c>
      <c r="D4256" s="141"/>
      <c r="E4256" s="118"/>
      <c r="F4256" s="118"/>
      <c r="G4256" s="118" t="s">
        <v>7278</v>
      </c>
      <c r="H4256" s="118" t="s">
        <v>2180</v>
      </c>
      <c r="I4256" s="118" t="s">
        <v>4241</v>
      </c>
      <c r="J4256" s="118" t="s">
        <v>5148</v>
      </c>
      <c r="K4256" s="141"/>
      <c r="L4256" s="135" t="str">
        <f t="shared" si="237"/>
        <v>Scapanus townsendii</v>
      </c>
      <c r="M4256" s="133">
        <f t="shared" si="238"/>
        <v>2.1513700000000004</v>
      </c>
      <c r="N4256" s="133">
        <v>141.70004886071422</v>
      </c>
      <c r="O4256" s="179" t="s">
        <v>3356</v>
      </c>
      <c r="P4256" s="108">
        <v>60</v>
      </c>
    </row>
    <row r="4257" spans="1:17">
      <c r="A4257" s="134" t="s">
        <v>3816</v>
      </c>
      <c r="B4257" s="135"/>
      <c r="C4257" s="136" t="s">
        <v>5092</v>
      </c>
      <c r="D4257" s="220"/>
      <c r="E4257" s="136"/>
      <c r="F4257" s="136"/>
      <c r="G4257" s="134" t="s">
        <v>7345</v>
      </c>
      <c r="H4257" s="118" t="s">
        <v>7346</v>
      </c>
      <c r="I4257" s="134" t="s">
        <v>2089</v>
      </c>
      <c r="J4257" s="134" t="s">
        <v>4209</v>
      </c>
      <c r="K4257" s="135"/>
      <c r="L4257" s="135" t="str">
        <f t="shared" si="237"/>
        <v>Sylvilagus idahoensis</v>
      </c>
      <c r="M4257" s="133">
        <f t="shared" si="238"/>
        <v>2.5440680443502757</v>
      </c>
      <c r="N4257" s="137">
        <v>350</v>
      </c>
      <c r="O4257" s="180"/>
      <c r="P4257" s="109">
        <v>28</v>
      </c>
    </row>
    <row r="4258" spans="1:17">
      <c r="A4258" s="134" t="s">
        <v>3816</v>
      </c>
      <c r="B4258" s="135"/>
      <c r="C4258" s="136" t="s">
        <v>5092</v>
      </c>
      <c r="D4258" s="220"/>
      <c r="E4258" s="136"/>
      <c r="F4258" s="136"/>
      <c r="G4258" s="134" t="s">
        <v>7345</v>
      </c>
      <c r="H4258" s="118" t="s">
        <v>7346</v>
      </c>
      <c r="I4258" s="134" t="s">
        <v>2089</v>
      </c>
      <c r="J4258" s="134" t="s">
        <v>4452</v>
      </c>
      <c r="K4258" s="135"/>
      <c r="L4258" s="135" t="str">
        <f t="shared" si="237"/>
        <v>Sylvilagus leonensis</v>
      </c>
      <c r="M4258" s="133">
        <f t="shared" si="238"/>
        <v>3.1760912590556813</v>
      </c>
      <c r="N4258" s="137">
        <v>1500</v>
      </c>
      <c r="O4258" s="180"/>
      <c r="P4258" s="109" t="s">
        <v>4996</v>
      </c>
    </row>
    <row r="4259" spans="1:17">
      <c r="A4259" s="134" t="s">
        <v>3816</v>
      </c>
      <c r="B4259" s="135"/>
      <c r="C4259" s="136" t="s">
        <v>5092</v>
      </c>
      <c r="D4259" s="220"/>
      <c r="E4259" s="136"/>
      <c r="F4259" s="136"/>
      <c r="G4259" s="134" t="s">
        <v>7345</v>
      </c>
      <c r="H4259" s="118" t="s">
        <v>7346</v>
      </c>
      <c r="I4259" s="134" t="s">
        <v>4451</v>
      </c>
      <c r="J4259" s="134" t="s">
        <v>4399</v>
      </c>
      <c r="K4259" s="135"/>
      <c r="L4259" s="135" t="str">
        <f t="shared" si="237"/>
        <v>Aztlanolagus agilis</v>
      </c>
      <c r="M4259" s="133">
        <f t="shared" si="238"/>
        <v>3.3010299956639813</v>
      </c>
      <c r="N4259" s="137">
        <v>2000</v>
      </c>
      <c r="O4259" s="180"/>
      <c r="P4259" s="109">
        <v>23</v>
      </c>
    </row>
    <row r="4260" spans="1:17">
      <c r="A4260" s="118" t="s">
        <v>3816</v>
      </c>
      <c r="B4260" s="130"/>
      <c r="C4260" s="118" t="s">
        <v>3817</v>
      </c>
      <c r="D4260" s="141"/>
      <c r="E4260" s="118"/>
      <c r="F4260" s="118"/>
      <c r="G4260" s="118" t="s">
        <v>7345</v>
      </c>
      <c r="H4260" s="118" t="s">
        <v>7346</v>
      </c>
      <c r="I4260" s="118" t="s">
        <v>4564</v>
      </c>
      <c r="J4260" s="118" t="s">
        <v>4209</v>
      </c>
      <c r="K4260" s="141"/>
      <c r="L4260" s="135" t="str">
        <f t="shared" si="237"/>
        <v>Brachylagus idahoensis</v>
      </c>
      <c r="M4260" s="133">
        <f t="shared" si="238"/>
        <v>2.6246300000000002</v>
      </c>
      <c r="N4260" s="133">
        <v>421.33738935453766</v>
      </c>
      <c r="O4260" s="179" t="s">
        <v>3356</v>
      </c>
      <c r="P4260" s="108">
        <v>60</v>
      </c>
      <c r="Q4260" s="90" t="s">
        <v>6642</v>
      </c>
    </row>
    <row r="4261" spans="1:17">
      <c r="A4261" s="118" t="s">
        <v>3816</v>
      </c>
      <c r="B4261" s="130"/>
      <c r="C4261" s="118" t="s">
        <v>3817</v>
      </c>
      <c r="D4261" s="141"/>
      <c r="E4261" s="118"/>
      <c r="F4261" s="118"/>
      <c r="G4261" s="118" t="s">
        <v>7345</v>
      </c>
      <c r="H4261" s="118" t="s">
        <v>7346</v>
      </c>
      <c r="I4261" s="118" t="s">
        <v>7340</v>
      </c>
      <c r="J4261" s="118" t="s">
        <v>5148</v>
      </c>
      <c r="K4261" s="141"/>
      <c r="L4261" s="135" t="str">
        <f t="shared" si="237"/>
        <v>Lepus townsendii</v>
      </c>
      <c r="M4261" s="133">
        <f t="shared" si="238"/>
        <v>3.1917300000000006</v>
      </c>
      <c r="N4261" s="133">
        <v>1554.998591557136</v>
      </c>
      <c r="O4261" s="179" t="s">
        <v>3356</v>
      </c>
      <c r="P4261" s="117">
        <v>60</v>
      </c>
    </row>
    <row r="4262" spans="1:17">
      <c r="A4262" s="118" t="s">
        <v>3816</v>
      </c>
      <c r="B4262" s="130"/>
      <c r="C4262" s="118" t="s">
        <v>3817</v>
      </c>
      <c r="D4262" s="141"/>
      <c r="E4262" s="118"/>
      <c r="F4262" s="118"/>
      <c r="G4262" s="118" t="s">
        <v>7345</v>
      </c>
      <c r="H4262" s="118" t="s">
        <v>7346</v>
      </c>
      <c r="I4262" s="118" t="s">
        <v>7340</v>
      </c>
      <c r="J4262" s="118" t="s">
        <v>7461</v>
      </c>
      <c r="K4262" s="141"/>
      <c r="L4262" s="135" t="str">
        <f t="shared" si="237"/>
        <v>Lepus americanus</v>
      </c>
      <c r="M4262" s="133">
        <f t="shared" si="238"/>
        <v>3.2330000000000001</v>
      </c>
      <c r="N4262" s="133">
        <v>1710.0153150902886</v>
      </c>
      <c r="O4262" s="179" t="s">
        <v>3356</v>
      </c>
      <c r="P4262" s="108">
        <v>60</v>
      </c>
    </row>
    <row r="4263" spans="1:17">
      <c r="A4263" s="118" t="s">
        <v>3816</v>
      </c>
      <c r="B4263" s="130"/>
      <c r="C4263" s="118" t="s">
        <v>3817</v>
      </c>
      <c r="D4263" s="141"/>
      <c r="E4263" s="118"/>
      <c r="F4263" s="118"/>
      <c r="G4263" s="118" t="s">
        <v>7345</v>
      </c>
      <c r="H4263" s="118" t="s">
        <v>7346</v>
      </c>
      <c r="I4263" s="118" t="s">
        <v>7340</v>
      </c>
      <c r="J4263" s="118" t="s">
        <v>4404</v>
      </c>
      <c r="K4263" s="141"/>
      <c r="L4263" s="135" t="str">
        <f t="shared" si="237"/>
        <v>Lepus californicus</v>
      </c>
      <c r="M4263" s="133">
        <f t="shared" si="238"/>
        <v>3.3842599999999998</v>
      </c>
      <c r="N4263" s="133">
        <v>2422.4788832833456</v>
      </c>
      <c r="O4263" s="179" t="s">
        <v>3356</v>
      </c>
      <c r="P4263" s="108">
        <v>60</v>
      </c>
    </row>
    <row r="4264" spans="1:17">
      <c r="A4264" s="118" t="s">
        <v>3816</v>
      </c>
      <c r="B4264" s="130"/>
      <c r="C4264" s="118" t="s">
        <v>3817</v>
      </c>
      <c r="D4264" s="141"/>
      <c r="E4264" s="118"/>
      <c r="F4264" s="118"/>
      <c r="G4264" s="118" t="s">
        <v>7345</v>
      </c>
      <c r="H4264" s="118" t="s">
        <v>7346</v>
      </c>
      <c r="I4264" s="118" t="s">
        <v>7340</v>
      </c>
      <c r="J4264" s="118" t="s">
        <v>4405</v>
      </c>
      <c r="K4264" s="141"/>
      <c r="L4264" s="135" t="str">
        <f t="shared" si="237"/>
        <v>Lepus callotis</v>
      </c>
      <c r="M4264" s="133">
        <f t="shared" si="238"/>
        <v>3.3979400000000002</v>
      </c>
      <c r="N4264" s="133">
        <v>2499.9999500797412</v>
      </c>
      <c r="O4264" s="179" t="s">
        <v>6641</v>
      </c>
      <c r="P4264" s="108">
        <v>60</v>
      </c>
      <c r="Q4264" s="90" t="s">
        <v>6642</v>
      </c>
    </row>
    <row r="4265" spans="1:17">
      <c r="A4265" s="118" t="s">
        <v>3816</v>
      </c>
      <c r="B4265" s="130"/>
      <c r="C4265" s="118" t="s">
        <v>3817</v>
      </c>
      <c r="D4265" s="141"/>
      <c r="E4265" s="118"/>
      <c r="F4265" s="118"/>
      <c r="G4265" s="118" t="s">
        <v>7345</v>
      </c>
      <c r="H4265" s="118" t="s">
        <v>7346</v>
      </c>
      <c r="I4265" s="118" t="s">
        <v>7340</v>
      </c>
      <c r="J4265" s="118" t="s">
        <v>2228</v>
      </c>
      <c r="K4265" s="141"/>
      <c r="L4265" s="135" t="str">
        <f t="shared" si="237"/>
        <v>Lepus flavigularis</v>
      </c>
      <c r="M4265" s="133">
        <f t="shared" si="238"/>
        <v>3.4771200000000007</v>
      </c>
      <c r="N4265" s="133">
        <v>2999.9913327161544</v>
      </c>
      <c r="O4265" s="179" t="s">
        <v>7081</v>
      </c>
      <c r="P4265" s="117">
        <v>66</v>
      </c>
      <c r="Q4265" s="90" t="s">
        <v>6640</v>
      </c>
    </row>
    <row r="4266" spans="1:17">
      <c r="A4266" s="118" t="s">
        <v>3816</v>
      </c>
      <c r="B4266" s="130"/>
      <c r="C4266" s="118" t="s">
        <v>3817</v>
      </c>
      <c r="D4266" s="141"/>
      <c r="E4266" s="118"/>
      <c r="F4266" s="118"/>
      <c r="G4266" s="118" t="s">
        <v>7345</v>
      </c>
      <c r="H4266" s="118" t="s">
        <v>7346</v>
      </c>
      <c r="I4266" s="118" t="s">
        <v>7340</v>
      </c>
      <c r="J4266" s="118" t="s">
        <v>4087</v>
      </c>
      <c r="K4266" s="141"/>
      <c r="L4266" s="135" t="str">
        <f t="shared" si="237"/>
        <v>Lepus alleni</v>
      </c>
      <c r="M4266" s="133">
        <f t="shared" si="238"/>
        <v>3.5664400000000005</v>
      </c>
      <c r="N4266" s="133">
        <v>3685.0212788516405</v>
      </c>
      <c r="O4266" s="179" t="s">
        <v>3356</v>
      </c>
      <c r="P4266" s="108">
        <v>60</v>
      </c>
    </row>
    <row r="4267" spans="1:17">
      <c r="A4267" s="118" t="s">
        <v>3816</v>
      </c>
      <c r="B4267" s="130"/>
      <c r="C4267" s="118" t="s">
        <v>3817</v>
      </c>
      <c r="D4267" s="141"/>
      <c r="E4267" s="118"/>
      <c r="F4267" s="118"/>
      <c r="G4267" s="118" t="s">
        <v>7345</v>
      </c>
      <c r="H4267" s="118" t="s">
        <v>7346</v>
      </c>
      <c r="I4267" s="118" t="s">
        <v>7340</v>
      </c>
      <c r="J4267" s="118" t="s">
        <v>7201</v>
      </c>
      <c r="K4267" s="141"/>
      <c r="L4267" s="135" t="str">
        <f t="shared" si="237"/>
        <v>Lepus arcticus</v>
      </c>
      <c r="M4267" s="133">
        <f t="shared" si="238"/>
        <v>3.6439500000000002</v>
      </c>
      <c r="N4267" s="133">
        <v>4405.0414567309508</v>
      </c>
      <c r="O4267" s="179" t="s">
        <v>3356</v>
      </c>
      <c r="P4267" s="108">
        <v>60</v>
      </c>
    </row>
    <row r="4268" spans="1:17">
      <c r="A4268" s="118" t="s">
        <v>3816</v>
      </c>
      <c r="B4268" s="130"/>
      <c r="C4268" s="118" t="s">
        <v>3817</v>
      </c>
      <c r="D4268" s="141"/>
      <c r="E4268" s="118"/>
      <c r="F4268" s="118"/>
      <c r="G4268" s="118" t="s">
        <v>7345</v>
      </c>
      <c r="H4268" s="118" t="s">
        <v>7346</v>
      </c>
      <c r="I4268" s="118" t="s">
        <v>7340</v>
      </c>
      <c r="J4268" s="118" t="s">
        <v>2229</v>
      </c>
      <c r="K4268" s="141"/>
      <c r="L4268" s="135" t="str">
        <f t="shared" si="237"/>
        <v>Lepus othus</v>
      </c>
      <c r="M4268" s="133">
        <f t="shared" si="238"/>
        <v>3.6817799999999998</v>
      </c>
      <c r="N4268" s="133">
        <v>4805.9583196036374</v>
      </c>
      <c r="O4268" s="179" t="s">
        <v>3356</v>
      </c>
      <c r="P4268" s="108">
        <v>60</v>
      </c>
    </row>
    <row r="4269" spans="1:17">
      <c r="A4269" s="118" t="s">
        <v>3816</v>
      </c>
      <c r="B4269" s="130"/>
      <c r="C4269" s="118" t="s">
        <v>3817</v>
      </c>
      <c r="D4269" s="141"/>
      <c r="E4269" s="118"/>
      <c r="F4269" s="118"/>
      <c r="G4269" s="118" t="s">
        <v>7345</v>
      </c>
      <c r="H4269" s="118" t="s">
        <v>7346</v>
      </c>
      <c r="I4269" s="118" t="s">
        <v>2087</v>
      </c>
      <c r="J4269" s="118" t="s">
        <v>2088</v>
      </c>
      <c r="K4269" s="141"/>
      <c r="L4269" s="135" t="str">
        <f t="shared" si="237"/>
        <v>Romerolagus diazi</v>
      </c>
      <c r="M4269" s="133">
        <f t="shared" si="238"/>
        <v>2.6782000000000004</v>
      </c>
      <c r="N4269" s="133">
        <v>476.65044191055466</v>
      </c>
      <c r="O4269" s="179" t="s">
        <v>7081</v>
      </c>
      <c r="P4269" s="108" t="s">
        <v>1687</v>
      </c>
      <c r="Q4269" s="90" t="s">
        <v>6640</v>
      </c>
    </row>
    <row r="4270" spans="1:17">
      <c r="A4270" s="121" t="s">
        <v>3816</v>
      </c>
      <c r="B4270" s="141" t="s">
        <v>5081</v>
      </c>
      <c r="C4270" s="118" t="s">
        <v>3817</v>
      </c>
      <c r="D4270" s="141"/>
      <c r="E4270" s="118"/>
      <c r="F4270" s="118"/>
      <c r="G4270" s="118" t="s">
        <v>7345</v>
      </c>
      <c r="H4270" s="118" t="s">
        <v>7346</v>
      </c>
      <c r="I4270" s="118" t="s">
        <v>2089</v>
      </c>
      <c r="J4270" s="118" t="s">
        <v>5179</v>
      </c>
      <c r="K4270" s="141"/>
      <c r="L4270" s="135" t="str">
        <f t="shared" si="237"/>
        <v>Sylvilagus dicei</v>
      </c>
      <c r="M4270" s="133">
        <v>-999</v>
      </c>
      <c r="N4270" s="133">
        <v>-999</v>
      </c>
      <c r="O4270" s="179" t="s">
        <v>3356</v>
      </c>
      <c r="P4270" s="108">
        <v>-999</v>
      </c>
      <c r="Q4270" s="80" t="s">
        <v>6640</v>
      </c>
    </row>
    <row r="4271" spans="1:17">
      <c r="A4271" s="118" t="s">
        <v>3816</v>
      </c>
      <c r="B4271" s="130"/>
      <c r="C4271" s="118" t="s">
        <v>3817</v>
      </c>
      <c r="D4271" s="141"/>
      <c r="E4271" s="118"/>
      <c r="F4271" s="118"/>
      <c r="G4271" s="118" t="s">
        <v>7345</v>
      </c>
      <c r="H4271" s="118" t="s">
        <v>7346</v>
      </c>
      <c r="I4271" s="118" t="s">
        <v>2089</v>
      </c>
      <c r="J4271" s="118" t="s">
        <v>2226</v>
      </c>
      <c r="K4271" s="141"/>
      <c r="L4271" s="135" t="str">
        <f t="shared" si="237"/>
        <v>Sylvilagus bachmani</v>
      </c>
      <c r="M4271" s="133">
        <f t="shared" ref="M4271:M4298" si="239">LOG(N4271)</f>
        <v>2.8083800000000001</v>
      </c>
      <c r="N4271" s="133">
        <v>643.25030380753878</v>
      </c>
      <c r="O4271" s="179" t="s">
        <v>3356</v>
      </c>
      <c r="P4271" s="108">
        <v>60</v>
      </c>
    </row>
    <row r="4272" spans="1:17">
      <c r="A4272" s="118" t="s">
        <v>3816</v>
      </c>
      <c r="B4272" s="130"/>
      <c r="C4272" s="118" t="s">
        <v>3817</v>
      </c>
      <c r="D4272" s="141"/>
      <c r="E4272" s="118"/>
      <c r="F4272" s="118"/>
      <c r="G4272" s="118" t="s">
        <v>7345</v>
      </c>
      <c r="H4272" s="118" t="s">
        <v>7346</v>
      </c>
      <c r="I4272" s="118" t="s">
        <v>2089</v>
      </c>
      <c r="J4272" s="118" t="s">
        <v>4990</v>
      </c>
      <c r="K4272" s="141"/>
      <c r="L4272" s="135" t="str">
        <f t="shared" si="237"/>
        <v>Sylvilagus transitionalis</v>
      </c>
      <c r="M4272" s="133">
        <f t="shared" si="239"/>
        <v>2.8173700000000004</v>
      </c>
      <c r="N4272" s="133">
        <v>656.70451170979504</v>
      </c>
      <c r="O4272" s="179" t="s">
        <v>7045</v>
      </c>
      <c r="P4272" s="108">
        <v>60</v>
      </c>
      <c r="Q4272" s="90" t="s">
        <v>6988</v>
      </c>
    </row>
    <row r="4273" spans="1:30">
      <c r="A4273" s="118" t="s">
        <v>3816</v>
      </c>
      <c r="B4273" s="130"/>
      <c r="C4273" s="118" t="s">
        <v>3817</v>
      </c>
      <c r="D4273" s="141"/>
      <c r="E4273" s="118"/>
      <c r="F4273" s="118"/>
      <c r="G4273" s="118" t="s">
        <v>7345</v>
      </c>
      <c r="H4273" s="118" t="s">
        <v>7346</v>
      </c>
      <c r="I4273" s="118" t="s">
        <v>2089</v>
      </c>
      <c r="J4273" s="118" t="s">
        <v>2193</v>
      </c>
      <c r="K4273" s="141"/>
      <c r="L4273" s="135" t="str">
        <f t="shared" si="237"/>
        <v>Sylvilagus nuttallii</v>
      </c>
      <c r="M4273" s="133">
        <f t="shared" si="239"/>
        <v>2.8780000000000006</v>
      </c>
      <c r="N4273" s="133">
        <v>755.09222766543485</v>
      </c>
      <c r="O4273" s="179" t="s">
        <v>3356</v>
      </c>
      <c r="P4273" s="108">
        <v>60</v>
      </c>
    </row>
    <row r="4274" spans="1:30">
      <c r="A4274" s="118" t="s">
        <v>3816</v>
      </c>
      <c r="B4274" s="130"/>
      <c r="C4274" s="118" t="s">
        <v>3817</v>
      </c>
      <c r="D4274" s="141"/>
      <c r="E4274" s="118"/>
      <c r="F4274" s="118"/>
      <c r="G4274" s="118" t="s">
        <v>7345</v>
      </c>
      <c r="H4274" s="118" t="s">
        <v>7346</v>
      </c>
      <c r="I4274" s="118" t="s">
        <v>2089</v>
      </c>
      <c r="J4274" s="118" t="s">
        <v>2225</v>
      </c>
      <c r="K4274" s="141"/>
      <c r="L4274" s="135" t="str">
        <f t="shared" si="237"/>
        <v>Sylvilagus audubonii</v>
      </c>
      <c r="M4274" s="133">
        <f t="shared" si="239"/>
        <v>2.9492100000000003</v>
      </c>
      <c r="N4274" s="133">
        <v>889.63118868852825</v>
      </c>
      <c r="O4274" s="179" t="s">
        <v>3356</v>
      </c>
      <c r="P4274" s="108">
        <v>60</v>
      </c>
    </row>
    <row r="4275" spans="1:30">
      <c r="A4275" s="118" t="s">
        <v>3816</v>
      </c>
      <c r="B4275" s="130"/>
      <c r="C4275" s="118" t="s">
        <v>3817</v>
      </c>
      <c r="D4275" s="141"/>
      <c r="E4275" s="118"/>
      <c r="F4275" s="118"/>
      <c r="G4275" s="118" t="s">
        <v>7345</v>
      </c>
      <c r="H4275" s="118" t="s">
        <v>7346</v>
      </c>
      <c r="I4275" s="118" t="s">
        <v>2089</v>
      </c>
      <c r="J4275" s="118" t="s">
        <v>4467</v>
      </c>
      <c r="K4275" s="141"/>
      <c r="L4275" s="135" t="str">
        <f t="shared" si="237"/>
        <v>Sylvilagus brasiliensis</v>
      </c>
      <c r="M4275" s="133">
        <f t="shared" si="239"/>
        <v>2.9777200000000006</v>
      </c>
      <c r="N4275" s="133">
        <v>949.99211362259632</v>
      </c>
      <c r="O4275" s="179" t="s">
        <v>3356</v>
      </c>
      <c r="P4275" s="117">
        <v>66</v>
      </c>
    </row>
    <row r="4276" spans="1:30">
      <c r="A4276" s="118" t="s">
        <v>3816</v>
      </c>
      <c r="B4276" s="130"/>
      <c r="C4276" s="118" t="s">
        <v>3817</v>
      </c>
      <c r="D4276" s="141"/>
      <c r="E4276" s="118"/>
      <c r="F4276" s="118"/>
      <c r="G4276" s="118" t="s">
        <v>7345</v>
      </c>
      <c r="H4276" s="118" t="s">
        <v>7346</v>
      </c>
      <c r="I4276" s="118" t="s">
        <v>2089</v>
      </c>
      <c r="J4276" s="118" t="s">
        <v>2191</v>
      </c>
      <c r="K4276" s="141"/>
      <c r="L4276" s="135" t="str">
        <f t="shared" si="237"/>
        <v>Sylvilagus graysoni</v>
      </c>
      <c r="M4276" s="133">
        <f t="shared" si="239"/>
        <v>2.9840800000000005</v>
      </c>
      <c r="N4276" s="133">
        <v>964.00658384472945</v>
      </c>
      <c r="O4276" s="179" t="s">
        <v>6658</v>
      </c>
      <c r="P4276" s="115">
        <v>-999</v>
      </c>
      <c r="Q4276" s="90" t="s">
        <v>6640</v>
      </c>
    </row>
    <row r="4277" spans="1:30">
      <c r="A4277" s="118" t="s">
        <v>3816</v>
      </c>
      <c r="B4277" s="130"/>
      <c r="C4277" s="118" t="s">
        <v>3817</v>
      </c>
      <c r="D4277" s="141"/>
      <c r="E4277" s="118"/>
      <c r="F4277" s="118"/>
      <c r="G4277" s="118" t="s">
        <v>7345</v>
      </c>
      <c r="H4277" s="118" t="s">
        <v>7346</v>
      </c>
      <c r="I4277" s="118" t="s">
        <v>2089</v>
      </c>
      <c r="J4277" s="118" t="s">
        <v>2190</v>
      </c>
      <c r="K4277" s="141"/>
      <c r="L4277" s="135" t="str">
        <f t="shared" si="237"/>
        <v>Sylvilagus floridanus</v>
      </c>
      <c r="M4277" s="133">
        <f t="shared" si="239"/>
        <v>3.0692200000000005</v>
      </c>
      <c r="N4277" s="133">
        <v>1172.7893134796059</v>
      </c>
      <c r="O4277" s="179" t="s">
        <v>3356</v>
      </c>
      <c r="P4277" s="108">
        <v>60</v>
      </c>
    </row>
    <row r="4278" spans="1:30">
      <c r="A4278" s="118" t="s">
        <v>3816</v>
      </c>
      <c r="B4278" s="130"/>
      <c r="C4278" s="118" t="s">
        <v>3817</v>
      </c>
      <c r="D4278" s="141"/>
      <c r="E4278" s="118"/>
      <c r="F4278" s="118"/>
      <c r="G4278" s="118" t="s">
        <v>7345</v>
      </c>
      <c r="H4278" s="118" t="s">
        <v>7346</v>
      </c>
      <c r="I4278" s="118" t="s">
        <v>2089</v>
      </c>
      <c r="J4278" s="118" t="s">
        <v>2182</v>
      </c>
      <c r="K4278" s="141"/>
      <c r="L4278" s="135" t="str">
        <f t="shared" si="237"/>
        <v>Sylvilagus palustris</v>
      </c>
      <c r="M4278" s="133">
        <f t="shared" si="239"/>
        <v>3.1760900000000003</v>
      </c>
      <c r="N4278" s="133">
        <v>1499.9956513820403</v>
      </c>
      <c r="O4278" s="179" t="s">
        <v>3356</v>
      </c>
      <c r="P4278" s="108">
        <v>60</v>
      </c>
    </row>
    <row r="4279" spans="1:30">
      <c r="A4279" s="118" t="s">
        <v>3816</v>
      </c>
      <c r="B4279" s="130"/>
      <c r="C4279" s="118" t="s">
        <v>3817</v>
      </c>
      <c r="D4279" s="141"/>
      <c r="E4279" s="118"/>
      <c r="F4279" s="118"/>
      <c r="G4279" s="118" t="s">
        <v>7345</v>
      </c>
      <c r="H4279" s="118" t="s">
        <v>7346</v>
      </c>
      <c r="I4279" s="118" t="s">
        <v>2089</v>
      </c>
      <c r="J4279" s="118" t="s">
        <v>3953</v>
      </c>
      <c r="K4279" s="141"/>
      <c r="L4279" s="135" t="str">
        <f t="shared" si="237"/>
        <v>Sylvilagus aquaticus</v>
      </c>
      <c r="M4279" s="133">
        <f t="shared" si="239"/>
        <v>3.3295600000000003</v>
      </c>
      <c r="N4279" s="133">
        <v>2135.7971369445281</v>
      </c>
      <c r="O4279" s="179" t="s">
        <v>3356</v>
      </c>
      <c r="P4279" s="108">
        <v>60</v>
      </c>
    </row>
    <row r="4280" spans="1:30">
      <c r="A4280" s="121" t="s">
        <v>3816</v>
      </c>
      <c r="B4280" s="130"/>
      <c r="C4280" s="118" t="s">
        <v>3817</v>
      </c>
      <c r="D4280" s="141"/>
      <c r="E4280" s="118"/>
      <c r="F4280" s="118"/>
      <c r="G4280" s="118" t="s">
        <v>7345</v>
      </c>
      <c r="H4280" s="118" t="s">
        <v>7346</v>
      </c>
      <c r="I4280" s="118" t="s">
        <v>2089</v>
      </c>
      <c r="J4280" s="118" t="s">
        <v>2227</v>
      </c>
      <c r="K4280" s="141"/>
      <c r="L4280" s="135" t="str">
        <f t="shared" si="237"/>
        <v>Sylvilagus cunicularius</v>
      </c>
      <c r="M4280" s="133">
        <f t="shared" si="239"/>
        <v>3.4771200000000007</v>
      </c>
      <c r="N4280" s="133">
        <v>2999.9913327161544</v>
      </c>
      <c r="O4280" s="179" t="s">
        <v>7081</v>
      </c>
      <c r="P4280" s="117">
        <v>66</v>
      </c>
      <c r="Q4280" s="90" t="s">
        <v>6642</v>
      </c>
    </row>
    <row r="4281" spans="1:30" s="388" customFormat="1" ht="25.5">
      <c r="A4281" s="381" t="s">
        <v>3816</v>
      </c>
      <c r="B4281" s="382"/>
      <c r="C4281" s="381" t="s">
        <v>3817</v>
      </c>
      <c r="D4281" s="285"/>
      <c r="E4281" s="381"/>
      <c r="F4281" s="381"/>
      <c r="G4281" s="381" t="s">
        <v>7345</v>
      </c>
      <c r="H4281" s="381" t="s">
        <v>7346</v>
      </c>
      <c r="I4281" s="381" t="s">
        <v>2089</v>
      </c>
      <c r="J4281" s="381" t="s">
        <v>2192</v>
      </c>
      <c r="K4281" s="285"/>
      <c r="L4281" s="135" t="str">
        <f t="shared" si="237"/>
        <v>Sylvilagus insonus</v>
      </c>
      <c r="M4281" s="383">
        <f t="shared" si="239"/>
        <v>3.4771200000000007</v>
      </c>
      <c r="N4281" s="383">
        <v>2999.9913327161544</v>
      </c>
      <c r="O4281" s="384" t="s">
        <v>7119</v>
      </c>
      <c r="P4281" s="385">
        <v>66</v>
      </c>
      <c r="Q4281" s="94" t="s">
        <v>7071</v>
      </c>
      <c r="R4281" s="94"/>
      <c r="S4281" s="94"/>
      <c r="T4281" s="94"/>
      <c r="U4281" s="386"/>
      <c r="V4281" s="386"/>
      <c r="W4281" s="386"/>
      <c r="X4281" s="386"/>
      <c r="Y4281" s="386"/>
      <c r="Z4281" s="386"/>
      <c r="AA4281" s="386"/>
      <c r="AB4281" s="386"/>
      <c r="AC4281" s="386"/>
      <c r="AD4281" s="387"/>
    </row>
    <row r="4282" spans="1:30" s="388" customFormat="1">
      <c r="A4282" s="381" t="s">
        <v>3816</v>
      </c>
      <c r="B4282" s="382"/>
      <c r="C4282" s="381" t="s">
        <v>3817</v>
      </c>
      <c r="D4282" s="285"/>
      <c r="E4282" s="381"/>
      <c r="F4282" s="381"/>
      <c r="G4282" s="381" t="s">
        <v>7345</v>
      </c>
      <c r="H4282" s="381" t="s">
        <v>7542</v>
      </c>
      <c r="I4282" s="381" t="s">
        <v>4239</v>
      </c>
      <c r="J4282" s="381" t="s">
        <v>4240</v>
      </c>
      <c r="K4282" s="285"/>
      <c r="L4282" s="135" t="str">
        <f t="shared" si="237"/>
        <v>Ochotona collaris</v>
      </c>
      <c r="M4282" s="383">
        <f t="shared" si="239"/>
        <v>2.1105900000000002</v>
      </c>
      <c r="N4282" s="383">
        <v>129.00008605085017</v>
      </c>
      <c r="O4282" s="384" t="s">
        <v>3356</v>
      </c>
      <c r="P4282" s="376">
        <v>60</v>
      </c>
      <c r="Q4282" s="94"/>
      <c r="R4282" s="94"/>
      <c r="S4282" s="94"/>
      <c r="T4282" s="94"/>
      <c r="U4282" s="386"/>
      <c r="V4282" s="386"/>
      <c r="W4282" s="386"/>
      <c r="X4282" s="386"/>
      <c r="Y4282" s="386"/>
      <c r="Z4282" s="386"/>
      <c r="AA4282" s="386"/>
      <c r="AB4282" s="386"/>
      <c r="AC4282" s="386"/>
      <c r="AD4282" s="387"/>
    </row>
    <row r="4283" spans="1:30" s="388" customFormat="1">
      <c r="A4283" s="381" t="s">
        <v>3816</v>
      </c>
      <c r="B4283" s="382"/>
      <c r="C4283" s="381" t="s">
        <v>3817</v>
      </c>
      <c r="D4283" s="285"/>
      <c r="E4283" s="381"/>
      <c r="F4283" s="381"/>
      <c r="G4283" s="381" t="s">
        <v>7345</v>
      </c>
      <c r="H4283" s="381" t="s">
        <v>7542</v>
      </c>
      <c r="I4283" s="381" t="s">
        <v>4239</v>
      </c>
      <c r="J4283" s="381" t="s">
        <v>3790</v>
      </c>
      <c r="K4283" s="285"/>
      <c r="L4283" s="135" t="str">
        <f t="shared" si="237"/>
        <v>Ochotona princeps</v>
      </c>
      <c r="M4283" s="383">
        <f t="shared" si="239"/>
        <v>2.1976300000000006</v>
      </c>
      <c r="N4283" s="383">
        <v>157.6267785924374</v>
      </c>
      <c r="O4283" s="384" t="s">
        <v>3356</v>
      </c>
      <c r="P4283" s="376">
        <v>60</v>
      </c>
      <c r="Q4283" s="94"/>
      <c r="R4283" s="94"/>
      <c r="S4283" s="94"/>
      <c r="T4283" s="94"/>
      <c r="U4283" s="386"/>
      <c r="V4283" s="386"/>
      <c r="W4283" s="386"/>
      <c r="X4283" s="386"/>
      <c r="Y4283" s="386"/>
      <c r="Z4283" s="386"/>
      <c r="AA4283" s="386"/>
      <c r="AB4283" s="386"/>
      <c r="AC4283" s="386"/>
      <c r="AD4283" s="387"/>
    </row>
    <row r="4284" spans="1:30" s="388" customFormat="1" ht="38.25">
      <c r="A4284" s="381"/>
      <c r="B4284" s="382"/>
      <c r="C4284" s="297" t="s">
        <v>5092</v>
      </c>
      <c r="D4284" s="285"/>
      <c r="E4284" s="381"/>
      <c r="F4284" s="289"/>
      <c r="G4284" s="298" t="s">
        <v>7273</v>
      </c>
      <c r="H4284" s="298" t="s">
        <v>2558</v>
      </c>
      <c r="I4284" s="299" t="s">
        <v>2559</v>
      </c>
      <c r="J4284" s="299" t="s">
        <v>5963</v>
      </c>
      <c r="K4284" s="298" t="s">
        <v>8439</v>
      </c>
      <c r="L4284" s="135" t="str">
        <f t="shared" si="237"/>
        <v>Equus conversidens</v>
      </c>
      <c r="M4284" s="383">
        <f t="shared" ref="M4284:M4290" si="240">LOG(N4284)</f>
        <v>5.4857214264815797</v>
      </c>
      <c r="N4284" s="300">
        <v>306000</v>
      </c>
      <c r="O4284" s="384"/>
      <c r="P4284" s="376">
        <v>286</v>
      </c>
      <c r="Q4284" s="94"/>
      <c r="R4284" s="94"/>
      <c r="S4284" s="94"/>
      <c r="T4284" s="94"/>
      <c r="U4284" s="386"/>
      <c r="V4284" s="386"/>
      <c r="W4284" s="386"/>
      <c r="X4284" s="386"/>
      <c r="Y4284" s="386"/>
      <c r="Z4284" s="386"/>
      <c r="AA4284" s="386"/>
      <c r="AB4284" s="386"/>
      <c r="AC4284" s="386"/>
      <c r="AD4284" s="387"/>
    </row>
    <row r="4285" spans="1:30" s="388" customFormat="1" ht="25.5">
      <c r="A4285" s="381"/>
      <c r="B4285" s="382"/>
      <c r="C4285" s="297" t="s">
        <v>5092</v>
      </c>
      <c r="D4285" s="285"/>
      <c r="E4285" s="381"/>
      <c r="F4285" s="289"/>
      <c r="G4285" s="298" t="s">
        <v>7273</v>
      </c>
      <c r="H4285" s="298" t="s">
        <v>2558</v>
      </c>
      <c r="I4285" s="299" t="s">
        <v>2559</v>
      </c>
      <c r="J4285" s="299" t="s">
        <v>2754</v>
      </c>
      <c r="K4285" s="298" t="s">
        <v>8441</v>
      </c>
      <c r="L4285" s="135" t="str">
        <f t="shared" si="237"/>
        <v>Equus alaskae</v>
      </c>
      <c r="M4285" s="383">
        <f t="shared" si="240"/>
        <v>5.5705429398818973</v>
      </c>
      <c r="N4285" s="300">
        <v>372000</v>
      </c>
      <c r="O4285" s="384"/>
      <c r="P4285" s="376">
        <v>286</v>
      </c>
      <c r="Q4285" s="94"/>
      <c r="R4285" s="94"/>
      <c r="S4285" s="94"/>
      <c r="T4285" s="94"/>
      <c r="U4285" s="386"/>
      <c r="V4285" s="386"/>
      <c r="W4285" s="386"/>
      <c r="X4285" s="386"/>
      <c r="Y4285" s="386"/>
      <c r="Z4285" s="386"/>
      <c r="AA4285" s="386"/>
      <c r="AB4285" s="386"/>
      <c r="AC4285" s="386"/>
      <c r="AD4285" s="387"/>
    </row>
    <row r="4286" spans="1:30" s="388" customFormat="1" ht="25.5">
      <c r="A4286" s="381"/>
      <c r="B4286" s="382"/>
      <c r="C4286" s="297" t="s">
        <v>5092</v>
      </c>
      <c r="D4286" s="285"/>
      <c r="E4286" s="381"/>
      <c r="F4286" s="289"/>
      <c r="G4286" s="298" t="s">
        <v>7273</v>
      </c>
      <c r="H4286" s="298" t="s">
        <v>2558</v>
      </c>
      <c r="I4286" s="299" t="s">
        <v>2559</v>
      </c>
      <c r="J4286" s="299" t="s">
        <v>5962</v>
      </c>
      <c r="K4286" s="298" t="s">
        <v>8429</v>
      </c>
      <c r="L4286" s="135" t="str">
        <f t="shared" si="237"/>
        <v>Equus complicatus</v>
      </c>
      <c r="M4286" s="383">
        <f t="shared" si="240"/>
        <v>5.6020599913279625</v>
      </c>
      <c r="N4286" s="300">
        <v>400000</v>
      </c>
      <c r="O4286" s="384"/>
      <c r="P4286" s="376">
        <v>286</v>
      </c>
      <c r="Q4286" s="94"/>
      <c r="R4286" s="94"/>
      <c r="S4286" s="94"/>
      <c r="T4286" s="94"/>
      <c r="U4286" s="386"/>
      <c r="V4286" s="386"/>
      <c r="W4286" s="386"/>
      <c r="X4286" s="386"/>
      <c r="Y4286" s="386"/>
      <c r="Z4286" s="386"/>
      <c r="AA4286" s="386"/>
      <c r="AB4286" s="386"/>
      <c r="AC4286" s="386"/>
      <c r="AD4286" s="387"/>
    </row>
    <row r="4287" spans="1:30" s="388" customFormat="1">
      <c r="A4287" s="381"/>
      <c r="B4287" s="382"/>
      <c r="C4287" s="297" t="s">
        <v>5092</v>
      </c>
      <c r="D4287" s="285"/>
      <c r="E4287" s="381"/>
      <c r="F4287" s="289"/>
      <c r="G4287" s="298" t="s">
        <v>7273</v>
      </c>
      <c r="H4287" s="298" t="s">
        <v>2558</v>
      </c>
      <c r="I4287" s="299" t="s">
        <v>2559</v>
      </c>
      <c r="J4287" s="299" t="s">
        <v>4255</v>
      </c>
      <c r="K4287" s="298"/>
      <c r="L4287" s="135" t="str">
        <f t="shared" si="237"/>
        <v>Equus giganteus</v>
      </c>
      <c r="M4287" s="383">
        <f t="shared" si="240"/>
        <v>5.6020599913279625</v>
      </c>
      <c r="N4287" s="300">
        <v>400000</v>
      </c>
      <c r="O4287" s="384"/>
      <c r="P4287" s="376">
        <v>286</v>
      </c>
      <c r="Q4287" s="94"/>
      <c r="R4287" s="94"/>
      <c r="S4287" s="94"/>
      <c r="T4287" s="94"/>
      <c r="U4287" s="386"/>
      <c r="V4287" s="386"/>
      <c r="W4287" s="386"/>
      <c r="X4287" s="386"/>
      <c r="Y4287" s="386"/>
      <c r="Z4287" s="386"/>
      <c r="AA4287" s="386"/>
      <c r="AB4287" s="386"/>
      <c r="AC4287" s="386"/>
      <c r="AD4287" s="387"/>
    </row>
    <row r="4288" spans="1:30" s="388" customFormat="1">
      <c r="A4288" s="381"/>
      <c r="B4288" s="382"/>
      <c r="C4288" s="297" t="s">
        <v>5092</v>
      </c>
      <c r="D4288" s="285"/>
      <c r="E4288" s="381"/>
      <c r="F4288" s="289"/>
      <c r="G4288" s="298" t="s">
        <v>7273</v>
      </c>
      <c r="H4288" s="298" t="s">
        <v>2558</v>
      </c>
      <c r="I4288" s="299" t="s">
        <v>2559</v>
      </c>
      <c r="J4288" s="299" t="s">
        <v>5613</v>
      </c>
      <c r="K4288" s="298" t="s">
        <v>8449</v>
      </c>
      <c r="L4288" s="135" t="str">
        <f t="shared" si="237"/>
        <v>Equus scotti</v>
      </c>
      <c r="M4288" s="383">
        <f t="shared" si="240"/>
        <v>5.7442929831226763</v>
      </c>
      <c r="N4288" s="300">
        <v>555000</v>
      </c>
      <c r="O4288" s="384"/>
      <c r="P4288" s="376">
        <v>286</v>
      </c>
      <c r="Q4288" s="94"/>
      <c r="R4288" s="94"/>
      <c r="S4288" s="94"/>
      <c r="T4288" s="94"/>
      <c r="U4288" s="386"/>
      <c r="V4288" s="386"/>
      <c r="W4288" s="386"/>
      <c r="X4288" s="386"/>
      <c r="Y4288" s="386"/>
      <c r="Z4288" s="386"/>
      <c r="AA4288" s="386"/>
      <c r="AB4288" s="386"/>
      <c r="AC4288" s="386"/>
      <c r="AD4288" s="387"/>
    </row>
    <row r="4289" spans="1:30" s="388" customFormat="1" ht="51">
      <c r="A4289" s="381"/>
      <c r="B4289" s="382"/>
      <c r="C4289" s="297" t="s">
        <v>5092</v>
      </c>
      <c r="D4289" s="285"/>
      <c r="E4289" s="381"/>
      <c r="F4289" s="289"/>
      <c r="G4289" s="298" t="s">
        <v>7273</v>
      </c>
      <c r="H4289" s="298" t="s">
        <v>2558</v>
      </c>
      <c r="I4289" s="299" t="s">
        <v>2559</v>
      </c>
      <c r="J4289" s="299" t="s">
        <v>4843</v>
      </c>
      <c r="K4289" s="298" t="s">
        <v>8452</v>
      </c>
      <c r="L4289" s="135" t="str">
        <f t="shared" si="237"/>
        <v>Equus occidentalis</v>
      </c>
      <c r="M4289" s="383">
        <f t="shared" si="240"/>
        <v>5.7589118923979736</v>
      </c>
      <c r="N4289" s="300">
        <v>574000</v>
      </c>
      <c r="O4289" s="384"/>
      <c r="P4289" s="376">
        <v>286</v>
      </c>
      <c r="Q4289" s="94"/>
      <c r="R4289" s="94"/>
      <c r="S4289" s="94"/>
      <c r="T4289" s="94"/>
      <c r="U4289" s="386"/>
      <c r="V4289" s="386"/>
      <c r="W4289" s="386"/>
      <c r="X4289" s="386"/>
      <c r="Y4289" s="386"/>
      <c r="Z4289" s="386"/>
      <c r="AA4289" s="386"/>
      <c r="AB4289" s="386"/>
      <c r="AC4289" s="386"/>
      <c r="AD4289" s="387"/>
    </row>
    <row r="4290" spans="1:30" s="388" customFormat="1">
      <c r="A4290" s="381"/>
      <c r="B4290" s="382"/>
      <c r="C4290" s="297" t="s">
        <v>5092</v>
      </c>
      <c r="D4290" s="285"/>
      <c r="E4290" s="381"/>
      <c r="F4290" s="289"/>
      <c r="G4290" s="298" t="s">
        <v>7273</v>
      </c>
      <c r="H4290" s="298" t="s">
        <v>2558</v>
      </c>
      <c r="I4290" s="299" t="s">
        <v>2559</v>
      </c>
      <c r="J4290" s="299" t="s">
        <v>2753</v>
      </c>
      <c r="K4290" s="298"/>
      <c r="L4290" s="135" t="str">
        <f t="shared" si="237"/>
        <v>Equus laurentius</v>
      </c>
      <c r="M4290" s="383">
        <f t="shared" si="240"/>
        <v>5.8115750058705933</v>
      </c>
      <c r="N4290" s="300">
        <v>648000</v>
      </c>
      <c r="O4290" s="384"/>
      <c r="P4290" s="376">
        <v>286</v>
      </c>
      <c r="Q4290" s="94"/>
      <c r="R4290" s="94"/>
      <c r="S4290" s="94"/>
      <c r="T4290" s="94"/>
      <c r="U4290" s="386"/>
      <c r="V4290" s="386"/>
      <c r="W4290" s="386"/>
      <c r="X4290" s="386"/>
      <c r="Y4290" s="386"/>
      <c r="Z4290" s="386"/>
      <c r="AA4290" s="386"/>
      <c r="AB4290" s="386"/>
      <c r="AC4290" s="386"/>
      <c r="AD4290" s="387"/>
    </row>
    <row r="4291" spans="1:30" s="388" customFormat="1">
      <c r="A4291" s="134" t="s">
        <v>3816</v>
      </c>
      <c r="B4291" s="135"/>
      <c r="C4291" s="136" t="s">
        <v>5092</v>
      </c>
      <c r="D4291" s="220"/>
      <c r="E4291" s="136"/>
      <c r="F4291" s="136"/>
      <c r="G4291" s="134" t="s">
        <v>7273</v>
      </c>
      <c r="H4291" s="134" t="s">
        <v>7157</v>
      </c>
      <c r="I4291" s="134" t="s">
        <v>7158</v>
      </c>
      <c r="J4291" s="134" t="s">
        <v>7130</v>
      </c>
      <c r="K4291" s="135"/>
      <c r="L4291" s="135" t="str">
        <f t="shared" si="237"/>
        <v>Tapirus veroensis</v>
      </c>
      <c r="M4291" s="383">
        <f>LOG(N4291)</f>
        <v>5.4393326938302629</v>
      </c>
      <c r="N4291" s="137">
        <v>275000</v>
      </c>
      <c r="O4291" s="180"/>
      <c r="P4291" s="389" t="s">
        <v>4995</v>
      </c>
      <c r="Q4291" s="94"/>
      <c r="R4291" s="94"/>
      <c r="S4291" s="94"/>
      <c r="T4291" s="94"/>
      <c r="U4291" s="386"/>
      <c r="V4291" s="386"/>
      <c r="W4291" s="386"/>
      <c r="X4291" s="386"/>
      <c r="Y4291" s="386"/>
      <c r="Z4291" s="386"/>
      <c r="AA4291" s="386"/>
      <c r="AB4291" s="386"/>
      <c r="AC4291" s="386"/>
      <c r="AD4291" s="387"/>
    </row>
    <row r="4292" spans="1:30" s="388" customFormat="1">
      <c r="A4292" s="134" t="s">
        <v>3816</v>
      </c>
      <c r="B4292" s="135"/>
      <c r="C4292" s="136" t="s">
        <v>5092</v>
      </c>
      <c r="D4292" s="220"/>
      <c r="E4292" s="136"/>
      <c r="F4292" s="136"/>
      <c r="G4292" s="134" t="s">
        <v>7273</v>
      </c>
      <c r="H4292" s="134" t="s">
        <v>7157</v>
      </c>
      <c r="I4292" s="134" t="s">
        <v>7158</v>
      </c>
      <c r="J4292" s="134" t="s">
        <v>2756</v>
      </c>
      <c r="K4292" s="135"/>
      <c r="L4292" s="135" t="str">
        <f t="shared" si="237"/>
        <v>Tapirus copei</v>
      </c>
      <c r="M4292" s="383">
        <f>LOG(N4292)</f>
        <v>5.5010592622177512</v>
      </c>
      <c r="N4292" s="137">
        <v>317000</v>
      </c>
      <c r="O4292" s="180"/>
      <c r="P4292" s="389" t="s">
        <v>1871</v>
      </c>
      <c r="Q4292" s="94"/>
      <c r="R4292" s="94"/>
      <c r="S4292" s="94"/>
      <c r="T4292" s="94"/>
      <c r="U4292" s="386"/>
      <c r="V4292" s="386"/>
      <c r="W4292" s="386"/>
      <c r="X4292" s="386"/>
      <c r="Y4292" s="386"/>
      <c r="Z4292" s="386"/>
      <c r="AA4292" s="386"/>
      <c r="AB4292" s="386"/>
      <c r="AC4292" s="386"/>
      <c r="AD4292" s="387"/>
    </row>
    <row r="4293" spans="1:30" s="388" customFormat="1">
      <c r="A4293" s="134" t="s">
        <v>3816</v>
      </c>
      <c r="B4293" s="135"/>
      <c r="C4293" s="136" t="s">
        <v>5092</v>
      </c>
      <c r="D4293" s="220"/>
      <c r="E4293" s="136"/>
      <c r="F4293" s="136"/>
      <c r="G4293" s="134" t="s">
        <v>7273</v>
      </c>
      <c r="H4293" s="134" t="s">
        <v>7157</v>
      </c>
      <c r="I4293" s="134" t="s">
        <v>7158</v>
      </c>
      <c r="J4293" s="134" t="s">
        <v>4404</v>
      </c>
      <c r="K4293" s="135"/>
      <c r="L4293" s="135" t="str">
        <f t="shared" ref="L4293:L4356" si="241">I4293&amp;" "&amp;J4293</f>
        <v>Tapirus californicus</v>
      </c>
      <c r="M4293" s="383">
        <f>LOG(N4293)</f>
        <v>5.6020599913279625</v>
      </c>
      <c r="N4293" s="137">
        <v>400000</v>
      </c>
      <c r="O4293" s="180"/>
      <c r="P4293" s="389" t="s">
        <v>293</v>
      </c>
      <c r="Q4293" s="94"/>
      <c r="R4293" s="94"/>
      <c r="S4293" s="94"/>
      <c r="T4293" s="94"/>
      <c r="U4293" s="386"/>
      <c r="V4293" s="386"/>
      <c r="W4293" s="386"/>
      <c r="X4293" s="386"/>
      <c r="Y4293" s="386"/>
      <c r="Z4293" s="386"/>
      <c r="AA4293" s="386"/>
      <c r="AB4293" s="386"/>
      <c r="AC4293" s="386"/>
      <c r="AD4293" s="387"/>
    </row>
    <row r="4294" spans="1:30" s="388" customFormat="1">
      <c r="A4294" s="381" t="s">
        <v>3816</v>
      </c>
      <c r="B4294" s="382"/>
      <c r="C4294" s="381" t="s">
        <v>3817</v>
      </c>
      <c r="D4294" s="285"/>
      <c r="E4294" s="381"/>
      <c r="F4294" s="381"/>
      <c r="G4294" s="381" t="s">
        <v>7273</v>
      </c>
      <c r="H4294" s="381" t="s">
        <v>7157</v>
      </c>
      <c r="I4294" s="381" t="s">
        <v>7158</v>
      </c>
      <c r="J4294" s="381" t="s">
        <v>1944</v>
      </c>
      <c r="K4294" s="285"/>
      <c r="L4294" s="135" t="str">
        <f t="shared" si="241"/>
        <v>Tapirus bairdii</v>
      </c>
      <c r="M4294" s="383">
        <f t="shared" si="239"/>
        <v>5.4771200000000011</v>
      </c>
      <c r="N4294" s="383">
        <v>299999.1332716156</v>
      </c>
      <c r="O4294" s="384" t="s">
        <v>7081</v>
      </c>
      <c r="P4294" s="385">
        <v>66</v>
      </c>
      <c r="Q4294" s="94" t="s">
        <v>6640</v>
      </c>
      <c r="R4294" s="94"/>
      <c r="S4294" s="94"/>
      <c r="T4294" s="94"/>
      <c r="U4294" s="386"/>
      <c r="V4294" s="386"/>
      <c r="W4294" s="386"/>
      <c r="X4294" s="386"/>
      <c r="Y4294" s="386"/>
      <c r="Z4294" s="386"/>
      <c r="AA4294" s="386"/>
      <c r="AB4294" s="386"/>
      <c r="AC4294" s="386"/>
      <c r="AD4294" s="387"/>
    </row>
    <row r="4295" spans="1:30">
      <c r="A4295" s="118" t="s">
        <v>3816</v>
      </c>
      <c r="B4295" s="130"/>
      <c r="C4295" s="118" t="s">
        <v>3817</v>
      </c>
      <c r="D4295" s="141"/>
      <c r="E4295" s="118"/>
      <c r="F4295" s="118"/>
      <c r="G4295" s="118" t="s">
        <v>7250</v>
      </c>
      <c r="H4295" s="118" t="s">
        <v>5057</v>
      </c>
      <c r="I4295" s="118" t="s">
        <v>5058</v>
      </c>
      <c r="J4295" s="118" t="s">
        <v>7492</v>
      </c>
      <c r="K4295" s="141"/>
      <c r="L4295" s="135" t="str">
        <f t="shared" si="241"/>
        <v>Alouatta pigra</v>
      </c>
      <c r="M4295" s="133">
        <f t="shared" si="239"/>
        <v>3.8451000000000004</v>
      </c>
      <c r="N4295" s="133">
        <v>7000.0315913089735</v>
      </c>
      <c r="O4295" s="179" t="s">
        <v>3356</v>
      </c>
      <c r="P4295" s="108">
        <v>66</v>
      </c>
    </row>
    <row r="4296" spans="1:30">
      <c r="A4296" s="118" t="s">
        <v>3816</v>
      </c>
      <c r="B4296" s="130"/>
      <c r="C4296" s="118" t="s">
        <v>3817</v>
      </c>
      <c r="D4296" s="141"/>
      <c r="E4296" s="118"/>
      <c r="F4296" s="118"/>
      <c r="G4296" s="118" t="s">
        <v>7250</v>
      </c>
      <c r="H4296" s="118" t="s">
        <v>5057</v>
      </c>
      <c r="I4296" s="118" t="s">
        <v>5058</v>
      </c>
      <c r="J4296" s="118" t="s">
        <v>5059</v>
      </c>
      <c r="K4296" s="141"/>
      <c r="L4296" s="135" t="str">
        <f t="shared" si="241"/>
        <v>Alouatta palliata</v>
      </c>
      <c r="M4296" s="133">
        <f t="shared" si="239"/>
        <v>3.8618300000000003</v>
      </c>
      <c r="N4296" s="133">
        <v>7274.9497854861338</v>
      </c>
      <c r="O4296" s="179" t="s">
        <v>3356</v>
      </c>
      <c r="P4296" s="108">
        <v>60</v>
      </c>
    </row>
    <row r="4297" spans="1:30">
      <c r="A4297" s="110" t="s">
        <v>3816</v>
      </c>
      <c r="B4297" s="145"/>
      <c r="C4297" s="109" t="s">
        <v>3817</v>
      </c>
      <c r="D4297" s="163"/>
      <c r="E4297" s="109"/>
      <c r="F4297" s="109"/>
      <c r="G4297" s="109" t="s">
        <v>7250</v>
      </c>
      <c r="H4297" s="109" t="s">
        <v>5057</v>
      </c>
      <c r="I4297" s="109" t="s">
        <v>7472</v>
      </c>
      <c r="J4297" s="109" t="s">
        <v>4786</v>
      </c>
      <c r="K4297" s="163"/>
      <c r="L4297" s="135" t="str">
        <f t="shared" si="241"/>
        <v>Aotus lemurinus</v>
      </c>
      <c r="M4297" s="133">
        <f t="shared" si="239"/>
        <v>2.9410092689407441</v>
      </c>
      <c r="N4297" s="151">
        <v>872.99</v>
      </c>
      <c r="O4297" s="189" t="s">
        <v>6773</v>
      </c>
      <c r="P4297" s="115">
        <v>61</v>
      </c>
      <c r="Q4297" s="95" t="s">
        <v>6988</v>
      </c>
    </row>
    <row r="4298" spans="1:30">
      <c r="A4298" s="118" t="s">
        <v>3816</v>
      </c>
      <c r="B4298" s="130"/>
      <c r="C4298" s="118" t="s">
        <v>3817</v>
      </c>
      <c r="D4298" s="141"/>
      <c r="E4298" s="118"/>
      <c r="F4298" s="118"/>
      <c r="G4298" s="118" t="s">
        <v>7250</v>
      </c>
      <c r="H4298" s="118" t="s">
        <v>5057</v>
      </c>
      <c r="I4298" s="118" t="s">
        <v>7483</v>
      </c>
      <c r="J4298" s="118" t="s">
        <v>3777</v>
      </c>
      <c r="K4298" s="141"/>
      <c r="L4298" s="135" t="str">
        <f t="shared" si="241"/>
        <v>Ateles geoffroyi</v>
      </c>
      <c r="M4298" s="133">
        <f t="shared" si="239"/>
        <v>3.7230400000000001</v>
      </c>
      <c r="N4298" s="133">
        <v>5284.9392562302774</v>
      </c>
      <c r="O4298" s="179" t="s">
        <v>3356</v>
      </c>
      <c r="P4298" s="108">
        <v>60</v>
      </c>
    </row>
    <row r="4299" spans="1:30">
      <c r="A4299" s="118" t="s">
        <v>3816</v>
      </c>
      <c r="B4299" s="130"/>
      <c r="C4299" s="118" t="s">
        <v>3817</v>
      </c>
      <c r="D4299" s="141"/>
      <c r="E4299" s="118"/>
      <c r="F4299" s="118"/>
      <c r="G4299" s="118" t="s">
        <v>7250</v>
      </c>
      <c r="H4299" s="118" t="s">
        <v>5057</v>
      </c>
      <c r="I4299" s="118" t="s">
        <v>3933</v>
      </c>
      <c r="J4299" s="118" t="s">
        <v>2442</v>
      </c>
      <c r="K4299" s="141"/>
      <c r="L4299" s="135" t="str">
        <f t="shared" si="241"/>
        <v>Cebus capucinus</v>
      </c>
      <c r="M4299" s="133">
        <f t="shared" ref="M4299:M4330" si="242">LOG(N4299)</f>
        <v>3.4366900000000005</v>
      </c>
      <c r="N4299" s="133">
        <v>2733.3169843793216</v>
      </c>
      <c r="O4299" s="179" t="s">
        <v>3356</v>
      </c>
      <c r="P4299" s="108">
        <v>60</v>
      </c>
    </row>
    <row r="4300" spans="1:30">
      <c r="A4300" s="121" t="s">
        <v>3816</v>
      </c>
      <c r="B4300" s="130"/>
      <c r="C4300" s="118" t="s">
        <v>3817</v>
      </c>
      <c r="D4300" s="141"/>
      <c r="E4300" s="118"/>
      <c r="F4300" s="118"/>
      <c r="G4300" s="118" t="s">
        <v>7250</v>
      </c>
      <c r="H4300" s="118" t="s">
        <v>5057</v>
      </c>
      <c r="I4300" s="118" t="s">
        <v>7495</v>
      </c>
      <c r="J4300" s="118" t="s">
        <v>7497</v>
      </c>
      <c r="K4300" s="141"/>
      <c r="L4300" s="135" t="str">
        <f t="shared" si="241"/>
        <v>Saimiri oerstedii</v>
      </c>
      <c r="M4300" s="133">
        <f t="shared" si="242"/>
        <v>2.4448251995097476</v>
      </c>
      <c r="N4300" s="133">
        <v>278.5</v>
      </c>
      <c r="O4300" s="179" t="s">
        <v>6641</v>
      </c>
      <c r="P4300" s="117">
        <v>61</v>
      </c>
      <c r="Q4300" s="90" t="s">
        <v>6640</v>
      </c>
    </row>
    <row r="4301" spans="1:30">
      <c r="A4301" s="134" t="s">
        <v>3816</v>
      </c>
      <c r="B4301" s="135"/>
      <c r="C4301" s="136" t="s">
        <v>5092</v>
      </c>
      <c r="D4301" s="220"/>
      <c r="E4301" s="136"/>
      <c r="F4301" s="136"/>
      <c r="G4301" s="134" t="s">
        <v>4084</v>
      </c>
      <c r="H4301" s="134" t="s">
        <v>2346</v>
      </c>
      <c r="I4301" s="134" t="s">
        <v>2521</v>
      </c>
      <c r="J4301" s="134" t="s">
        <v>2271</v>
      </c>
      <c r="K4301" s="135"/>
      <c r="L4301" s="135" t="str">
        <f t="shared" si="241"/>
        <v>Mammut americanum</v>
      </c>
      <c r="M4301" s="133">
        <f t="shared" si="242"/>
        <v>6.6555033962497934</v>
      </c>
      <c r="N4301" s="137">
        <v>4523800</v>
      </c>
      <c r="O4301" s="180"/>
      <c r="P4301" s="110" t="s">
        <v>5964</v>
      </c>
    </row>
    <row r="4302" spans="1:30">
      <c r="A4302" s="134" t="s">
        <v>3816</v>
      </c>
      <c r="B4302" s="135"/>
      <c r="C4302" s="136" t="s">
        <v>5092</v>
      </c>
      <c r="D4302" s="220"/>
      <c r="E4302" s="136"/>
      <c r="F4302" s="136"/>
      <c r="G4302" s="134" t="s">
        <v>4084</v>
      </c>
      <c r="H4302" s="134" t="s">
        <v>2721</v>
      </c>
      <c r="I4302" s="134" t="s">
        <v>2605</v>
      </c>
      <c r="J4302" s="134" t="s">
        <v>7388</v>
      </c>
      <c r="K4302" s="135"/>
      <c r="L4302" s="135" t="str">
        <f t="shared" si="241"/>
        <v>Cuvieronius spp.</v>
      </c>
      <c r="M4302" s="133">
        <f t="shared" si="242"/>
        <v>6.6989700043360187</v>
      </c>
      <c r="N4302" s="137">
        <v>5000000</v>
      </c>
      <c r="O4302" s="180"/>
      <c r="P4302" s="110">
        <v>11</v>
      </c>
    </row>
    <row r="4303" spans="1:30">
      <c r="A4303" s="134" t="s">
        <v>3816</v>
      </c>
      <c r="B4303" s="135"/>
      <c r="C4303" s="136" t="s">
        <v>5092</v>
      </c>
      <c r="D4303" s="220"/>
      <c r="E4303" s="136"/>
      <c r="F4303" s="136"/>
      <c r="G4303" s="134" t="s">
        <v>4084</v>
      </c>
      <c r="H4303" s="134" t="s">
        <v>3613</v>
      </c>
      <c r="I4303" s="134" t="s">
        <v>7131</v>
      </c>
      <c r="J4303" s="134" t="s">
        <v>3911</v>
      </c>
      <c r="K4303" s="135"/>
      <c r="L4303" s="135" t="str">
        <f t="shared" si="241"/>
        <v>Mammuthus primigenius</v>
      </c>
      <c r="M4303" s="133">
        <f t="shared" si="242"/>
        <v>6.7403626894942441</v>
      </c>
      <c r="N4303" s="137">
        <v>5500000</v>
      </c>
      <c r="O4303" s="180"/>
      <c r="P4303" s="110" t="s">
        <v>1870</v>
      </c>
    </row>
    <row r="4304" spans="1:30">
      <c r="A4304" s="134" t="s">
        <v>3816</v>
      </c>
      <c r="B4304" s="135"/>
      <c r="C4304" s="136" t="s">
        <v>5092</v>
      </c>
      <c r="D4304" s="220"/>
      <c r="E4304" s="136"/>
      <c r="F4304" s="136"/>
      <c r="G4304" s="134" t="s">
        <v>4084</v>
      </c>
      <c r="H4304" s="134" t="s">
        <v>3613</v>
      </c>
      <c r="I4304" s="134" t="s">
        <v>7131</v>
      </c>
      <c r="J4304" s="134" t="s">
        <v>7132</v>
      </c>
      <c r="K4304" s="135"/>
      <c r="L4304" s="135" t="str">
        <f t="shared" si="241"/>
        <v>Mammuthus columbi</v>
      </c>
      <c r="M4304" s="133">
        <f t="shared" si="242"/>
        <v>6.9030899869919438</v>
      </c>
      <c r="N4304" s="137">
        <v>8000000</v>
      </c>
      <c r="O4304" s="180"/>
      <c r="P4304" s="110" t="s">
        <v>1867</v>
      </c>
    </row>
    <row r="4305" spans="1:22">
      <c r="A4305" s="134" t="s">
        <v>3816</v>
      </c>
      <c r="B4305" s="135"/>
      <c r="C4305" s="136" t="s">
        <v>5092</v>
      </c>
      <c r="D4305" s="220"/>
      <c r="E4305" s="136"/>
      <c r="F4305" s="136"/>
      <c r="G4305" s="134" t="s">
        <v>4084</v>
      </c>
      <c r="H4305" s="134" t="s">
        <v>3613</v>
      </c>
      <c r="I4305" s="134" t="s">
        <v>7131</v>
      </c>
      <c r="J4305" s="134" t="s">
        <v>4648</v>
      </c>
      <c r="K4305" s="135"/>
      <c r="L4305" s="135" t="str">
        <f t="shared" si="241"/>
        <v>Mammuthus imperator</v>
      </c>
      <c r="M4305" s="133">
        <f t="shared" si="242"/>
        <v>7</v>
      </c>
      <c r="N4305" s="137">
        <v>10000000</v>
      </c>
      <c r="O4305" s="180"/>
      <c r="P4305" s="110">
        <v>36</v>
      </c>
    </row>
    <row r="4306" spans="1:22">
      <c r="A4306" s="134" t="s">
        <v>3816</v>
      </c>
      <c r="B4306" s="135"/>
      <c r="C4306" s="136" t="s">
        <v>5092</v>
      </c>
      <c r="D4306" s="220"/>
      <c r="E4306" s="136"/>
      <c r="F4306" s="136"/>
      <c r="G4306" s="134" t="s">
        <v>3618</v>
      </c>
      <c r="H4306" s="134" t="s">
        <v>3638</v>
      </c>
      <c r="I4306" s="134" t="s">
        <v>7685</v>
      </c>
      <c r="J4306" s="134" t="s">
        <v>6010</v>
      </c>
      <c r="K4306" s="135"/>
      <c r="L4306" s="135" t="str">
        <f t="shared" si="241"/>
        <v>Synaptomys bunkeri</v>
      </c>
      <c r="M4306" s="133">
        <f t="shared" si="242"/>
        <v>1.3010299956639813</v>
      </c>
      <c r="N4306" s="137">
        <v>20</v>
      </c>
      <c r="O4306" s="180"/>
      <c r="P4306" s="109">
        <v>25</v>
      </c>
      <c r="T4306" s="92"/>
    </row>
    <row r="4307" spans="1:22">
      <c r="A4307" s="261" t="s">
        <v>3816</v>
      </c>
      <c r="B4307" s="262"/>
      <c r="C4307" s="263" t="s">
        <v>5092</v>
      </c>
      <c r="D4307" s="264"/>
      <c r="E4307" s="263"/>
      <c r="F4307" s="263"/>
      <c r="G4307" s="261" t="s">
        <v>3618</v>
      </c>
      <c r="H4307" s="261" t="s">
        <v>3638</v>
      </c>
      <c r="I4307" s="261" t="s">
        <v>3167</v>
      </c>
      <c r="J4307" s="261" t="s">
        <v>2323</v>
      </c>
      <c r="K4307" s="262"/>
      <c r="L4307" s="135" t="str">
        <f t="shared" si="241"/>
        <v>Peromyscus cochrani</v>
      </c>
      <c r="M4307" s="265">
        <f t="shared" si="242"/>
        <v>1.3222192947339193</v>
      </c>
      <c r="N4307" s="266">
        <v>21</v>
      </c>
      <c r="O4307" s="267" t="s">
        <v>8292</v>
      </c>
      <c r="P4307" s="268">
        <v>24</v>
      </c>
      <c r="Q4307" s="269"/>
      <c r="R4307" s="269"/>
      <c r="S4307" s="269"/>
      <c r="T4307" s="270"/>
      <c r="U4307" s="271"/>
      <c r="V4307" s="271"/>
    </row>
    <row r="4308" spans="1:22" ht="15.75">
      <c r="A4308" s="134" t="s">
        <v>3816</v>
      </c>
      <c r="B4308" s="135"/>
      <c r="C4308" s="136" t="s">
        <v>5092</v>
      </c>
      <c r="D4308" s="220"/>
      <c r="E4308" s="136"/>
      <c r="F4308" s="136"/>
      <c r="G4308" s="134" t="s">
        <v>3618</v>
      </c>
      <c r="H4308" s="134" t="s">
        <v>3638</v>
      </c>
      <c r="I4308" s="134" t="s">
        <v>3167</v>
      </c>
      <c r="J4308" s="134" t="s">
        <v>6138</v>
      </c>
      <c r="K4308" s="135"/>
      <c r="L4308" s="135" t="str">
        <f t="shared" si="241"/>
        <v>Peromyscus imperfectus</v>
      </c>
      <c r="M4308" s="133">
        <f t="shared" si="242"/>
        <v>1.5440680443502757</v>
      </c>
      <c r="N4308" s="137">
        <v>35</v>
      </c>
      <c r="O4308" s="180"/>
      <c r="P4308" s="109">
        <v>25</v>
      </c>
      <c r="R4308" s="89"/>
    </row>
    <row r="4309" spans="1:22">
      <c r="A4309" s="134" t="s">
        <v>3816</v>
      </c>
      <c r="B4309" s="135"/>
      <c r="C4309" s="136" t="s">
        <v>5092</v>
      </c>
      <c r="D4309" s="220"/>
      <c r="E4309" s="136"/>
      <c r="F4309" s="136"/>
      <c r="G4309" s="134" t="s">
        <v>3618</v>
      </c>
      <c r="H4309" s="134" t="s">
        <v>3638</v>
      </c>
      <c r="I4309" s="134" t="s">
        <v>7685</v>
      </c>
      <c r="J4309" s="134" t="s">
        <v>3789</v>
      </c>
      <c r="K4309" s="135"/>
      <c r="L4309" s="135" t="str">
        <f t="shared" si="241"/>
        <v>Synaptomys australis</v>
      </c>
      <c r="M4309" s="133">
        <f t="shared" si="242"/>
        <v>1.7242758696007889</v>
      </c>
      <c r="N4309" s="137">
        <v>53</v>
      </c>
      <c r="O4309" s="180"/>
      <c r="P4309" s="109">
        <v>28</v>
      </c>
    </row>
    <row r="4310" spans="1:22">
      <c r="A4310" s="134" t="s">
        <v>3816</v>
      </c>
      <c r="B4310" s="135"/>
      <c r="C4310" s="136" t="s">
        <v>5092</v>
      </c>
      <c r="D4310" s="220"/>
      <c r="E4310" s="136"/>
      <c r="F4310" s="136"/>
      <c r="G4310" s="134" t="s">
        <v>3618</v>
      </c>
      <c r="H4310" s="134" t="s">
        <v>5524</v>
      </c>
      <c r="I4310" s="134" t="s">
        <v>3537</v>
      </c>
      <c r="J4310" s="134" t="s">
        <v>1995</v>
      </c>
      <c r="K4310" s="135"/>
      <c r="L4310" s="135" t="str">
        <f t="shared" si="241"/>
        <v>Thomomys microdon</v>
      </c>
      <c r="M4310" s="133">
        <f t="shared" si="242"/>
        <v>1.8750612633917001</v>
      </c>
      <c r="N4310" s="137">
        <v>75</v>
      </c>
      <c r="O4310" s="180"/>
      <c r="P4310" s="109">
        <v>24</v>
      </c>
    </row>
    <row r="4311" spans="1:22">
      <c r="A4311" s="134" t="s">
        <v>3816</v>
      </c>
      <c r="B4311" s="135"/>
      <c r="C4311" s="136" t="s">
        <v>5092</v>
      </c>
      <c r="D4311" s="220"/>
      <c r="E4311" s="136"/>
      <c r="F4311" s="136"/>
      <c r="G4311" s="134" t="s">
        <v>3618</v>
      </c>
      <c r="H4311" s="134" t="s">
        <v>5524</v>
      </c>
      <c r="I4311" s="134" t="s">
        <v>3537</v>
      </c>
      <c r="J4311" s="134" t="s">
        <v>3805</v>
      </c>
      <c r="K4311" s="135"/>
      <c r="L4311" s="135" t="str">
        <f t="shared" si="241"/>
        <v>Thomomys orientalis</v>
      </c>
      <c r="M4311" s="133">
        <f t="shared" si="242"/>
        <v>1.9777236052888478</v>
      </c>
      <c r="N4311" s="137">
        <v>95</v>
      </c>
      <c r="O4311" s="180"/>
      <c r="P4311" s="109">
        <v>25</v>
      </c>
    </row>
    <row r="4312" spans="1:22">
      <c r="A4312" s="134" t="s">
        <v>3816</v>
      </c>
      <c r="B4312" s="135"/>
      <c r="C4312" s="136" t="s">
        <v>5092</v>
      </c>
      <c r="D4312" s="220"/>
      <c r="E4312" s="136"/>
      <c r="F4312" s="136"/>
      <c r="G4312" s="134" t="s">
        <v>3618</v>
      </c>
      <c r="H4312" s="134" t="s">
        <v>3438</v>
      </c>
      <c r="I4312" s="134" t="s">
        <v>3091</v>
      </c>
      <c r="J4312" s="134" t="s">
        <v>2325</v>
      </c>
      <c r="K4312" s="135"/>
      <c r="L4312" s="135" t="str">
        <f t="shared" si="241"/>
        <v>Tamias aristus</v>
      </c>
      <c r="M4312" s="133">
        <f t="shared" si="242"/>
        <v>2.1553360374650619</v>
      </c>
      <c r="N4312" s="137">
        <v>143</v>
      </c>
      <c r="O4312" s="180"/>
      <c r="P4312" s="109">
        <v>28</v>
      </c>
    </row>
    <row r="4313" spans="1:22">
      <c r="A4313" s="134" t="s">
        <v>3816</v>
      </c>
      <c r="B4313" s="135"/>
      <c r="C4313" s="136" t="s">
        <v>5092</v>
      </c>
      <c r="D4313" s="220"/>
      <c r="E4313" s="136"/>
      <c r="F4313" s="136"/>
      <c r="G4313" s="134" t="s">
        <v>3618</v>
      </c>
      <c r="H4313" s="134" t="s">
        <v>3638</v>
      </c>
      <c r="I4313" s="134" t="s">
        <v>4228</v>
      </c>
      <c r="J4313" s="134" t="s">
        <v>2324</v>
      </c>
      <c r="K4313" s="135"/>
      <c r="L4313" s="135" t="str">
        <f t="shared" si="241"/>
        <v>Microtus mcnowni</v>
      </c>
      <c r="M4313" s="133">
        <f t="shared" si="242"/>
        <v>2.3010299956639813</v>
      </c>
      <c r="N4313" s="137">
        <v>200</v>
      </c>
      <c r="O4313" s="180"/>
      <c r="P4313" s="109">
        <v>25</v>
      </c>
    </row>
    <row r="4314" spans="1:22">
      <c r="A4314" s="134" t="s">
        <v>3816</v>
      </c>
      <c r="B4314" s="135"/>
      <c r="C4314" s="136" t="s">
        <v>5092</v>
      </c>
      <c r="D4314" s="220"/>
      <c r="E4314" s="136"/>
      <c r="F4314" s="136"/>
      <c r="G4314" s="134" t="s">
        <v>3618</v>
      </c>
      <c r="H4314" s="134" t="s">
        <v>3438</v>
      </c>
      <c r="I4314" s="134" t="s">
        <v>2933</v>
      </c>
      <c r="J4314" s="134" t="s">
        <v>4610</v>
      </c>
      <c r="K4314" s="135"/>
      <c r="L4314" s="135" t="str">
        <f t="shared" si="241"/>
        <v>Spermophilus cooperi</v>
      </c>
      <c r="M4314" s="133">
        <f t="shared" si="242"/>
        <v>2.6937269489236471</v>
      </c>
      <c r="N4314" s="137">
        <v>494</v>
      </c>
      <c r="O4314" s="180"/>
      <c r="P4314" s="109">
        <v>28</v>
      </c>
    </row>
    <row r="4315" spans="1:22">
      <c r="A4315" s="134" t="s">
        <v>3816</v>
      </c>
      <c r="B4315" s="135"/>
      <c r="C4315" s="136" t="s">
        <v>5092</v>
      </c>
      <c r="D4315" s="220"/>
      <c r="E4315" s="136"/>
      <c r="F4315" s="136"/>
      <c r="G4315" s="134" t="s">
        <v>3618</v>
      </c>
      <c r="H4315" s="134" t="s">
        <v>5055</v>
      </c>
      <c r="I4315" s="134" t="s">
        <v>5060</v>
      </c>
      <c r="J4315" s="134" t="s">
        <v>5061</v>
      </c>
      <c r="K4315" s="135"/>
      <c r="L4315" s="135" t="str">
        <f t="shared" si="241"/>
        <v>Neocherus oesopi</v>
      </c>
      <c r="M4315" s="133">
        <f t="shared" si="242"/>
        <v>4.7781512503836439</v>
      </c>
      <c r="N4315" s="137">
        <v>60000</v>
      </c>
      <c r="O4315" s="180"/>
      <c r="P4315" s="109" t="s">
        <v>7389</v>
      </c>
    </row>
    <row r="4316" spans="1:22">
      <c r="A4316" s="134" t="s">
        <v>3816</v>
      </c>
      <c r="B4316" s="135"/>
      <c r="C4316" s="136" t="s">
        <v>5092</v>
      </c>
      <c r="D4316" s="220"/>
      <c r="E4316" s="136"/>
      <c r="F4316" s="136"/>
      <c r="G4316" s="134" t="s">
        <v>3618</v>
      </c>
      <c r="H4316" s="134" t="s">
        <v>5055</v>
      </c>
      <c r="I4316" s="134" t="s">
        <v>5062</v>
      </c>
      <c r="J4316" s="134" t="s">
        <v>5063</v>
      </c>
      <c r="K4316" s="135"/>
      <c r="L4316" s="135" t="str">
        <f t="shared" si="241"/>
        <v>Neochoerus pinckneyi</v>
      </c>
      <c r="M4316" s="133">
        <f t="shared" si="242"/>
        <v>4.8450980400142569</v>
      </c>
      <c r="N4316" s="137">
        <v>70000</v>
      </c>
      <c r="O4316" s="180"/>
      <c r="P4316" s="109" t="s">
        <v>1861</v>
      </c>
    </row>
    <row r="4317" spans="1:22">
      <c r="A4317" s="134" t="s">
        <v>3816</v>
      </c>
      <c r="B4317" s="135"/>
      <c r="C4317" s="136" t="s">
        <v>5092</v>
      </c>
      <c r="D4317" s="220"/>
      <c r="E4317" s="136"/>
      <c r="F4317" s="136"/>
      <c r="G4317" s="134" t="s">
        <v>3618</v>
      </c>
      <c r="H4317" s="134" t="s">
        <v>6506</v>
      </c>
      <c r="I4317" s="134" t="s">
        <v>2321</v>
      </c>
      <c r="J4317" s="134" t="s">
        <v>6137</v>
      </c>
      <c r="K4317" s="135"/>
      <c r="L4317" s="135" t="str">
        <f t="shared" si="241"/>
        <v>Castoroides ohioensis</v>
      </c>
      <c r="M4317" s="133">
        <f t="shared" si="242"/>
        <v>5.1760912590556813</v>
      </c>
      <c r="N4317" s="137">
        <v>150000</v>
      </c>
      <c r="O4317" s="180"/>
      <c r="P4317" s="109" t="s">
        <v>977</v>
      </c>
    </row>
    <row r="4318" spans="1:22">
      <c r="A4318" s="118" t="s">
        <v>3816</v>
      </c>
      <c r="B4318" s="130"/>
      <c r="C4318" s="118" t="s">
        <v>3817</v>
      </c>
      <c r="D4318" s="141"/>
      <c r="E4318" s="118"/>
      <c r="F4318" s="118"/>
      <c r="G4318" s="118" t="s">
        <v>3618</v>
      </c>
      <c r="H4318" s="118" t="s">
        <v>4631</v>
      </c>
      <c r="I4318" s="118" t="s">
        <v>4632</v>
      </c>
      <c r="J4318" s="118" t="s">
        <v>3623</v>
      </c>
      <c r="K4318" s="141"/>
      <c r="L4318" s="135" t="str">
        <f t="shared" si="241"/>
        <v>Agouti paca</v>
      </c>
      <c r="M4318" s="133">
        <f t="shared" si="242"/>
        <v>3.9030900000000006</v>
      </c>
      <c r="N4318" s="133">
        <v>8000.0002396172686</v>
      </c>
      <c r="O4318" s="179" t="s">
        <v>3356</v>
      </c>
      <c r="P4318" s="108">
        <v>60</v>
      </c>
    </row>
    <row r="4319" spans="1:22" ht="15" customHeight="1">
      <c r="A4319" s="118" t="s">
        <v>3816</v>
      </c>
      <c r="B4319" s="130"/>
      <c r="C4319" s="118" t="s">
        <v>3817</v>
      </c>
      <c r="D4319" s="141"/>
      <c r="E4319" s="118"/>
      <c r="F4319" s="118"/>
      <c r="G4319" s="118" t="s">
        <v>3618</v>
      </c>
      <c r="H4319" s="118" t="s">
        <v>3644</v>
      </c>
      <c r="I4319" s="118" t="s">
        <v>3645</v>
      </c>
      <c r="J4319" s="118" t="s">
        <v>3408</v>
      </c>
      <c r="K4319" s="141"/>
      <c r="L4319" s="135" t="str">
        <f t="shared" si="241"/>
        <v>Aplodontia rufa</v>
      </c>
      <c r="M4319" s="133">
        <f t="shared" si="242"/>
        <v>3.0017300000000002</v>
      </c>
      <c r="N4319" s="133">
        <v>1003.9914167817969</v>
      </c>
      <c r="O4319" s="179" t="s">
        <v>6643</v>
      </c>
      <c r="P4319" s="108">
        <v>60</v>
      </c>
      <c r="Q4319" s="90" t="s">
        <v>6642</v>
      </c>
    </row>
    <row r="4320" spans="1:22">
      <c r="A4320" s="118" t="s">
        <v>3816</v>
      </c>
      <c r="B4320" s="130"/>
      <c r="C4320" s="118" t="s">
        <v>3817</v>
      </c>
      <c r="D4320" s="141"/>
      <c r="E4320" s="118"/>
      <c r="F4320" s="118"/>
      <c r="G4320" s="118" t="s">
        <v>3618</v>
      </c>
      <c r="H4320" s="118" t="s">
        <v>6506</v>
      </c>
      <c r="I4320" s="118" t="s">
        <v>6507</v>
      </c>
      <c r="J4320" s="118" t="s">
        <v>4121</v>
      </c>
      <c r="K4320" s="141"/>
      <c r="L4320" s="135" t="str">
        <f t="shared" si="241"/>
        <v>Castor canadensis</v>
      </c>
      <c r="M4320" s="133">
        <f t="shared" si="242"/>
        <v>4.3388547462523235</v>
      </c>
      <c r="N4320" s="133">
        <v>21820</v>
      </c>
      <c r="O4320" s="179" t="s">
        <v>3356</v>
      </c>
      <c r="P4320" s="108">
        <v>75</v>
      </c>
    </row>
    <row r="4321" spans="1:20">
      <c r="A4321" s="118" t="s">
        <v>3816</v>
      </c>
      <c r="B4321" s="130"/>
      <c r="C4321" s="118" t="s">
        <v>3817</v>
      </c>
      <c r="D4321" s="141"/>
      <c r="E4321" s="118"/>
      <c r="F4321" s="118"/>
      <c r="G4321" s="118" t="s">
        <v>3618</v>
      </c>
      <c r="H4321" s="118" t="s">
        <v>3246</v>
      </c>
      <c r="I4321" s="118" t="s">
        <v>2936</v>
      </c>
      <c r="J4321" s="118" t="s">
        <v>6549</v>
      </c>
      <c r="K4321" s="141"/>
      <c r="L4321" s="135" t="str">
        <f t="shared" si="241"/>
        <v>Dasyprocta punctata</v>
      </c>
      <c r="M4321" s="133">
        <f t="shared" si="242"/>
        <v>3.4273200000000004</v>
      </c>
      <c r="N4321" s="133">
        <v>2674.9766783555733</v>
      </c>
      <c r="O4321" s="179" t="s">
        <v>3356</v>
      </c>
      <c r="P4321" s="108">
        <v>60</v>
      </c>
    </row>
    <row r="4322" spans="1:20">
      <c r="A4322" s="121" t="s">
        <v>3816</v>
      </c>
      <c r="B4322" s="130"/>
      <c r="C4322" s="118" t="s">
        <v>3817</v>
      </c>
      <c r="D4322" s="141"/>
      <c r="E4322" s="118"/>
      <c r="F4322" s="118"/>
      <c r="G4322" s="118" t="s">
        <v>3618</v>
      </c>
      <c r="H4322" s="118" t="s">
        <v>3246</v>
      </c>
      <c r="I4322" s="118" t="s">
        <v>2936</v>
      </c>
      <c r="J4322" s="118" t="s">
        <v>4375</v>
      </c>
      <c r="K4322" s="141"/>
      <c r="L4322" s="135" t="str">
        <f t="shared" si="241"/>
        <v>Dasyprocta mexicana</v>
      </c>
      <c r="M4322" s="133">
        <f t="shared" si="242"/>
        <v>3.6989700000000001</v>
      </c>
      <c r="N4322" s="133">
        <v>4999.9999500797403</v>
      </c>
      <c r="O4322" s="179" t="s">
        <v>7081</v>
      </c>
      <c r="P4322" s="117">
        <v>66</v>
      </c>
      <c r="Q4322" s="90" t="s">
        <v>6642</v>
      </c>
    </row>
    <row r="4323" spans="1:20">
      <c r="A4323" s="118" t="s">
        <v>3816</v>
      </c>
      <c r="B4323" s="130"/>
      <c r="C4323" s="118" t="s">
        <v>3817</v>
      </c>
      <c r="D4323" s="141"/>
      <c r="E4323" s="118"/>
      <c r="F4323" s="118"/>
      <c r="G4323" s="118" t="s">
        <v>3618</v>
      </c>
      <c r="H4323" s="118" t="s">
        <v>6223</v>
      </c>
      <c r="I4323" s="118" t="s">
        <v>6459</v>
      </c>
      <c r="J4323" s="118" t="s">
        <v>6460</v>
      </c>
      <c r="K4323" s="141"/>
      <c r="L4323" s="135" t="str">
        <f t="shared" si="241"/>
        <v>Napaeozapus insignis</v>
      </c>
      <c r="M4323" s="133">
        <f t="shared" si="242"/>
        <v>1.3483000000000003</v>
      </c>
      <c r="N4323" s="133">
        <v>22.299750295314972</v>
      </c>
      <c r="O4323" s="179" t="s">
        <v>3356</v>
      </c>
      <c r="P4323" s="108">
        <v>60</v>
      </c>
    </row>
    <row r="4324" spans="1:20">
      <c r="A4324" s="121" t="s">
        <v>3816</v>
      </c>
      <c r="B4324" s="130"/>
      <c r="C4324" s="118" t="s">
        <v>3817</v>
      </c>
      <c r="D4324" s="141"/>
      <c r="E4324" s="118"/>
      <c r="F4324" s="118"/>
      <c r="G4324" s="118" t="s">
        <v>3618</v>
      </c>
      <c r="H4324" s="118" t="s">
        <v>6223</v>
      </c>
      <c r="I4324" s="118" t="s">
        <v>6461</v>
      </c>
      <c r="J4324" s="118" t="s">
        <v>6462</v>
      </c>
      <c r="K4324" s="141"/>
      <c r="L4324" s="135" t="str">
        <f t="shared" si="241"/>
        <v>Zapus hudsonius</v>
      </c>
      <c r="M4324" s="133">
        <f t="shared" si="242"/>
        <v>1.23363</v>
      </c>
      <c r="N4324" s="133">
        <v>17.124977123103772</v>
      </c>
      <c r="O4324" s="179" t="s">
        <v>3356</v>
      </c>
      <c r="P4324" s="108">
        <v>60</v>
      </c>
    </row>
    <row r="4325" spans="1:20">
      <c r="A4325" s="118" t="s">
        <v>3816</v>
      </c>
      <c r="B4325" s="130"/>
      <c r="C4325" s="118" t="s">
        <v>3817</v>
      </c>
      <c r="D4325" s="141"/>
      <c r="E4325" s="118"/>
      <c r="F4325" s="118"/>
      <c r="G4325" s="118" t="s">
        <v>3618</v>
      </c>
      <c r="H4325" s="118" t="s">
        <v>6223</v>
      </c>
      <c r="I4325" s="118" t="s">
        <v>6461</v>
      </c>
      <c r="J4325" s="118" t="s">
        <v>6463</v>
      </c>
      <c r="K4325" s="141"/>
      <c r="L4325" s="135" t="str">
        <f t="shared" si="241"/>
        <v>Zapus trinotatus</v>
      </c>
      <c r="M4325" s="133">
        <f t="shared" si="242"/>
        <v>1.4393300000000002</v>
      </c>
      <c r="N4325" s="133">
        <v>27.499829424260373</v>
      </c>
      <c r="O4325" s="179" t="s">
        <v>7080</v>
      </c>
      <c r="P4325" s="108">
        <v>60</v>
      </c>
      <c r="Q4325" s="90" t="s">
        <v>6642</v>
      </c>
    </row>
    <row r="4326" spans="1:20" ht="60" customHeight="1">
      <c r="A4326" s="118" t="s">
        <v>3816</v>
      </c>
      <c r="B4326" s="130"/>
      <c r="C4326" s="118" t="s">
        <v>3817</v>
      </c>
      <c r="D4326" s="141"/>
      <c r="E4326" s="118"/>
      <c r="F4326" s="118"/>
      <c r="G4326" s="118" t="s">
        <v>3618</v>
      </c>
      <c r="H4326" s="118" t="s">
        <v>6223</v>
      </c>
      <c r="I4326" s="118" t="s">
        <v>6461</v>
      </c>
      <c r="J4326" s="118" t="s">
        <v>3790</v>
      </c>
      <c r="K4326" s="141"/>
      <c r="L4326" s="135" t="str">
        <f t="shared" si="241"/>
        <v>Zapus princeps</v>
      </c>
      <c r="M4326" s="133">
        <f t="shared" si="242"/>
        <v>1.4624000000000001</v>
      </c>
      <c r="N4326" s="133">
        <v>29.000133690540697</v>
      </c>
      <c r="O4326" s="179"/>
      <c r="P4326" s="108">
        <v>60</v>
      </c>
      <c r="R4326" s="89"/>
    </row>
    <row r="4327" spans="1:20">
      <c r="A4327" s="118" t="s">
        <v>3816</v>
      </c>
      <c r="B4327" s="130"/>
      <c r="C4327" s="118" t="s">
        <v>3817</v>
      </c>
      <c r="D4327" s="141"/>
      <c r="E4327" s="118"/>
      <c r="F4327" s="118"/>
      <c r="G4327" s="118" t="s">
        <v>3618</v>
      </c>
      <c r="H4327" s="118" t="s">
        <v>6464</v>
      </c>
      <c r="I4327" s="118" t="s">
        <v>6592</v>
      </c>
      <c r="J4327" s="118" t="s">
        <v>6421</v>
      </c>
      <c r="K4327" s="141"/>
      <c r="L4327" s="135" t="str">
        <f t="shared" si="241"/>
        <v>Hoplomys gymnurus</v>
      </c>
      <c r="M4327" s="133">
        <f t="shared" si="242"/>
        <v>2.3802100000000004</v>
      </c>
      <c r="N4327" s="133">
        <v>239.99931380578897</v>
      </c>
      <c r="O4327" s="179" t="s">
        <v>3356</v>
      </c>
      <c r="P4327" s="108">
        <v>60</v>
      </c>
    </row>
    <row r="4328" spans="1:20" ht="15" customHeight="1">
      <c r="A4328" s="118" t="s">
        <v>3816</v>
      </c>
      <c r="B4328" s="130"/>
      <c r="C4328" s="118" t="s">
        <v>3817</v>
      </c>
      <c r="D4328" s="141"/>
      <c r="E4328" s="118"/>
      <c r="F4328" s="118"/>
      <c r="G4328" s="118" t="s">
        <v>3618</v>
      </c>
      <c r="H4328" s="118" t="s">
        <v>5368</v>
      </c>
      <c r="I4328" s="118" t="s">
        <v>5369</v>
      </c>
      <c r="J4328" s="118" t="s">
        <v>6653</v>
      </c>
      <c r="K4328" s="141"/>
      <c r="L4328" s="135" t="str">
        <f t="shared" si="241"/>
        <v>Erethizon dorsatum</v>
      </c>
      <c r="M4328" s="133">
        <f t="shared" si="242"/>
        <v>3.8503600000000002</v>
      </c>
      <c r="N4328" s="133">
        <v>7085.3286562285093</v>
      </c>
      <c r="O4328" s="179" t="s">
        <v>3356</v>
      </c>
      <c r="P4328" s="108">
        <v>60</v>
      </c>
    </row>
    <row r="4329" spans="1:20">
      <c r="A4329" s="118" t="s">
        <v>3816</v>
      </c>
      <c r="B4329" s="130"/>
      <c r="C4329" s="118" t="s">
        <v>3817</v>
      </c>
      <c r="D4329" s="141"/>
      <c r="E4329" s="118"/>
      <c r="F4329" s="118"/>
      <c r="G4329" s="118" t="s">
        <v>3618</v>
      </c>
      <c r="H4329" s="118" t="s">
        <v>5368</v>
      </c>
      <c r="I4329" s="118" t="s">
        <v>5866</v>
      </c>
      <c r="J4329" s="118" t="s">
        <v>4014</v>
      </c>
      <c r="K4329" s="141"/>
      <c r="L4329" s="135" t="str">
        <f t="shared" si="241"/>
        <v>Sphiggurus mexicanus</v>
      </c>
      <c r="M4329" s="133">
        <f t="shared" si="242"/>
        <v>3.3010299956639813</v>
      </c>
      <c r="N4329" s="133">
        <v>2000</v>
      </c>
      <c r="O4329" s="179" t="s">
        <v>6736</v>
      </c>
      <c r="P4329" s="108">
        <v>68</v>
      </c>
    </row>
    <row r="4330" spans="1:20">
      <c r="A4330" s="118" t="s">
        <v>3816</v>
      </c>
      <c r="B4330" s="130"/>
      <c r="C4330" s="121" t="s">
        <v>3817</v>
      </c>
      <c r="D4330" s="156"/>
      <c r="E4330" s="121"/>
      <c r="F4330" s="121"/>
      <c r="G4330" s="121" t="s">
        <v>3618</v>
      </c>
      <c r="H4330" s="118" t="s">
        <v>5524</v>
      </c>
      <c r="I4330" s="121" t="s">
        <v>5525</v>
      </c>
      <c r="J4330" s="121" t="s">
        <v>8228</v>
      </c>
      <c r="K4330" s="156"/>
      <c r="L4330" s="135" t="str">
        <f t="shared" si="241"/>
        <v>Geomys pinetis</v>
      </c>
      <c r="M4330" s="133">
        <f t="shared" si="242"/>
        <v>1.9294189257142926</v>
      </c>
      <c r="N4330" s="143">
        <v>85</v>
      </c>
      <c r="O4330" s="179" t="s">
        <v>3356</v>
      </c>
      <c r="P4330" s="117">
        <v>75</v>
      </c>
    </row>
    <row r="4331" spans="1:20" ht="15" customHeight="1">
      <c r="A4331" s="118" t="s">
        <v>3816</v>
      </c>
      <c r="B4331" s="130"/>
      <c r="C4331" s="118" t="s">
        <v>3817</v>
      </c>
      <c r="D4331" s="141"/>
      <c r="E4331" s="118"/>
      <c r="F4331" s="118"/>
      <c r="G4331" s="118" t="s">
        <v>3618</v>
      </c>
      <c r="H4331" s="118" t="s">
        <v>5524</v>
      </c>
      <c r="I4331" s="118" t="s">
        <v>5525</v>
      </c>
      <c r="J4331" s="118" t="s">
        <v>8227</v>
      </c>
      <c r="K4331" s="141"/>
      <c r="L4331" s="135" t="str">
        <f t="shared" si="241"/>
        <v>Geomys bursarius</v>
      </c>
      <c r="M4331" s="133">
        <f t="shared" ref="M4331:M4334" si="243">LOG(N4331)</f>
        <v>2.3091000000000004</v>
      </c>
      <c r="N4331" s="133">
        <v>203.75111779830044</v>
      </c>
      <c r="O4331" s="179" t="s">
        <v>3356</v>
      </c>
      <c r="P4331" s="108">
        <v>60</v>
      </c>
    </row>
    <row r="4332" spans="1:20">
      <c r="A4332" s="118" t="s">
        <v>3816</v>
      </c>
      <c r="B4332" s="130"/>
      <c r="C4332" s="118" t="s">
        <v>3817</v>
      </c>
      <c r="D4332" s="141"/>
      <c r="E4332" s="118"/>
      <c r="F4332" s="118"/>
      <c r="G4332" s="118" t="s">
        <v>3618</v>
      </c>
      <c r="H4332" s="118" t="s">
        <v>5524</v>
      </c>
      <c r="I4332" s="118" t="s">
        <v>5525</v>
      </c>
      <c r="J4332" s="118" t="s">
        <v>5526</v>
      </c>
      <c r="K4332" s="141"/>
      <c r="L4332" s="135" t="str">
        <f t="shared" si="241"/>
        <v>Geomys arenarius</v>
      </c>
      <c r="M4332" s="133">
        <f t="shared" si="243"/>
        <v>2.3138700000000005</v>
      </c>
      <c r="N4332" s="133">
        <v>206.00131847354913</v>
      </c>
      <c r="O4332" s="179" t="s">
        <v>7080</v>
      </c>
      <c r="P4332" s="108">
        <v>60</v>
      </c>
      <c r="Q4332" s="90" t="s">
        <v>6642</v>
      </c>
    </row>
    <row r="4333" spans="1:20" ht="25.5">
      <c r="A4333" s="118" t="s">
        <v>3816</v>
      </c>
      <c r="B4333" s="130"/>
      <c r="C4333" s="118" t="s">
        <v>3817</v>
      </c>
      <c r="D4333" s="141"/>
      <c r="E4333" s="118"/>
      <c r="F4333" s="118"/>
      <c r="G4333" s="118" t="s">
        <v>3618</v>
      </c>
      <c r="H4333" s="118" t="s">
        <v>5524</v>
      </c>
      <c r="I4333" s="118" t="s">
        <v>5525</v>
      </c>
      <c r="J4333" s="118" t="s">
        <v>4081</v>
      </c>
      <c r="K4333" s="141"/>
      <c r="L4333" s="135" t="str">
        <f t="shared" si="241"/>
        <v>Geomys tropicalis</v>
      </c>
      <c r="M4333" s="133">
        <f t="shared" si="243"/>
        <v>2.5440700000000005</v>
      </c>
      <c r="N4333" s="133">
        <v>350.00157607101471</v>
      </c>
      <c r="O4333" s="179" t="s">
        <v>8149</v>
      </c>
      <c r="P4333" s="117">
        <v>66</v>
      </c>
      <c r="Q4333" s="90" t="s">
        <v>6988</v>
      </c>
      <c r="T4333" s="92"/>
    </row>
    <row r="4334" spans="1:20">
      <c r="A4334" s="118" t="s">
        <v>3816</v>
      </c>
      <c r="B4334" s="130"/>
      <c r="C4334" s="118" t="s">
        <v>3817</v>
      </c>
      <c r="D4334" s="141"/>
      <c r="E4334" s="118"/>
      <c r="F4334" s="118"/>
      <c r="G4334" s="118" t="s">
        <v>3618</v>
      </c>
      <c r="H4334" s="118" t="s">
        <v>5524</v>
      </c>
      <c r="I4334" s="118" t="s">
        <v>5525</v>
      </c>
      <c r="J4334" s="118" t="s">
        <v>3251</v>
      </c>
      <c r="K4334" s="141"/>
      <c r="L4334" s="135" t="str">
        <f t="shared" si="241"/>
        <v>Geomys personatus</v>
      </c>
      <c r="M4334" s="133">
        <f t="shared" si="243"/>
        <v>2.5987900000000006</v>
      </c>
      <c r="N4334" s="133">
        <v>396.99953675478844</v>
      </c>
      <c r="O4334" s="179" t="s">
        <v>7080</v>
      </c>
      <c r="P4334" s="117">
        <v>66</v>
      </c>
      <c r="Q4334" s="90" t="s">
        <v>6642</v>
      </c>
      <c r="T4334" s="92"/>
    </row>
    <row r="4335" spans="1:20">
      <c r="A4335" s="121" t="s">
        <v>3816</v>
      </c>
      <c r="B4335" s="141" t="s">
        <v>6085</v>
      </c>
      <c r="C4335" s="121" t="s">
        <v>3817</v>
      </c>
      <c r="D4335" s="156"/>
      <c r="E4335" s="121"/>
      <c r="F4335" s="121"/>
      <c r="G4335" s="121" t="s">
        <v>3618</v>
      </c>
      <c r="H4335" s="121" t="s">
        <v>5524</v>
      </c>
      <c r="I4335" s="121" t="s">
        <v>8229</v>
      </c>
      <c r="J4335" s="121" t="s">
        <v>6449</v>
      </c>
      <c r="K4335" s="156"/>
      <c r="L4335" s="135" t="str">
        <f t="shared" si="241"/>
        <v>Orthogeomys matagalpae</v>
      </c>
      <c r="M4335" s="133">
        <v>-999</v>
      </c>
      <c r="N4335" s="143">
        <v>-999</v>
      </c>
      <c r="O4335" s="179" t="s">
        <v>3356</v>
      </c>
      <c r="P4335" s="108">
        <v>-999</v>
      </c>
      <c r="Q4335" s="80"/>
    </row>
    <row r="4336" spans="1:20">
      <c r="A4336" s="118" t="s">
        <v>3816</v>
      </c>
      <c r="B4336" s="141" t="s">
        <v>6086</v>
      </c>
      <c r="C4336" s="118" t="s">
        <v>3817</v>
      </c>
      <c r="D4336" s="141"/>
      <c r="E4336" s="118"/>
      <c r="F4336" s="118"/>
      <c r="G4336" s="118" t="s">
        <v>3618</v>
      </c>
      <c r="H4336" s="118" t="s">
        <v>5524</v>
      </c>
      <c r="I4336" s="118" t="s">
        <v>8229</v>
      </c>
      <c r="J4336" s="118" t="s">
        <v>6450</v>
      </c>
      <c r="K4336" s="141"/>
      <c r="L4336" s="135" t="str">
        <f t="shared" si="241"/>
        <v>Orthogeomys thaeleri</v>
      </c>
      <c r="M4336" s="133">
        <v>-999</v>
      </c>
      <c r="N4336" s="133">
        <v>-999</v>
      </c>
      <c r="O4336" s="179" t="s">
        <v>3356</v>
      </c>
      <c r="P4336" s="108">
        <v>-999</v>
      </c>
      <c r="Q4336" s="80"/>
    </row>
    <row r="4337" spans="1:30">
      <c r="A4337" s="118" t="s">
        <v>3816</v>
      </c>
      <c r="B4337" s="141" t="s">
        <v>2677</v>
      </c>
      <c r="C4337" s="118" t="s">
        <v>3817</v>
      </c>
      <c r="D4337" s="141"/>
      <c r="E4337" s="118"/>
      <c r="F4337" s="118"/>
      <c r="G4337" s="118" t="s">
        <v>3618</v>
      </c>
      <c r="H4337" s="118" t="s">
        <v>5524</v>
      </c>
      <c r="I4337" s="118" t="s">
        <v>8229</v>
      </c>
      <c r="J4337" s="118" t="s">
        <v>6447</v>
      </c>
      <c r="K4337" s="141"/>
      <c r="L4337" s="135" t="str">
        <f t="shared" si="241"/>
        <v>Orthogeomys cherriei</v>
      </c>
      <c r="M4337" s="133">
        <f t="shared" ref="M4337:M4363" si="244">LOG(N4337)</f>
        <v>2.3521825181113627</v>
      </c>
      <c r="N4337" s="133">
        <v>225</v>
      </c>
      <c r="O4337" s="179" t="s">
        <v>6641</v>
      </c>
      <c r="P4337" s="108" t="s">
        <v>7826</v>
      </c>
      <c r="Q4337" s="80" t="s">
        <v>6642</v>
      </c>
    </row>
    <row r="4338" spans="1:30" s="7" customFormat="1">
      <c r="A4338" s="118" t="s">
        <v>3816</v>
      </c>
      <c r="B4338" s="141" t="s">
        <v>2677</v>
      </c>
      <c r="C4338" s="118" t="s">
        <v>3817</v>
      </c>
      <c r="D4338" s="141"/>
      <c r="E4338" s="118"/>
      <c r="F4338" s="118"/>
      <c r="G4338" s="118" t="s">
        <v>3618</v>
      </c>
      <c r="H4338" s="118" t="s">
        <v>5524</v>
      </c>
      <c r="I4338" s="118" t="s">
        <v>8229</v>
      </c>
      <c r="J4338" s="118" t="s">
        <v>6738</v>
      </c>
      <c r="K4338" s="141"/>
      <c r="L4338" s="135" t="str">
        <f t="shared" si="241"/>
        <v>Orthogeomys underwoodi</v>
      </c>
      <c r="M4338" s="133">
        <f t="shared" si="244"/>
        <v>2.3979400086720375</v>
      </c>
      <c r="N4338" s="133">
        <v>250</v>
      </c>
      <c r="O4338" s="179" t="s">
        <v>3356</v>
      </c>
      <c r="P4338" s="108">
        <v>72</v>
      </c>
      <c r="Q4338" s="90"/>
      <c r="R4338" s="85"/>
      <c r="S4338" s="85"/>
      <c r="T4338" s="92"/>
      <c r="U4338" s="16"/>
      <c r="V4338" s="16"/>
      <c r="W4338" s="20"/>
      <c r="X4338" s="20"/>
      <c r="Y4338" s="20"/>
      <c r="Z4338" s="20"/>
      <c r="AA4338" s="20"/>
      <c r="AB4338" s="20"/>
      <c r="AC4338" s="20"/>
      <c r="AD4338" s="20"/>
    </row>
    <row r="4339" spans="1:30" s="7" customFormat="1">
      <c r="A4339" s="118" t="s">
        <v>3816</v>
      </c>
      <c r="B4339" s="130"/>
      <c r="C4339" s="118" t="s">
        <v>3817</v>
      </c>
      <c r="D4339" s="141"/>
      <c r="E4339" s="118"/>
      <c r="F4339" s="118"/>
      <c r="G4339" s="118" t="s">
        <v>3618</v>
      </c>
      <c r="H4339" s="118" t="s">
        <v>5524</v>
      </c>
      <c r="I4339" s="118" t="s">
        <v>8229</v>
      </c>
      <c r="J4339" s="118" t="s">
        <v>4210</v>
      </c>
      <c r="K4339" s="141"/>
      <c r="L4339" s="135" t="str">
        <f t="shared" si="241"/>
        <v>Orthogeomys cuniculus</v>
      </c>
      <c r="M4339" s="133">
        <f t="shared" si="244"/>
        <v>2.6989700000000005</v>
      </c>
      <c r="N4339" s="133">
        <v>499.99999500797441</v>
      </c>
      <c r="O4339" s="179" t="s">
        <v>7080</v>
      </c>
      <c r="P4339" s="117">
        <v>66</v>
      </c>
      <c r="Q4339" s="90" t="s">
        <v>7071</v>
      </c>
      <c r="R4339" s="85"/>
      <c r="S4339" s="85"/>
      <c r="T4339" s="92"/>
      <c r="U4339" s="16"/>
      <c r="V4339" s="16"/>
      <c r="W4339" s="20"/>
      <c r="X4339" s="20"/>
      <c r="Y4339" s="20"/>
      <c r="Z4339" s="20"/>
      <c r="AA4339" s="20"/>
      <c r="AB4339" s="20"/>
      <c r="AC4339" s="20"/>
      <c r="AD4339" s="20"/>
    </row>
    <row r="4340" spans="1:30" s="7" customFormat="1">
      <c r="A4340" s="118" t="s">
        <v>3816</v>
      </c>
      <c r="B4340" s="130"/>
      <c r="C4340" s="118" t="s">
        <v>3817</v>
      </c>
      <c r="D4340" s="141"/>
      <c r="E4340" s="118"/>
      <c r="F4340" s="118"/>
      <c r="G4340" s="118" t="s">
        <v>3618</v>
      </c>
      <c r="H4340" s="118" t="s">
        <v>5524</v>
      </c>
      <c r="I4340" s="118" t="s">
        <v>8229</v>
      </c>
      <c r="J4340" s="118" t="s">
        <v>6591</v>
      </c>
      <c r="K4340" s="141"/>
      <c r="L4340" s="135" t="str">
        <f t="shared" si="241"/>
        <v>Orthogeomys grandis</v>
      </c>
      <c r="M4340" s="133">
        <f t="shared" si="244"/>
        <v>2.6989700000000005</v>
      </c>
      <c r="N4340" s="133">
        <v>499.99999500797441</v>
      </c>
      <c r="O4340" s="179" t="s">
        <v>3356</v>
      </c>
      <c r="P4340" s="117">
        <v>66</v>
      </c>
      <c r="Q4340" s="90"/>
      <c r="R4340" s="85"/>
      <c r="S4340" s="85"/>
      <c r="T4340" s="92"/>
      <c r="U4340" s="16"/>
      <c r="V4340" s="16"/>
      <c r="W4340" s="20"/>
      <c r="X4340" s="20"/>
      <c r="Y4340" s="20"/>
      <c r="Z4340" s="20"/>
      <c r="AA4340" s="20"/>
      <c r="AB4340" s="20"/>
      <c r="AC4340" s="20"/>
      <c r="AD4340" s="20"/>
    </row>
    <row r="4341" spans="1:30" s="7" customFormat="1">
      <c r="A4341" s="121" t="s">
        <v>3816</v>
      </c>
      <c r="B4341" s="130"/>
      <c r="C4341" s="118" t="s">
        <v>3817</v>
      </c>
      <c r="D4341" s="141"/>
      <c r="E4341" s="118"/>
      <c r="F4341" s="118"/>
      <c r="G4341" s="118" t="s">
        <v>3618</v>
      </c>
      <c r="H4341" s="118" t="s">
        <v>5524</v>
      </c>
      <c r="I4341" s="118" t="s">
        <v>8229</v>
      </c>
      <c r="J4341" s="118" t="s">
        <v>4174</v>
      </c>
      <c r="K4341" s="141"/>
      <c r="L4341" s="135" t="str">
        <f t="shared" si="241"/>
        <v>Orthogeomys hispidus</v>
      </c>
      <c r="M4341" s="133">
        <f t="shared" si="244"/>
        <v>2.6989700000000005</v>
      </c>
      <c r="N4341" s="133">
        <v>499.99999500797441</v>
      </c>
      <c r="O4341" s="179" t="s">
        <v>3356</v>
      </c>
      <c r="P4341" s="117">
        <v>66</v>
      </c>
      <c r="Q4341" s="90"/>
      <c r="R4341" s="85"/>
      <c r="S4341" s="85"/>
      <c r="T4341" s="92"/>
      <c r="U4341" s="16"/>
      <c r="V4341" s="16"/>
      <c r="W4341" s="20"/>
      <c r="X4341" s="20"/>
      <c r="Y4341" s="20"/>
      <c r="Z4341" s="20"/>
      <c r="AA4341" s="20"/>
      <c r="AB4341" s="20"/>
      <c r="AC4341" s="20"/>
      <c r="AD4341" s="20"/>
    </row>
    <row r="4342" spans="1:30" s="7" customFormat="1">
      <c r="A4342" s="118" t="s">
        <v>3816</v>
      </c>
      <c r="B4342" s="130"/>
      <c r="C4342" s="118" t="s">
        <v>3817</v>
      </c>
      <c r="D4342" s="141"/>
      <c r="E4342" s="118"/>
      <c r="F4342" s="118"/>
      <c r="G4342" s="118" t="s">
        <v>3618</v>
      </c>
      <c r="H4342" s="118" t="s">
        <v>5524</v>
      </c>
      <c r="I4342" s="118" t="s">
        <v>8229</v>
      </c>
      <c r="J4342" s="118" t="s">
        <v>8230</v>
      </c>
      <c r="K4342" s="141"/>
      <c r="L4342" s="135" t="str">
        <f t="shared" si="241"/>
        <v>Orthogeomys lanius</v>
      </c>
      <c r="M4342" s="133">
        <f t="shared" si="244"/>
        <v>2.6989700000000005</v>
      </c>
      <c r="N4342" s="133">
        <v>499.99999500797441</v>
      </c>
      <c r="O4342" s="179" t="s">
        <v>3356</v>
      </c>
      <c r="P4342" s="117">
        <v>66</v>
      </c>
      <c r="Q4342" s="90"/>
      <c r="R4342" s="85"/>
      <c r="S4342" s="85"/>
      <c r="T4342" s="92"/>
      <c r="U4342" s="16"/>
      <c r="V4342" s="16"/>
      <c r="W4342" s="20"/>
      <c r="X4342" s="20"/>
      <c r="Y4342" s="20"/>
      <c r="Z4342" s="20"/>
      <c r="AA4342" s="20"/>
      <c r="AB4342" s="20"/>
      <c r="AC4342" s="20"/>
      <c r="AD4342" s="20"/>
    </row>
    <row r="4343" spans="1:30" s="7" customFormat="1">
      <c r="A4343" s="118" t="s">
        <v>3816</v>
      </c>
      <c r="B4343" s="141" t="s">
        <v>2677</v>
      </c>
      <c r="C4343" s="118" t="s">
        <v>3817</v>
      </c>
      <c r="D4343" s="141"/>
      <c r="E4343" s="118"/>
      <c r="F4343" s="118"/>
      <c r="G4343" s="118" t="s">
        <v>3618</v>
      </c>
      <c r="H4343" s="118" t="s">
        <v>5524</v>
      </c>
      <c r="I4343" s="118" t="s">
        <v>8229</v>
      </c>
      <c r="J4343" s="118" t="s">
        <v>6448</v>
      </c>
      <c r="K4343" s="141"/>
      <c r="L4343" s="135" t="str">
        <f t="shared" si="241"/>
        <v>Orthogeomys heterodus</v>
      </c>
      <c r="M4343" s="133">
        <f t="shared" si="244"/>
        <v>2.7888751157754168</v>
      </c>
      <c r="N4343" s="133">
        <v>615</v>
      </c>
      <c r="O4343" s="179" t="s">
        <v>6641</v>
      </c>
      <c r="P4343" s="108">
        <v>72</v>
      </c>
      <c r="Q4343" s="90" t="s">
        <v>6642</v>
      </c>
      <c r="R4343" s="85"/>
      <c r="S4343" s="85"/>
      <c r="T4343" s="92"/>
      <c r="U4343" s="16"/>
      <c r="V4343" s="16"/>
      <c r="W4343" s="20"/>
      <c r="X4343" s="20"/>
      <c r="Y4343" s="20"/>
      <c r="Z4343" s="20"/>
      <c r="AA4343" s="20"/>
      <c r="AB4343" s="20"/>
      <c r="AC4343" s="20"/>
      <c r="AD4343" s="20"/>
    </row>
    <row r="4344" spans="1:30" s="7" customFormat="1">
      <c r="A4344" s="118" t="s">
        <v>3816</v>
      </c>
      <c r="B4344" s="141" t="s">
        <v>2371</v>
      </c>
      <c r="C4344" s="118" t="s">
        <v>3817</v>
      </c>
      <c r="D4344" s="141"/>
      <c r="E4344" s="118"/>
      <c r="F4344" s="118"/>
      <c r="G4344" s="118" t="s">
        <v>3618</v>
      </c>
      <c r="H4344" s="118" t="s">
        <v>5524</v>
      </c>
      <c r="I4344" s="118" t="s">
        <v>8229</v>
      </c>
      <c r="J4344" s="118" t="s">
        <v>6446</v>
      </c>
      <c r="K4344" s="141"/>
      <c r="L4344" s="135" t="str">
        <f t="shared" si="241"/>
        <v>Orthogeomys cavator</v>
      </c>
      <c r="M4344" s="133">
        <f t="shared" si="244"/>
        <v>2.8129133566428557</v>
      </c>
      <c r="N4344" s="133">
        <v>650</v>
      </c>
      <c r="O4344" s="179" t="s">
        <v>3356</v>
      </c>
      <c r="P4344" s="108">
        <v>72</v>
      </c>
      <c r="Q4344" s="90"/>
      <c r="R4344" s="85"/>
      <c r="S4344" s="85"/>
      <c r="T4344" s="92"/>
      <c r="U4344" s="16"/>
      <c r="V4344" s="16"/>
      <c r="W4344" s="20"/>
      <c r="X4344" s="20"/>
      <c r="Y4344" s="20"/>
      <c r="Z4344" s="20"/>
      <c r="AA4344" s="20"/>
      <c r="AB4344" s="20"/>
      <c r="AC4344" s="20"/>
      <c r="AD4344" s="20"/>
    </row>
    <row r="4345" spans="1:30" s="7" customFormat="1" ht="15" customHeight="1">
      <c r="A4345" s="118" t="s">
        <v>3816</v>
      </c>
      <c r="B4345" s="130"/>
      <c r="C4345" s="121" t="s">
        <v>3817</v>
      </c>
      <c r="D4345" s="156"/>
      <c r="E4345" s="121"/>
      <c r="F4345" s="121"/>
      <c r="G4345" s="121" t="s">
        <v>3618</v>
      </c>
      <c r="H4345" s="118" t="s">
        <v>5524</v>
      </c>
      <c r="I4345" s="121" t="s">
        <v>8231</v>
      </c>
      <c r="J4345" s="121" t="s">
        <v>8237</v>
      </c>
      <c r="K4345" s="156"/>
      <c r="L4345" s="135" t="str">
        <f t="shared" si="241"/>
        <v>Pappogeomys alcorni</v>
      </c>
      <c r="M4345" s="133">
        <f t="shared" si="244"/>
        <v>2.1760900000000003</v>
      </c>
      <c r="N4345" s="143">
        <v>149.99956513820399</v>
      </c>
      <c r="O4345" s="179" t="s">
        <v>6916</v>
      </c>
      <c r="P4345" s="117">
        <v>66</v>
      </c>
      <c r="Q4345" s="90" t="s">
        <v>6988</v>
      </c>
      <c r="R4345" s="85"/>
      <c r="S4345" s="85"/>
      <c r="T4345" s="85"/>
      <c r="U4345" s="16"/>
      <c r="V4345" s="16"/>
      <c r="W4345" s="20"/>
      <c r="X4345" s="20"/>
      <c r="Y4345" s="20"/>
      <c r="Z4345" s="20"/>
      <c r="AA4345" s="20"/>
      <c r="AB4345" s="20"/>
      <c r="AC4345" s="20"/>
      <c r="AD4345" s="20"/>
    </row>
    <row r="4346" spans="1:30" s="7" customFormat="1">
      <c r="A4346" s="118" t="s">
        <v>3816</v>
      </c>
      <c r="B4346" s="130"/>
      <c r="C4346" s="118" t="s">
        <v>3817</v>
      </c>
      <c r="D4346" s="141"/>
      <c r="E4346" s="118"/>
      <c r="F4346" s="118"/>
      <c r="G4346" s="118" t="s">
        <v>3618</v>
      </c>
      <c r="H4346" s="118" t="s">
        <v>5524</v>
      </c>
      <c r="I4346" s="118" t="s">
        <v>8231</v>
      </c>
      <c r="J4346" s="118" t="s">
        <v>3528</v>
      </c>
      <c r="K4346" s="141"/>
      <c r="L4346" s="135" t="str">
        <f t="shared" si="241"/>
        <v>Pappogeomys bulleri</v>
      </c>
      <c r="M4346" s="133">
        <f t="shared" si="244"/>
        <v>2.1760900000000003</v>
      </c>
      <c r="N4346" s="133">
        <v>149.99956513820399</v>
      </c>
      <c r="O4346" s="179" t="s">
        <v>3356</v>
      </c>
      <c r="P4346" s="117">
        <v>66</v>
      </c>
      <c r="Q4346" s="90"/>
      <c r="R4346" s="85"/>
      <c r="S4346" s="85"/>
      <c r="T4346" s="85"/>
      <c r="U4346" s="16"/>
      <c r="V4346" s="16"/>
      <c r="W4346" s="20"/>
      <c r="X4346" s="20"/>
      <c r="Y4346" s="20"/>
      <c r="Z4346" s="20"/>
      <c r="AA4346" s="20"/>
      <c r="AB4346" s="20"/>
      <c r="AC4346" s="20"/>
      <c r="AD4346" s="20"/>
    </row>
    <row r="4347" spans="1:30" s="7" customFormat="1">
      <c r="A4347" s="118" t="s">
        <v>3816</v>
      </c>
      <c r="B4347" s="130"/>
      <c r="C4347" s="118" t="s">
        <v>3817</v>
      </c>
      <c r="D4347" s="141"/>
      <c r="E4347" s="118"/>
      <c r="F4347" s="118"/>
      <c r="G4347" s="118" t="s">
        <v>3618</v>
      </c>
      <c r="H4347" s="118" t="s">
        <v>5524</v>
      </c>
      <c r="I4347" s="118" t="s">
        <v>8231</v>
      </c>
      <c r="J4347" s="118" t="s">
        <v>3343</v>
      </c>
      <c r="K4347" s="141"/>
      <c r="L4347" s="135" t="str">
        <f t="shared" si="241"/>
        <v>Pappogeomys fumosus</v>
      </c>
      <c r="M4347" s="133">
        <f t="shared" si="244"/>
        <v>2.1760900000000003</v>
      </c>
      <c r="N4347" s="133">
        <v>149.99956513820399</v>
      </c>
      <c r="O4347" s="179" t="s">
        <v>6882</v>
      </c>
      <c r="P4347" s="117">
        <v>66</v>
      </c>
      <c r="Q4347" s="90" t="s">
        <v>6642</v>
      </c>
      <c r="R4347" s="85"/>
      <c r="S4347" s="85"/>
      <c r="T4347" s="85"/>
      <c r="U4347" s="16"/>
      <c r="V4347" s="16"/>
      <c r="W4347" s="20"/>
      <c r="X4347" s="20"/>
      <c r="Y4347" s="20"/>
      <c r="Z4347" s="20"/>
      <c r="AA4347" s="20"/>
      <c r="AB4347" s="20"/>
      <c r="AC4347" s="20"/>
      <c r="AD4347" s="20"/>
    </row>
    <row r="4348" spans="1:30" s="7" customFormat="1">
      <c r="A4348" s="118" t="s">
        <v>3816</v>
      </c>
      <c r="B4348" s="130"/>
      <c r="C4348" s="121" t="s">
        <v>3817</v>
      </c>
      <c r="D4348" s="156"/>
      <c r="E4348" s="121"/>
      <c r="F4348" s="121"/>
      <c r="G4348" s="121" t="s">
        <v>3618</v>
      </c>
      <c r="H4348" s="118" t="s">
        <v>5524</v>
      </c>
      <c r="I4348" s="121" t="s">
        <v>8231</v>
      </c>
      <c r="J4348" s="121" t="s">
        <v>6144</v>
      </c>
      <c r="K4348" s="156"/>
      <c r="L4348" s="135" t="str">
        <f t="shared" si="241"/>
        <v>Pappogeomys neglectus</v>
      </c>
      <c r="M4348" s="133">
        <f t="shared" si="244"/>
        <v>2.1760900000000003</v>
      </c>
      <c r="N4348" s="143">
        <v>149.99956513820399</v>
      </c>
      <c r="O4348" s="179" t="s">
        <v>6882</v>
      </c>
      <c r="P4348" s="117">
        <v>66</v>
      </c>
      <c r="Q4348" s="90" t="s">
        <v>7071</v>
      </c>
      <c r="R4348" s="85"/>
      <c r="S4348" s="85"/>
      <c r="T4348" s="85"/>
      <c r="U4348" s="16"/>
      <c r="V4348" s="16"/>
      <c r="W4348" s="20"/>
      <c r="X4348" s="20"/>
      <c r="Y4348" s="20"/>
      <c r="Z4348" s="20"/>
      <c r="AA4348" s="20"/>
      <c r="AB4348" s="20"/>
      <c r="AC4348" s="20"/>
      <c r="AD4348" s="20"/>
    </row>
    <row r="4349" spans="1:30" s="7" customFormat="1">
      <c r="A4349" s="118" t="s">
        <v>3816</v>
      </c>
      <c r="B4349" s="130"/>
      <c r="C4349" s="118" t="s">
        <v>3817</v>
      </c>
      <c r="D4349" s="141"/>
      <c r="E4349" s="118"/>
      <c r="F4349" s="118"/>
      <c r="G4349" s="118" t="s">
        <v>3618</v>
      </c>
      <c r="H4349" s="118" t="s">
        <v>5524</v>
      </c>
      <c r="I4349" s="118" t="s">
        <v>8231</v>
      </c>
      <c r="J4349" s="118" t="s">
        <v>3536</v>
      </c>
      <c r="K4349" s="141"/>
      <c r="L4349" s="135" t="str">
        <f t="shared" si="241"/>
        <v>Pappogeomys zinseri</v>
      </c>
      <c r="M4349" s="133">
        <f t="shared" si="244"/>
        <v>2.1760900000000003</v>
      </c>
      <c r="N4349" s="133">
        <v>149.99956513820399</v>
      </c>
      <c r="O4349" s="179" t="s">
        <v>6882</v>
      </c>
      <c r="P4349" s="117">
        <v>66</v>
      </c>
      <c r="Q4349" s="90" t="s">
        <v>6642</v>
      </c>
      <c r="R4349" s="85"/>
      <c r="S4349" s="85"/>
      <c r="T4349" s="85"/>
      <c r="U4349" s="16"/>
      <c r="V4349" s="16"/>
      <c r="W4349" s="20"/>
      <c r="X4349" s="20"/>
      <c r="Y4349" s="20"/>
      <c r="Z4349" s="20"/>
      <c r="AA4349" s="20"/>
      <c r="AB4349" s="20"/>
      <c r="AC4349" s="20"/>
      <c r="AD4349" s="20"/>
    </row>
    <row r="4350" spans="1:30" s="7" customFormat="1">
      <c r="A4350" s="118" t="s">
        <v>3816</v>
      </c>
      <c r="B4350" s="130"/>
      <c r="C4350" s="118" t="s">
        <v>3817</v>
      </c>
      <c r="D4350" s="141"/>
      <c r="E4350" s="118"/>
      <c r="F4350" s="118"/>
      <c r="G4350" s="118" t="s">
        <v>3618</v>
      </c>
      <c r="H4350" s="118" t="s">
        <v>5524</v>
      </c>
      <c r="I4350" s="118" t="s">
        <v>8231</v>
      </c>
      <c r="J4350" s="118" t="s">
        <v>3344</v>
      </c>
      <c r="K4350" s="141"/>
      <c r="L4350" s="135" t="str">
        <f t="shared" si="241"/>
        <v>Pappogeomys tylorhinus</v>
      </c>
      <c r="M4350" s="133">
        <f t="shared" si="244"/>
        <v>2.39622</v>
      </c>
      <c r="N4350" s="133">
        <v>249.011841493861</v>
      </c>
      <c r="O4350" s="179" t="s">
        <v>6882</v>
      </c>
      <c r="P4350" s="108">
        <v>60</v>
      </c>
      <c r="Q4350" s="90" t="s">
        <v>6642</v>
      </c>
      <c r="R4350" s="85"/>
      <c r="S4350" s="85"/>
      <c r="T4350" s="85"/>
      <c r="U4350" s="16"/>
      <c r="V4350" s="16"/>
      <c r="W4350" s="20"/>
      <c r="X4350" s="20"/>
      <c r="Y4350" s="20"/>
      <c r="Z4350" s="20"/>
      <c r="AA4350" s="20"/>
      <c r="AB4350" s="20"/>
      <c r="AC4350" s="20"/>
      <c r="AD4350" s="20"/>
    </row>
    <row r="4351" spans="1:30" s="7" customFormat="1">
      <c r="A4351" s="118" t="s">
        <v>3816</v>
      </c>
      <c r="B4351" s="130"/>
      <c r="C4351" s="118" t="s">
        <v>3817</v>
      </c>
      <c r="D4351" s="141"/>
      <c r="E4351" s="118"/>
      <c r="F4351" s="118"/>
      <c r="G4351" s="118" t="s">
        <v>3618</v>
      </c>
      <c r="H4351" s="118" t="s">
        <v>5524</v>
      </c>
      <c r="I4351" s="118" t="s">
        <v>8231</v>
      </c>
      <c r="J4351" s="118" t="s">
        <v>3342</v>
      </c>
      <c r="K4351" s="141"/>
      <c r="L4351" s="135" t="str">
        <f t="shared" si="241"/>
        <v>Pappogeomys castanops</v>
      </c>
      <c r="M4351" s="133">
        <f t="shared" si="244"/>
        <v>2.4009700000000005</v>
      </c>
      <c r="N4351" s="133">
        <v>251.75030188046443</v>
      </c>
      <c r="O4351" s="179" t="s">
        <v>3356</v>
      </c>
      <c r="P4351" s="108">
        <v>60</v>
      </c>
      <c r="Q4351" s="90"/>
      <c r="R4351" s="85"/>
      <c r="S4351" s="85"/>
      <c r="T4351" s="92"/>
      <c r="U4351" s="16"/>
      <c r="V4351" s="16"/>
      <c r="W4351" s="20"/>
      <c r="X4351" s="20"/>
      <c r="Y4351" s="20"/>
      <c r="Z4351" s="20"/>
      <c r="AA4351" s="20"/>
      <c r="AB4351" s="20"/>
      <c r="AC4351" s="20"/>
      <c r="AD4351" s="20"/>
    </row>
    <row r="4352" spans="1:30" s="7" customFormat="1">
      <c r="A4352" s="121" t="s">
        <v>3816</v>
      </c>
      <c r="B4352" s="130"/>
      <c r="C4352" s="118" t="s">
        <v>3817</v>
      </c>
      <c r="D4352" s="141"/>
      <c r="E4352" s="118"/>
      <c r="F4352" s="118"/>
      <c r="G4352" s="118" t="s">
        <v>3618</v>
      </c>
      <c r="H4352" s="118" t="s">
        <v>5524</v>
      </c>
      <c r="I4352" s="118" t="s">
        <v>8231</v>
      </c>
      <c r="J4352" s="118" t="s">
        <v>2222</v>
      </c>
      <c r="K4352" s="141"/>
      <c r="L4352" s="135" t="str">
        <f t="shared" si="241"/>
        <v>Pappogeomys merriami</v>
      </c>
      <c r="M4352" s="133">
        <f t="shared" si="244"/>
        <v>2.6232500000000001</v>
      </c>
      <c r="N4352" s="133">
        <v>420.00068624663163</v>
      </c>
      <c r="O4352" s="179" t="s">
        <v>3356</v>
      </c>
      <c r="P4352" s="108">
        <v>60</v>
      </c>
      <c r="Q4352" s="90"/>
      <c r="R4352" s="85"/>
      <c r="S4352" s="85"/>
      <c r="T4352" s="92"/>
      <c r="U4352" s="16"/>
      <c r="V4352" s="16"/>
      <c r="W4352" s="20"/>
      <c r="X4352" s="20"/>
      <c r="Y4352" s="20"/>
      <c r="Z4352" s="20"/>
      <c r="AA4352" s="20"/>
      <c r="AB4352" s="20"/>
      <c r="AC4352" s="20"/>
      <c r="AD4352" s="20"/>
    </row>
    <row r="4353" spans="1:30" s="7" customFormat="1">
      <c r="A4353" s="118" t="s">
        <v>3816</v>
      </c>
      <c r="B4353" s="130"/>
      <c r="C4353" s="118" t="s">
        <v>3817</v>
      </c>
      <c r="D4353" s="141"/>
      <c r="E4353" s="118"/>
      <c r="F4353" s="118"/>
      <c r="G4353" s="118" t="s">
        <v>3618</v>
      </c>
      <c r="H4353" s="118" t="s">
        <v>5524</v>
      </c>
      <c r="I4353" s="118" t="s">
        <v>8231</v>
      </c>
      <c r="J4353" s="118" t="s">
        <v>6421</v>
      </c>
      <c r="K4353" s="141"/>
      <c r="L4353" s="135" t="str">
        <f t="shared" si="241"/>
        <v>Pappogeomys gymnurus</v>
      </c>
      <c r="M4353" s="133">
        <f t="shared" si="244"/>
        <v>2.7781500000000001</v>
      </c>
      <c r="N4353" s="133">
        <v>599.99827253364413</v>
      </c>
      <c r="O4353" s="179" t="s">
        <v>3356</v>
      </c>
      <c r="P4353" s="117">
        <v>66</v>
      </c>
      <c r="Q4353" s="90"/>
      <c r="R4353" s="85"/>
      <c r="S4353" s="85"/>
      <c r="T4353" s="92"/>
      <c r="U4353" s="16"/>
      <c r="V4353" s="16"/>
      <c r="W4353" s="20"/>
      <c r="X4353" s="20"/>
      <c r="Y4353" s="20"/>
      <c r="Z4353" s="20"/>
      <c r="AA4353" s="20"/>
      <c r="AB4353" s="20"/>
      <c r="AC4353" s="20"/>
      <c r="AD4353" s="20"/>
    </row>
    <row r="4354" spans="1:30" s="7" customFormat="1">
      <c r="A4354" s="118" t="s">
        <v>3816</v>
      </c>
      <c r="B4354" s="141" t="s">
        <v>7077</v>
      </c>
      <c r="C4354" s="118" t="s">
        <v>3817</v>
      </c>
      <c r="D4354" s="141"/>
      <c r="E4354" s="118"/>
      <c r="F4354" s="118"/>
      <c r="G4354" s="118" t="s">
        <v>3618</v>
      </c>
      <c r="H4354" s="118" t="s">
        <v>5524</v>
      </c>
      <c r="I4354" s="118" t="s">
        <v>3537</v>
      </c>
      <c r="J4354" s="118" t="s">
        <v>6616</v>
      </c>
      <c r="K4354" s="141"/>
      <c r="L4354" s="135" t="str">
        <f t="shared" si="241"/>
        <v>Thomomys clusius</v>
      </c>
      <c r="M4354" s="133">
        <f t="shared" si="244"/>
        <v>1.7634279935629373</v>
      </c>
      <c r="N4354" s="133">
        <f>AVERAGE(44, 72)</f>
        <v>58</v>
      </c>
      <c r="O4354" s="179" t="s">
        <v>3356</v>
      </c>
      <c r="P4354" s="108" t="s">
        <v>257</v>
      </c>
      <c r="Q4354" s="80"/>
      <c r="R4354" s="85"/>
      <c r="S4354" s="85"/>
      <c r="T4354" s="85"/>
      <c r="U4354" s="16"/>
      <c r="V4354" s="16"/>
      <c r="W4354" s="20"/>
      <c r="X4354" s="20"/>
      <c r="Y4354" s="20"/>
      <c r="Z4354" s="20"/>
      <c r="AA4354" s="20"/>
      <c r="AB4354" s="20"/>
      <c r="AC4354" s="20"/>
      <c r="AD4354" s="20"/>
    </row>
    <row r="4355" spans="1:30" s="7" customFormat="1" ht="15" customHeight="1">
      <c r="A4355" s="118" t="s">
        <v>3816</v>
      </c>
      <c r="B4355" s="141" t="s">
        <v>7792</v>
      </c>
      <c r="C4355" s="118" t="s">
        <v>3817</v>
      </c>
      <c r="D4355" s="141"/>
      <c r="E4355" s="118"/>
      <c r="F4355" s="118"/>
      <c r="G4355" s="118" t="s">
        <v>3618</v>
      </c>
      <c r="H4355" s="118" t="s">
        <v>5524</v>
      </c>
      <c r="I4355" s="118" t="s">
        <v>3537</v>
      </c>
      <c r="J4355" s="118" t="s">
        <v>4209</v>
      </c>
      <c r="K4355" s="141"/>
      <c r="L4355" s="135" t="str">
        <f t="shared" si="241"/>
        <v>Thomomys idahoensis</v>
      </c>
      <c r="M4355" s="133">
        <f t="shared" si="244"/>
        <v>1.8260748027008264</v>
      </c>
      <c r="N4355" s="133">
        <f>AVERAGE(46,88)</f>
        <v>67</v>
      </c>
      <c r="O4355" s="179" t="s">
        <v>6770</v>
      </c>
      <c r="P4355" s="108" t="s">
        <v>257</v>
      </c>
      <c r="Q4355" s="80" t="s">
        <v>6642</v>
      </c>
      <c r="R4355" s="85"/>
      <c r="S4355" s="85"/>
      <c r="T4355" s="85"/>
      <c r="U4355" s="16"/>
      <c r="V4355" s="16"/>
      <c r="W4355" s="20"/>
      <c r="X4355" s="20"/>
      <c r="Y4355" s="20"/>
      <c r="Z4355" s="20"/>
      <c r="AA4355" s="20"/>
      <c r="AB4355" s="20"/>
      <c r="AC4355" s="20"/>
      <c r="AD4355" s="20"/>
    </row>
    <row r="4356" spans="1:30" s="7" customFormat="1" ht="25.5">
      <c r="A4356" s="118" t="s">
        <v>3816</v>
      </c>
      <c r="B4356" s="130"/>
      <c r="C4356" s="118" t="s">
        <v>3817</v>
      </c>
      <c r="D4356" s="141"/>
      <c r="E4356" s="118"/>
      <c r="F4356" s="118"/>
      <c r="G4356" s="118" t="s">
        <v>3618</v>
      </c>
      <c r="H4356" s="118" t="s">
        <v>5524</v>
      </c>
      <c r="I4356" s="118" t="s">
        <v>3537</v>
      </c>
      <c r="J4356" s="118" t="s">
        <v>4194</v>
      </c>
      <c r="K4356" s="141"/>
      <c r="L4356" s="135" t="str">
        <f t="shared" si="241"/>
        <v>Thomomys mazama</v>
      </c>
      <c r="M4356" s="133">
        <f t="shared" si="244"/>
        <v>1.8750599999999999</v>
      </c>
      <c r="N4356" s="133">
        <v>74.9997818203002</v>
      </c>
      <c r="O4356" s="179" t="s">
        <v>6769</v>
      </c>
      <c r="P4356" s="117">
        <v>66</v>
      </c>
      <c r="Q4356" s="90" t="s">
        <v>6642</v>
      </c>
      <c r="R4356" s="85"/>
      <c r="S4356" s="85"/>
      <c r="T4356" s="85"/>
      <c r="U4356" s="16"/>
      <c r="V4356" s="16"/>
      <c r="W4356" s="20"/>
      <c r="X4356" s="20"/>
      <c r="Y4356" s="20"/>
      <c r="Z4356" s="20"/>
      <c r="AA4356" s="20"/>
      <c r="AB4356" s="20"/>
      <c r="AC4356" s="20"/>
      <c r="AD4356" s="20"/>
    </row>
    <row r="4357" spans="1:30" s="7" customFormat="1">
      <c r="A4357" s="118" t="s">
        <v>3816</v>
      </c>
      <c r="B4357" s="130"/>
      <c r="C4357" s="118" t="s">
        <v>3817</v>
      </c>
      <c r="D4357" s="141"/>
      <c r="E4357" s="118"/>
      <c r="F4357" s="118"/>
      <c r="G4357" s="118" t="s">
        <v>3618</v>
      </c>
      <c r="H4357" s="118" t="s">
        <v>5524</v>
      </c>
      <c r="I4357" s="118" t="s">
        <v>3537</v>
      </c>
      <c r="J4357" s="118" t="s">
        <v>4047</v>
      </c>
      <c r="K4357" s="141"/>
      <c r="L4357" s="135" t="str">
        <f t="shared" ref="L4357:L4420" si="245">I4357&amp;" "&amp;J4357</f>
        <v>Thomomys monticola</v>
      </c>
      <c r="M4357" s="133">
        <f t="shared" si="244"/>
        <v>1.9030899999999999</v>
      </c>
      <c r="N4357" s="133">
        <v>80.000002396172576</v>
      </c>
      <c r="O4357" s="179" t="s">
        <v>3356</v>
      </c>
      <c r="P4357" s="117">
        <v>66</v>
      </c>
      <c r="Q4357" s="90"/>
      <c r="R4357" s="85"/>
      <c r="S4357" s="85"/>
      <c r="T4357" s="85"/>
      <c r="U4357" s="16"/>
      <c r="V4357" s="16"/>
      <c r="W4357" s="20"/>
      <c r="X4357" s="20"/>
      <c r="Y4357" s="20"/>
      <c r="Z4357" s="20"/>
      <c r="AA4357" s="20"/>
      <c r="AB4357" s="20"/>
      <c r="AC4357" s="20"/>
      <c r="AD4357" s="20"/>
    </row>
    <row r="4358" spans="1:30" s="7" customFormat="1">
      <c r="A4358" s="118" t="s">
        <v>3816</v>
      </c>
      <c r="B4358" s="130"/>
      <c r="C4358" s="118" t="s">
        <v>3817</v>
      </c>
      <c r="D4358" s="141"/>
      <c r="E4358" s="118"/>
      <c r="F4358" s="118"/>
      <c r="G4358" s="118" t="s">
        <v>3618</v>
      </c>
      <c r="H4358" s="118" t="s">
        <v>5524</v>
      </c>
      <c r="I4358" s="118" t="s">
        <v>3537</v>
      </c>
      <c r="J4358" s="118" t="s">
        <v>4193</v>
      </c>
      <c r="K4358" s="141"/>
      <c r="L4358" s="135" t="str">
        <f t="shared" si="245"/>
        <v>Thomomys bottae</v>
      </c>
      <c r="M4358" s="133">
        <f t="shared" si="244"/>
        <v>2.0597500000000002</v>
      </c>
      <c r="N4358" s="143">
        <v>114.74928813381027</v>
      </c>
      <c r="O4358" s="179" t="s">
        <v>3356</v>
      </c>
      <c r="P4358" s="108">
        <v>60</v>
      </c>
      <c r="Q4358" s="90"/>
      <c r="R4358" s="85"/>
      <c r="S4358" s="85"/>
      <c r="T4358" s="85"/>
      <c r="U4358" s="16"/>
      <c r="V4358" s="16"/>
      <c r="W4358" s="20"/>
      <c r="X4358" s="20"/>
      <c r="Y4358" s="20"/>
      <c r="Z4358" s="20"/>
      <c r="AA4358" s="20"/>
      <c r="AB4358" s="20"/>
      <c r="AC4358" s="20"/>
      <c r="AD4358" s="20"/>
    </row>
    <row r="4359" spans="1:30" s="7" customFormat="1">
      <c r="A4359" s="118" t="s">
        <v>3816</v>
      </c>
      <c r="B4359" s="130"/>
      <c r="C4359" s="118" t="s">
        <v>3817</v>
      </c>
      <c r="D4359" s="141"/>
      <c r="E4359" s="118"/>
      <c r="F4359" s="118"/>
      <c r="G4359" s="118" t="s">
        <v>3618</v>
      </c>
      <c r="H4359" s="118" t="s">
        <v>5524</v>
      </c>
      <c r="I4359" s="118" t="s">
        <v>3537</v>
      </c>
      <c r="J4359" s="118" t="s">
        <v>4195</v>
      </c>
      <c r="K4359" s="141"/>
      <c r="L4359" s="135" t="str">
        <f t="shared" si="245"/>
        <v>Thomomys talpoides</v>
      </c>
      <c r="M4359" s="133">
        <f t="shared" si="244"/>
        <v>2.1142200000000004</v>
      </c>
      <c r="N4359" s="133">
        <v>130.08283701204593</v>
      </c>
      <c r="O4359" s="179" t="s">
        <v>3356</v>
      </c>
      <c r="P4359" s="108">
        <v>60</v>
      </c>
      <c r="Q4359" s="90"/>
      <c r="R4359" s="85"/>
      <c r="S4359" s="85"/>
      <c r="T4359" s="85"/>
      <c r="U4359" s="16"/>
      <c r="V4359" s="16"/>
      <c r="W4359" s="20"/>
      <c r="X4359" s="20"/>
      <c r="Y4359" s="20"/>
      <c r="Z4359" s="20"/>
      <c r="AA4359" s="20"/>
      <c r="AB4359" s="20"/>
      <c r="AC4359" s="20"/>
      <c r="AD4359" s="20"/>
    </row>
    <row r="4360" spans="1:30" s="7" customFormat="1">
      <c r="A4360" s="118" t="s">
        <v>3816</v>
      </c>
      <c r="B4360" s="130"/>
      <c r="C4360" s="118" t="s">
        <v>3817</v>
      </c>
      <c r="D4360" s="141"/>
      <c r="E4360" s="118"/>
      <c r="F4360" s="118"/>
      <c r="G4360" s="118" t="s">
        <v>3618</v>
      </c>
      <c r="H4360" s="118" t="s">
        <v>5524</v>
      </c>
      <c r="I4360" s="118" t="s">
        <v>3537</v>
      </c>
      <c r="J4360" s="118" t="s">
        <v>4196</v>
      </c>
      <c r="K4360" s="141"/>
      <c r="L4360" s="135" t="str">
        <f t="shared" si="245"/>
        <v>Thomomys umbrinus</v>
      </c>
      <c r="M4360" s="133">
        <f t="shared" si="244"/>
        <v>2.22011</v>
      </c>
      <c r="N4360" s="133">
        <v>166.00073080838632</v>
      </c>
      <c r="O4360" s="179" t="s">
        <v>3356</v>
      </c>
      <c r="P4360" s="108">
        <v>60</v>
      </c>
      <c r="Q4360" s="90"/>
      <c r="R4360" s="85"/>
      <c r="S4360" s="85"/>
      <c r="T4360" s="85"/>
      <c r="U4360" s="16"/>
      <c r="V4360" s="16"/>
      <c r="W4360" s="20"/>
      <c r="X4360" s="20"/>
      <c r="Y4360" s="20"/>
      <c r="Z4360" s="20"/>
      <c r="AA4360" s="20"/>
      <c r="AB4360" s="20"/>
      <c r="AC4360" s="20"/>
      <c r="AD4360" s="20"/>
    </row>
    <row r="4361" spans="1:30" s="7" customFormat="1" ht="25.5">
      <c r="A4361" s="118" t="s">
        <v>3816</v>
      </c>
      <c r="B4361" s="141" t="s">
        <v>7793</v>
      </c>
      <c r="C4361" s="118" t="s">
        <v>3817</v>
      </c>
      <c r="D4361" s="141"/>
      <c r="E4361" s="118"/>
      <c r="F4361" s="118"/>
      <c r="G4361" s="118" t="s">
        <v>3618</v>
      </c>
      <c r="H4361" s="118" t="s">
        <v>5524</v>
      </c>
      <c r="I4361" s="118" t="s">
        <v>3537</v>
      </c>
      <c r="J4361" s="118" t="s">
        <v>5148</v>
      </c>
      <c r="K4361" s="141"/>
      <c r="L4361" s="135" t="str">
        <f t="shared" si="245"/>
        <v>Thomomys townsendii</v>
      </c>
      <c r="M4361" s="133">
        <f t="shared" si="244"/>
        <v>2.4205333226934997</v>
      </c>
      <c r="N4361" s="133">
        <v>263.35000000000002</v>
      </c>
      <c r="O4361" s="179" t="s">
        <v>3356</v>
      </c>
      <c r="P4361" s="108">
        <v>152</v>
      </c>
      <c r="Q4361" s="90"/>
      <c r="R4361" s="85"/>
      <c r="S4361" s="85"/>
      <c r="T4361" s="92"/>
      <c r="U4361" s="16"/>
      <c r="V4361" s="16"/>
      <c r="W4361" s="20"/>
      <c r="X4361" s="20"/>
      <c r="Y4361" s="20"/>
      <c r="Z4361" s="20"/>
      <c r="AA4361" s="20"/>
      <c r="AB4361" s="20"/>
      <c r="AC4361" s="20"/>
      <c r="AD4361" s="20"/>
    </row>
    <row r="4362" spans="1:30" s="7" customFormat="1" ht="15" customHeight="1">
      <c r="A4362" s="118" t="s">
        <v>3816</v>
      </c>
      <c r="B4362" s="130"/>
      <c r="C4362" s="118" t="s">
        <v>3817</v>
      </c>
      <c r="D4362" s="141"/>
      <c r="E4362" s="118"/>
      <c r="F4362" s="118"/>
      <c r="G4362" s="118" t="s">
        <v>3618</v>
      </c>
      <c r="H4362" s="118" t="s">
        <v>5524</v>
      </c>
      <c r="I4362" s="118" t="s">
        <v>3537</v>
      </c>
      <c r="J4362" s="118" t="s">
        <v>5040</v>
      </c>
      <c r="K4362" s="141"/>
      <c r="L4362" s="135" t="str">
        <f t="shared" si="245"/>
        <v>Thomomys bulbivorus</v>
      </c>
      <c r="M4362" s="133">
        <f t="shared" si="244"/>
        <v>2.5561818466529114</v>
      </c>
      <c r="N4362" s="133">
        <v>359.9</v>
      </c>
      <c r="O4362" s="179" t="s">
        <v>6736</v>
      </c>
      <c r="P4362" s="108">
        <v>68</v>
      </c>
      <c r="Q4362" s="90"/>
      <c r="R4362" s="85"/>
      <c r="S4362" s="85"/>
      <c r="T4362" s="92"/>
      <c r="U4362" s="16"/>
      <c r="V4362" s="16"/>
      <c r="W4362" s="20"/>
      <c r="X4362" s="20"/>
      <c r="Y4362" s="20"/>
      <c r="Z4362" s="20"/>
      <c r="AA4362" s="20"/>
      <c r="AB4362" s="20"/>
      <c r="AC4362" s="20"/>
      <c r="AD4362" s="20"/>
    </row>
    <row r="4363" spans="1:30" s="7" customFormat="1" ht="25.5">
      <c r="A4363" s="118" t="s">
        <v>3816</v>
      </c>
      <c r="B4363" s="130"/>
      <c r="C4363" s="118" t="s">
        <v>3817</v>
      </c>
      <c r="D4363" s="141"/>
      <c r="E4363" s="118"/>
      <c r="F4363" s="118"/>
      <c r="G4363" s="118" t="s">
        <v>3618</v>
      </c>
      <c r="H4363" s="118" t="s">
        <v>5524</v>
      </c>
      <c r="I4363" s="118" t="s">
        <v>3583</v>
      </c>
      <c r="J4363" s="118" t="s">
        <v>4005</v>
      </c>
      <c r="K4363" s="141"/>
      <c r="L4363" s="135" t="str">
        <f t="shared" si="245"/>
        <v>Zygogeomys trichopus</v>
      </c>
      <c r="M4363" s="133">
        <f t="shared" si="244"/>
        <v>2.6989700000000005</v>
      </c>
      <c r="N4363" s="133">
        <v>499.99999500797441</v>
      </c>
      <c r="O4363" s="179" t="s">
        <v>6631</v>
      </c>
      <c r="P4363" s="117">
        <v>66</v>
      </c>
      <c r="Q4363" s="90" t="s">
        <v>6640</v>
      </c>
      <c r="R4363" s="85"/>
      <c r="S4363" s="85"/>
      <c r="T4363" s="92"/>
      <c r="U4363" s="16"/>
      <c r="V4363" s="16"/>
      <c r="W4363" s="20"/>
      <c r="X4363" s="20"/>
      <c r="Y4363" s="20"/>
      <c r="Z4363" s="20"/>
      <c r="AA4363" s="20"/>
      <c r="AB4363" s="20"/>
      <c r="AC4363" s="20"/>
      <c r="AD4363" s="20"/>
    </row>
    <row r="4364" spans="1:30" s="7" customFormat="1" ht="15" customHeight="1">
      <c r="A4364" s="118" t="s">
        <v>3816</v>
      </c>
      <c r="B4364" s="130" t="s">
        <v>2241</v>
      </c>
      <c r="C4364" s="118" t="s">
        <v>3817</v>
      </c>
      <c r="D4364" s="141"/>
      <c r="E4364" s="118"/>
      <c r="F4364" s="118"/>
      <c r="G4364" s="118" t="s">
        <v>3618</v>
      </c>
      <c r="H4364" s="118" t="s">
        <v>4007</v>
      </c>
      <c r="I4364" s="118" t="s">
        <v>4008</v>
      </c>
      <c r="J4364" s="118" t="s">
        <v>5821</v>
      </c>
      <c r="K4364" s="141"/>
      <c r="L4364" s="135" t="str">
        <f t="shared" si="245"/>
        <v>Chaetodipus artus</v>
      </c>
      <c r="M4364" s="133">
        <v>-999</v>
      </c>
      <c r="N4364" s="133">
        <v>-999</v>
      </c>
      <c r="O4364" s="179" t="s">
        <v>3356</v>
      </c>
      <c r="P4364" s="108">
        <v>-999</v>
      </c>
      <c r="Q4364" s="80"/>
      <c r="R4364" s="85"/>
      <c r="S4364" s="85"/>
      <c r="T4364" s="92"/>
      <c r="U4364" s="16"/>
      <c r="V4364" s="16"/>
      <c r="W4364" s="20"/>
      <c r="X4364" s="20"/>
      <c r="Y4364" s="20"/>
      <c r="Z4364" s="20"/>
      <c r="AA4364" s="20"/>
      <c r="AB4364" s="20"/>
      <c r="AC4364" s="20"/>
      <c r="AD4364" s="20"/>
    </row>
    <row r="4365" spans="1:30" s="7" customFormat="1">
      <c r="A4365" s="118" t="s">
        <v>3816</v>
      </c>
      <c r="B4365" s="130"/>
      <c r="C4365" s="118" t="s">
        <v>3817</v>
      </c>
      <c r="D4365" s="141"/>
      <c r="E4365" s="118"/>
      <c r="F4365" s="118"/>
      <c r="G4365" s="118" t="s">
        <v>3618</v>
      </c>
      <c r="H4365" s="118" t="s">
        <v>4007</v>
      </c>
      <c r="I4365" s="118" t="s">
        <v>4008</v>
      </c>
      <c r="J4365" s="118" t="s">
        <v>3155</v>
      </c>
      <c r="K4365" s="141"/>
      <c r="L4365" s="135" t="str">
        <f t="shared" si="245"/>
        <v>Chaetodipus nelsoni</v>
      </c>
      <c r="M4365" s="133">
        <f t="shared" ref="M4365:M4396" si="246">LOG(N4365)</f>
        <v>1.1972799999999999</v>
      </c>
      <c r="N4365" s="133">
        <v>15.749979759188241</v>
      </c>
      <c r="O4365" s="179" t="s">
        <v>3356</v>
      </c>
      <c r="P4365" s="108">
        <v>60</v>
      </c>
      <c r="Q4365" s="90"/>
      <c r="R4365" s="85"/>
      <c r="S4365" s="85"/>
      <c r="T4365" s="92"/>
      <c r="U4365" s="16"/>
      <c r="V4365" s="16"/>
      <c r="W4365" s="20"/>
      <c r="X4365" s="20"/>
      <c r="Y4365" s="20"/>
      <c r="Z4365" s="20"/>
      <c r="AA4365" s="20"/>
      <c r="AB4365" s="20"/>
      <c r="AC4365" s="20"/>
      <c r="AD4365" s="20"/>
    </row>
    <row r="4366" spans="1:30" s="7" customFormat="1">
      <c r="A4366" s="121" t="s">
        <v>3816</v>
      </c>
      <c r="B4366" s="130"/>
      <c r="C4366" s="118" t="s">
        <v>3817</v>
      </c>
      <c r="D4366" s="141"/>
      <c r="E4366" s="118"/>
      <c r="F4366" s="118"/>
      <c r="G4366" s="118" t="s">
        <v>3618</v>
      </c>
      <c r="H4366" s="118" t="s">
        <v>4007</v>
      </c>
      <c r="I4366" s="118" t="s">
        <v>4008</v>
      </c>
      <c r="J4366" s="118" t="s">
        <v>2987</v>
      </c>
      <c r="K4366" s="141"/>
      <c r="L4366" s="135" t="str">
        <f t="shared" si="245"/>
        <v>Chaetodipus spinatus</v>
      </c>
      <c r="M4366" s="133">
        <f t="shared" si="246"/>
        <v>1.2135200000000002</v>
      </c>
      <c r="N4366" s="133">
        <v>16.350084443175422</v>
      </c>
      <c r="O4366" s="179" t="s">
        <v>3356</v>
      </c>
      <c r="P4366" s="108">
        <v>60</v>
      </c>
      <c r="Q4366" s="90"/>
      <c r="R4366" s="85"/>
      <c r="S4366" s="85"/>
      <c r="T4366" s="92"/>
      <c r="U4366" s="16"/>
      <c r="V4366" s="16"/>
      <c r="W4366" s="20"/>
      <c r="X4366" s="20"/>
      <c r="Y4366" s="20"/>
      <c r="Z4366" s="20"/>
      <c r="AA4366" s="20"/>
      <c r="AB4366" s="20"/>
      <c r="AC4366" s="20"/>
      <c r="AD4366" s="20"/>
    </row>
    <row r="4367" spans="1:30" s="7" customFormat="1">
      <c r="A4367" s="121" t="s">
        <v>3816</v>
      </c>
      <c r="B4367" s="130"/>
      <c r="C4367" s="118" t="s">
        <v>3817</v>
      </c>
      <c r="D4367" s="141"/>
      <c r="E4367" s="118"/>
      <c r="F4367" s="118"/>
      <c r="G4367" s="118" t="s">
        <v>3618</v>
      </c>
      <c r="H4367" s="118" t="s">
        <v>4007</v>
      </c>
      <c r="I4367" s="118" t="s">
        <v>4008</v>
      </c>
      <c r="J4367" s="118" t="s">
        <v>3587</v>
      </c>
      <c r="K4367" s="141"/>
      <c r="L4367" s="135" t="str">
        <f t="shared" si="245"/>
        <v>Chaetodipus intermedius</v>
      </c>
      <c r="M4367" s="133">
        <f t="shared" si="246"/>
        <v>1.2174799999999999</v>
      </c>
      <c r="N4367" s="133">
        <v>16.499850149526083</v>
      </c>
      <c r="O4367" s="179" t="s">
        <v>3356</v>
      </c>
      <c r="P4367" s="108">
        <v>60</v>
      </c>
      <c r="Q4367" s="90"/>
      <c r="R4367" s="85"/>
      <c r="S4367" s="85"/>
      <c r="T4367" s="92"/>
      <c r="U4367" s="16"/>
      <c r="V4367" s="16"/>
      <c r="W4367" s="20"/>
      <c r="X4367" s="20"/>
      <c r="Y4367" s="20"/>
      <c r="Z4367" s="20"/>
      <c r="AA4367" s="20"/>
      <c r="AB4367" s="20"/>
      <c r="AC4367" s="20"/>
      <c r="AD4367" s="20"/>
    </row>
    <row r="4368" spans="1:30" s="7" customFormat="1">
      <c r="A4368" s="118" t="s">
        <v>3816</v>
      </c>
      <c r="B4368" s="130"/>
      <c r="C4368" s="118" t="s">
        <v>3817</v>
      </c>
      <c r="D4368" s="141"/>
      <c r="E4368" s="118"/>
      <c r="F4368" s="118"/>
      <c r="G4368" s="118" t="s">
        <v>3618</v>
      </c>
      <c r="H4368" s="118" t="s">
        <v>4007</v>
      </c>
      <c r="I4368" s="118" t="s">
        <v>4008</v>
      </c>
      <c r="J4368" s="118" t="s">
        <v>3156</v>
      </c>
      <c r="K4368" s="141"/>
      <c r="L4368" s="135" t="str">
        <f t="shared" si="245"/>
        <v>Chaetodipus penicillatus</v>
      </c>
      <c r="M4368" s="133">
        <f t="shared" si="246"/>
        <v>1.2276296495710086</v>
      </c>
      <c r="N4368" s="133">
        <v>16.89</v>
      </c>
      <c r="O4368" s="179" t="s">
        <v>3356</v>
      </c>
      <c r="P4368" s="108">
        <v>265</v>
      </c>
      <c r="Q4368" s="90"/>
      <c r="R4368" s="85"/>
      <c r="S4368" s="85"/>
      <c r="T4368" s="92"/>
      <c r="U4368" s="16"/>
      <c r="V4368" s="16"/>
      <c r="W4368" s="20"/>
      <c r="X4368" s="20"/>
      <c r="Y4368" s="20"/>
      <c r="Z4368" s="20"/>
      <c r="AA4368" s="20"/>
      <c r="AB4368" s="20"/>
      <c r="AC4368" s="20"/>
      <c r="AD4368" s="20"/>
    </row>
    <row r="4369" spans="1:30" s="7" customFormat="1">
      <c r="A4369" s="118" t="s">
        <v>3816</v>
      </c>
      <c r="B4369" s="130"/>
      <c r="C4369" s="118" t="s">
        <v>3817</v>
      </c>
      <c r="D4369" s="141"/>
      <c r="E4369" s="118"/>
      <c r="F4369" s="118"/>
      <c r="G4369" s="118" t="s">
        <v>3618</v>
      </c>
      <c r="H4369" s="118" t="s">
        <v>4007</v>
      </c>
      <c r="I4369" s="118" t="s">
        <v>4008</v>
      </c>
      <c r="J4369" s="118" t="s">
        <v>2986</v>
      </c>
      <c r="K4369" s="141"/>
      <c r="L4369" s="135" t="str">
        <f t="shared" si="245"/>
        <v>Chaetodipus pernix</v>
      </c>
      <c r="M4369" s="133">
        <f t="shared" si="246"/>
        <v>1.2304500000000003</v>
      </c>
      <c r="N4369" s="133">
        <v>17.000042221563668</v>
      </c>
      <c r="O4369" s="179" t="s">
        <v>3356</v>
      </c>
      <c r="P4369" s="117">
        <v>66</v>
      </c>
      <c r="Q4369" s="90"/>
      <c r="R4369" s="85"/>
      <c r="S4369" s="85"/>
      <c r="T4369" s="92"/>
      <c r="U4369" s="16"/>
      <c r="V4369" s="16"/>
      <c r="W4369" s="20"/>
      <c r="X4369" s="20"/>
      <c r="Y4369" s="20"/>
      <c r="Z4369" s="20"/>
      <c r="AA4369" s="20"/>
      <c r="AB4369" s="20"/>
      <c r="AC4369" s="20"/>
      <c r="AD4369" s="20"/>
    </row>
    <row r="4370" spans="1:30" s="7" customFormat="1" ht="15" customHeight="1">
      <c r="A4370" s="118" t="s">
        <v>3816</v>
      </c>
      <c r="B4370" s="130"/>
      <c r="C4370" s="118" t="s">
        <v>3817</v>
      </c>
      <c r="D4370" s="141"/>
      <c r="E4370" s="118"/>
      <c r="F4370" s="118"/>
      <c r="G4370" s="118" t="s">
        <v>3618</v>
      </c>
      <c r="H4370" s="118" t="s">
        <v>4007</v>
      </c>
      <c r="I4370" s="118" t="s">
        <v>4008</v>
      </c>
      <c r="J4370" s="118" t="s">
        <v>3782</v>
      </c>
      <c r="K4370" s="141"/>
      <c r="L4370" s="135" t="str">
        <f t="shared" si="245"/>
        <v>Chaetodipus fallax</v>
      </c>
      <c r="M4370" s="133">
        <f t="shared" si="246"/>
        <v>1.2718400000000001</v>
      </c>
      <c r="N4370" s="133">
        <v>18.699930825331165</v>
      </c>
      <c r="O4370" s="179" t="s">
        <v>3356</v>
      </c>
      <c r="P4370" s="108">
        <v>60</v>
      </c>
      <c r="Q4370" s="90"/>
      <c r="R4370" s="85"/>
      <c r="S4370" s="85"/>
      <c r="T4370" s="92"/>
      <c r="U4370" s="16"/>
      <c r="V4370" s="16"/>
      <c r="W4370" s="20"/>
      <c r="X4370" s="20"/>
      <c r="Y4370" s="20"/>
      <c r="Z4370" s="20"/>
      <c r="AA4370" s="20"/>
      <c r="AB4370" s="20"/>
      <c r="AC4370" s="20"/>
      <c r="AD4370" s="20"/>
    </row>
    <row r="4371" spans="1:30" s="7" customFormat="1">
      <c r="A4371" s="121" t="s">
        <v>3816</v>
      </c>
      <c r="B4371" s="130"/>
      <c r="C4371" s="118" t="s">
        <v>3817</v>
      </c>
      <c r="D4371" s="141"/>
      <c r="E4371" s="118"/>
      <c r="F4371" s="118"/>
      <c r="G4371" s="118" t="s">
        <v>3618</v>
      </c>
      <c r="H4371" s="118" t="s">
        <v>4007</v>
      </c>
      <c r="I4371" s="118" t="s">
        <v>4008</v>
      </c>
      <c r="J4371" s="118" t="s">
        <v>3585</v>
      </c>
      <c r="K4371" s="141"/>
      <c r="L4371" s="135" t="str">
        <f t="shared" si="245"/>
        <v>Chaetodipus formosus</v>
      </c>
      <c r="M4371" s="133">
        <f t="shared" si="246"/>
        <v>1.2889200000000001</v>
      </c>
      <c r="N4371" s="133">
        <v>19.450017660558039</v>
      </c>
      <c r="O4371" s="179" t="s">
        <v>3356</v>
      </c>
      <c r="P4371" s="108">
        <v>60</v>
      </c>
      <c r="Q4371" s="90"/>
      <c r="R4371" s="85"/>
      <c r="S4371" s="85"/>
      <c r="T4371" s="92"/>
      <c r="U4371" s="16"/>
      <c r="V4371" s="16"/>
      <c r="W4371" s="20"/>
      <c r="X4371" s="20"/>
      <c r="Y4371" s="20"/>
      <c r="Z4371" s="20"/>
      <c r="AA4371" s="20"/>
      <c r="AB4371" s="20"/>
      <c r="AC4371" s="20"/>
      <c r="AD4371" s="20"/>
    </row>
    <row r="4372" spans="1:30" s="7" customFormat="1">
      <c r="A4372" s="118" t="s">
        <v>3816</v>
      </c>
      <c r="B4372" s="130"/>
      <c r="C4372" s="118" t="s">
        <v>3817</v>
      </c>
      <c r="D4372" s="141"/>
      <c r="E4372" s="118"/>
      <c r="F4372" s="118"/>
      <c r="G4372" s="118" t="s">
        <v>3618</v>
      </c>
      <c r="H4372" s="118" t="s">
        <v>4007</v>
      </c>
      <c r="I4372" s="118" t="s">
        <v>4008</v>
      </c>
      <c r="J4372" s="118" t="s">
        <v>4404</v>
      </c>
      <c r="K4372" s="141"/>
      <c r="L4372" s="135" t="str">
        <f t="shared" si="245"/>
        <v>Chaetodipus californicus</v>
      </c>
      <c r="M4372" s="133">
        <f t="shared" si="246"/>
        <v>1.3424199999999999</v>
      </c>
      <c r="N4372" s="133">
        <v>21.999864198351659</v>
      </c>
      <c r="O4372" s="179" t="s">
        <v>3356</v>
      </c>
      <c r="P4372" s="108">
        <v>60</v>
      </c>
      <c r="Q4372" s="90"/>
      <c r="R4372" s="85"/>
      <c r="S4372" s="85"/>
      <c r="T4372" s="92"/>
      <c r="U4372" s="16"/>
      <c r="V4372" s="16"/>
      <c r="W4372" s="20"/>
      <c r="X4372" s="20"/>
      <c r="Y4372" s="20"/>
      <c r="Z4372" s="20"/>
      <c r="AA4372" s="20"/>
      <c r="AB4372" s="20"/>
      <c r="AC4372" s="20"/>
      <c r="AD4372" s="20"/>
    </row>
    <row r="4373" spans="1:30" s="7" customFormat="1" ht="12" customHeight="1">
      <c r="A4373" s="118" t="s">
        <v>3816</v>
      </c>
      <c r="B4373" s="130"/>
      <c r="C4373" s="118" t="s">
        <v>3817</v>
      </c>
      <c r="D4373" s="141"/>
      <c r="E4373" s="118"/>
      <c r="F4373" s="118"/>
      <c r="G4373" s="118" t="s">
        <v>3618</v>
      </c>
      <c r="H4373" s="118" t="s">
        <v>4007</v>
      </c>
      <c r="I4373" s="118" t="s">
        <v>4008</v>
      </c>
      <c r="J4373" s="118" t="s">
        <v>5526</v>
      </c>
      <c r="K4373" s="141"/>
      <c r="L4373" s="135" t="str">
        <f t="shared" si="245"/>
        <v>Chaetodipus arenarius</v>
      </c>
      <c r="M4373" s="133">
        <f t="shared" si="246"/>
        <v>1.3617300000000003</v>
      </c>
      <c r="N4373" s="133">
        <v>23.000114603619075</v>
      </c>
      <c r="O4373" s="179" t="s">
        <v>3356</v>
      </c>
      <c r="P4373" s="117">
        <v>66</v>
      </c>
      <c r="Q4373" s="90"/>
      <c r="R4373" s="89"/>
      <c r="S4373" s="85"/>
      <c r="T4373" s="92"/>
      <c r="U4373" s="16"/>
      <c r="V4373" s="16"/>
      <c r="W4373" s="20"/>
      <c r="X4373" s="20"/>
      <c r="Y4373" s="20"/>
      <c r="Z4373" s="20"/>
      <c r="AA4373" s="20"/>
      <c r="AB4373" s="20"/>
      <c r="AC4373" s="20"/>
      <c r="AD4373" s="20"/>
    </row>
    <row r="4374" spans="1:30" s="7" customFormat="1">
      <c r="A4374" s="118" t="s">
        <v>3816</v>
      </c>
      <c r="B4374" s="130"/>
      <c r="C4374" s="118" t="s">
        <v>3817</v>
      </c>
      <c r="D4374" s="141"/>
      <c r="E4374" s="118"/>
      <c r="F4374" s="118"/>
      <c r="G4374" s="118" t="s">
        <v>3618</v>
      </c>
      <c r="H4374" s="118" t="s">
        <v>4007</v>
      </c>
      <c r="I4374" s="118" t="s">
        <v>4008</v>
      </c>
      <c r="J4374" s="118" t="s">
        <v>7416</v>
      </c>
      <c r="K4374" s="141"/>
      <c r="L4374" s="135" t="str">
        <f t="shared" si="245"/>
        <v>Chaetodipus goldmani</v>
      </c>
      <c r="M4374" s="133">
        <f t="shared" si="246"/>
        <v>1.3617300000000003</v>
      </c>
      <c r="N4374" s="133">
        <v>23.000114603619075</v>
      </c>
      <c r="O4374" s="179" t="s">
        <v>3356</v>
      </c>
      <c r="P4374" s="117">
        <v>66</v>
      </c>
      <c r="Q4374" s="90"/>
      <c r="R4374" s="85"/>
      <c r="S4374" s="85"/>
      <c r="T4374" s="92"/>
      <c r="U4374" s="16"/>
      <c r="V4374" s="16"/>
      <c r="W4374" s="20"/>
      <c r="X4374" s="20"/>
      <c r="Y4374" s="20"/>
      <c r="Z4374" s="20"/>
      <c r="AA4374" s="20"/>
      <c r="AB4374" s="20"/>
      <c r="AC4374" s="20"/>
      <c r="AD4374" s="20"/>
    </row>
    <row r="4375" spans="1:30" s="7" customFormat="1">
      <c r="A4375" s="121" t="s">
        <v>3816</v>
      </c>
      <c r="B4375" s="166"/>
      <c r="C4375" s="118" t="s">
        <v>3817</v>
      </c>
      <c r="D4375" s="141"/>
      <c r="E4375" s="118"/>
      <c r="F4375" s="118"/>
      <c r="G4375" s="118" t="s">
        <v>3618</v>
      </c>
      <c r="H4375" s="118" t="s">
        <v>4007</v>
      </c>
      <c r="I4375" s="118" t="s">
        <v>4008</v>
      </c>
      <c r="J4375" s="118" t="s">
        <v>3385</v>
      </c>
      <c r="K4375" s="141"/>
      <c r="L4375" s="135" t="str">
        <f t="shared" si="245"/>
        <v>Chaetodipus lineatus</v>
      </c>
      <c r="M4375" s="133">
        <f t="shared" si="246"/>
        <v>1.3617300000000003</v>
      </c>
      <c r="N4375" s="133">
        <v>23.000114603619075</v>
      </c>
      <c r="O4375" s="179" t="s">
        <v>3356</v>
      </c>
      <c r="P4375" s="117">
        <v>66</v>
      </c>
      <c r="Q4375" s="90"/>
      <c r="R4375" s="85"/>
      <c r="S4375" s="85"/>
      <c r="T4375" s="92"/>
      <c r="U4375" s="16"/>
      <c r="V4375" s="16"/>
      <c r="W4375" s="20"/>
      <c r="X4375" s="20"/>
      <c r="Y4375" s="20"/>
      <c r="Z4375" s="20"/>
      <c r="AA4375" s="20"/>
      <c r="AB4375" s="20"/>
      <c r="AC4375" s="20"/>
      <c r="AD4375" s="20"/>
    </row>
    <row r="4376" spans="1:30" s="7" customFormat="1">
      <c r="A4376" s="118" t="s">
        <v>3816</v>
      </c>
      <c r="B4376" s="166"/>
      <c r="C4376" s="118" t="s">
        <v>3817</v>
      </c>
      <c r="D4376" s="141"/>
      <c r="E4376" s="118"/>
      <c r="F4376" s="118"/>
      <c r="G4376" s="118" t="s">
        <v>3618</v>
      </c>
      <c r="H4376" s="118" t="s">
        <v>4007</v>
      </c>
      <c r="I4376" s="118" t="s">
        <v>4008</v>
      </c>
      <c r="J4376" s="118" t="s">
        <v>2260</v>
      </c>
      <c r="K4376" s="141"/>
      <c r="L4376" s="135" t="str">
        <f t="shared" si="245"/>
        <v>Chaetodipus baileyi</v>
      </c>
      <c r="M4376" s="133">
        <f t="shared" si="246"/>
        <v>1.4207800000000002</v>
      </c>
      <c r="N4376" s="133">
        <v>26.3499624100841</v>
      </c>
      <c r="O4376" s="179" t="s">
        <v>3356</v>
      </c>
      <c r="P4376" s="108">
        <v>60</v>
      </c>
      <c r="Q4376" s="90"/>
      <c r="R4376" s="85"/>
      <c r="S4376" s="85"/>
      <c r="T4376" s="92"/>
      <c r="U4376" s="16"/>
      <c r="V4376" s="16"/>
      <c r="W4376" s="20"/>
      <c r="X4376" s="20"/>
      <c r="Y4376" s="20"/>
      <c r="Z4376" s="20"/>
      <c r="AA4376" s="20"/>
      <c r="AB4376" s="20"/>
      <c r="AC4376" s="20"/>
      <c r="AD4376" s="20"/>
    </row>
    <row r="4377" spans="1:30" s="7" customFormat="1">
      <c r="A4377" s="118" t="s">
        <v>3816</v>
      </c>
      <c r="B4377" s="166"/>
      <c r="C4377" s="118" t="s">
        <v>3817</v>
      </c>
      <c r="D4377" s="141"/>
      <c r="E4377" s="118"/>
      <c r="F4377" s="118"/>
      <c r="G4377" s="118" t="s">
        <v>3618</v>
      </c>
      <c r="H4377" s="118" t="s">
        <v>4007</v>
      </c>
      <c r="I4377" s="118" t="s">
        <v>4008</v>
      </c>
      <c r="J4377" s="118" t="s">
        <v>4174</v>
      </c>
      <c r="K4377" s="141"/>
      <c r="L4377" s="135" t="str">
        <f t="shared" si="245"/>
        <v>Chaetodipus hispidus</v>
      </c>
      <c r="M4377" s="133">
        <f t="shared" si="246"/>
        <v>1.5051500000000002</v>
      </c>
      <c r="N4377" s="133">
        <v>32.000001597448417</v>
      </c>
      <c r="O4377" s="179" t="s">
        <v>3356</v>
      </c>
      <c r="P4377" s="108">
        <v>60</v>
      </c>
      <c r="Q4377" s="90"/>
      <c r="R4377" s="85"/>
      <c r="S4377" s="85"/>
      <c r="T4377" s="92"/>
      <c r="U4377" s="16"/>
      <c r="V4377" s="16"/>
      <c r="W4377" s="20"/>
      <c r="X4377" s="20"/>
      <c r="Y4377" s="20"/>
      <c r="Z4377" s="20"/>
      <c r="AA4377" s="20"/>
      <c r="AB4377" s="20"/>
      <c r="AC4377" s="20"/>
      <c r="AD4377" s="20"/>
    </row>
    <row r="4378" spans="1:30" s="7" customFormat="1">
      <c r="A4378" s="121" t="s">
        <v>3816</v>
      </c>
      <c r="B4378" s="166"/>
      <c r="C4378" s="118" t="s">
        <v>3817</v>
      </c>
      <c r="D4378" s="141"/>
      <c r="E4378" s="118"/>
      <c r="F4378" s="118"/>
      <c r="G4378" s="118" t="s">
        <v>3618</v>
      </c>
      <c r="H4378" s="118" t="s">
        <v>4007</v>
      </c>
      <c r="I4378" s="118" t="s">
        <v>3011</v>
      </c>
      <c r="J4378" s="118" t="s">
        <v>8278</v>
      </c>
      <c r="K4378" s="141"/>
      <c r="L4378" s="135" t="str">
        <f t="shared" si="245"/>
        <v>Dipodomys phillipsii</v>
      </c>
      <c r="M4378" s="133">
        <f t="shared" si="246"/>
        <v>1.6127800000000003</v>
      </c>
      <c r="N4378" s="133">
        <v>40.999635904176493</v>
      </c>
      <c r="O4378" s="179" t="s">
        <v>6882</v>
      </c>
      <c r="P4378" s="117">
        <v>66</v>
      </c>
      <c r="Q4378" s="90" t="s">
        <v>6642</v>
      </c>
      <c r="R4378" s="85"/>
      <c r="S4378" s="85"/>
      <c r="T4378" s="82"/>
      <c r="U4378" s="16"/>
      <c r="V4378" s="16"/>
      <c r="W4378" s="20"/>
      <c r="X4378" s="20"/>
      <c r="Y4378" s="20"/>
      <c r="Z4378" s="20"/>
      <c r="AA4378" s="20"/>
      <c r="AB4378" s="20"/>
      <c r="AC4378" s="20"/>
      <c r="AD4378" s="20"/>
    </row>
    <row r="4379" spans="1:30" s="7" customFormat="1">
      <c r="A4379" s="118" t="s">
        <v>3816</v>
      </c>
      <c r="B4379" s="166"/>
      <c r="C4379" s="118" t="s">
        <v>3817</v>
      </c>
      <c r="D4379" s="141"/>
      <c r="E4379" s="118"/>
      <c r="F4379" s="118"/>
      <c r="G4379" s="118" t="s">
        <v>3618</v>
      </c>
      <c r="H4379" s="118" t="s">
        <v>4007</v>
      </c>
      <c r="I4379" s="118" t="s">
        <v>3011</v>
      </c>
      <c r="J4379" s="118" t="s">
        <v>2222</v>
      </c>
      <c r="K4379" s="141"/>
      <c r="L4379" s="135" t="str">
        <f t="shared" si="245"/>
        <v>Dipodomys merriami</v>
      </c>
      <c r="M4379" s="133">
        <f t="shared" si="246"/>
        <v>1.6232492903979006</v>
      </c>
      <c r="N4379" s="133">
        <v>42</v>
      </c>
      <c r="O4379" s="179" t="s">
        <v>3356</v>
      </c>
      <c r="P4379" s="108">
        <v>75</v>
      </c>
      <c r="Q4379" s="90"/>
      <c r="R4379" s="85"/>
      <c r="S4379" s="85"/>
      <c r="T4379" s="82"/>
      <c r="U4379" s="16"/>
      <c r="V4379" s="16"/>
    </row>
    <row r="4380" spans="1:30" ht="38.25">
      <c r="A4380" s="118" t="s">
        <v>3816</v>
      </c>
      <c r="B4380" s="166"/>
      <c r="C4380" s="118" t="s">
        <v>3817</v>
      </c>
      <c r="D4380" s="141"/>
      <c r="E4380" s="118"/>
      <c r="F4380" s="118"/>
      <c r="G4380" s="118" t="s">
        <v>3618</v>
      </c>
      <c r="H4380" s="118" t="s">
        <v>4007</v>
      </c>
      <c r="I4380" s="118" t="s">
        <v>3011</v>
      </c>
      <c r="J4380" s="118" t="s">
        <v>3161</v>
      </c>
      <c r="K4380" s="141"/>
      <c r="L4380" s="135" t="str">
        <f t="shared" si="245"/>
        <v>Dipodomys nitratoides</v>
      </c>
      <c r="M4380" s="133">
        <f t="shared" si="246"/>
        <v>1.64246</v>
      </c>
      <c r="N4380" s="133">
        <v>43.899543080548575</v>
      </c>
      <c r="O4380" s="179" t="s">
        <v>6871</v>
      </c>
      <c r="P4380" s="108">
        <v>60</v>
      </c>
      <c r="Q4380" s="90" t="s">
        <v>6642</v>
      </c>
      <c r="T4380" s="82"/>
      <c r="W4380"/>
      <c r="X4380"/>
      <c r="Y4380"/>
      <c r="Z4380"/>
      <c r="AA4380"/>
      <c r="AB4380"/>
      <c r="AC4380"/>
      <c r="AD4380"/>
    </row>
    <row r="4381" spans="1:30">
      <c r="A4381" s="118" t="s">
        <v>3816</v>
      </c>
      <c r="B4381" s="166"/>
      <c r="C4381" s="118" t="s">
        <v>3817</v>
      </c>
      <c r="D4381" s="141"/>
      <c r="E4381" s="118"/>
      <c r="F4381" s="118"/>
      <c r="G4381" s="118" t="s">
        <v>3618</v>
      </c>
      <c r="H4381" s="118" t="s">
        <v>4007</v>
      </c>
      <c r="I4381" s="118" t="s">
        <v>3011</v>
      </c>
      <c r="J4381" s="118" t="s">
        <v>3160</v>
      </c>
      <c r="K4381" s="141"/>
      <c r="L4381" s="135" t="str">
        <f t="shared" si="245"/>
        <v>Dipodomys microps</v>
      </c>
      <c r="M4381" s="133">
        <f t="shared" si="246"/>
        <v>1.73719</v>
      </c>
      <c r="N4381" s="133">
        <v>54.599667757142555</v>
      </c>
      <c r="O4381" s="179" t="s">
        <v>3356</v>
      </c>
      <c r="P4381" s="108">
        <v>60</v>
      </c>
      <c r="T4381" s="82"/>
      <c r="W4381"/>
      <c r="X4381"/>
      <c r="Y4381"/>
      <c r="Z4381"/>
      <c r="AA4381"/>
      <c r="AB4381"/>
      <c r="AC4381"/>
      <c r="AD4381"/>
    </row>
    <row r="4382" spans="1:30">
      <c r="A4382" s="118" t="s">
        <v>3816</v>
      </c>
      <c r="B4382" s="166"/>
      <c r="C4382" s="118" t="s">
        <v>3817</v>
      </c>
      <c r="D4382" s="141"/>
      <c r="E4382" s="118"/>
      <c r="F4382" s="118"/>
      <c r="G4382" s="118" t="s">
        <v>3618</v>
      </c>
      <c r="H4382" s="118" t="s">
        <v>4007</v>
      </c>
      <c r="I4382" s="118" t="s">
        <v>3011</v>
      </c>
      <c r="J4382" s="118" t="s">
        <v>4399</v>
      </c>
      <c r="K4382" s="141"/>
      <c r="L4382" s="135" t="str">
        <f t="shared" si="245"/>
        <v>Dipodomys agilis</v>
      </c>
      <c r="M4382" s="133">
        <f t="shared" si="246"/>
        <v>1.7623</v>
      </c>
      <c r="N4382" s="133">
        <v>57.849551996508993</v>
      </c>
      <c r="O4382" s="179" t="s">
        <v>3356</v>
      </c>
      <c r="P4382" s="108">
        <v>60</v>
      </c>
      <c r="T4382" s="82"/>
      <c r="W4382"/>
      <c r="X4382"/>
      <c r="Y4382"/>
      <c r="Z4382"/>
      <c r="AA4382"/>
      <c r="AB4382"/>
      <c r="AC4382"/>
      <c r="AD4382"/>
    </row>
    <row r="4383" spans="1:30">
      <c r="A4383" s="118" t="s">
        <v>3816</v>
      </c>
      <c r="B4383" s="166"/>
      <c r="C4383" s="118" t="s">
        <v>3817</v>
      </c>
      <c r="D4383" s="141"/>
      <c r="E4383" s="118"/>
      <c r="F4383" s="118"/>
      <c r="G4383" s="118" t="s">
        <v>3618</v>
      </c>
      <c r="H4383" s="118" t="s">
        <v>4007</v>
      </c>
      <c r="I4383" s="118" t="s">
        <v>3011</v>
      </c>
      <c r="J4383" s="118" t="s">
        <v>2982</v>
      </c>
      <c r="K4383" s="141"/>
      <c r="L4383" s="135" t="str">
        <f t="shared" si="245"/>
        <v>Dipodomys ordii</v>
      </c>
      <c r="M4383" s="133">
        <f t="shared" si="246"/>
        <v>1.7810400000000002</v>
      </c>
      <c r="N4383" s="133">
        <v>60.400425766255559</v>
      </c>
      <c r="O4383" s="179" t="s">
        <v>3356</v>
      </c>
      <c r="P4383" s="108">
        <v>60</v>
      </c>
      <c r="T4383" s="82"/>
      <c r="W4383"/>
      <c r="X4383"/>
      <c r="Y4383"/>
      <c r="Z4383"/>
      <c r="AA4383"/>
      <c r="AB4383"/>
      <c r="AC4383"/>
      <c r="AD4383"/>
    </row>
    <row r="4384" spans="1:30">
      <c r="A4384" s="118" t="s">
        <v>3816</v>
      </c>
      <c r="B4384" s="166"/>
      <c r="C4384" s="118" t="s">
        <v>3817</v>
      </c>
      <c r="D4384" s="141"/>
      <c r="E4384" s="118"/>
      <c r="F4384" s="118"/>
      <c r="G4384" s="118" t="s">
        <v>3618</v>
      </c>
      <c r="H4384" s="118" t="s">
        <v>4007</v>
      </c>
      <c r="I4384" s="118" t="s">
        <v>3011</v>
      </c>
      <c r="J4384" s="118" t="s">
        <v>6541</v>
      </c>
      <c r="K4384" s="141"/>
      <c r="L4384" s="135" t="str">
        <f t="shared" si="245"/>
        <v>Dipodomys stephensi</v>
      </c>
      <c r="M4384" s="133">
        <f t="shared" si="246"/>
        <v>1.8435600000000003</v>
      </c>
      <c r="N4384" s="133">
        <v>69.752535691459499</v>
      </c>
      <c r="O4384" s="179" t="s">
        <v>6641</v>
      </c>
      <c r="P4384" s="108">
        <v>60</v>
      </c>
      <c r="Q4384" s="90" t="s">
        <v>6642</v>
      </c>
      <c r="T4384" s="82"/>
      <c r="W4384"/>
      <c r="X4384"/>
      <c r="Y4384"/>
      <c r="Z4384"/>
      <c r="AA4384"/>
      <c r="AB4384"/>
      <c r="AC4384"/>
      <c r="AD4384"/>
    </row>
    <row r="4385" spans="1:30">
      <c r="A4385" s="121" t="s">
        <v>3816</v>
      </c>
      <c r="B4385" s="166"/>
      <c r="C4385" s="118" t="s">
        <v>3817</v>
      </c>
      <c r="D4385" s="141"/>
      <c r="E4385" s="118"/>
      <c r="F4385" s="118"/>
      <c r="G4385" s="118" t="s">
        <v>3618</v>
      </c>
      <c r="H4385" s="118" t="s">
        <v>4007</v>
      </c>
      <c r="I4385" s="118" t="s">
        <v>3011</v>
      </c>
      <c r="J4385" s="118" t="s">
        <v>2998</v>
      </c>
      <c r="K4385" s="141"/>
      <c r="L4385" s="135" t="str">
        <f t="shared" si="245"/>
        <v>Dipodomys elephantinus</v>
      </c>
      <c r="M4385" s="133">
        <f t="shared" si="246"/>
        <v>1.8573299999999999</v>
      </c>
      <c r="N4385" s="133">
        <v>71.999586127518953</v>
      </c>
      <c r="O4385" s="179" t="s">
        <v>3356</v>
      </c>
      <c r="P4385" s="117">
        <v>66</v>
      </c>
      <c r="T4385" s="82"/>
      <c r="W4385"/>
      <c r="X4385"/>
      <c r="Y4385"/>
      <c r="Z4385"/>
      <c r="AA4385"/>
      <c r="AB4385"/>
      <c r="AC4385"/>
      <c r="AD4385"/>
    </row>
    <row r="4386" spans="1:30">
      <c r="A4386" s="118" t="s">
        <v>3816</v>
      </c>
      <c r="B4386" s="166"/>
      <c r="C4386" s="118" t="s">
        <v>3817</v>
      </c>
      <c r="D4386" s="141"/>
      <c r="E4386" s="118"/>
      <c r="F4386" s="118"/>
      <c r="G4386" s="118" t="s">
        <v>3618</v>
      </c>
      <c r="H4386" s="118" t="s">
        <v>4007</v>
      </c>
      <c r="I4386" s="118" t="s">
        <v>3011</v>
      </c>
      <c r="J4386" s="118" t="s">
        <v>3158</v>
      </c>
      <c r="K4386" s="141"/>
      <c r="L4386" s="135" t="str">
        <f t="shared" si="245"/>
        <v>Dipodomys heermanni</v>
      </c>
      <c r="M4386" s="133">
        <f t="shared" si="246"/>
        <v>1.8573299999999999</v>
      </c>
      <c r="N4386" s="133">
        <v>71.999586127518953</v>
      </c>
      <c r="O4386" s="179" t="s">
        <v>3356</v>
      </c>
      <c r="P4386" s="117">
        <v>66</v>
      </c>
      <c r="T4386" s="82"/>
      <c r="W4386"/>
      <c r="X4386"/>
      <c r="Y4386"/>
      <c r="Z4386"/>
      <c r="AA4386"/>
      <c r="AB4386"/>
      <c r="AC4386"/>
      <c r="AD4386"/>
    </row>
    <row r="4387" spans="1:30">
      <c r="A4387" s="118" t="s">
        <v>3816</v>
      </c>
      <c r="B4387" s="166"/>
      <c r="C4387" s="118" t="s">
        <v>3817</v>
      </c>
      <c r="D4387" s="141"/>
      <c r="E4387" s="118"/>
      <c r="F4387" s="118"/>
      <c r="G4387" s="118" t="s">
        <v>3618</v>
      </c>
      <c r="H4387" s="118" t="s">
        <v>4007</v>
      </c>
      <c r="I4387" s="118" t="s">
        <v>3011</v>
      </c>
      <c r="J4387" s="118" t="s">
        <v>6382</v>
      </c>
      <c r="K4387" s="141"/>
      <c r="L4387" s="135" t="str">
        <f t="shared" si="245"/>
        <v>Dipodomys venustus</v>
      </c>
      <c r="M4387" s="133">
        <f t="shared" si="246"/>
        <v>1.8573299999999999</v>
      </c>
      <c r="N4387" s="133">
        <v>71.999586127518953</v>
      </c>
      <c r="O4387" s="179" t="s">
        <v>3356</v>
      </c>
      <c r="P4387" s="117">
        <v>66</v>
      </c>
      <c r="T4387" s="82"/>
      <c r="W4387"/>
      <c r="X4387"/>
      <c r="Y4387"/>
      <c r="Z4387"/>
      <c r="AA4387"/>
      <c r="AB4387"/>
      <c r="AC4387"/>
      <c r="AD4387"/>
    </row>
    <row r="4388" spans="1:30">
      <c r="A4388" s="118" t="s">
        <v>3816</v>
      </c>
      <c r="B4388" s="166"/>
      <c r="C4388" s="118" t="s">
        <v>3817</v>
      </c>
      <c r="D4388" s="141"/>
      <c r="E4388" s="118"/>
      <c r="F4388" s="118"/>
      <c r="G4388" s="118" t="s">
        <v>3618</v>
      </c>
      <c r="H4388" s="118" t="s">
        <v>4007</v>
      </c>
      <c r="I4388" s="118" t="s">
        <v>3011</v>
      </c>
      <c r="J4388" s="118" t="s">
        <v>3008</v>
      </c>
      <c r="K4388" s="141"/>
      <c r="L4388" s="135" t="str">
        <f t="shared" si="245"/>
        <v>Dipodomys panamintinus</v>
      </c>
      <c r="M4388" s="133">
        <f t="shared" si="246"/>
        <v>1.8733200000000001</v>
      </c>
      <c r="N4388" s="133">
        <v>74.699896485953658</v>
      </c>
      <c r="O4388" s="179" t="s">
        <v>3356</v>
      </c>
      <c r="P4388" s="108">
        <v>60</v>
      </c>
      <c r="T4388" s="82"/>
      <c r="W4388"/>
      <c r="X4388"/>
      <c r="Y4388"/>
      <c r="Z4388"/>
      <c r="AA4388"/>
      <c r="AB4388"/>
      <c r="AC4388"/>
      <c r="AD4388"/>
    </row>
    <row r="4389" spans="1:30">
      <c r="A4389" s="118" t="s">
        <v>3816</v>
      </c>
      <c r="B4389" s="166"/>
      <c r="C4389" s="118" t="s">
        <v>3817</v>
      </c>
      <c r="D4389" s="141"/>
      <c r="E4389" s="118"/>
      <c r="F4389" s="118"/>
      <c r="G4389" s="118" t="s">
        <v>3618</v>
      </c>
      <c r="H4389" s="118" t="s">
        <v>4007</v>
      </c>
      <c r="I4389" s="118" t="s">
        <v>3011</v>
      </c>
      <c r="J4389" s="118" t="s">
        <v>3389</v>
      </c>
      <c r="K4389" s="141"/>
      <c r="L4389" s="135" t="str">
        <f t="shared" si="245"/>
        <v>Dipodomys elator</v>
      </c>
      <c r="M4389" s="133">
        <f t="shared" si="246"/>
        <v>1.8893</v>
      </c>
      <c r="N4389" s="133">
        <v>77.499696187757564</v>
      </c>
      <c r="O4389" s="179" t="s">
        <v>6641</v>
      </c>
      <c r="P4389" s="108">
        <v>60</v>
      </c>
      <c r="Q4389" s="90" t="s">
        <v>6988</v>
      </c>
      <c r="T4389" s="82"/>
      <c r="W4389"/>
      <c r="X4389"/>
      <c r="Y4389"/>
      <c r="Z4389"/>
      <c r="AA4389"/>
      <c r="AB4389"/>
      <c r="AC4389"/>
      <c r="AD4389"/>
    </row>
    <row r="4390" spans="1:30" ht="25.5">
      <c r="A4390" s="121" t="s">
        <v>3816</v>
      </c>
      <c r="B4390" s="166"/>
      <c r="C4390" s="118" t="s">
        <v>3817</v>
      </c>
      <c r="D4390" s="141"/>
      <c r="E4390" s="118"/>
      <c r="F4390" s="118"/>
      <c r="G4390" s="118" t="s">
        <v>3618</v>
      </c>
      <c r="H4390" s="118" t="s">
        <v>4007</v>
      </c>
      <c r="I4390" s="118" t="s">
        <v>3011</v>
      </c>
      <c r="J4390" s="118" t="s">
        <v>6299</v>
      </c>
      <c r="K4390" s="141"/>
      <c r="L4390" s="135" t="str">
        <f t="shared" si="245"/>
        <v>Dipodomys gravipes</v>
      </c>
      <c r="M4390" s="133">
        <f t="shared" si="246"/>
        <v>1.9241500000000002</v>
      </c>
      <c r="N4390" s="133">
        <v>83.974997580355904</v>
      </c>
      <c r="O4390" s="179" t="s">
        <v>8149</v>
      </c>
      <c r="P4390" s="108">
        <v>60</v>
      </c>
      <c r="Q4390" s="90" t="s">
        <v>6640</v>
      </c>
      <c r="T4390" s="82"/>
      <c r="W4390"/>
      <c r="X4390"/>
      <c r="Y4390"/>
      <c r="Z4390"/>
      <c r="AA4390"/>
      <c r="AB4390"/>
      <c r="AC4390"/>
      <c r="AD4390"/>
    </row>
    <row r="4391" spans="1:30">
      <c r="A4391" s="121" t="s">
        <v>3816</v>
      </c>
      <c r="B4391" s="166"/>
      <c r="C4391" s="118" t="s">
        <v>3817</v>
      </c>
      <c r="D4391" s="141"/>
      <c r="E4391" s="118"/>
      <c r="F4391" s="118"/>
      <c r="G4391" s="118" t="s">
        <v>3618</v>
      </c>
      <c r="H4391" s="118" t="s">
        <v>4007</v>
      </c>
      <c r="I4391" s="118" t="s">
        <v>3011</v>
      </c>
      <c r="J4391" s="118" t="s">
        <v>3155</v>
      </c>
      <c r="K4391" s="141"/>
      <c r="L4391" s="135" t="str">
        <f t="shared" si="245"/>
        <v>Dipodomys nelsoni</v>
      </c>
      <c r="M4391" s="133">
        <f t="shared" si="246"/>
        <v>1.94743</v>
      </c>
      <c r="N4391" s="133">
        <v>88.599240704652189</v>
      </c>
      <c r="O4391" s="179" t="s">
        <v>3356</v>
      </c>
      <c r="P4391" s="108">
        <v>60</v>
      </c>
      <c r="W4391"/>
      <c r="X4391"/>
      <c r="Y4391"/>
      <c r="Z4391"/>
      <c r="AA4391"/>
      <c r="AB4391"/>
      <c r="AC4391"/>
      <c r="AD4391"/>
    </row>
    <row r="4392" spans="1:30">
      <c r="A4392" s="118" t="s">
        <v>3816</v>
      </c>
      <c r="B4392" s="166"/>
      <c r="C4392" s="118" t="s">
        <v>3817</v>
      </c>
      <c r="D4392" s="141"/>
      <c r="E4392" s="118"/>
      <c r="F4392" s="118"/>
      <c r="G4392" s="118" t="s">
        <v>3618</v>
      </c>
      <c r="H4392" s="118" t="s">
        <v>4007</v>
      </c>
      <c r="I4392" s="118" t="s">
        <v>3011</v>
      </c>
      <c r="J4392" s="118" t="s">
        <v>3012</v>
      </c>
      <c r="K4392" s="141"/>
      <c r="L4392" s="135" t="str">
        <f t="shared" si="245"/>
        <v>Dipodomys deserti</v>
      </c>
      <c r="M4392" s="133">
        <f t="shared" si="246"/>
        <v>2.01912</v>
      </c>
      <c r="N4392" s="133">
        <v>104.50089259696503</v>
      </c>
      <c r="O4392" s="179" t="s">
        <v>3356</v>
      </c>
      <c r="P4392" s="108">
        <v>60</v>
      </c>
      <c r="W4392"/>
      <c r="X4392"/>
      <c r="Y4392"/>
      <c r="Z4392"/>
      <c r="AA4392"/>
      <c r="AB4392"/>
      <c r="AC4392"/>
      <c r="AD4392"/>
    </row>
    <row r="4393" spans="1:30">
      <c r="A4393" s="118" t="s">
        <v>3816</v>
      </c>
      <c r="B4393" s="166"/>
      <c r="C4393" s="118" t="s">
        <v>3817</v>
      </c>
      <c r="D4393" s="141"/>
      <c r="E4393" s="118"/>
      <c r="F4393" s="118"/>
      <c r="G4393" s="118" t="s">
        <v>3618</v>
      </c>
      <c r="H4393" s="118" t="s">
        <v>4007</v>
      </c>
      <c r="I4393" s="118" t="s">
        <v>3011</v>
      </c>
      <c r="J4393" s="118" t="s">
        <v>3159</v>
      </c>
      <c r="K4393" s="141"/>
      <c r="L4393" s="135" t="str">
        <f t="shared" si="245"/>
        <v>Dipodomys ingens</v>
      </c>
      <c r="M4393" s="133">
        <f t="shared" si="246"/>
        <v>2.12662</v>
      </c>
      <c r="N4393" s="133">
        <v>133.85050066641114</v>
      </c>
      <c r="O4393" s="179" t="s">
        <v>6641</v>
      </c>
      <c r="P4393" s="108">
        <v>60</v>
      </c>
      <c r="Q4393" s="90" t="s">
        <v>7071</v>
      </c>
      <c r="W4393"/>
      <c r="X4393"/>
      <c r="Y4393"/>
      <c r="Z4393"/>
      <c r="AA4393"/>
      <c r="AB4393"/>
      <c r="AC4393"/>
      <c r="AD4393"/>
    </row>
    <row r="4394" spans="1:30">
      <c r="A4394" s="118" t="s">
        <v>3816</v>
      </c>
      <c r="B4394" s="166"/>
      <c r="C4394" s="118" t="s">
        <v>3817</v>
      </c>
      <c r="D4394" s="141"/>
      <c r="E4394" s="118"/>
      <c r="F4394" s="118"/>
      <c r="G4394" s="118" t="s">
        <v>3618</v>
      </c>
      <c r="H4394" s="118" t="s">
        <v>4007</v>
      </c>
      <c r="I4394" s="118" t="s">
        <v>3011</v>
      </c>
      <c r="J4394" s="118" t="s">
        <v>5540</v>
      </c>
      <c r="K4394" s="141"/>
      <c r="L4394" s="135" t="str">
        <f t="shared" si="245"/>
        <v>Dipodomys spectabilis</v>
      </c>
      <c r="M4394" s="133">
        <f t="shared" si="246"/>
        <v>2.13314</v>
      </c>
      <c r="N4394" s="133">
        <v>135.87513856919276</v>
      </c>
      <c r="O4394" s="179" t="s">
        <v>3356</v>
      </c>
      <c r="P4394" s="108">
        <v>60</v>
      </c>
      <c r="W4394"/>
      <c r="X4394"/>
      <c r="Y4394"/>
      <c r="Z4394"/>
      <c r="AA4394"/>
      <c r="AB4394"/>
      <c r="AC4394"/>
      <c r="AD4394"/>
    </row>
    <row r="4395" spans="1:30" ht="12" customHeight="1">
      <c r="A4395" s="118" t="s">
        <v>3816</v>
      </c>
      <c r="B4395" s="166"/>
      <c r="C4395" s="118" t="s">
        <v>3817</v>
      </c>
      <c r="D4395" s="141"/>
      <c r="E4395" s="118"/>
      <c r="F4395" s="118"/>
      <c r="G4395" s="118" t="s">
        <v>3618</v>
      </c>
      <c r="H4395" s="118" t="s">
        <v>4007</v>
      </c>
      <c r="I4395" s="118" t="s">
        <v>6383</v>
      </c>
      <c r="J4395" s="118" t="s">
        <v>3155</v>
      </c>
      <c r="K4395" s="141"/>
      <c r="L4395" s="135" t="str">
        <f t="shared" si="245"/>
        <v>Heteromys nelsoni</v>
      </c>
      <c r="M4395" s="133">
        <f t="shared" si="246"/>
        <v>1.7340000000000002</v>
      </c>
      <c r="N4395" s="133">
        <v>54.20008904016241</v>
      </c>
      <c r="O4395" s="179" t="s">
        <v>6641</v>
      </c>
      <c r="P4395" s="108">
        <v>60</v>
      </c>
      <c r="Q4395" s="90" t="s">
        <v>6642</v>
      </c>
      <c r="R4395" s="89"/>
      <c r="T4395" s="82"/>
      <c r="W4395"/>
      <c r="X4395"/>
      <c r="Y4395"/>
      <c r="Z4395"/>
      <c r="AA4395"/>
      <c r="AB4395"/>
      <c r="AC4395"/>
      <c r="AD4395"/>
    </row>
    <row r="4396" spans="1:30">
      <c r="A4396" s="118" t="s">
        <v>3816</v>
      </c>
      <c r="B4396" s="166"/>
      <c r="C4396" s="118" t="s">
        <v>3817</v>
      </c>
      <c r="D4396" s="141"/>
      <c r="E4396" s="118"/>
      <c r="F4396" s="118"/>
      <c r="G4396" s="118" t="s">
        <v>3618</v>
      </c>
      <c r="H4396" s="118" t="s">
        <v>4007</v>
      </c>
      <c r="I4396" s="118" t="s">
        <v>6383</v>
      </c>
      <c r="J4396" s="118" t="s">
        <v>8071</v>
      </c>
      <c r="K4396" s="141"/>
      <c r="L4396" s="135" t="str">
        <f t="shared" si="245"/>
        <v>Heteromys gaumeri</v>
      </c>
      <c r="M4396" s="133">
        <f t="shared" si="246"/>
        <v>1.8034600000000001</v>
      </c>
      <c r="N4396" s="133">
        <v>63.60042239857448</v>
      </c>
      <c r="O4396" s="179" t="s">
        <v>3356</v>
      </c>
      <c r="P4396" s="108">
        <v>60</v>
      </c>
      <c r="T4396" s="82"/>
      <c r="W4396"/>
      <c r="X4396"/>
      <c r="Y4396"/>
      <c r="Z4396"/>
      <c r="AA4396"/>
      <c r="AB4396"/>
      <c r="AC4396"/>
      <c r="AD4396"/>
    </row>
    <row r="4397" spans="1:30">
      <c r="A4397" s="118" t="s">
        <v>3816</v>
      </c>
      <c r="B4397" s="166"/>
      <c r="C4397" s="118" t="s">
        <v>3817</v>
      </c>
      <c r="D4397" s="141"/>
      <c r="E4397" s="118"/>
      <c r="F4397" s="118"/>
      <c r="G4397" s="118" t="s">
        <v>3618</v>
      </c>
      <c r="H4397" s="118" t="s">
        <v>4007</v>
      </c>
      <c r="I4397" s="118" t="s">
        <v>6383</v>
      </c>
      <c r="J4397" s="118" t="s">
        <v>5301</v>
      </c>
      <c r="K4397" s="141"/>
      <c r="L4397" s="135" t="str">
        <f t="shared" si="245"/>
        <v>Heteromys desmarestianus</v>
      </c>
      <c r="M4397" s="133">
        <f t="shared" ref="M4397:M4424" si="247">LOG(N4397)</f>
        <v>1.8603400000000001</v>
      </c>
      <c r="N4397" s="133">
        <v>72.500332778657508</v>
      </c>
      <c r="O4397" s="179" t="s">
        <v>3356</v>
      </c>
      <c r="P4397" s="108">
        <v>60</v>
      </c>
      <c r="T4397" s="82"/>
      <c r="W4397"/>
      <c r="X4397"/>
      <c r="Y4397"/>
      <c r="Z4397"/>
      <c r="AA4397"/>
      <c r="AB4397"/>
      <c r="AC4397"/>
      <c r="AD4397"/>
    </row>
    <row r="4398" spans="1:30">
      <c r="A4398" s="118" t="s">
        <v>3816</v>
      </c>
      <c r="B4398" s="165" t="s">
        <v>2677</v>
      </c>
      <c r="C4398" s="118" t="s">
        <v>3817</v>
      </c>
      <c r="D4398" s="141"/>
      <c r="E4398" s="118"/>
      <c r="F4398" s="118"/>
      <c r="G4398" s="118" t="s">
        <v>3618</v>
      </c>
      <c r="H4398" s="118" t="s">
        <v>4007</v>
      </c>
      <c r="I4398" s="118" t="s">
        <v>6383</v>
      </c>
      <c r="J4398" s="118" t="s">
        <v>8127</v>
      </c>
      <c r="K4398" s="141"/>
      <c r="L4398" s="135" t="str">
        <f t="shared" si="245"/>
        <v>Heteromys oresterus</v>
      </c>
      <c r="M4398" s="133">
        <f t="shared" si="247"/>
        <v>1.8739015978644613</v>
      </c>
      <c r="N4398" s="133">
        <v>74.8</v>
      </c>
      <c r="O4398" s="179" t="s">
        <v>6641</v>
      </c>
      <c r="P4398" s="108">
        <v>71</v>
      </c>
      <c r="Q4398" s="90" t="s">
        <v>6642</v>
      </c>
      <c r="T4398" s="82"/>
      <c r="W4398"/>
      <c r="X4398"/>
      <c r="Y4398"/>
      <c r="Z4398"/>
      <c r="AA4398"/>
      <c r="AB4398"/>
      <c r="AC4398"/>
      <c r="AD4398"/>
    </row>
    <row r="4399" spans="1:30">
      <c r="A4399" s="118" t="s">
        <v>3816</v>
      </c>
      <c r="B4399" s="166"/>
      <c r="C4399" s="118" t="s">
        <v>3817</v>
      </c>
      <c r="D4399" s="141"/>
      <c r="E4399" s="118"/>
      <c r="F4399" s="118"/>
      <c r="G4399" s="118" t="s">
        <v>3618</v>
      </c>
      <c r="H4399" s="118" t="s">
        <v>4007</v>
      </c>
      <c r="I4399" s="118" t="s">
        <v>6383</v>
      </c>
      <c r="J4399" s="118" t="s">
        <v>7416</v>
      </c>
      <c r="K4399" s="141"/>
      <c r="L4399" s="135" t="str">
        <f t="shared" si="245"/>
        <v>Heteromys goldmani</v>
      </c>
      <c r="M4399" s="133">
        <f t="shared" si="247"/>
        <v>1.9294199999999999</v>
      </c>
      <c r="N4399" s="133">
        <v>85.000210259171723</v>
      </c>
      <c r="O4399" s="179" t="s">
        <v>6641</v>
      </c>
      <c r="P4399" s="117">
        <v>66</v>
      </c>
      <c r="Q4399" s="90" t="s">
        <v>6642</v>
      </c>
      <c r="W4399"/>
      <c r="X4399"/>
      <c r="Y4399"/>
      <c r="Z4399"/>
      <c r="AA4399"/>
      <c r="AB4399"/>
      <c r="AC4399"/>
      <c r="AD4399"/>
    </row>
    <row r="4400" spans="1:30" ht="12" customHeight="1">
      <c r="A4400" s="118" t="s">
        <v>3816</v>
      </c>
      <c r="B4400" s="166"/>
      <c r="C4400" s="118" t="s">
        <v>3817</v>
      </c>
      <c r="D4400" s="141"/>
      <c r="E4400" s="118"/>
      <c r="F4400" s="118"/>
      <c r="G4400" s="118" t="s">
        <v>3618</v>
      </c>
      <c r="H4400" s="118" t="s">
        <v>4007</v>
      </c>
      <c r="I4400" s="118" t="s">
        <v>8072</v>
      </c>
      <c r="J4400" s="118" t="s">
        <v>7639</v>
      </c>
      <c r="K4400" s="141"/>
      <c r="L4400" s="135" t="str">
        <f t="shared" si="245"/>
        <v>Liomys pictus</v>
      </c>
      <c r="M4400" s="133">
        <f t="shared" si="247"/>
        <v>1.60206</v>
      </c>
      <c r="N4400" s="133">
        <v>40.000000798724201</v>
      </c>
      <c r="O4400" s="179" t="s">
        <v>3356</v>
      </c>
      <c r="P4400" s="108">
        <v>60</v>
      </c>
      <c r="R4400" s="89"/>
      <c r="T4400" s="83"/>
      <c r="W4400"/>
      <c r="X4400"/>
      <c r="Y4400"/>
      <c r="Z4400"/>
      <c r="AA4400"/>
      <c r="AB4400"/>
      <c r="AC4400"/>
      <c r="AD4400"/>
    </row>
    <row r="4401" spans="1:20">
      <c r="A4401" s="118" t="s">
        <v>3816</v>
      </c>
      <c r="B4401" s="166"/>
      <c r="C4401" s="118" t="s">
        <v>3817</v>
      </c>
      <c r="D4401" s="141"/>
      <c r="E4401" s="118"/>
      <c r="F4401" s="118"/>
      <c r="G4401" s="118" t="s">
        <v>3618</v>
      </c>
      <c r="H4401" s="118" t="s">
        <v>4007</v>
      </c>
      <c r="I4401" s="118" t="s">
        <v>8072</v>
      </c>
      <c r="J4401" s="118" t="s">
        <v>8076</v>
      </c>
      <c r="K4401" s="141"/>
      <c r="L4401" s="135" t="str">
        <f t="shared" si="245"/>
        <v>Liomys salvini</v>
      </c>
      <c r="M4401" s="133">
        <f t="shared" si="247"/>
        <v>1.6232500000000003</v>
      </c>
      <c r="N4401" s="133">
        <v>42.000068624663172</v>
      </c>
      <c r="O4401" s="179" t="s">
        <v>3356</v>
      </c>
      <c r="P4401" s="108">
        <v>60</v>
      </c>
      <c r="T4401" s="82"/>
    </row>
    <row r="4402" spans="1:20">
      <c r="A4402" s="118" t="s">
        <v>3816</v>
      </c>
      <c r="B4402" s="166"/>
      <c r="C4402" s="118" t="s">
        <v>3817</v>
      </c>
      <c r="D4402" s="141"/>
      <c r="E4402" s="118"/>
      <c r="F4402" s="118"/>
      <c r="G4402" s="118" t="s">
        <v>3618</v>
      </c>
      <c r="H4402" s="118" t="s">
        <v>4007</v>
      </c>
      <c r="I4402" s="118" t="s">
        <v>8072</v>
      </c>
      <c r="J4402" s="118" t="s">
        <v>6075</v>
      </c>
      <c r="K4402" s="141"/>
      <c r="L4402" s="135" t="str">
        <f t="shared" si="245"/>
        <v>Liomys irroratus</v>
      </c>
      <c r="M4402" s="133">
        <f t="shared" si="247"/>
        <v>1.6989700043360187</v>
      </c>
      <c r="N4402" s="133">
        <v>50</v>
      </c>
      <c r="O4402" s="179" t="s">
        <v>3356</v>
      </c>
      <c r="P4402" s="117">
        <v>66</v>
      </c>
      <c r="T4402" s="82"/>
    </row>
    <row r="4403" spans="1:20" ht="25.5">
      <c r="A4403" s="118" t="s">
        <v>3816</v>
      </c>
      <c r="B4403" s="166"/>
      <c r="C4403" s="118" t="s">
        <v>3817</v>
      </c>
      <c r="D4403" s="141"/>
      <c r="E4403" s="118"/>
      <c r="F4403" s="118"/>
      <c r="G4403" s="118" t="s">
        <v>3618</v>
      </c>
      <c r="H4403" s="118" t="s">
        <v>4007</v>
      </c>
      <c r="I4403" s="118" t="s">
        <v>8072</v>
      </c>
      <c r="J4403" s="118" t="s">
        <v>3176</v>
      </c>
      <c r="K4403" s="141"/>
      <c r="L4403" s="135" t="str">
        <f t="shared" si="245"/>
        <v>Liomys adspersus</v>
      </c>
      <c r="M4403" s="133">
        <f t="shared" si="247"/>
        <v>1.8129100000000002</v>
      </c>
      <c r="N4403" s="133">
        <v>64.999497619814377</v>
      </c>
      <c r="O4403" s="179" t="s">
        <v>8149</v>
      </c>
      <c r="P4403" s="117">
        <v>61</v>
      </c>
      <c r="Q4403" s="90" t="s">
        <v>6642</v>
      </c>
      <c r="T4403" s="82"/>
    </row>
    <row r="4404" spans="1:20" ht="25.5">
      <c r="A4404" s="118" t="s">
        <v>3816</v>
      </c>
      <c r="B4404" s="166"/>
      <c r="C4404" s="118" t="s">
        <v>3817</v>
      </c>
      <c r="D4404" s="141"/>
      <c r="E4404" s="118"/>
      <c r="F4404" s="118"/>
      <c r="G4404" s="118" t="s">
        <v>3618</v>
      </c>
      <c r="H4404" s="118" t="s">
        <v>4007</v>
      </c>
      <c r="I4404" s="118" t="s">
        <v>8072</v>
      </c>
      <c r="J4404" s="118" t="s">
        <v>5540</v>
      </c>
      <c r="K4404" s="141"/>
      <c r="L4404" s="135" t="str">
        <f t="shared" si="245"/>
        <v>Liomys spectabilis</v>
      </c>
      <c r="M4404" s="133">
        <f t="shared" si="247"/>
        <v>1.8129100000000002</v>
      </c>
      <c r="N4404" s="133">
        <v>64.999497619814377</v>
      </c>
      <c r="O4404" s="179" t="s">
        <v>8149</v>
      </c>
      <c r="P4404" s="117">
        <v>66</v>
      </c>
      <c r="Q4404" s="90" t="s">
        <v>6642</v>
      </c>
      <c r="T4404" s="82"/>
    </row>
    <row r="4405" spans="1:20">
      <c r="A4405" s="118" t="s">
        <v>3816</v>
      </c>
      <c r="B4405" s="166"/>
      <c r="C4405" s="118" t="s">
        <v>3817</v>
      </c>
      <c r="D4405" s="141"/>
      <c r="E4405" s="118"/>
      <c r="F4405" s="118"/>
      <c r="G4405" s="118" t="s">
        <v>3618</v>
      </c>
      <c r="H4405" s="118" t="s">
        <v>4007</v>
      </c>
      <c r="I4405" s="118" t="s">
        <v>8077</v>
      </c>
      <c r="J4405" s="118" t="s">
        <v>8078</v>
      </c>
      <c r="K4405" s="141"/>
      <c r="L4405" s="135" t="str">
        <f t="shared" si="245"/>
        <v>Microdipodops megacephalus</v>
      </c>
      <c r="M4405" s="133">
        <f t="shared" si="247"/>
        <v>1.01912</v>
      </c>
      <c r="N4405" s="133">
        <v>10.450089259696501</v>
      </c>
      <c r="O4405" s="179" t="s">
        <v>3356</v>
      </c>
      <c r="P4405" s="108">
        <v>60</v>
      </c>
      <c r="T4405" s="92"/>
    </row>
    <row r="4406" spans="1:20">
      <c r="A4406" s="118" t="s">
        <v>3816</v>
      </c>
      <c r="B4406" s="166"/>
      <c r="C4406" s="118" t="s">
        <v>3817</v>
      </c>
      <c r="D4406" s="141"/>
      <c r="E4406" s="118"/>
      <c r="F4406" s="118"/>
      <c r="G4406" s="118" t="s">
        <v>3618</v>
      </c>
      <c r="H4406" s="118" t="s">
        <v>4007</v>
      </c>
      <c r="I4406" s="118" t="s">
        <v>8077</v>
      </c>
      <c r="J4406" s="118" t="s">
        <v>5379</v>
      </c>
      <c r="K4406" s="141"/>
      <c r="L4406" s="135" t="str">
        <f t="shared" si="245"/>
        <v>Microdipodops pallidus</v>
      </c>
      <c r="M4406" s="133">
        <f t="shared" si="247"/>
        <v>1.0969100000000001</v>
      </c>
      <c r="N4406" s="133">
        <v>12.499999625598049</v>
      </c>
      <c r="O4406" s="179" t="s">
        <v>3356</v>
      </c>
      <c r="P4406" s="108">
        <v>60</v>
      </c>
      <c r="T4406" s="92"/>
    </row>
    <row r="4407" spans="1:20">
      <c r="A4407" s="118" t="s">
        <v>3816</v>
      </c>
      <c r="B4407" s="166"/>
      <c r="C4407" s="118" t="s">
        <v>3817</v>
      </c>
      <c r="D4407" s="141"/>
      <c r="E4407" s="118"/>
      <c r="F4407" s="118"/>
      <c r="G4407" s="118" t="s">
        <v>3618</v>
      </c>
      <c r="H4407" s="118" t="s">
        <v>4007</v>
      </c>
      <c r="I4407" s="118" t="s">
        <v>5380</v>
      </c>
      <c r="J4407" s="118" t="s">
        <v>2222</v>
      </c>
      <c r="K4407" s="141"/>
      <c r="L4407" s="135" t="str">
        <f t="shared" si="245"/>
        <v>Perognathus merriami</v>
      </c>
      <c r="M4407" s="133">
        <f t="shared" si="247"/>
        <v>0.83569000000000004</v>
      </c>
      <c r="N4407" s="133">
        <v>6.8499909860228438</v>
      </c>
      <c r="O4407" s="179" t="s">
        <v>3356</v>
      </c>
      <c r="P4407" s="108">
        <v>60</v>
      </c>
      <c r="T4407" s="92"/>
    </row>
    <row r="4408" spans="1:20">
      <c r="A4408" s="118" t="s">
        <v>3816</v>
      </c>
      <c r="B4408" s="166"/>
      <c r="C4408" s="118" t="s">
        <v>3817</v>
      </c>
      <c r="D4408" s="141"/>
      <c r="E4408" s="118"/>
      <c r="F4408" s="118"/>
      <c r="G4408" s="118" t="s">
        <v>3618</v>
      </c>
      <c r="H4408" s="118" t="s">
        <v>4007</v>
      </c>
      <c r="I4408" s="118" t="s">
        <v>5380</v>
      </c>
      <c r="J4408" s="118" t="s">
        <v>5633</v>
      </c>
      <c r="K4408" s="141"/>
      <c r="L4408" s="135" t="str">
        <f t="shared" si="245"/>
        <v>Perognathus longimembris</v>
      </c>
      <c r="M4408" s="133">
        <f t="shared" si="247"/>
        <v>0.88081000000000009</v>
      </c>
      <c r="N4408" s="133">
        <v>7.5999371366152699</v>
      </c>
      <c r="O4408" s="179" t="s">
        <v>3356</v>
      </c>
      <c r="P4408" s="108">
        <v>60</v>
      </c>
      <c r="T4408" s="92"/>
    </row>
    <row r="4409" spans="1:20">
      <c r="A4409" s="118" t="s">
        <v>3816</v>
      </c>
      <c r="B4409" s="166"/>
      <c r="C4409" s="118" t="s">
        <v>3817</v>
      </c>
      <c r="D4409" s="141"/>
      <c r="E4409" s="118"/>
      <c r="F4409" s="118"/>
      <c r="G4409" s="118" t="s">
        <v>3618</v>
      </c>
      <c r="H4409" s="118" t="s">
        <v>4007</v>
      </c>
      <c r="I4409" s="118" t="s">
        <v>5380</v>
      </c>
      <c r="J4409" s="118" t="s">
        <v>7217</v>
      </c>
      <c r="K4409" s="141"/>
      <c r="L4409" s="135" t="str">
        <f t="shared" si="245"/>
        <v>Perognathus flavus</v>
      </c>
      <c r="M4409" s="133">
        <f t="shared" si="247"/>
        <v>0.8883700000000001</v>
      </c>
      <c r="N4409" s="133">
        <v>7.7333915582751924</v>
      </c>
      <c r="O4409" s="179" t="s">
        <v>3356</v>
      </c>
      <c r="P4409" s="108">
        <v>60</v>
      </c>
      <c r="T4409" s="92"/>
    </row>
    <row r="4410" spans="1:20">
      <c r="A4410" s="118" t="s">
        <v>3816</v>
      </c>
      <c r="B4410" s="166"/>
      <c r="C4410" s="118" t="s">
        <v>3817</v>
      </c>
      <c r="D4410" s="141"/>
      <c r="E4410" s="118"/>
      <c r="F4410" s="118"/>
      <c r="G4410" s="118" t="s">
        <v>3618</v>
      </c>
      <c r="H4410" s="118" t="s">
        <v>4007</v>
      </c>
      <c r="I4410" s="118" t="s">
        <v>5380</v>
      </c>
      <c r="J4410" s="118" t="s">
        <v>7584</v>
      </c>
      <c r="K4410" s="141"/>
      <c r="L4410" s="135" t="str">
        <f t="shared" si="245"/>
        <v>Perognathus flavescens</v>
      </c>
      <c r="M4410" s="133">
        <f t="shared" si="247"/>
        <v>0.94448000000000021</v>
      </c>
      <c r="N4410" s="133">
        <v>8.7999458550589047</v>
      </c>
      <c r="O4410" s="179" t="s">
        <v>3356</v>
      </c>
      <c r="P4410" s="108">
        <v>60</v>
      </c>
      <c r="T4410" s="92"/>
    </row>
    <row r="4411" spans="1:20" ht="15.75">
      <c r="A4411" s="118" t="s">
        <v>3816</v>
      </c>
      <c r="B4411" s="166"/>
      <c r="C4411" s="118" t="s">
        <v>3817</v>
      </c>
      <c r="D4411" s="141"/>
      <c r="E4411" s="118"/>
      <c r="F4411" s="118"/>
      <c r="G4411" s="118" t="s">
        <v>3618</v>
      </c>
      <c r="H4411" s="118" t="s">
        <v>4007</v>
      </c>
      <c r="I4411" s="118" t="s">
        <v>5380</v>
      </c>
      <c r="J4411" s="118" t="s">
        <v>5411</v>
      </c>
      <c r="K4411" s="141"/>
      <c r="L4411" s="135" t="str">
        <f t="shared" si="245"/>
        <v>Perognathus inornatus</v>
      </c>
      <c r="M4411" s="133">
        <f t="shared" si="247"/>
        <v>1.0367599999999999</v>
      </c>
      <c r="N4411" s="133">
        <v>10.883284945685718</v>
      </c>
      <c r="O4411" s="179" t="s">
        <v>3356</v>
      </c>
      <c r="P4411" s="108">
        <v>60</v>
      </c>
      <c r="R4411" s="89"/>
      <c r="T4411" s="92"/>
    </row>
    <row r="4412" spans="1:20">
      <c r="A4412" s="118" t="s">
        <v>3816</v>
      </c>
      <c r="B4412" s="166"/>
      <c r="C4412" s="118" t="s">
        <v>3817</v>
      </c>
      <c r="D4412" s="141"/>
      <c r="E4412" s="118"/>
      <c r="F4412" s="118"/>
      <c r="G4412" s="118" t="s">
        <v>3618</v>
      </c>
      <c r="H4412" s="118" t="s">
        <v>4007</v>
      </c>
      <c r="I4412" s="118" t="s">
        <v>5380</v>
      </c>
      <c r="J4412" s="118" t="s">
        <v>4369</v>
      </c>
      <c r="K4412" s="141"/>
      <c r="L4412" s="135" t="str">
        <f t="shared" si="245"/>
        <v>Perognathus fasciatus</v>
      </c>
      <c r="M4412" s="133">
        <f t="shared" si="247"/>
        <v>1.0625800000000003</v>
      </c>
      <c r="N4412" s="133">
        <v>11.549947229854666</v>
      </c>
      <c r="O4412" s="179" t="s">
        <v>3356</v>
      </c>
      <c r="P4412" s="108">
        <v>60</v>
      </c>
      <c r="T4412" s="92"/>
    </row>
    <row r="4413" spans="1:20">
      <c r="A4413" s="118" t="s">
        <v>3816</v>
      </c>
      <c r="B4413" s="166"/>
      <c r="C4413" s="118" t="s">
        <v>3817</v>
      </c>
      <c r="D4413" s="141"/>
      <c r="E4413" s="118"/>
      <c r="F4413" s="118"/>
      <c r="G4413" s="118" t="s">
        <v>3618</v>
      </c>
      <c r="H4413" s="118" t="s">
        <v>4007</v>
      </c>
      <c r="I4413" s="118" t="s">
        <v>5380</v>
      </c>
      <c r="J4413" s="118" t="s">
        <v>8073</v>
      </c>
      <c r="K4413" s="141"/>
      <c r="L4413" s="135" t="str">
        <f t="shared" si="245"/>
        <v>Perognathus amplus</v>
      </c>
      <c r="M4413" s="133">
        <f t="shared" si="247"/>
        <v>1.06819</v>
      </c>
      <c r="N4413" s="133">
        <v>11.700111486105868</v>
      </c>
      <c r="O4413" s="179" t="s">
        <v>6882</v>
      </c>
      <c r="P4413" s="108">
        <v>60</v>
      </c>
      <c r="Q4413" s="90" t="s">
        <v>6642</v>
      </c>
      <c r="T4413" s="92"/>
    </row>
    <row r="4414" spans="1:20">
      <c r="A4414" s="118" t="s">
        <v>3816</v>
      </c>
      <c r="B4414" s="166"/>
      <c r="C4414" s="118" t="s">
        <v>3817</v>
      </c>
      <c r="D4414" s="141"/>
      <c r="E4414" s="118"/>
      <c r="F4414" s="118"/>
      <c r="G4414" s="118" t="s">
        <v>3618</v>
      </c>
      <c r="H4414" s="118" t="s">
        <v>4007</v>
      </c>
      <c r="I4414" s="118" t="s">
        <v>5380</v>
      </c>
      <c r="J4414" s="118" t="s">
        <v>7332</v>
      </c>
      <c r="K4414" s="141"/>
      <c r="L4414" s="135" t="str">
        <f t="shared" si="245"/>
        <v>Perognathus parvus</v>
      </c>
      <c r="M4414" s="133">
        <f t="shared" si="247"/>
        <v>1.3379600000000003</v>
      </c>
      <c r="N4414" s="133">
        <v>21.775092071073249</v>
      </c>
      <c r="O4414" s="179" t="s">
        <v>3356</v>
      </c>
      <c r="P4414" s="108">
        <v>60</v>
      </c>
      <c r="T4414" s="92"/>
    </row>
    <row r="4415" spans="1:20">
      <c r="A4415" s="118" t="s">
        <v>3816</v>
      </c>
      <c r="B4415" s="166"/>
      <c r="C4415" s="118" t="s">
        <v>3817</v>
      </c>
      <c r="D4415" s="141"/>
      <c r="E4415" s="118"/>
      <c r="F4415" s="118"/>
      <c r="G4415" s="118" t="s">
        <v>3618</v>
      </c>
      <c r="H4415" s="118" t="s">
        <v>4007</v>
      </c>
      <c r="I4415" s="118" t="s">
        <v>5380</v>
      </c>
      <c r="J4415" s="118" t="s">
        <v>5373</v>
      </c>
      <c r="K4415" s="141"/>
      <c r="L4415" s="135" t="str">
        <f t="shared" si="245"/>
        <v>Perognathus alticola</v>
      </c>
      <c r="M4415" s="133">
        <f t="shared" si="247"/>
        <v>1.3802100000000002</v>
      </c>
      <c r="N4415" s="133">
        <v>23.999931380578893</v>
      </c>
      <c r="O4415" s="179" t="s">
        <v>7080</v>
      </c>
      <c r="P4415" s="117">
        <v>66</v>
      </c>
      <c r="Q4415" s="90" t="s">
        <v>6642</v>
      </c>
      <c r="T4415" s="92"/>
    </row>
    <row r="4416" spans="1:20" ht="12" customHeight="1">
      <c r="A4416" s="118" t="s">
        <v>3816</v>
      </c>
      <c r="B4416" s="166"/>
      <c r="C4416" s="118" t="s">
        <v>3817</v>
      </c>
      <c r="D4416" s="141"/>
      <c r="E4416" s="118"/>
      <c r="F4416" s="118"/>
      <c r="G4416" s="118" t="s">
        <v>3618</v>
      </c>
      <c r="H4416" s="118" t="s">
        <v>4007</v>
      </c>
      <c r="I4416" s="118" t="s">
        <v>5380</v>
      </c>
      <c r="J4416" s="118" t="s">
        <v>5634</v>
      </c>
      <c r="K4416" s="141"/>
      <c r="L4416" s="135" t="str">
        <f t="shared" si="245"/>
        <v>Perognathus xanthanotus</v>
      </c>
      <c r="M4416" s="133">
        <f t="shared" si="247"/>
        <v>1.3802100000000002</v>
      </c>
      <c r="N4416" s="133">
        <v>23.999931380578893</v>
      </c>
      <c r="O4416" s="179" t="s">
        <v>3356</v>
      </c>
      <c r="P4416" s="117">
        <v>66</v>
      </c>
      <c r="R4416" s="89"/>
      <c r="T4416" s="92"/>
    </row>
    <row r="4417" spans="1:20" ht="12" customHeight="1">
      <c r="A4417" s="118" t="s">
        <v>3816</v>
      </c>
      <c r="B4417" s="166"/>
      <c r="C4417" s="118" t="s">
        <v>3817</v>
      </c>
      <c r="D4417" s="141"/>
      <c r="E4417" s="118"/>
      <c r="F4417" s="118"/>
      <c r="G4417" s="118" t="s">
        <v>3618</v>
      </c>
      <c r="H4417" s="118" t="s">
        <v>3638</v>
      </c>
      <c r="I4417" s="118" t="s">
        <v>4031</v>
      </c>
      <c r="J4417" s="118" t="s">
        <v>4222</v>
      </c>
      <c r="K4417" s="141"/>
      <c r="L4417" s="135" t="str">
        <f t="shared" si="245"/>
        <v>Arborimus longicaudus</v>
      </c>
      <c r="M4417" s="133">
        <f t="shared" si="247"/>
        <v>1.3384600000000002</v>
      </c>
      <c r="N4417" s="133">
        <v>21.800176008978656</v>
      </c>
      <c r="O4417" s="179" t="s">
        <v>3356</v>
      </c>
      <c r="P4417" s="108">
        <v>60</v>
      </c>
      <c r="R4417" s="89"/>
      <c r="T4417" s="92"/>
    </row>
    <row r="4418" spans="1:20">
      <c r="A4418" s="118" t="s">
        <v>3816</v>
      </c>
      <c r="B4418" s="166"/>
      <c r="C4418" s="118" t="s">
        <v>3817</v>
      </c>
      <c r="D4418" s="141"/>
      <c r="E4418" s="118"/>
      <c r="F4418" s="118"/>
      <c r="G4418" s="118" t="s">
        <v>3618</v>
      </c>
      <c r="H4418" s="118" t="s">
        <v>3638</v>
      </c>
      <c r="I4418" s="118" t="s">
        <v>4031</v>
      </c>
      <c r="J4418" s="118" t="s">
        <v>4032</v>
      </c>
      <c r="K4418" s="141"/>
      <c r="L4418" s="135" t="str">
        <f t="shared" si="245"/>
        <v>Arborimus albipes</v>
      </c>
      <c r="M4418" s="133">
        <f t="shared" si="247"/>
        <v>1.3617300000000003</v>
      </c>
      <c r="N4418" s="133">
        <v>23.000114603619075</v>
      </c>
      <c r="O4418" s="179" t="s">
        <v>3356</v>
      </c>
      <c r="P4418" s="108">
        <v>60</v>
      </c>
      <c r="Q4418" s="90" t="s">
        <v>6987</v>
      </c>
    </row>
    <row r="4419" spans="1:20">
      <c r="A4419" s="118" t="s">
        <v>3816</v>
      </c>
      <c r="B4419" s="165" t="s">
        <v>2257</v>
      </c>
      <c r="C4419" s="118" t="s">
        <v>3817</v>
      </c>
      <c r="D4419" s="141"/>
      <c r="E4419" s="118"/>
      <c r="F4419" s="118"/>
      <c r="G4419" s="118" t="s">
        <v>3618</v>
      </c>
      <c r="H4419" s="118" t="s">
        <v>3638</v>
      </c>
      <c r="I4419" s="118" t="s">
        <v>4031</v>
      </c>
      <c r="J4419" s="118" t="s">
        <v>3139</v>
      </c>
      <c r="K4419" s="141"/>
      <c r="L4419" s="135" t="str">
        <f t="shared" si="245"/>
        <v>Arborimus pomo</v>
      </c>
      <c r="M4419" s="133">
        <f t="shared" si="247"/>
        <v>1.5118833609788744</v>
      </c>
      <c r="N4419" s="133">
        <f>AVERAGE(20, 45)</f>
        <v>32.5</v>
      </c>
      <c r="O4419" s="179" t="s">
        <v>3356</v>
      </c>
      <c r="P4419" s="108">
        <v>97</v>
      </c>
      <c r="Q4419" s="90" t="s">
        <v>6987</v>
      </c>
    </row>
    <row r="4420" spans="1:20" ht="12" customHeight="1">
      <c r="A4420" s="118" t="s">
        <v>3816</v>
      </c>
      <c r="B4420" s="166"/>
      <c r="C4420" s="118" t="s">
        <v>3817</v>
      </c>
      <c r="D4420" s="141"/>
      <c r="E4420" s="118"/>
      <c r="F4420" s="118"/>
      <c r="G4420" s="118" t="s">
        <v>3618</v>
      </c>
      <c r="H4420" s="118" t="s">
        <v>3638</v>
      </c>
      <c r="I4420" s="118" t="s">
        <v>6756</v>
      </c>
      <c r="J4420" s="118" t="s">
        <v>4220</v>
      </c>
      <c r="K4420" s="141"/>
      <c r="L4420" s="135" t="str">
        <f t="shared" si="245"/>
        <v>Baiomys taylori</v>
      </c>
      <c r="M4420" s="133">
        <f t="shared" si="247"/>
        <v>0.90309000000000006</v>
      </c>
      <c r="N4420" s="133">
        <v>8.0000002396172594</v>
      </c>
      <c r="O4420" s="179" t="s">
        <v>3356</v>
      </c>
      <c r="P4420" s="108">
        <v>60</v>
      </c>
      <c r="R4420" s="89"/>
    </row>
    <row r="4421" spans="1:20">
      <c r="A4421" s="118" t="s">
        <v>3816</v>
      </c>
      <c r="B4421" s="166"/>
      <c r="C4421" s="118" t="s">
        <v>3817</v>
      </c>
      <c r="D4421" s="141"/>
      <c r="E4421" s="118"/>
      <c r="F4421" s="118"/>
      <c r="G4421" s="118" t="s">
        <v>3618</v>
      </c>
      <c r="H4421" s="118" t="s">
        <v>3638</v>
      </c>
      <c r="I4421" s="118" t="s">
        <v>6756</v>
      </c>
      <c r="J4421" s="118" t="s">
        <v>4307</v>
      </c>
      <c r="K4421" s="141"/>
      <c r="L4421" s="135" t="str">
        <f t="shared" ref="L4421:L4484" si="248">I4421&amp;" "&amp;J4421</f>
        <v>Baiomys musculus</v>
      </c>
      <c r="M4421" s="133">
        <f t="shared" si="247"/>
        <v>0.95423999999999998</v>
      </c>
      <c r="N4421" s="133">
        <v>8.999947996372013</v>
      </c>
      <c r="O4421" s="179" t="s">
        <v>3356</v>
      </c>
      <c r="P4421" s="117">
        <v>66</v>
      </c>
    </row>
    <row r="4422" spans="1:20">
      <c r="A4422" s="118" t="s">
        <v>3816</v>
      </c>
      <c r="B4422" s="166"/>
      <c r="C4422" s="118" t="s">
        <v>3817</v>
      </c>
      <c r="D4422" s="141"/>
      <c r="E4422" s="118"/>
      <c r="F4422" s="118"/>
      <c r="G4422" s="118" t="s">
        <v>3618</v>
      </c>
      <c r="H4422" s="118" t="s">
        <v>3638</v>
      </c>
      <c r="I4422" s="118" t="s">
        <v>4221</v>
      </c>
      <c r="J4422" s="118" t="s">
        <v>4404</v>
      </c>
      <c r="K4422" s="141"/>
      <c r="L4422" s="135" t="str">
        <f t="shared" si="248"/>
        <v>Clethrionomys californicus</v>
      </c>
      <c r="M4422" s="133">
        <f t="shared" si="247"/>
        <v>1.2624500000000001</v>
      </c>
      <c r="N4422" s="133">
        <v>18.299954081751743</v>
      </c>
      <c r="O4422" s="179" t="s">
        <v>3356</v>
      </c>
      <c r="P4422" s="108">
        <v>60</v>
      </c>
      <c r="T4422" s="92"/>
    </row>
    <row r="4423" spans="1:20">
      <c r="A4423" s="118" t="s">
        <v>3816</v>
      </c>
      <c r="B4423" s="166"/>
      <c r="C4423" s="118" t="s">
        <v>3817</v>
      </c>
      <c r="D4423" s="141"/>
      <c r="E4423" s="118"/>
      <c r="F4423" s="118"/>
      <c r="G4423" s="118" t="s">
        <v>3618</v>
      </c>
      <c r="H4423" s="118" t="s">
        <v>3638</v>
      </c>
      <c r="I4423" s="118" t="s">
        <v>4221</v>
      </c>
      <c r="J4423" s="118" t="s">
        <v>4406</v>
      </c>
      <c r="K4423" s="141"/>
      <c r="L4423" s="135" t="str">
        <f t="shared" si="248"/>
        <v>Clethrionomys gapperi</v>
      </c>
      <c r="M4423" s="133">
        <f t="shared" si="247"/>
        <v>1.2783700000000002</v>
      </c>
      <c r="N4423" s="133">
        <v>18.983225206581469</v>
      </c>
      <c r="O4423" s="179" t="s">
        <v>3356</v>
      </c>
      <c r="P4423" s="108">
        <v>60</v>
      </c>
      <c r="T4423" s="92"/>
    </row>
    <row r="4424" spans="1:20">
      <c r="A4424" s="121" t="s">
        <v>3816</v>
      </c>
      <c r="B4424" s="166"/>
      <c r="C4424" s="118" t="s">
        <v>3817</v>
      </c>
      <c r="D4424" s="141"/>
      <c r="E4424" s="118"/>
      <c r="F4424" s="118"/>
      <c r="G4424" s="118" t="s">
        <v>3618</v>
      </c>
      <c r="H4424" s="118" t="s">
        <v>3638</v>
      </c>
      <c r="I4424" s="118" t="s">
        <v>4221</v>
      </c>
      <c r="J4424" s="118" t="s">
        <v>4407</v>
      </c>
      <c r="K4424" s="141"/>
      <c r="L4424" s="135" t="str">
        <f t="shared" si="248"/>
        <v>Clethrionomys rutilus</v>
      </c>
      <c r="M4424" s="133">
        <f t="shared" si="247"/>
        <v>1.4624000000000001</v>
      </c>
      <c r="N4424" s="133">
        <v>29.000133690540697</v>
      </c>
      <c r="O4424" s="179" t="s">
        <v>3356</v>
      </c>
      <c r="P4424" s="117">
        <v>66</v>
      </c>
    </row>
    <row r="4425" spans="1:20" ht="25.5">
      <c r="A4425" s="118" t="s">
        <v>3816</v>
      </c>
      <c r="B4425" s="165" t="s">
        <v>2294</v>
      </c>
      <c r="C4425" s="118" t="s">
        <v>3817</v>
      </c>
      <c r="D4425" s="141"/>
      <c r="E4425" s="118"/>
      <c r="F4425" s="118"/>
      <c r="G4425" s="118" t="s">
        <v>3618</v>
      </c>
      <c r="H4425" s="118" t="s">
        <v>3638</v>
      </c>
      <c r="I4425" s="118" t="s">
        <v>4408</v>
      </c>
      <c r="J4425" s="118" t="s">
        <v>3155</v>
      </c>
      <c r="K4425" s="141"/>
      <c r="L4425" s="135" t="str">
        <f t="shared" si="248"/>
        <v>Dicrostonyx nelsoni</v>
      </c>
      <c r="M4425" s="133">
        <v>-999</v>
      </c>
      <c r="N4425" s="133">
        <v>-999</v>
      </c>
      <c r="O4425" s="179" t="s">
        <v>3356</v>
      </c>
      <c r="P4425" s="108">
        <v>-999</v>
      </c>
      <c r="Q4425" s="80"/>
    </row>
    <row r="4426" spans="1:20" ht="25.5">
      <c r="A4426" s="118" t="s">
        <v>3816</v>
      </c>
      <c r="B4426" s="165" t="s">
        <v>2295</v>
      </c>
      <c r="C4426" s="118" t="s">
        <v>3817</v>
      </c>
      <c r="D4426" s="141"/>
      <c r="E4426" s="118"/>
      <c r="F4426" s="118"/>
      <c r="G4426" s="118" t="s">
        <v>3618</v>
      </c>
      <c r="H4426" s="118" t="s">
        <v>3638</v>
      </c>
      <c r="I4426" s="118" t="s">
        <v>4408</v>
      </c>
      <c r="J4426" s="118" t="s">
        <v>6489</v>
      </c>
      <c r="K4426" s="141"/>
      <c r="L4426" s="135" t="str">
        <f t="shared" si="248"/>
        <v>Dicrostonyx nunatakensis</v>
      </c>
      <c r="M4426" s="133">
        <v>-999</v>
      </c>
      <c r="N4426" s="133">
        <v>-999</v>
      </c>
      <c r="P4426" s="108">
        <v>-999</v>
      </c>
      <c r="Q4426" s="80" t="s">
        <v>6987</v>
      </c>
      <c r="R4426" s="85">
        <f>2.761*(LOG(175)) +-6.8244</f>
        <v>-0.63137194757714088</v>
      </c>
    </row>
    <row r="4427" spans="1:20">
      <c r="A4427" s="118" t="s">
        <v>3816</v>
      </c>
      <c r="B4427" s="166"/>
      <c r="C4427" s="118" t="s">
        <v>3817</v>
      </c>
      <c r="D4427" s="141"/>
      <c r="E4427" s="118"/>
      <c r="F4427" s="118"/>
      <c r="G4427" s="118" t="s">
        <v>3618</v>
      </c>
      <c r="H4427" s="118" t="s">
        <v>3638</v>
      </c>
      <c r="I4427" s="118" t="s">
        <v>4408</v>
      </c>
      <c r="J4427" s="118" t="s">
        <v>4409</v>
      </c>
      <c r="K4427" s="141"/>
      <c r="L4427" s="135" t="str">
        <f t="shared" si="248"/>
        <v>Dicrostonyx groenlandicus</v>
      </c>
      <c r="M4427" s="133">
        <f t="shared" ref="M4427:M4438" si="249">LOG(N4427)</f>
        <v>1.7356</v>
      </c>
      <c r="N4427" s="133">
        <v>54.400137824672747</v>
      </c>
      <c r="O4427" s="179" t="s">
        <v>3356</v>
      </c>
      <c r="P4427" s="108">
        <v>60</v>
      </c>
    </row>
    <row r="4428" spans="1:20">
      <c r="A4428" s="118" t="s">
        <v>3816</v>
      </c>
      <c r="B4428" s="165" t="s">
        <v>5067</v>
      </c>
      <c r="C4428" s="118" t="s">
        <v>3817</v>
      </c>
      <c r="D4428" s="141"/>
      <c r="E4428" s="118"/>
      <c r="F4428" s="118"/>
      <c r="G4428" s="118" t="s">
        <v>3618</v>
      </c>
      <c r="H4428" s="118" t="s">
        <v>3638</v>
      </c>
      <c r="I4428" s="118" t="s">
        <v>4408</v>
      </c>
      <c r="J4428" s="118" t="s">
        <v>4206</v>
      </c>
      <c r="K4428" s="141"/>
      <c r="L4428" s="135" t="str">
        <f t="shared" si="248"/>
        <v>Dicrostonyx richardsoni</v>
      </c>
      <c r="M4428" s="133">
        <f t="shared" si="249"/>
        <v>1.7403626894942439</v>
      </c>
      <c r="N4428" s="133">
        <v>55</v>
      </c>
      <c r="O4428" s="179" t="s">
        <v>3356</v>
      </c>
      <c r="P4428" s="108" t="s">
        <v>257</v>
      </c>
      <c r="Q4428" s="80"/>
    </row>
    <row r="4429" spans="1:20">
      <c r="A4429" s="118" t="s">
        <v>3816</v>
      </c>
      <c r="B4429" s="166"/>
      <c r="C4429" s="118" t="s">
        <v>3817</v>
      </c>
      <c r="D4429" s="141"/>
      <c r="E4429" s="118"/>
      <c r="F4429" s="118"/>
      <c r="G4429" s="118" t="s">
        <v>3618</v>
      </c>
      <c r="H4429" s="118" t="s">
        <v>3638</v>
      </c>
      <c r="I4429" s="118" t="s">
        <v>4408</v>
      </c>
      <c r="J4429" s="118" t="s">
        <v>6462</v>
      </c>
      <c r="K4429" s="141"/>
      <c r="L4429" s="135" t="str">
        <f t="shared" si="248"/>
        <v>Dicrostonyx hudsonius</v>
      </c>
      <c r="M4429" s="133">
        <f t="shared" si="249"/>
        <v>1.7558700000000003</v>
      </c>
      <c r="N4429" s="133">
        <v>56.999362709414271</v>
      </c>
      <c r="O4429" s="179" t="s">
        <v>3356</v>
      </c>
      <c r="P4429" s="117">
        <v>66</v>
      </c>
    </row>
    <row r="4430" spans="1:20">
      <c r="A4430" s="118" t="s">
        <v>3816</v>
      </c>
      <c r="B4430" s="166"/>
      <c r="C4430" s="118" t="s">
        <v>3817</v>
      </c>
      <c r="D4430" s="141"/>
      <c r="E4430" s="118"/>
      <c r="F4430" s="118"/>
      <c r="G4430" s="118" t="s">
        <v>3618</v>
      </c>
      <c r="H4430" s="118" t="s">
        <v>3638</v>
      </c>
      <c r="I4430" s="118" t="s">
        <v>4410</v>
      </c>
      <c r="J4430" s="118" t="s">
        <v>3974</v>
      </c>
      <c r="K4430" s="141"/>
      <c r="L4430" s="135" t="str">
        <f t="shared" si="248"/>
        <v>Habromys chinanteco</v>
      </c>
      <c r="M4430" s="133">
        <f t="shared" si="249"/>
        <v>1.60206</v>
      </c>
      <c r="N4430" s="133">
        <v>40.000000798724201</v>
      </c>
      <c r="O4430" s="179" t="s">
        <v>3356</v>
      </c>
      <c r="P4430" s="117">
        <v>66</v>
      </c>
    </row>
    <row r="4431" spans="1:20">
      <c r="A4431" s="118" t="s">
        <v>3816</v>
      </c>
      <c r="B4431" s="166"/>
      <c r="C4431" s="118" t="s">
        <v>3817</v>
      </c>
      <c r="D4431" s="141"/>
      <c r="E4431" s="118"/>
      <c r="F4431" s="118"/>
      <c r="G4431" s="118" t="s">
        <v>3618</v>
      </c>
      <c r="H4431" s="118" t="s">
        <v>3638</v>
      </c>
      <c r="I4431" s="118" t="s">
        <v>4410</v>
      </c>
      <c r="J4431" s="118" t="s">
        <v>3976</v>
      </c>
      <c r="K4431" s="141"/>
      <c r="L4431" s="135" t="str">
        <f t="shared" si="248"/>
        <v>Habromys lophurus</v>
      </c>
      <c r="M4431" s="133">
        <f t="shared" si="249"/>
        <v>1.60206</v>
      </c>
      <c r="N4431" s="133">
        <v>40.000000798724201</v>
      </c>
      <c r="O4431" s="179" t="s">
        <v>3356</v>
      </c>
      <c r="P4431" s="117">
        <v>66</v>
      </c>
    </row>
    <row r="4432" spans="1:20" ht="12" customHeight="1">
      <c r="A4432" s="118" t="s">
        <v>3816</v>
      </c>
      <c r="B4432" s="166"/>
      <c r="C4432" s="118" t="s">
        <v>3817</v>
      </c>
      <c r="D4432" s="141"/>
      <c r="E4432" s="118"/>
      <c r="F4432" s="118"/>
      <c r="G4432" s="118" t="s">
        <v>3618</v>
      </c>
      <c r="H4432" s="118" t="s">
        <v>3638</v>
      </c>
      <c r="I4432" s="118" t="s">
        <v>4410</v>
      </c>
      <c r="J4432" s="118" t="s">
        <v>3977</v>
      </c>
      <c r="K4432" s="141"/>
      <c r="L4432" s="135" t="str">
        <f t="shared" si="248"/>
        <v>Habromys simulatus</v>
      </c>
      <c r="M4432" s="133">
        <f t="shared" si="249"/>
        <v>1.60206</v>
      </c>
      <c r="N4432" s="133">
        <v>40.000000798724201</v>
      </c>
      <c r="O4432" s="179" t="s">
        <v>6882</v>
      </c>
      <c r="P4432" s="117">
        <v>66</v>
      </c>
      <c r="Q4432" s="90" t="s">
        <v>6642</v>
      </c>
      <c r="R4432" s="89"/>
    </row>
    <row r="4433" spans="1:30">
      <c r="A4433" s="118" t="s">
        <v>3816</v>
      </c>
      <c r="B4433" s="166"/>
      <c r="C4433" s="118" t="s">
        <v>3817</v>
      </c>
      <c r="D4433" s="141"/>
      <c r="E4433" s="118"/>
      <c r="F4433" s="118"/>
      <c r="G4433" s="118" t="s">
        <v>3618</v>
      </c>
      <c r="H4433" s="118" t="s">
        <v>3638</v>
      </c>
      <c r="I4433" s="118" t="s">
        <v>4410</v>
      </c>
      <c r="J4433" s="118" t="s">
        <v>3975</v>
      </c>
      <c r="K4433" s="141"/>
      <c r="L4433" s="135" t="str">
        <f t="shared" si="248"/>
        <v>Habromys lepturus</v>
      </c>
      <c r="M4433" s="133">
        <f t="shared" si="249"/>
        <v>1.9294199999999999</v>
      </c>
      <c r="N4433" s="133">
        <v>85.000210259171723</v>
      </c>
      <c r="O4433" s="179" t="s">
        <v>6882</v>
      </c>
      <c r="P4433" s="117">
        <v>66</v>
      </c>
      <c r="Q4433" s="90" t="s">
        <v>6642</v>
      </c>
    </row>
    <row r="4434" spans="1:30">
      <c r="A4434" s="118" t="s">
        <v>3816</v>
      </c>
      <c r="B4434" s="166"/>
      <c r="C4434" s="118" t="s">
        <v>3817</v>
      </c>
      <c r="D4434" s="141"/>
      <c r="E4434" s="118"/>
      <c r="F4434" s="118"/>
      <c r="G4434" s="118" t="s">
        <v>3618</v>
      </c>
      <c r="H4434" s="118" t="s">
        <v>3638</v>
      </c>
      <c r="I4434" s="118" t="s">
        <v>3978</v>
      </c>
      <c r="J4434" s="118" t="s">
        <v>4087</v>
      </c>
      <c r="K4434" s="141"/>
      <c r="L4434" s="135" t="str">
        <f t="shared" si="248"/>
        <v>Hodomys alleni</v>
      </c>
      <c r="M4434" s="133">
        <f t="shared" si="249"/>
        <v>2.5653800000000002</v>
      </c>
      <c r="N4434" s="133">
        <v>367.60380665869661</v>
      </c>
      <c r="O4434" s="179" t="s">
        <v>6882</v>
      </c>
      <c r="P4434" s="108">
        <v>60</v>
      </c>
      <c r="Q4434" s="90" t="s">
        <v>6642</v>
      </c>
    </row>
    <row r="4435" spans="1:30">
      <c r="A4435" s="121" t="s">
        <v>3816</v>
      </c>
      <c r="B4435" s="166"/>
      <c r="C4435" s="118" t="s">
        <v>3817</v>
      </c>
      <c r="D4435" s="141"/>
      <c r="E4435" s="118"/>
      <c r="F4435" s="118"/>
      <c r="G4435" s="118" t="s">
        <v>3618</v>
      </c>
      <c r="H4435" s="118" t="s">
        <v>3638</v>
      </c>
      <c r="I4435" s="118" t="s">
        <v>3066</v>
      </c>
      <c r="J4435" s="118" t="s">
        <v>3948</v>
      </c>
      <c r="K4435" s="141"/>
      <c r="L4435" s="135" t="str">
        <f t="shared" si="248"/>
        <v>Isthmomys pirrensis</v>
      </c>
      <c r="M4435" s="133">
        <f t="shared" si="249"/>
        <v>2.1398799999999998</v>
      </c>
      <c r="N4435" s="133">
        <v>138.00029030247268</v>
      </c>
      <c r="O4435" s="179" t="s">
        <v>6882</v>
      </c>
      <c r="P4435" s="108">
        <v>60</v>
      </c>
      <c r="Q4435" s="90" t="s">
        <v>6642</v>
      </c>
      <c r="U4435" s="20"/>
      <c r="V4435" s="20"/>
    </row>
    <row r="4436" spans="1:30">
      <c r="A4436" s="118" t="s">
        <v>3816</v>
      </c>
      <c r="B4436" s="165" t="s">
        <v>2582</v>
      </c>
      <c r="C4436" s="118" t="s">
        <v>3817</v>
      </c>
      <c r="D4436" s="141"/>
      <c r="E4436" s="118"/>
      <c r="F4436" s="118"/>
      <c r="G4436" s="118" t="s">
        <v>3618</v>
      </c>
      <c r="H4436" s="118" t="s">
        <v>3638</v>
      </c>
      <c r="I4436" s="118" t="s">
        <v>3066</v>
      </c>
      <c r="J4436" s="118" t="s">
        <v>5421</v>
      </c>
      <c r="K4436" s="141"/>
      <c r="L4436" s="135" t="str">
        <f t="shared" si="248"/>
        <v>Isthmomys flavidus</v>
      </c>
      <c r="M4436" s="133">
        <f t="shared" si="249"/>
        <v>2.3686280524228591</v>
      </c>
      <c r="N4436" s="133">
        <v>233.68350201942908</v>
      </c>
      <c r="O4436" s="179" t="s">
        <v>7874</v>
      </c>
      <c r="P4436" s="108" t="s">
        <v>7875</v>
      </c>
      <c r="Q4436" s="80"/>
      <c r="R4436" s="85">
        <f>1000*10^R4435</f>
        <v>1000</v>
      </c>
      <c r="U4436" s="20"/>
      <c r="V4436" s="20"/>
    </row>
    <row r="4437" spans="1:30">
      <c r="A4437" s="118" t="s">
        <v>3816</v>
      </c>
      <c r="B4437" s="166"/>
      <c r="C4437" s="118" t="s">
        <v>3817</v>
      </c>
      <c r="D4437" s="141"/>
      <c r="E4437" s="118"/>
      <c r="F4437" s="118"/>
      <c r="G4437" s="118" t="s">
        <v>3618</v>
      </c>
      <c r="H4437" s="118" t="s">
        <v>3638</v>
      </c>
      <c r="I4437" s="118" t="s">
        <v>3979</v>
      </c>
      <c r="J4437" s="118" t="s">
        <v>3980</v>
      </c>
      <c r="K4437" s="141"/>
      <c r="L4437" s="135" t="str">
        <f t="shared" si="248"/>
        <v>Lemmiscus curtatus</v>
      </c>
      <c r="M4437" s="133">
        <f t="shared" si="249"/>
        <v>1.4514000000000002</v>
      </c>
      <c r="N4437" s="133">
        <v>28.274829840696068</v>
      </c>
      <c r="O4437" s="179" t="s">
        <v>3356</v>
      </c>
      <c r="P4437" s="117">
        <v>66</v>
      </c>
      <c r="U4437" s="20"/>
      <c r="V4437" s="20"/>
    </row>
    <row r="4438" spans="1:30">
      <c r="A4438" s="121" t="s">
        <v>3816</v>
      </c>
      <c r="B4438" s="166"/>
      <c r="C4438" s="118" t="s">
        <v>3817</v>
      </c>
      <c r="D4438" s="141"/>
      <c r="E4438" s="118"/>
      <c r="F4438" s="118"/>
      <c r="G4438" s="118" t="s">
        <v>3618</v>
      </c>
      <c r="H4438" s="118" t="s">
        <v>3638</v>
      </c>
      <c r="I4438" s="118" t="s">
        <v>7093</v>
      </c>
      <c r="J4438" s="118" t="s">
        <v>7094</v>
      </c>
      <c r="K4438" s="141"/>
      <c r="L4438" s="135" t="str">
        <f t="shared" si="248"/>
        <v>Lemmus sibiricus</v>
      </c>
      <c r="M4438" s="133">
        <f t="shared" si="249"/>
        <v>1.7182200000000003</v>
      </c>
      <c r="N4438" s="133">
        <v>52.266088560600423</v>
      </c>
      <c r="O4438" s="179" t="s">
        <v>3356</v>
      </c>
      <c r="P4438" s="108">
        <v>60</v>
      </c>
      <c r="U4438" s="20"/>
      <c r="V4438" s="20"/>
    </row>
    <row r="4439" spans="1:30" ht="25.5">
      <c r="A4439" s="118" t="s">
        <v>3816</v>
      </c>
      <c r="B4439" s="165" t="s">
        <v>2672</v>
      </c>
      <c r="C4439" s="118" t="s">
        <v>3817</v>
      </c>
      <c r="D4439" s="141"/>
      <c r="E4439" s="118"/>
      <c r="F4439" s="118"/>
      <c r="G4439" s="118" t="s">
        <v>3618</v>
      </c>
      <c r="H4439" s="118" t="s">
        <v>3638</v>
      </c>
      <c r="I4439" s="118" t="s">
        <v>4227</v>
      </c>
      <c r="J4439" s="118" t="s">
        <v>5422</v>
      </c>
      <c r="K4439" s="141"/>
      <c r="L4439" s="135" t="str">
        <f t="shared" si="248"/>
        <v>Megadontomys cryophilus</v>
      </c>
      <c r="M4439" s="133">
        <v>-999</v>
      </c>
      <c r="N4439" s="133">
        <v>-999</v>
      </c>
      <c r="O4439" s="179" t="s">
        <v>3356</v>
      </c>
      <c r="P4439" s="108">
        <v>-999</v>
      </c>
      <c r="Q4439" s="80" t="s">
        <v>6642</v>
      </c>
      <c r="U4439" s="20"/>
      <c r="V4439" s="20"/>
    </row>
    <row r="4440" spans="1:30">
      <c r="A4440" s="118" t="s">
        <v>3816</v>
      </c>
      <c r="B4440" s="165" t="s">
        <v>2673</v>
      </c>
      <c r="C4440" s="118" t="s">
        <v>3817</v>
      </c>
      <c r="D4440" s="141"/>
      <c r="E4440" s="118"/>
      <c r="F4440" s="118"/>
      <c r="G4440" s="118" t="s">
        <v>3618</v>
      </c>
      <c r="H4440" s="118" t="s">
        <v>3638</v>
      </c>
      <c r="I4440" s="118" t="s">
        <v>4227</v>
      </c>
      <c r="J4440" s="118" t="s">
        <v>3155</v>
      </c>
      <c r="K4440" s="141"/>
      <c r="L4440" s="135" t="str">
        <f t="shared" si="248"/>
        <v>Megadontomys nelsoni</v>
      </c>
      <c r="M4440" s="133">
        <v>-999</v>
      </c>
      <c r="N4440" s="133">
        <v>-999</v>
      </c>
      <c r="O4440" s="179" t="s">
        <v>3356</v>
      </c>
      <c r="P4440" s="108">
        <v>-999</v>
      </c>
      <c r="Q4440" s="80"/>
      <c r="U4440" s="20"/>
      <c r="V4440" s="20"/>
    </row>
    <row r="4441" spans="1:30">
      <c r="A4441" s="118" t="s">
        <v>3816</v>
      </c>
      <c r="B4441" s="166"/>
      <c r="C4441" s="118" t="s">
        <v>3817</v>
      </c>
      <c r="D4441" s="141"/>
      <c r="E4441" s="118"/>
      <c r="F4441" s="118"/>
      <c r="G4441" s="118" t="s">
        <v>3618</v>
      </c>
      <c r="H4441" s="118" t="s">
        <v>3638</v>
      </c>
      <c r="I4441" s="118" t="s">
        <v>4227</v>
      </c>
      <c r="J4441" s="118" t="s">
        <v>4852</v>
      </c>
      <c r="K4441" s="141"/>
      <c r="L4441" s="135" t="str">
        <f t="shared" si="248"/>
        <v>Megadontomys thomasi</v>
      </c>
      <c r="M4441" s="133">
        <f t="shared" ref="M4441:M4460" si="250">LOG(N4441)</f>
        <v>2.0453200000000002</v>
      </c>
      <c r="N4441" s="133">
        <v>110.99923866362846</v>
      </c>
      <c r="O4441" s="179" t="s">
        <v>3356</v>
      </c>
      <c r="P4441" s="108">
        <v>60</v>
      </c>
      <c r="U4441" s="20"/>
      <c r="V4441" s="20"/>
    </row>
    <row r="4442" spans="1:30">
      <c r="A4442" s="121" t="s">
        <v>3816</v>
      </c>
      <c r="B4442" s="166"/>
      <c r="C4442" s="118" t="s">
        <v>3817</v>
      </c>
      <c r="D4442" s="141"/>
      <c r="E4442" s="118"/>
      <c r="F4442" s="118"/>
      <c r="G4442" s="118" t="s">
        <v>3618</v>
      </c>
      <c r="H4442" s="118" t="s">
        <v>3638</v>
      </c>
      <c r="I4442" s="118" t="s">
        <v>4228</v>
      </c>
      <c r="J4442" s="118" t="s">
        <v>4039</v>
      </c>
      <c r="K4442" s="141"/>
      <c r="L4442" s="135" t="str">
        <f t="shared" si="248"/>
        <v>Microtus oregoni</v>
      </c>
      <c r="M4442" s="133">
        <f t="shared" si="250"/>
        <v>1.3085600000000002</v>
      </c>
      <c r="N4442" s="133">
        <v>20.349793192134438</v>
      </c>
      <c r="O4442" s="179" t="s">
        <v>3356</v>
      </c>
      <c r="P4442" s="108">
        <v>60</v>
      </c>
      <c r="T4442" s="92"/>
    </row>
    <row r="4443" spans="1:30" s="7" customFormat="1">
      <c r="A4443" s="121" t="s">
        <v>3816</v>
      </c>
      <c r="B4443" s="166"/>
      <c r="C4443" s="118" t="s">
        <v>3817</v>
      </c>
      <c r="D4443" s="141"/>
      <c r="E4443" s="118"/>
      <c r="F4443" s="118"/>
      <c r="G4443" s="118" t="s">
        <v>3618</v>
      </c>
      <c r="H4443" s="118" t="s">
        <v>3638</v>
      </c>
      <c r="I4443" s="118" t="s">
        <v>4228</v>
      </c>
      <c r="J4443" s="118" t="s">
        <v>3780</v>
      </c>
      <c r="K4443" s="141"/>
      <c r="L4443" s="135" t="str">
        <f t="shared" si="248"/>
        <v>Microtus pinetorum</v>
      </c>
      <c r="M4443" s="133">
        <f t="shared" si="250"/>
        <v>1.4195800000000001</v>
      </c>
      <c r="N4443" s="133">
        <v>26.277255268195344</v>
      </c>
      <c r="O4443" s="179" t="s">
        <v>3356</v>
      </c>
      <c r="P4443" s="108">
        <v>60</v>
      </c>
      <c r="Q4443" s="90"/>
      <c r="R4443" s="85"/>
      <c r="S4443" s="85"/>
      <c r="T4443" s="85"/>
      <c r="U4443" s="16"/>
      <c r="V4443" s="16"/>
      <c r="W4443" s="20"/>
      <c r="X4443" s="20"/>
      <c r="Y4443" s="20"/>
      <c r="Z4443" s="20"/>
      <c r="AA4443" s="20"/>
      <c r="AB4443" s="20"/>
      <c r="AC4443" s="20"/>
      <c r="AD4443" s="20"/>
    </row>
    <row r="4444" spans="1:30" s="7" customFormat="1">
      <c r="A4444" s="118" t="s">
        <v>3816</v>
      </c>
      <c r="B4444" s="166"/>
      <c r="C4444" s="118" t="s">
        <v>3817</v>
      </c>
      <c r="D4444" s="141"/>
      <c r="E4444" s="118"/>
      <c r="F4444" s="118"/>
      <c r="G4444" s="118" t="s">
        <v>3618</v>
      </c>
      <c r="H4444" s="118" t="s">
        <v>3638</v>
      </c>
      <c r="I4444" s="118" t="s">
        <v>4228</v>
      </c>
      <c r="J4444" s="118" t="s">
        <v>4229</v>
      </c>
      <c r="K4444" s="141"/>
      <c r="L4444" s="135" t="str">
        <f t="shared" si="248"/>
        <v>Microtus canicaudus</v>
      </c>
      <c r="M4444" s="133">
        <f t="shared" si="250"/>
        <v>1.4540800000000003</v>
      </c>
      <c r="N4444" s="133">
        <v>28.449851248097069</v>
      </c>
      <c r="O4444" s="179" t="s">
        <v>3356</v>
      </c>
      <c r="P4444" s="108">
        <v>60</v>
      </c>
      <c r="Q4444" s="90"/>
      <c r="R4444" s="85"/>
      <c r="S4444" s="85"/>
      <c r="T4444" s="85"/>
      <c r="U4444" s="16"/>
      <c r="V4444" s="16"/>
      <c r="W4444" s="20"/>
      <c r="X4444" s="20"/>
      <c r="Y4444" s="20"/>
      <c r="Z4444" s="20"/>
      <c r="AA4444" s="20"/>
      <c r="AB4444" s="20"/>
      <c r="AC4444" s="20"/>
      <c r="AD4444" s="20"/>
    </row>
    <row r="4445" spans="1:30" s="7" customFormat="1">
      <c r="A4445" s="118" t="s">
        <v>3816</v>
      </c>
      <c r="B4445" s="166"/>
      <c r="C4445" s="118" t="s">
        <v>3817</v>
      </c>
      <c r="D4445" s="141"/>
      <c r="E4445" s="118"/>
      <c r="F4445" s="118"/>
      <c r="G4445" s="118" t="s">
        <v>3618</v>
      </c>
      <c r="H4445" s="118" t="s">
        <v>3638</v>
      </c>
      <c r="I4445" s="118" t="s">
        <v>4228</v>
      </c>
      <c r="J4445" s="118" t="s">
        <v>3971</v>
      </c>
      <c r="K4445" s="141"/>
      <c r="L4445" s="135" t="str">
        <f t="shared" si="248"/>
        <v>Microtus oeconomus</v>
      </c>
      <c r="M4445" s="133">
        <f t="shared" si="250"/>
        <v>1.5081300000000002</v>
      </c>
      <c r="N4445" s="133">
        <v>32.220331176527651</v>
      </c>
      <c r="O4445" s="179" t="s">
        <v>3356</v>
      </c>
      <c r="P4445" s="108">
        <v>60</v>
      </c>
      <c r="Q4445" s="90"/>
      <c r="R4445" s="85"/>
      <c r="S4445" s="85"/>
      <c r="T4445" s="85"/>
      <c r="U4445" s="16"/>
      <c r="V4445" s="16"/>
      <c r="W4445" s="20"/>
      <c r="X4445" s="20"/>
      <c r="Y4445" s="20"/>
      <c r="Z4445" s="20"/>
      <c r="AA4445" s="20"/>
      <c r="AB4445" s="20"/>
      <c r="AC4445" s="20"/>
      <c r="AD4445" s="20"/>
    </row>
    <row r="4446" spans="1:30" s="7" customFormat="1">
      <c r="A4446" s="118" t="s">
        <v>3816</v>
      </c>
      <c r="B4446" s="166"/>
      <c r="C4446" s="118" t="s">
        <v>3817</v>
      </c>
      <c r="D4446" s="141"/>
      <c r="E4446" s="118"/>
      <c r="F4446" s="118"/>
      <c r="G4446" s="118" t="s">
        <v>3618</v>
      </c>
      <c r="H4446" s="118" t="s">
        <v>3638</v>
      </c>
      <c r="I4446" s="118" t="s">
        <v>4228</v>
      </c>
      <c r="J4446" s="118" t="s">
        <v>4014</v>
      </c>
      <c r="K4446" s="141"/>
      <c r="L4446" s="135" t="str">
        <f t="shared" si="248"/>
        <v>Microtus mexicanus</v>
      </c>
      <c r="M4446" s="133">
        <f t="shared" si="250"/>
        <v>1.5440700000000003</v>
      </c>
      <c r="N4446" s="133">
        <v>35.000157607101464</v>
      </c>
      <c r="O4446" s="179" t="s">
        <v>3356</v>
      </c>
      <c r="P4446" s="108">
        <v>60</v>
      </c>
      <c r="Q4446" s="90" t="s">
        <v>6988</v>
      </c>
      <c r="R4446" s="85"/>
      <c r="S4446" s="85"/>
      <c r="T4446" s="85"/>
      <c r="U4446" s="16"/>
      <c r="V4446" s="16"/>
      <c r="W4446" s="20"/>
      <c r="X4446" s="20"/>
      <c r="Y4446" s="20"/>
      <c r="Z4446" s="20"/>
      <c r="AA4446" s="20"/>
      <c r="AB4446" s="20"/>
      <c r="AC4446" s="20"/>
      <c r="AD4446" s="20"/>
    </row>
    <row r="4447" spans="1:30" s="7" customFormat="1">
      <c r="A4447" s="118" t="s">
        <v>3816</v>
      </c>
      <c r="B4447" s="166"/>
      <c r="C4447" s="121" t="s">
        <v>3817</v>
      </c>
      <c r="D4447" s="156"/>
      <c r="E4447" s="121"/>
      <c r="F4447" s="121"/>
      <c r="G4447" s="121" t="s">
        <v>3618</v>
      </c>
      <c r="H4447" s="118" t="s">
        <v>3638</v>
      </c>
      <c r="I4447" s="121" t="s">
        <v>4228</v>
      </c>
      <c r="J4447" s="121" t="s">
        <v>3985</v>
      </c>
      <c r="K4447" s="156"/>
      <c r="L4447" s="135" t="str">
        <f t="shared" si="248"/>
        <v>Microtus montanus</v>
      </c>
      <c r="M4447" s="133">
        <f t="shared" si="250"/>
        <v>1.5602100000000001</v>
      </c>
      <c r="N4447" s="143">
        <v>36.325366102772321</v>
      </c>
      <c r="O4447" s="179" t="s">
        <v>3356</v>
      </c>
      <c r="P4447" s="108">
        <v>60</v>
      </c>
      <c r="Q4447" s="90"/>
      <c r="R4447" s="85"/>
      <c r="S4447" s="85"/>
      <c r="T4447" s="85"/>
      <c r="U4447" s="16"/>
      <c r="V4447" s="16"/>
      <c r="W4447" s="20"/>
      <c r="X4447" s="20"/>
      <c r="Y4447" s="20"/>
      <c r="Z4447" s="20"/>
      <c r="AA4447" s="20"/>
      <c r="AB4447" s="20"/>
      <c r="AC4447" s="20"/>
      <c r="AD4447" s="20"/>
    </row>
    <row r="4448" spans="1:30" s="7" customFormat="1">
      <c r="A4448" s="118" t="s">
        <v>3816</v>
      </c>
      <c r="B4448" s="166"/>
      <c r="C4448" s="118" t="s">
        <v>3817</v>
      </c>
      <c r="D4448" s="141"/>
      <c r="E4448" s="118"/>
      <c r="F4448" s="118"/>
      <c r="G4448" s="118" t="s">
        <v>3618</v>
      </c>
      <c r="H4448" s="118" t="s">
        <v>3638</v>
      </c>
      <c r="I4448" s="118" t="s">
        <v>4228</v>
      </c>
      <c r="J4448" s="118" t="s">
        <v>4040</v>
      </c>
      <c r="K4448" s="141"/>
      <c r="L4448" s="135" t="str">
        <f t="shared" si="248"/>
        <v>Microtus pennsylvanicus</v>
      </c>
      <c r="M4448" s="133">
        <f t="shared" si="250"/>
        <v>1.5652600000000003</v>
      </c>
      <c r="N4448" s="133">
        <v>36.750224800474854</v>
      </c>
      <c r="O4448" s="179" t="s">
        <v>3356</v>
      </c>
      <c r="P4448" s="108">
        <v>60</v>
      </c>
      <c r="Q4448" s="90"/>
      <c r="R4448" s="85"/>
      <c r="S4448" s="85"/>
      <c r="T4448" s="85"/>
      <c r="U4448" s="16"/>
      <c r="V4448" s="16"/>
      <c r="W4448" s="20"/>
      <c r="X4448" s="20"/>
      <c r="Y4448" s="20"/>
      <c r="Z4448" s="20"/>
      <c r="AA4448" s="20"/>
      <c r="AB4448" s="20"/>
      <c r="AC4448" s="20"/>
      <c r="AD4448" s="20"/>
    </row>
    <row r="4449" spans="1:30" s="7" customFormat="1">
      <c r="A4449" s="118" t="s">
        <v>3816</v>
      </c>
      <c r="B4449" s="166"/>
      <c r="C4449" s="118" t="s">
        <v>3817</v>
      </c>
      <c r="D4449" s="141"/>
      <c r="E4449" s="118"/>
      <c r="F4449" s="118"/>
      <c r="G4449" s="118" t="s">
        <v>3618</v>
      </c>
      <c r="H4449" s="118" t="s">
        <v>3638</v>
      </c>
      <c r="I4449" s="118" t="s">
        <v>4228</v>
      </c>
      <c r="J4449" s="118" t="s">
        <v>7095</v>
      </c>
      <c r="K4449" s="141"/>
      <c r="L4449" s="135" t="str">
        <f t="shared" si="248"/>
        <v>Microtus ochrogaster</v>
      </c>
      <c r="M4449" s="133">
        <f t="shared" si="250"/>
        <v>1.5799300000000003</v>
      </c>
      <c r="N4449" s="133">
        <v>38.012812196826964</v>
      </c>
      <c r="O4449" s="179" t="s">
        <v>3356</v>
      </c>
      <c r="P4449" s="108">
        <v>60</v>
      </c>
      <c r="Q4449" s="90"/>
      <c r="R4449" s="85"/>
      <c r="S4449" s="85"/>
      <c r="T4449" s="85"/>
      <c r="U4449" s="16"/>
      <c r="V4449" s="16"/>
      <c r="W4449" s="20"/>
      <c r="X4449" s="20"/>
      <c r="Y4449" s="20"/>
      <c r="Z4449" s="20"/>
      <c r="AA4449" s="20"/>
      <c r="AB4449" s="20"/>
      <c r="AC4449" s="20"/>
      <c r="AD4449" s="20"/>
    </row>
    <row r="4450" spans="1:30" s="7" customFormat="1">
      <c r="A4450" s="118" t="s">
        <v>3816</v>
      </c>
      <c r="B4450" s="166"/>
      <c r="C4450" s="118" t="s">
        <v>3817</v>
      </c>
      <c r="D4450" s="141"/>
      <c r="E4450" s="118"/>
      <c r="F4450" s="118"/>
      <c r="G4450" s="118" t="s">
        <v>3618</v>
      </c>
      <c r="H4450" s="118" t="s">
        <v>3638</v>
      </c>
      <c r="I4450" s="118" t="s">
        <v>4228</v>
      </c>
      <c r="J4450" s="118" t="s">
        <v>4230</v>
      </c>
      <c r="K4450" s="141"/>
      <c r="L4450" s="135" t="str">
        <f t="shared" si="248"/>
        <v>Microtus chrotorrhinus</v>
      </c>
      <c r="M4450" s="133">
        <f t="shared" si="250"/>
        <v>1.5910600000000001</v>
      </c>
      <c r="N4450" s="133">
        <v>38.999586287443293</v>
      </c>
      <c r="O4450" s="179" t="s">
        <v>3356</v>
      </c>
      <c r="P4450" s="108">
        <v>60</v>
      </c>
      <c r="Q4450" s="90"/>
      <c r="R4450" s="85"/>
      <c r="S4450" s="85"/>
      <c r="T4450" s="85"/>
      <c r="U4450" s="16"/>
      <c r="V4450" s="16"/>
      <c r="W4450" s="20"/>
      <c r="X4450" s="20"/>
      <c r="Y4450" s="20"/>
      <c r="Z4450" s="20"/>
      <c r="AA4450" s="20"/>
      <c r="AB4450" s="20"/>
      <c r="AC4450" s="20"/>
      <c r="AD4450" s="20"/>
    </row>
    <row r="4451" spans="1:30" s="7" customFormat="1" ht="12" customHeight="1">
      <c r="A4451" s="118" t="s">
        <v>3816</v>
      </c>
      <c r="B4451" s="166"/>
      <c r="C4451" s="118" t="s">
        <v>3817</v>
      </c>
      <c r="D4451" s="141"/>
      <c r="E4451" s="118"/>
      <c r="F4451" s="118"/>
      <c r="G4451" s="118" t="s">
        <v>3618</v>
      </c>
      <c r="H4451" s="118" t="s">
        <v>3638</v>
      </c>
      <c r="I4451" s="118" t="s">
        <v>4228</v>
      </c>
      <c r="J4451" s="118" t="s">
        <v>4185</v>
      </c>
      <c r="K4451" s="141"/>
      <c r="L4451" s="135" t="str">
        <f t="shared" si="248"/>
        <v>Microtus oaxacensis</v>
      </c>
      <c r="M4451" s="133">
        <f t="shared" si="250"/>
        <v>1.5932900000000001</v>
      </c>
      <c r="N4451" s="133">
        <v>39.20035499759404</v>
      </c>
      <c r="O4451" s="179" t="s">
        <v>3356</v>
      </c>
      <c r="P4451" s="108">
        <v>60</v>
      </c>
      <c r="Q4451" s="90" t="s">
        <v>6642</v>
      </c>
      <c r="R4451" s="89"/>
      <c r="S4451" s="85"/>
      <c r="T4451" s="85"/>
      <c r="U4451" s="16"/>
      <c r="V4451" s="16"/>
      <c r="W4451" s="20"/>
      <c r="X4451" s="20"/>
      <c r="Y4451" s="20"/>
      <c r="Z4451" s="20"/>
      <c r="AA4451" s="20"/>
      <c r="AB4451" s="20"/>
      <c r="AC4451" s="20"/>
      <c r="AD4451" s="20"/>
    </row>
    <row r="4452" spans="1:30" s="7" customFormat="1" ht="12" customHeight="1">
      <c r="A4452" s="118" t="s">
        <v>3816</v>
      </c>
      <c r="B4452" s="166"/>
      <c r="C4452" s="118" t="s">
        <v>3817</v>
      </c>
      <c r="D4452" s="141"/>
      <c r="E4452" s="118"/>
      <c r="F4452" s="118"/>
      <c r="G4452" s="118" t="s">
        <v>3618</v>
      </c>
      <c r="H4452" s="118" t="s">
        <v>3638</v>
      </c>
      <c r="I4452" s="118" t="s">
        <v>4228</v>
      </c>
      <c r="J4452" s="118" t="s">
        <v>3781</v>
      </c>
      <c r="K4452" s="141"/>
      <c r="L4452" s="135" t="str">
        <f t="shared" si="248"/>
        <v>Microtus quasiater</v>
      </c>
      <c r="M4452" s="133">
        <f t="shared" si="250"/>
        <v>1.60206</v>
      </c>
      <c r="N4452" s="133">
        <v>40.000000798724201</v>
      </c>
      <c r="O4452" s="179" t="s">
        <v>3356</v>
      </c>
      <c r="P4452" s="117">
        <v>66</v>
      </c>
      <c r="Q4452" s="90"/>
      <c r="R4452" s="89"/>
      <c r="S4452" s="85"/>
      <c r="T4452" s="85"/>
      <c r="U4452" s="16"/>
      <c r="V4452" s="16"/>
      <c r="W4452" s="20"/>
      <c r="X4452" s="20"/>
      <c r="Y4452" s="20"/>
      <c r="Z4452" s="20"/>
      <c r="AA4452" s="20"/>
      <c r="AB4452" s="20"/>
      <c r="AC4452" s="20"/>
      <c r="AD4452" s="20"/>
    </row>
    <row r="4453" spans="1:30" s="7" customFormat="1">
      <c r="A4453" s="118" t="s">
        <v>3816</v>
      </c>
      <c r="B4453" s="166"/>
      <c r="C4453" s="118" t="s">
        <v>3817</v>
      </c>
      <c r="D4453" s="141"/>
      <c r="E4453" s="118"/>
      <c r="F4453" s="118"/>
      <c r="G4453" s="118" t="s">
        <v>3618</v>
      </c>
      <c r="H4453" s="118" t="s">
        <v>3638</v>
      </c>
      <c r="I4453" s="118" t="s">
        <v>4228</v>
      </c>
      <c r="J4453" s="118" t="s">
        <v>4252</v>
      </c>
      <c r="K4453" s="141"/>
      <c r="L4453" s="135" t="str">
        <f t="shared" si="248"/>
        <v>Microtus miurus</v>
      </c>
      <c r="M4453" s="133">
        <f t="shared" si="250"/>
        <v>1.6127800000000003</v>
      </c>
      <c r="N4453" s="133">
        <v>40.999635904176493</v>
      </c>
      <c r="O4453" s="179" t="s">
        <v>3356</v>
      </c>
      <c r="P4453" s="117">
        <v>66</v>
      </c>
      <c r="Q4453" s="90"/>
      <c r="R4453" s="85"/>
      <c r="S4453" s="85"/>
      <c r="T4453" s="85"/>
      <c r="U4453" s="16"/>
      <c r="V4453" s="16"/>
      <c r="W4453" s="20"/>
      <c r="X4453" s="20"/>
      <c r="Y4453" s="20"/>
      <c r="Z4453" s="20"/>
      <c r="AA4453" s="20"/>
      <c r="AB4453" s="20"/>
      <c r="AC4453" s="20"/>
      <c r="AD4453" s="20"/>
    </row>
    <row r="4454" spans="1:30" s="7" customFormat="1">
      <c r="A4454" s="118" t="s">
        <v>3816</v>
      </c>
      <c r="B4454" s="166"/>
      <c r="C4454" s="118" t="s">
        <v>3817</v>
      </c>
      <c r="D4454" s="141"/>
      <c r="E4454" s="118"/>
      <c r="F4454" s="118"/>
      <c r="G4454" s="118" t="s">
        <v>3618</v>
      </c>
      <c r="H4454" s="118" t="s">
        <v>3638</v>
      </c>
      <c r="I4454" s="118" t="s">
        <v>4228</v>
      </c>
      <c r="J4454" s="118" t="s">
        <v>4231</v>
      </c>
      <c r="K4454" s="141"/>
      <c r="L4454" s="135" t="str">
        <f t="shared" si="248"/>
        <v>Microtus guatemalensis</v>
      </c>
      <c r="M4454" s="133">
        <f t="shared" si="250"/>
        <v>1.6232500000000003</v>
      </c>
      <c r="N4454" s="133">
        <v>42.000068624663172</v>
      </c>
      <c r="O4454" s="179" t="s">
        <v>3356</v>
      </c>
      <c r="P4454" s="117">
        <v>66</v>
      </c>
      <c r="Q4454" s="90"/>
      <c r="R4454" s="85"/>
      <c r="S4454" s="85"/>
      <c r="T4454" s="85"/>
      <c r="U4454" s="16"/>
      <c r="V4454" s="16"/>
      <c r="W4454" s="20"/>
      <c r="X4454" s="20"/>
      <c r="Y4454" s="20"/>
      <c r="Z4454" s="20"/>
      <c r="AA4454" s="20"/>
      <c r="AB4454" s="20"/>
      <c r="AC4454" s="20"/>
      <c r="AD4454" s="20"/>
    </row>
    <row r="4455" spans="1:30" s="7" customFormat="1">
      <c r="A4455" s="121" t="s">
        <v>3816</v>
      </c>
      <c r="B4455" s="166"/>
      <c r="C4455" s="118" t="s">
        <v>3817</v>
      </c>
      <c r="D4455" s="141"/>
      <c r="E4455" s="118"/>
      <c r="F4455" s="118"/>
      <c r="G4455" s="118" t="s">
        <v>3618</v>
      </c>
      <c r="H4455" s="118" t="s">
        <v>3638</v>
      </c>
      <c r="I4455" s="118" t="s">
        <v>4228</v>
      </c>
      <c r="J4455" s="118" t="s">
        <v>4430</v>
      </c>
      <c r="K4455" s="141"/>
      <c r="L4455" s="135" t="str">
        <f t="shared" si="248"/>
        <v>Microtus umbrosus</v>
      </c>
      <c r="M4455" s="133">
        <f t="shared" si="250"/>
        <v>1.6232500000000003</v>
      </c>
      <c r="N4455" s="133">
        <v>42.000068624663172</v>
      </c>
      <c r="O4455" s="179" t="s">
        <v>3356</v>
      </c>
      <c r="P4455" s="117">
        <v>66</v>
      </c>
      <c r="Q4455" s="90"/>
      <c r="R4455" s="85"/>
      <c r="S4455" s="85"/>
      <c r="T4455" s="85"/>
      <c r="U4455" s="16"/>
      <c r="V4455" s="16"/>
      <c r="W4455" s="20"/>
      <c r="X4455" s="20"/>
      <c r="Y4455" s="20"/>
      <c r="Z4455" s="20"/>
      <c r="AA4455" s="20"/>
      <c r="AB4455" s="20"/>
      <c r="AC4455" s="20"/>
      <c r="AD4455" s="20"/>
    </row>
    <row r="4456" spans="1:30" s="7" customFormat="1">
      <c r="A4456" s="118" t="s">
        <v>3816</v>
      </c>
      <c r="B4456" s="166"/>
      <c r="C4456" s="118" t="s">
        <v>3817</v>
      </c>
      <c r="D4456" s="141"/>
      <c r="E4456" s="118"/>
      <c r="F4456" s="118"/>
      <c r="G4456" s="118" t="s">
        <v>3618</v>
      </c>
      <c r="H4456" s="118" t="s">
        <v>3638</v>
      </c>
      <c r="I4456" s="118" t="s">
        <v>4228</v>
      </c>
      <c r="J4456" s="118" t="s">
        <v>4222</v>
      </c>
      <c r="K4456" s="141"/>
      <c r="L4456" s="135" t="str">
        <f t="shared" si="248"/>
        <v>Microtus longicaudus</v>
      </c>
      <c r="M4456" s="133">
        <f t="shared" si="250"/>
        <v>1.6693899999999999</v>
      </c>
      <c r="N4456" s="133">
        <v>46.707863247577166</v>
      </c>
      <c r="O4456" s="179" t="s">
        <v>3356</v>
      </c>
      <c r="P4456" s="108">
        <v>60</v>
      </c>
      <c r="Q4456" s="90"/>
      <c r="R4456" s="85"/>
      <c r="S4456" s="85"/>
      <c r="T4456" s="85"/>
      <c r="U4456" s="16"/>
      <c r="V4456" s="16"/>
      <c r="W4456" s="20"/>
      <c r="X4456" s="20"/>
      <c r="Y4456" s="20"/>
      <c r="Z4456" s="20"/>
      <c r="AA4456" s="20"/>
      <c r="AB4456" s="20"/>
      <c r="AC4456" s="20"/>
      <c r="AD4456" s="20"/>
    </row>
    <row r="4457" spans="1:30" s="7" customFormat="1">
      <c r="A4457" s="118" t="s">
        <v>3816</v>
      </c>
      <c r="B4457" s="166"/>
      <c r="C4457" s="118" t="s">
        <v>3817</v>
      </c>
      <c r="D4457" s="141"/>
      <c r="E4457" s="118"/>
      <c r="F4457" s="118"/>
      <c r="G4457" s="118" t="s">
        <v>3618</v>
      </c>
      <c r="H4457" s="118" t="s">
        <v>3638</v>
      </c>
      <c r="I4457" s="118" t="s">
        <v>4228</v>
      </c>
      <c r="J4457" s="118" t="s">
        <v>4404</v>
      </c>
      <c r="K4457" s="141"/>
      <c r="L4457" s="135" t="str">
        <f t="shared" si="248"/>
        <v>Microtus californicus</v>
      </c>
      <c r="M4457" s="133">
        <f t="shared" si="250"/>
        <v>1.7591000000000001</v>
      </c>
      <c r="N4457" s="133">
        <v>57.424867262878301</v>
      </c>
      <c r="O4457" s="179" t="s">
        <v>3356</v>
      </c>
      <c r="P4457" s="108">
        <v>60</v>
      </c>
      <c r="Q4457" s="90"/>
      <c r="R4457" s="85"/>
      <c r="S4457" s="85"/>
      <c r="T4457" s="85"/>
      <c r="U4457" s="16"/>
      <c r="V4457" s="16"/>
      <c r="W4457" s="20"/>
      <c r="X4457" s="20"/>
      <c r="Y4457" s="20"/>
      <c r="Z4457" s="20"/>
      <c r="AA4457" s="20"/>
      <c r="AB4457" s="20"/>
      <c r="AC4457" s="20"/>
      <c r="AD4457" s="20"/>
    </row>
    <row r="4458" spans="1:30" s="7" customFormat="1" ht="15" customHeight="1">
      <c r="A4458" s="118" t="s">
        <v>3816</v>
      </c>
      <c r="B4458" s="166"/>
      <c r="C4458" s="118" t="s">
        <v>3817</v>
      </c>
      <c r="D4458" s="141"/>
      <c r="E4458" s="118"/>
      <c r="F4458" s="118"/>
      <c r="G4458" s="118" t="s">
        <v>3618</v>
      </c>
      <c r="H4458" s="118" t="s">
        <v>3638</v>
      </c>
      <c r="I4458" s="118" t="s">
        <v>4228</v>
      </c>
      <c r="J4458" s="118" t="s">
        <v>5148</v>
      </c>
      <c r="K4458" s="141"/>
      <c r="L4458" s="135" t="str">
        <f t="shared" si="248"/>
        <v>Microtus townsendii</v>
      </c>
      <c r="M4458" s="133">
        <f t="shared" si="250"/>
        <v>1.8112400000000002</v>
      </c>
      <c r="N4458" s="133">
        <v>64.750033880762899</v>
      </c>
      <c r="O4458" s="179" t="s">
        <v>6882</v>
      </c>
      <c r="P4458" s="108">
        <v>60</v>
      </c>
      <c r="Q4458" s="90" t="s">
        <v>6642</v>
      </c>
      <c r="R4458" s="85"/>
      <c r="S4458" s="85"/>
      <c r="T4458" s="85"/>
      <c r="U4458" s="16"/>
      <c r="V4458" s="16"/>
      <c r="W4458" s="20"/>
      <c r="X4458" s="20"/>
      <c r="Y4458" s="20"/>
      <c r="Z4458" s="20"/>
      <c r="AA4458" s="20"/>
      <c r="AB4458" s="20"/>
      <c r="AC4458" s="20"/>
      <c r="AD4458" s="20"/>
    </row>
    <row r="4459" spans="1:30" s="7" customFormat="1">
      <c r="A4459" s="118" t="s">
        <v>3816</v>
      </c>
      <c r="B4459" s="166"/>
      <c r="C4459" s="118" t="s">
        <v>3817</v>
      </c>
      <c r="D4459" s="141"/>
      <c r="E4459" s="118"/>
      <c r="F4459" s="118"/>
      <c r="G4459" s="118" t="s">
        <v>3618</v>
      </c>
      <c r="H4459" s="118" t="s">
        <v>3638</v>
      </c>
      <c r="I4459" s="118" t="s">
        <v>4228</v>
      </c>
      <c r="J4459" s="118" t="s">
        <v>4206</v>
      </c>
      <c r="K4459" s="141"/>
      <c r="L4459" s="135" t="str">
        <f t="shared" si="248"/>
        <v>Microtus richardsoni</v>
      </c>
      <c r="M4459" s="133">
        <f t="shared" si="250"/>
        <v>1.9294189257142926</v>
      </c>
      <c r="N4459" s="133">
        <v>85</v>
      </c>
      <c r="O4459" s="179" t="s">
        <v>3356</v>
      </c>
      <c r="P4459" s="108">
        <v>75</v>
      </c>
      <c r="Q4459" s="90"/>
      <c r="R4459" s="85"/>
      <c r="S4459" s="85"/>
      <c r="T4459" s="85"/>
      <c r="U4459" s="16"/>
      <c r="V4459" s="16"/>
      <c r="W4459" s="20"/>
      <c r="X4459" s="20"/>
      <c r="Y4459" s="20"/>
      <c r="Z4459" s="20"/>
      <c r="AA4459" s="20"/>
      <c r="AB4459" s="20"/>
      <c r="AC4459" s="20"/>
      <c r="AD4459" s="20"/>
    </row>
    <row r="4460" spans="1:30" s="7" customFormat="1">
      <c r="A4460" s="118" t="s">
        <v>3816</v>
      </c>
      <c r="B4460" s="166"/>
      <c r="C4460" s="118" t="s">
        <v>3817</v>
      </c>
      <c r="D4460" s="141"/>
      <c r="E4460" s="118"/>
      <c r="F4460" s="118"/>
      <c r="G4460" s="118" t="s">
        <v>3618</v>
      </c>
      <c r="H4460" s="118" t="s">
        <v>3638</v>
      </c>
      <c r="I4460" s="118" t="s">
        <v>4228</v>
      </c>
      <c r="J4460" s="118" t="s">
        <v>3988</v>
      </c>
      <c r="K4460" s="141"/>
      <c r="L4460" s="135" t="str">
        <f t="shared" si="248"/>
        <v>Microtus xanthognathus</v>
      </c>
      <c r="M4460" s="133">
        <f t="shared" si="250"/>
        <v>2.09951</v>
      </c>
      <c r="N4460" s="133">
        <v>125.7505809175609</v>
      </c>
      <c r="O4460" s="179" t="s">
        <v>3356</v>
      </c>
      <c r="P4460" s="108">
        <v>60</v>
      </c>
      <c r="Q4460" s="90"/>
      <c r="R4460" s="85"/>
      <c r="S4460" s="85"/>
      <c r="T4460" s="85"/>
      <c r="U4460" s="16"/>
      <c r="V4460" s="16"/>
      <c r="W4460" s="20"/>
      <c r="X4460" s="20"/>
      <c r="Y4460" s="20"/>
      <c r="Z4460" s="20"/>
      <c r="AA4460" s="20"/>
      <c r="AB4460" s="20"/>
      <c r="AC4460" s="20"/>
      <c r="AD4460" s="20"/>
    </row>
    <row r="4461" spans="1:30" s="7" customFormat="1">
      <c r="A4461" s="121" t="s">
        <v>3816</v>
      </c>
      <c r="B4461" s="166" t="s">
        <v>5201</v>
      </c>
      <c r="C4461" s="118" t="s">
        <v>3817</v>
      </c>
      <c r="D4461" s="141"/>
      <c r="E4461" s="118"/>
      <c r="F4461" s="118"/>
      <c r="G4461" s="118" t="s">
        <v>3618</v>
      </c>
      <c r="H4461" s="118" t="s">
        <v>3638</v>
      </c>
      <c r="I4461" s="118" t="s">
        <v>7373</v>
      </c>
      <c r="J4461" s="118" t="s">
        <v>7639</v>
      </c>
      <c r="K4461" s="141"/>
      <c r="L4461" s="135" t="str">
        <f t="shared" si="248"/>
        <v>Neacomys pictus</v>
      </c>
      <c r="M4461" s="133">
        <v>-999</v>
      </c>
      <c r="N4461" s="133">
        <v>-999</v>
      </c>
      <c r="O4461" s="179" t="s">
        <v>3356</v>
      </c>
      <c r="P4461" s="108">
        <v>-999</v>
      </c>
      <c r="Q4461" s="80" t="s">
        <v>6642</v>
      </c>
      <c r="R4461" s="85"/>
      <c r="S4461" s="85"/>
      <c r="T4461" s="85"/>
      <c r="U4461" s="16"/>
      <c r="V4461" s="16"/>
      <c r="W4461" s="20"/>
      <c r="X4461" s="20"/>
      <c r="Y4461" s="20"/>
      <c r="Z4461" s="20"/>
      <c r="AA4461" s="20"/>
      <c r="AB4461" s="20"/>
      <c r="AC4461" s="20"/>
      <c r="AD4461" s="20"/>
    </row>
    <row r="4462" spans="1:30" s="7" customFormat="1">
      <c r="A4462" s="118" t="s">
        <v>3816</v>
      </c>
      <c r="B4462" s="165" t="s">
        <v>7208</v>
      </c>
      <c r="C4462" s="118" t="s">
        <v>3817</v>
      </c>
      <c r="D4462" s="141"/>
      <c r="E4462" s="118"/>
      <c r="F4462" s="118"/>
      <c r="G4462" s="118" t="s">
        <v>3618</v>
      </c>
      <c r="H4462" s="118" t="s">
        <v>3638</v>
      </c>
      <c r="I4462" s="118" t="s">
        <v>3383</v>
      </c>
      <c r="J4462" s="118" t="s">
        <v>7416</v>
      </c>
      <c r="K4462" s="141"/>
      <c r="L4462" s="135" t="str">
        <f t="shared" si="248"/>
        <v>Nelsonia goldmani</v>
      </c>
      <c r="M4462" s="133">
        <v>-999</v>
      </c>
      <c r="N4462" s="133">
        <v>-999</v>
      </c>
      <c r="O4462" s="179" t="s">
        <v>3356</v>
      </c>
      <c r="P4462" s="108">
        <v>-999</v>
      </c>
      <c r="Q4462" s="80"/>
      <c r="R4462" s="85"/>
      <c r="S4462" s="85"/>
      <c r="T4462" s="85"/>
      <c r="U4462" s="16"/>
      <c r="V4462" s="16"/>
      <c r="W4462" s="20"/>
      <c r="X4462" s="20"/>
      <c r="Y4462" s="20"/>
      <c r="Z4462" s="20"/>
      <c r="AA4462" s="20"/>
      <c r="AB4462" s="20"/>
      <c r="AC4462" s="20"/>
      <c r="AD4462" s="20"/>
    </row>
    <row r="4463" spans="1:30" s="7" customFormat="1">
      <c r="A4463" s="118" t="s">
        <v>3816</v>
      </c>
      <c r="B4463" s="166"/>
      <c r="C4463" s="118" t="s">
        <v>3817</v>
      </c>
      <c r="D4463" s="141"/>
      <c r="E4463" s="118"/>
      <c r="F4463" s="118"/>
      <c r="G4463" s="118" t="s">
        <v>3618</v>
      </c>
      <c r="H4463" s="118" t="s">
        <v>3638</v>
      </c>
      <c r="I4463" s="118" t="s">
        <v>3383</v>
      </c>
      <c r="J4463" s="118" t="s">
        <v>3384</v>
      </c>
      <c r="K4463" s="141"/>
      <c r="L4463" s="135" t="str">
        <f t="shared" si="248"/>
        <v>Nelsonia neotomodon</v>
      </c>
      <c r="M4463" s="133">
        <f>LOG(N4463)</f>
        <v>1.9030899999999999</v>
      </c>
      <c r="N4463" s="133">
        <v>80.000002396172576</v>
      </c>
      <c r="O4463" s="179" t="s">
        <v>3356</v>
      </c>
      <c r="P4463" s="117">
        <v>66</v>
      </c>
      <c r="Q4463" s="90"/>
      <c r="R4463" s="85"/>
      <c r="S4463" s="85"/>
      <c r="T4463" s="85"/>
      <c r="U4463" s="16"/>
      <c r="V4463" s="16"/>
      <c r="W4463" s="20"/>
      <c r="X4463" s="20"/>
      <c r="Y4463" s="20"/>
      <c r="Z4463" s="20"/>
      <c r="AA4463" s="20"/>
      <c r="AB4463" s="20"/>
      <c r="AC4463" s="20"/>
      <c r="AD4463" s="20"/>
    </row>
    <row r="4464" spans="1:30" s="7" customFormat="1">
      <c r="A4464" s="118" t="s">
        <v>3816</v>
      </c>
      <c r="B4464" s="166"/>
      <c r="C4464" s="118" t="s">
        <v>3817</v>
      </c>
      <c r="D4464" s="141"/>
      <c r="E4464" s="118"/>
      <c r="F4464" s="118"/>
      <c r="G4464" s="118" t="s">
        <v>3618</v>
      </c>
      <c r="H4464" s="118" t="s">
        <v>3638</v>
      </c>
      <c r="I4464" s="118" t="s">
        <v>3591</v>
      </c>
      <c r="J4464" s="118" t="s">
        <v>4087</v>
      </c>
      <c r="K4464" s="141"/>
      <c r="L4464" s="135" t="str">
        <f t="shared" si="248"/>
        <v>Neofiber alleni</v>
      </c>
      <c r="M4464" s="133">
        <f>LOG(N4464)</f>
        <v>2.4248800000000004</v>
      </c>
      <c r="N4464" s="133">
        <v>265.99899758559781</v>
      </c>
      <c r="O4464" s="179" t="s">
        <v>6641</v>
      </c>
      <c r="P4464" s="108">
        <v>60</v>
      </c>
      <c r="Q4464" s="90" t="s">
        <v>6642</v>
      </c>
      <c r="R4464" s="85"/>
      <c r="S4464" s="85"/>
      <c r="T4464" s="85"/>
      <c r="U4464" s="16"/>
      <c r="V4464" s="16"/>
      <c r="W4464" s="20"/>
      <c r="X4464" s="20"/>
      <c r="Y4464" s="20"/>
      <c r="Z4464" s="20"/>
      <c r="AA4464" s="20"/>
      <c r="AB4464" s="20"/>
      <c r="AC4464" s="20"/>
      <c r="AD4464" s="20"/>
    </row>
    <row r="4465" spans="1:30" s="7" customFormat="1" ht="24" customHeight="1">
      <c r="A4465" s="118" t="s">
        <v>3816</v>
      </c>
      <c r="B4465" s="165" t="s">
        <v>4810</v>
      </c>
      <c r="C4465" s="118" t="s">
        <v>3817</v>
      </c>
      <c r="D4465" s="141"/>
      <c r="E4465" s="118"/>
      <c r="F4465" s="118"/>
      <c r="G4465" s="118" t="s">
        <v>3618</v>
      </c>
      <c r="H4465" s="118" t="s">
        <v>3638</v>
      </c>
      <c r="I4465" s="118" t="s">
        <v>3154</v>
      </c>
      <c r="J4465" s="118" t="s">
        <v>5663</v>
      </c>
      <c r="K4465" s="141"/>
      <c r="L4465" s="135" t="str">
        <f t="shared" si="248"/>
        <v>Neotoma chrysomelas</v>
      </c>
      <c r="M4465" s="133">
        <v>-999</v>
      </c>
      <c r="N4465" s="133">
        <v>-999</v>
      </c>
      <c r="O4465" s="179" t="s">
        <v>3356</v>
      </c>
      <c r="P4465" s="108">
        <v>-999</v>
      </c>
      <c r="Q4465" s="80"/>
      <c r="R4465" s="89"/>
      <c r="S4465" s="85"/>
      <c r="T4465" s="85"/>
      <c r="U4465" s="16"/>
      <c r="V4465" s="16"/>
      <c r="W4465" s="20"/>
      <c r="X4465" s="20"/>
      <c r="Y4465" s="20"/>
      <c r="Z4465" s="20"/>
      <c r="AA4465" s="20"/>
      <c r="AB4465" s="20"/>
      <c r="AC4465" s="20"/>
      <c r="AD4465" s="20"/>
    </row>
    <row r="4466" spans="1:30">
      <c r="A4466" s="118" t="s">
        <v>3816</v>
      </c>
      <c r="B4466" s="166"/>
      <c r="C4466" s="118" t="s">
        <v>3817</v>
      </c>
      <c r="D4466" s="141"/>
      <c r="E4466" s="118"/>
      <c r="F4466" s="118"/>
      <c r="G4466" s="118" t="s">
        <v>3618</v>
      </c>
      <c r="H4466" s="118" t="s">
        <v>3638</v>
      </c>
      <c r="I4466" s="118" t="s">
        <v>3154</v>
      </c>
      <c r="J4466" s="118" t="s">
        <v>6541</v>
      </c>
      <c r="K4466" s="141"/>
      <c r="L4466" s="135" t="str">
        <f t="shared" si="248"/>
        <v>Neotoma stephensi</v>
      </c>
      <c r="M4466" s="133">
        <f t="shared" ref="M4466:M4482" si="251">LOG(N4466)</f>
        <v>2.1832700000000003</v>
      </c>
      <c r="N4466" s="133">
        <v>152.50005488989058</v>
      </c>
      <c r="O4466" s="179" t="s">
        <v>3356</v>
      </c>
      <c r="P4466" s="108">
        <v>60</v>
      </c>
    </row>
    <row r="4467" spans="1:30">
      <c r="A4467" s="118" t="s">
        <v>3816</v>
      </c>
      <c r="B4467" s="166"/>
      <c r="C4467" s="118" t="s">
        <v>3817</v>
      </c>
      <c r="D4467" s="141"/>
      <c r="E4467" s="118"/>
      <c r="F4467" s="118"/>
      <c r="G4467" s="118" t="s">
        <v>3618</v>
      </c>
      <c r="H4467" s="118" t="s">
        <v>3638</v>
      </c>
      <c r="I4467" s="118" t="s">
        <v>3154</v>
      </c>
      <c r="J4467" s="118" t="s">
        <v>4403</v>
      </c>
      <c r="K4467" s="141"/>
      <c r="L4467" s="135" t="str">
        <f t="shared" si="248"/>
        <v>Neotoma lepida</v>
      </c>
      <c r="M4467" s="133">
        <f t="shared" si="251"/>
        <v>2.2141800000000003</v>
      </c>
      <c r="N4467" s="133">
        <v>163.74950657126288</v>
      </c>
      <c r="O4467" s="179" t="s">
        <v>3356</v>
      </c>
      <c r="P4467" s="108">
        <v>60</v>
      </c>
    </row>
    <row r="4468" spans="1:30">
      <c r="A4468" s="118" t="s">
        <v>3816</v>
      </c>
      <c r="B4468" s="166"/>
      <c r="C4468" s="118" t="s">
        <v>3817</v>
      </c>
      <c r="D4468" s="141"/>
      <c r="E4468" s="118"/>
      <c r="F4468" s="118"/>
      <c r="G4468" s="118" t="s">
        <v>3618</v>
      </c>
      <c r="H4468" s="118" t="s">
        <v>3638</v>
      </c>
      <c r="I4468" s="118" t="s">
        <v>3154</v>
      </c>
      <c r="J4468" s="118" t="s">
        <v>4006</v>
      </c>
      <c r="K4468" s="141"/>
      <c r="L4468" s="135" t="str">
        <f t="shared" si="248"/>
        <v>Neotoma angustapalata</v>
      </c>
      <c r="M4468" s="133">
        <f t="shared" si="251"/>
        <v>2.2966700000000002</v>
      </c>
      <c r="N4468" s="133">
        <v>198.00219282889842</v>
      </c>
      <c r="O4468" s="179" t="s">
        <v>3356</v>
      </c>
      <c r="P4468" s="117">
        <v>66</v>
      </c>
    </row>
    <row r="4469" spans="1:30">
      <c r="A4469" s="118" t="s">
        <v>3816</v>
      </c>
      <c r="B4469" s="166"/>
      <c r="C4469" s="118" t="s">
        <v>3817</v>
      </c>
      <c r="D4469" s="141"/>
      <c r="E4469" s="118"/>
      <c r="F4469" s="118"/>
      <c r="G4469" s="118" t="s">
        <v>3618</v>
      </c>
      <c r="H4469" s="118" t="s">
        <v>3638</v>
      </c>
      <c r="I4469" s="118" t="s">
        <v>3154</v>
      </c>
      <c r="J4469" s="118" t="s">
        <v>7416</v>
      </c>
      <c r="K4469" s="141"/>
      <c r="L4469" s="135" t="str">
        <f t="shared" si="248"/>
        <v>Neotoma goldmani</v>
      </c>
      <c r="M4469" s="133">
        <f t="shared" si="251"/>
        <v>2.2966700000000002</v>
      </c>
      <c r="N4469" s="133">
        <v>198.00219282889842</v>
      </c>
      <c r="O4469" s="179" t="s">
        <v>3356</v>
      </c>
      <c r="P4469" s="117">
        <v>66</v>
      </c>
    </row>
    <row r="4470" spans="1:30">
      <c r="A4470" s="118" t="s">
        <v>3816</v>
      </c>
      <c r="B4470" s="166"/>
      <c r="C4470" s="118" t="s">
        <v>3817</v>
      </c>
      <c r="D4470" s="141"/>
      <c r="E4470" s="118"/>
      <c r="F4470" s="118"/>
      <c r="G4470" s="118" t="s">
        <v>3618</v>
      </c>
      <c r="H4470" s="118" t="s">
        <v>3638</v>
      </c>
      <c r="I4470" s="118" t="s">
        <v>3154</v>
      </c>
      <c r="J4470" s="118" t="s">
        <v>3155</v>
      </c>
      <c r="K4470" s="141"/>
      <c r="L4470" s="135" t="str">
        <f t="shared" si="248"/>
        <v>Neotoma nelsoni</v>
      </c>
      <c r="M4470" s="133">
        <f t="shared" si="251"/>
        <v>2.2966700000000002</v>
      </c>
      <c r="N4470" s="133">
        <v>198.00219282889842</v>
      </c>
      <c r="O4470" s="179" t="s">
        <v>3356</v>
      </c>
      <c r="P4470" s="117">
        <v>66</v>
      </c>
      <c r="Q4470" s="90" t="s">
        <v>6640</v>
      </c>
    </row>
    <row r="4471" spans="1:30">
      <c r="A4471" s="118" t="s">
        <v>3816</v>
      </c>
      <c r="B4471" s="166"/>
      <c r="C4471" s="118" t="s">
        <v>3817</v>
      </c>
      <c r="D4471" s="141"/>
      <c r="E4471" s="118"/>
      <c r="F4471" s="118"/>
      <c r="G4471" s="118" t="s">
        <v>3618</v>
      </c>
      <c r="H4471" s="118" t="s">
        <v>3638</v>
      </c>
      <c r="I4471" s="118" t="s">
        <v>3154</v>
      </c>
      <c r="J4471" s="118" t="s">
        <v>3586</v>
      </c>
      <c r="K4471" s="141"/>
      <c r="L4471" s="135" t="str">
        <f t="shared" si="248"/>
        <v>Neotoma palatina</v>
      </c>
      <c r="M4471" s="133">
        <f t="shared" si="251"/>
        <v>2.2966700000000002</v>
      </c>
      <c r="N4471" s="133">
        <v>198.00219282889842</v>
      </c>
      <c r="O4471" s="179" t="s">
        <v>3356</v>
      </c>
      <c r="P4471" s="117">
        <v>66</v>
      </c>
      <c r="Q4471" s="90" t="s">
        <v>6642</v>
      </c>
    </row>
    <row r="4472" spans="1:30">
      <c r="A4472" s="118" t="s">
        <v>3816</v>
      </c>
      <c r="B4472" s="166"/>
      <c r="C4472" s="118" t="s">
        <v>3817</v>
      </c>
      <c r="D4472" s="141"/>
      <c r="E4472" s="118"/>
      <c r="F4472" s="118"/>
      <c r="G4472" s="118" t="s">
        <v>3618</v>
      </c>
      <c r="H4472" s="118" t="s">
        <v>3638</v>
      </c>
      <c r="I4472" s="118" t="s">
        <v>3154</v>
      </c>
      <c r="J4472" s="118" t="s">
        <v>3352</v>
      </c>
      <c r="K4472" s="141"/>
      <c r="L4472" s="135" t="str">
        <f t="shared" si="248"/>
        <v>Neotoma devia</v>
      </c>
      <c r="M4472" s="133">
        <f t="shared" si="251"/>
        <v>2.3010299999999999</v>
      </c>
      <c r="N4472" s="133">
        <v>200.00000199681045</v>
      </c>
      <c r="O4472" s="179" t="s">
        <v>3356</v>
      </c>
      <c r="P4472" s="117">
        <v>66</v>
      </c>
    </row>
    <row r="4473" spans="1:30">
      <c r="A4473" s="118" t="s">
        <v>3816</v>
      </c>
      <c r="B4473" s="166"/>
      <c r="C4473" s="118" t="s">
        <v>3817</v>
      </c>
      <c r="D4473" s="141"/>
      <c r="E4473" s="118"/>
      <c r="F4473" s="118"/>
      <c r="G4473" s="118" t="s">
        <v>3618</v>
      </c>
      <c r="H4473" s="118" t="s">
        <v>3638</v>
      </c>
      <c r="I4473" s="118" t="s">
        <v>3154</v>
      </c>
      <c r="J4473" s="118" t="s">
        <v>4375</v>
      </c>
      <c r="K4473" s="141"/>
      <c r="L4473" s="135" t="str">
        <f t="shared" si="248"/>
        <v>Neotoma mexicana</v>
      </c>
      <c r="M4473" s="133">
        <f t="shared" si="251"/>
        <v>2.3075000000000006</v>
      </c>
      <c r="N4473" s="133">
        <v>203.00185198596861</v>
      </c>
      <c r="O4473" s="179" t="s">
        <v>3356</v>
      </c>
      <c r="P4473" s="108">
        <v>60</v>
      </c>
    </row>
    <row r="4474" spans="1:30">
      <c r="A4474" s="118" t="s">
        <v>3816</v>
      </c>
      <c r="B4474" s="166"/>
      <c r="C4474" s="118" t="s">
        <v>3817</v>
      </c>
      <c r="D4474" s="141"/>
      <c r="E4474" s="118"/>
      <c r="F4474" s="118"/>
      <c r="G4474" s="118" t="s">
        <v>3618</v>
      </c>
      <c r="H4474" s="118" t="s">
        <v>3638</v>
      </c>
      <c r="I4474" s="118" t="s">
        <v>3154</v>
      </c>
      <c r="J4474" s="118" t="s">
        <v>3599</v>
      </c>
      <c r="K4474" s="141"/>
      <c r="L4474" s="135" t="str">
        <f t="shared" si="248"/>
        <v>Neotoma albigula</v>
      </c>
      <c r="M4474" s="133">
        <f t="shared" si="251"/>
        <v>2.31392</v>
      </c>
      <c r="N4474" s="133">
        <v>206.02503661710156</v>
      </c>
      <c r="O4474" s="179" t="s">
        <v>3356</v>
      </c>
      <c r="P4474" s="108">
        <v>60</v>
      </c>
    </row>
    <row r="4475" spans="1:30">
      <c r="A4475" s="118" t="s">
        <v>3816</v>
      </c>
      <c r="B4475" s="166"/>
      <c r="C4475" s="118" t="s">
        <v>3817</v>
      </c>
      <c r="D4475" s="141"/>
      <c r="E4475" s="118"/>
      <c r="F4475" s="118"/>
      <c r="G4475" s="118" t="s">
        <v>3618</v>
      </c>
      <c r="H4475" s="118" t="s">
        <v>3638</v>
      </c>
      <c r="I4475" s="118" t="s">
        <v>3154</v>
      </c>
      <c r="J4475" s="118" t="s">
        <v>2983</v>
      </c>
      <c r="K4475" s="141"/>
      <c r="L4475" s="135" t="str">
        <f t="shared" si="248"/>
        <v>Neotoma phenax</v>
      </c>
      <c r="M4475" s="133">
        <f t="shared" si="251"/>
        <v>2.3569800000000005</v>
      </c>
      <c r="N4475" s="133">
        <v>227.49926610759189</v>
      </c>
      <c r="O4475" s="179" t="s">
        <v>3356</v>
      </c>
      <c r="P4475" s="108">
        <v>60</v>
      </c>
    </row>
    <row r="4476" spans="1:30">
      <c r="A4476" s="118" t="s">
        <v>3816</v>
      </c>
      <c r="B4476" s="166"/>
      <c r="C4476" s="118" t="s">
        <v>3817</v>
      </c>
      <c r="D4476" s="141"/>
      <c r="E4476" s="118"/>
      <c r="F4476" s="118"/>
      <c r="G4476" s="118" t="s">
        <v>3618</v>
      </c>
      <c r="H4476" s="118" t="s">
        <v>3638</v>
      </c>
      <c r="I4476" s="118" t="s">
        <v>3154</v>
      </c>
      <c r="J4476" s="118" t="s">
        <v>4263</v>
      </c>
      <c r="K4476" s="141"/>
      <c r="L4476" s="135" t="str">
        <f t="shared" si="248"/>
        <v>Neotoma fuscipes</v>
      </c>
      <c r="M4476" s="133">
        <f t="shared" si="251"/>
        <v>2.3614099999999998</v>
      </c>
      <c r="N4476" s="133">
        <v>229.83173734904688</v>
      </c>
      <c r="O4476" s="179" t="s">
        <v>3356</v>
      </c>
      <c r="P4476" s="108">
        <v>60</v>
      </c>
    </row>
    <row r="4477" spans="1:30">
      <c r="A4477" s="118" t="s">
        <v>3816</v>
      </c>
      <c r="B4477" s="166"/>
      <c r="C4477" s="118" t="s">
        <v>3817</v>
      </c>
      <c r="D4477" s="141"/>
      <c r="E4477" s="118"/>
      <c r="F4477" s="118"/>
      <c r="G4477" s="118" t="s">
        <v>3618</v>
      </c>
      <c r="H4477" s="118" t="s">
        <v>3638</v>
      </c>
      <c r="I4477" s="118" t="s">
        <v>3154</v>
      </c>
      <c r="J4477" s="118" t="s">
        <v>3596</v>
      </c>
      <c r="K4477" s="141"/>
      <c r="L4477" s="135" t="str">
        <f t="shared" si="248"/>
        <v>Neotoma micropus</v>
      </c>
      <c r="M4477" s="133">
        <f t="shared" si="251"/>
        <v>2.3756599999999999</v>
      </c>
      <c r="N4477" s="133">
        <v>237.49802366326344</v>
      </c>
      <c r="O4477" s="179" t="s">
        <v>3356</v>
      </c>
      <c r="P4477" s="108">
        <v>60</v>
      </c>
    </row>
    <row r="4478" spans="1:30">
      <c r="A4478" s="118" t="s">
        <v>3816</v>
      </c>
      <c r="B4478" s="166"/>
      <c r="C4478" s="118" t="s">
        <v>3817</v>
      </c>
      <c r="D4478" s="141"/>
      <c r="E4478" s="118"/>
      <c r="F4478" s="118"/>
      <c r="G4478" s="118" t="s">
        <v>3618</v>
      </c>
      <c r="H4478" s="118" t="s">
        <v>3638</v>
      </c>
      <c r="I4478" s="118" t="s">
        <v>3154</v>
      </c>
      <c r="J4478" s="118" t="s">
        <v>3157</v>
      </c>
      <c r="K4478" s="141"/>
      <c r="L4478" s="135" t="str">
        <f t="shared" si="248"/>
        <v>Neotoma floridana</v>
      </c>
      <c r="M4478" s="133">
        <f t="shared" si="251"/>
        <v>2.3887200000000006</v>
      </c>
      <c r="N4478" s="133">
        <v>244.74847813114897</v>
      </c>
      <c r="O4478" s="179" t="s">
        <v>3356</v>
      </c>
      <c r="P4478" s="108">
        <v>60</v>
      </c>
    </row>
    <row r="4479" spans="1:30">
      <c r="A4479" s="121" t="s">
        <v>3816</v>
      </c>
      <c r="B4479" s="166"/>
      <c r="C4479" s="118" t="s">
        <v>3817</v>
      </c>
      <c r="D4479" s="141"/>
      <c r="E4479" s="118"/>
      <c r="F4479" s="118"/>
      <c r="G4479" s="118" t="s">
        <v>3618</v>
      </c>
      <c r="H4479" s="118" t="s">
        <v>3638</v>
      </c>
      <c r="I4479" s="118" t="s">
        <v>3154</v>
      </c>
      <c r="J4479" s="118" t="s">
        <v>4612</v>
      </c>
      <c r="K4479" s="141"/>
      <c r="L4479" s="135" t="str">
        <f t="shared" si="248"/>
        <v>Neotoma cinerea</v>
      </c>
      <c r="M4479" s="133">
        <f t="shared" si="251"/>
        <v>2.4758900000000006</v>
      </c>
      <c r="N4479" s="133">
        <v>299.15068387472962</v>
      </c>
      <c r="O4479" s="179" t="s">
        <v>3356</v>
      </c>
      <c r="P4479" s="117">
        <v>66</v>
      </c>
    </row>
    <row r="4480" spans="1:30" ht="15" customHeight="1">
      <c r="A4480" s="118" t="s">
        <v>3816</v>
      </c>
      <c r="B4480" s="166"/>
      <c r="C4480" s="118" t="s">
        <v>3817</v>
      </c>
      <c r="D4480" s="141"/>
      <c r="E4480" s="118"/>
      <c r="F4480" s="118"/>
      <c r="G4480" s="118" t="s">
        <v>3618</v>
      </c>
      <c r="H4480" s="118" t="s">
        <v>3638</v>
      </c>
      <c r="I4480" s="118" t="s">
        <v>2984</v>
      </c>
      <c r="J4480" s="118" t="s">
        <v>2328</v>
      </c>
      <c r="K4480" s="141"/>
      <c r="L4480" s="135" t="str">
        <f t="shared" si="248"/>
        <v>Neotomodon alstoni</v>
      </c>
      <c r="M4480" s="133">
        <f t="shared" si="251"/>
        <v>1.60206</v>
      </c>
      <c r="N4480" s="133">
        <v>40.000000798724201</v>
      </c>
      <c r="O4480" s="179" t="s">
        <v>3356</v>
      </c>
      <c r="P4480" s="117">
        <v>66</v>
      </c>
    </row>
    <row r="4481" spans="1:20" ht="12" customHeight="1">
      <c r="A4481" s="121" t="s">
        <v>3816</v>
      </c>
      <c r="B4481" s="166"/>
      <c r="C4481" s="118" t="s">
        <v>3817</v>
      </c>
      <c r="D4481" s="141"/>
      <c r="E4481" s="118"/>
      <c r="F4481" s="118"/>
      <c r="G4481" s="118" t="s">
        <v>3618</v>
      </c>
      <c r="H4481" s="118" t="s">
        <v>3638</v>
      </c>
      <c r="I4481" s="118" t="s">
        <v>2985</v>
      </c>
      <c r="J4481" s="118" t="s">
        <v>4749</v>
      </c>
      <c r="K4481" s="141"/>
      <c r="L4481" s="135" t="str">
        <f t="shared" si="248"/>
        <v>Nyctomys sumichrasti</v>
      </c>
      <c r="M4481" s="133">
        <f t="shared" si="251"/>
        <v>1.6941033425132446</v>
      </c>
      <c r="N4481" s="133">
        <f>AVERAGE(59.9998272533644, 48.5, 44.9, 39.3, 61.3, 38.2, 53.9)</f>
        <v>49.44283246476634</v>
      </c>
      <c r="O4481" s="179" t="s">
        <v>3356</v>
      </c>
      <c r="P4481" s="117" t="s">
        <v>1808</v>
      </c>
      <c r="R4481" s="89"/>
    </row>
    <row r="4482" spans="1:20">
      <c r="A4482" s="118" t="s">
        <v>3816</v>
      </c>
      <c r="B4482" s="166"/>
      <c r="C4482" s="118" t="s">
        <v>3817</v>
      </c>
      <c r="D4482" s="141"/>
      <c r="E4482" s="118"/>
      <c r="F4482" s="118"/>
      <c r="G4482" s="118" t="s">
        <v>3618</v>
      </c>
      <c r="H4482" s="118" t="s">
        <v>3638</v>
      </c>
      <c r="I4482" s="118" t="s">
        <v>3825</v>
      </c>
      <c r="J4482" s="118" t="s">
        <v>3826</v>
      </c>
      <c r="K4482" s="141"/>
      <c r="L4482" s="135" t="str">
        <f t="shared" si="248"/>
        <v>Ochrotomys nuttalli</v>
      </c>
      <c r="M4482" s="133">
        <f t="shared" si="251"/>
        <v>1.3497600000000001</v>
      </c>
      <c r="N4482" s="133">
        <v>22.374843173251058</v>
      </c>
      <c r="O4482" s="179" t="s">
        <v>3356</v>
      </c>
      <c r="P4482" s="108">
        <v>60</v>
      </c>
      <c r="T4482" s="92"/>
    </row>
    <row r="4483" spans="1:20">
      <c r="A4483" s="118" t="s">
        <v>3816</v>
      </c>
      <c r="B4483" s="165" t="s">
        <v>2582</v>
      </c>
      <c r="C4483" s="118" t="s">
        <v>3817</v>
      </c>
      <c r="D4483" s="141"/>
      <c r="E4483" s="118"/>
      <c r="F4483" s="118"/>
      <c r="G4483" s="118" t="s">
        <v>3618</v>
      </c>
      <c r="H4483" s="118" t="s">
        <v>3638</v>
      </c>
      <c r="I4483" s="118" t="s">
        <v>3827</v>
      </c>
      <c r="J4483" s="118" t="s">
        <v>5026</v>
      </c>
      <c r="K4483" s="141"/>
      <c r="L4483" s="135" t="str">
        <f t="shared" si="248"/>
        <v>Oligoryzomys vegetus</v>
      </c>
      <c r="M4483" s="133">
        <v>-999</v>
      </c>
      <c r="N4483" s="133">
        <v>-999</v>
      </c>
      <c r="O4483" s="179" t="s">
        <v>3356</v>
      </c>
      <c r="P4483" s="108">
        <v>-999</v>
      </c>
      <c r="Q4483" s="80" t="s">
        <v>6642</v>
      </c>
    </row>
    <row r="4484" spans="1:20">
      <c r="A4484" s="118" t="s">
        <v>3816</v>
      </c>
      <c r="B4484" s="166"/>
      <c r="C4484" s="118" t="s">
        <v>3817</v>
      </c>
      <c r="D4484" s="141"/>
      <c r="E4484" s="118"/>
      <c r="F4484" s="118"/>
      <c r="G4484" s="118" t="s">
        <v>3618</v>
      </c>
      <c r="H4484" s="118" t="s">
        <v>3638</v>
      </c>
      <c r="I4484" s="118" t="s">
        <v>3827</v>
      </c>
      <c r="J4484" s="118" t="s">
        <v>3368</v>
      </c>
      <c r="K4484" s="141"/>
      <c r="L4484" s="135" t="str">
        <f t="shared" si="248"/>
        <v>Oligoryzomys fulvescens</v>
      </c>
      <c r="M4484" s="133">
        <f>LOG(N4484)</f>
        <v>1.3979400000000002</v>
      </c>
      <c r="N4484" s="133">
        <v>24.999999500797397</v>
      </c>
      <c r="O4484" s="179" t="s">
        <v>3356</v>
      </c>
      <c r="P4484" s="108">
        <v>60</v>
      </c>
    </row>
    <row r="4485" spans="1:20" ht="15" customHeight="1">
      <c r="A4485" s="118" t="s">
        <v>3816</v>
      </c>
      <c r="B4485" s="166"/>
      <c r="C4485" s="118" t="s">
        <v>3817</v>
      </c>
      <c r="D4485" s="141"/>
      <c r="E4485" s="118"/>
      <c r="F4485" s="118"/>
      <c r="G4485" s="118" t="s">
        <v>3618</v>
      </c>
      <c r="H4485" s="118" t="s">
        <v>3638</v>
      </c>
      <c r="I4485" s="118" t="s">
        <v>3369</v>
      </c>
      <c r="J4485" s="118" t="s">
        <v>3370</v>
      </c>
      <c r="K4485" s="141"/>
      <c r="L4485" s="135" t="str">
        <f t="shared" ref="L4485:L4548" si="252">I4485&amp;" "&amp;J4485</f>
        <v>Ondatra zibethicus</v>
      </c>
      <c r="M4485" s="133">
        <f>LOG(N4485)</f>
        <v>2.9918900000000006</v>
      </c>
      <c r="N4485" s="133">
        <v>981.49931310869442</v>
      </c>
      <c r="O4485" s="179" t="s">
        <v>3356</v>
      </c>
      <c r="P4485" s="108">
        <v>60</v>
      </c>
    </row>
    <row r="4486" spans="1:20">
      <c r="A4486" s="118" t="s">
        <v>3816</v>
      </c>
      <c r="B4486" s="166"/>
      <c r="C4486" s="118" t="s">
        <v>3817</v>
      </c>
      <c r="D4486" s="141"/>
      <c r="E4486" s="118"/>
      <c r="F4486" s="118"/>
      <c r="G4486" s="118" t="s">
        <v>3618</v>
      </c>
      <c r="H4486" s="118" t="s">
        <v>3638</v>
      </c>
      <c r="I4486" s="118" t="s">
        <v>3196</v>
      </c>
      <c r="J4486" s="118" t="s">
        <v>3010</v>
      </c>
      <c r="K4486" s="141"/>
      <c r="L4486" s="135" t="str">
        <f t="shared" si="252"/>
        <v>Onychomys torridus</v>
      </c>
      <c r="M4486" s="133">
        <f>LOG(N4486)</f>
        <v>1.3973600000000002</v>
      </c>
      <c r="N4486" s="133">
        <v>24.966634302175336</v>
      </c>
      <c r="O4486" s="179" t="s">
        <v>3356</v>
      </c>
      <c r="P4486" s="108">
        <v>60</v>
      </c>
    </row>
    <row r="4487" spans="1:20" ht="12" customHeight="1">
      <c r="A4487" s="118" t="s">
        <v>3816</v>
      </c>
      <c r="B4487" s="166"/>
      <c r="C4487" s="118" t="s">
        <v>3817</v>
      </c>
      <c r="D4487" s="141"/>
      <c r="E4487" s="118"/>
      <c r="F4487" s="118"/>
      <c r="G4487" s="118" t="s">
        <v>3618</v>
      </c>
      <c r="H4487" s="118" t="s">
        <v>3638</v>
      </c>
      <c r="I4487" s="118" t="s">
        <v>3196</v>
      </c>
      <c r="J4487" s="118" t="s">
        <v>4045</v>
      </c>
      <c r="K4487" s="141"/>
      <c r="L4487" s="135" t="str">
        <f t="shared" si="252"/>
        <v>Onychomys leucogaster</v>
      </c>
      <c r="M4487" s="133">
        <f>LOG(N4487)</f>
        <v>1.4459900000000003</v>
      </c>
      <c r="N4487" s="133">
        <v>27.924795412794197</v>
      </c>
      <c r="O4487" s="179" t="s">
        <v>3356</v>
      </c>
      <c r="P4487" s="108">
        <v>60</v>
      </c>
      <c r="R4487" s="89"/>
    </row>
    <row r="4488" spans="1:20">
      <c r="A4488" s="121" t="s">
        <v>3816</v>
      </c>
      <c r="B4488" s="166"/>
      <c r="C4488" s="118" t="s">
        <v>3817</v>
      </c>
      <c r="D4488" s="141"/>
      <c r="E4488" s="118"/>
      <c r="F4488" s="118"/>
      <c r="G4488" s="118" t="s">
        <v>3618</v>
      </c>
      <c r="H4488" s="118" t="s">
        <v>3638</v>
      </c>
      <c r="I4488" s="118" t="s">
        <v>3196</v>
      </c>
      <c r="J4488" s="118" t="s">
        <v>3009</v>
      </c>
      <c r="K4488" s="141"/>
      <c r="L4488" s="135" t="str">
        <f t="shared" si="252"/>
        <v>Onychomys arenicola</v>
      </c>
      <c r="M4488" s="133">
        <f>LOG(N4488)</f>
        <v>1.4771200000000002</v>
      </c>
      <c r="N4488" s="133">
        <v>29.999913327161494</v>
      </c>
      <c r="O4488" s="179" t="s">
        <v>3356</v>
      </c>
      <c r="P4488" s="117">
        <v>66</v>
      </c>
    </row>
    <row r="4489" spans="1:20">
      <c r="A4489" s="121" t="s">
        <v>3816</v>
      </c>
      <c r="B4489" s="165" t="s">
        <v>6555</v>
      </c>
      <c r="C4489" s="118" t="s">
        <v>3817</v>
      </c>
      <c r="D4489" s="141"/>
      <c r="E4489" s="118"/>
      <c r="F4489" s="118"/>
      <c r="G4489" s="118" t="s">
        <v>3618</v>
      </c>
      <c r="H4489" s="118" t="s">
        <v>3638</v>
      </c>
      <c r="I4489" s="118" t="s">
        <v>3398</v>
      </c>
      <c r="J4489" s="118" t="s">
        <v>5503</v>
      </c>
      <c r="K4489" s="141"/>
      <c r="L4489" s="135" t="str">
        <f t="shared" si="252"/>
        <v>Oryzomys devius</v>
      </c>
      <c r="M4489" s="133">
        <v>-999</v>
      </c>
      <c r="N4489" s="133">
        <v>-999</v>
      </c>
      <c r="O4489" s="179" t="s">
        <v>3356</v>
      </c>
      <c r="P4489" s="108">
        <v>-999</v>
      </c>
      <c r="Q4489" s="80"/>
    </row>
    <row r="4490" spans="1:20">
      <c r="A4490" s="121" t="s">
        <v>3816</v>
      </c>
      <c r="B4490" s="165" t="s">
        <v>6556</v>
      </c>
      <c r="C4490" s="118" t="s">
        <v>3817</v>
      </c>
      <c r="D4490" s="141"/>
      <c r="E4490" s="118"/>
      <c r="F4490" s="118"/>
      <c r="G4490" s="118" t="s">
        <v>3618</v>
      </c>
      <c r="H4490" s="121" t="s">
        <v>3638</v>
      </c>
      <c r="I4490" s="118" t="s">
        <v>3398</v>
      </c>
      <c r="J4490" s="118" t="s">
        <v>3518</v>
      </c>
      <c r="K4490" s="141"/>
      <c r="L4490" s="135" t="str">
        <f t="shared" si="252"/>
        <v>Oryzomys dimidiatus</v>
      </c>
      <c r="M4490" s="133">
        <v>-999</v>
      </c>
      <c r="N4490" s="133">
        <v>-999</v>
      </c>
      <c r="O4490" s="179" t="s">
        <v>3356</v>
      </c>
      <c r="P4490" s="108">
        <v>-999</v>
      </c>
      <c r="Q4490" s="80" t="s">
        <v>6642</v>
      </c>
    </row>
    <row r="4491" spans="1:20">
      <c r="A4491" s="118" t="s">
        <v>3816</v>
      </c>
      <c r="B4491" s="165" t="s">
        <v>2883</v>
      </c>
      <c r="C4491" s="118" t="s">
        <v>3817</v>
      </c>
      <c r="D4491" s="141"/>
      <c r="E4491" s="118"/>
      <c r="F4491" s="118"/>
      <c r="G4491" s="118" t="s">
        <v>3618</v>
      </c>
      <c r="H4491" s="118" t="s">
        <v>3638</v>
      </c>
      <c r="I4491" s="118" t="s">
        <v>3398</v>
      </c>
      <c r="J4491" s="118" t="s">
        <v>7024</v>
      </c>
      <c r="K4491" s="141"/>
      <c r="L4491" s="135" t="str">
        <f t="shared" si="252"/>
        <v>Oryzomys rhabdops</v>
      </c>
      <c r="M4491" s="133">
        <v>-999</v>
      </c>
      <c r="N4491" s="133">
        <v>-999</v>
      </c>
      <c r="O4491" s="179" t="s">
        <v>3356</v>
      </c>
      <c r="P4491" s="108">
        <v>-999</v>
      </c>
      <c r="Q4491" s="80"/>
    </row>
    <row r="4492" spans="1:20" ht="38.25">
      <c r="A4492" s="118" t="s">
        <v>3816</v>
      </c>
      <c r="B4492" s="165" t="s">
        <v>6092</v>
      </c>
      <c r="C4492" s="118" t="s">
        <v>3817</v>
      </c>
      <c r="D4492" s="141"/>
      <c r="E4492" s="118"/>
      <c r="F4492" s="118"/>
      <c r="G4492" s="118" t="s">
        <v>3618</v>
      </c>
      <c r="H4492" s="118" t="s">
        <v>3638</v>
      </c>
      <c r="I4492" s="118" t="s">
        <v>3398</v>
      </c>
      <c r="J4492" s="118" t="s">
        <v>4048</v>
      </c>
      <c r="K4492" s="141"/>
      <c r="L4492" s="135" t="str">
        <f t="shared" si="252"/>
        <v>Oryzomys rostratus</v>
      </c>
      <c r="M4492" s="133">
        <v>-999</v>
      </c>
      <c r="N4492" s="133">
        <v>-999</v>
      </c>
      <c r="O4492" s="179" t="s">
        <v>3356</v>
      </c>
      <c r="P4492" s="108">
        <v>-999</v>
      </c>
      <c r="Q4492" s="80"/>
    </row>
    <row r="4493" spans="1:20" ht="38.25">
      <c r="A4493" s="118" t="s">
        <v>3816</v>
      </c>
      <c r="B4493" s="165" t="s">
        <v>3236</v>
      </c>
      <c r="C4493" s="118" t="s">
        <v>3817</v>
      </c>
      <c r="D4493" s="141"/>
      <c r="E4493" s="118"/>
      <c r="F4493" s="118"/>
      <c r="G4493" s="118" t="s">
        <v>3618</v>
      </c>
      <c r="H4493" s="118" t="s">
        <v>3638</v>
      </c>
      <c r="I4493" s="118" t="s">
        <v>3398</v>
      </c>
      <c r="J4493" s="118" t="s">
        <v>7391</v>
      </c>
      <c r="K4493" s="141"/>
      <c r="L4493" s="135" t="str">
        <f t="shared" si="252"/>
        <v>Oryzomys saturatior</v>
      </c>
      <c r="M4493" s="133">
        <v>-999</v>
      </c>
      <c r="N4493" s="133">
        <v>-999</v>
      </c>
      <c r="O4493" s="179" t="s">
        <v>3356</v>
      </c>
      <c r="P4493" s="108">
        <v>-999</v>
      </c>
      <c r="Q4493" s="80"/>
    </row>
    <row r="4494" spans="1:20">
      <c r="A4494" s="118" t="s">
        <v>3816</v>
      </c>
      <c r="B4494" s="166"/>
      <c r="C4494" s="118" t="s">
        <v>3817</v>
      </c>
      <c r="D4494" s="141"/>
      <c r="E4494" s="118"/>
      <c r="F4494" s="118"/>
      <c r="G4494" s="118" t="s">
        <v>3618</v>
      </c>
      <c r="H4494" s="118" t="s">
        <v>3638</v>
      </c>
      <c r="I4494" s="118" t="s">
        <v>3398</v>
      </c>
      <c r="J4494" s="118" t="s">
        <v>3399</v>
      </c>
      <c r="K4494" s="141"/>
      <c r="L4494" s="135" t="str">
        <f t="shared" si="252"/>
        <v>Oryzomys alfaroi</v>
      </c>
      <c r="M4494" s="133">
        <f t="shared" ref="M4494:M4501" si="253">LOG(N4494)</f>
        <v>1.5224400000000002</v>
      </c>
      <c r="N4494" s="133">
        <v>33.299675392897669</v>
      </c>
      <c r="O4494" s="179" t="s">
        <v>3356</v>
      </c>
      <c r="P4494" s="108">
        <v>60</v>
      </c>
    </row>
    <row r="4495" spans="1:20">
      <c r="A4495" s="118" t="s">
        <v>3816</v>
      </c>
      <c r="B4495" s="166"/>
      <c r="C4495" s="118" t="s">
        <v>3817</v>
      </c>
      <c r="D4495" s="141"/>
      <c r="E4495" s="118"/>
      <c r="F4495" s="118"/>
      <c r="G4495" s="118" t="s">
        <v>3618</v>
      </c>
      <c r="H4495" s="118" t="s">
        <v>3638</v>
      </c>
      <c r="I4495" s="118" t="s">
        <v>3398</v>
      </c>
      <c r="J4495" s="118" t="s">
        <v>7637</v>
      </c>
      <c r="K4495" s="141"/>
      <c r="L4495" s="135" t="str">
        <f t="shared" si="252"/>
        <v>Oryzomys chapmani</v>
      </c>
      <c r="M4495" s="133">
        <f t="shared" si="253"/>
        <v>1.6989700000000001</v>
      </c>
      <c r="N4495" s="133">
        <v>49.999999500797408</v>
      </c>
      <c r="O4495" s="179" t="s">
        <v>3356</v>
      </c>
      <c r="P4495" s="108">
        <v>60</v>
      </c>
    </row>
    <row r="4496" spans="1:20" ht="15" customHeight="1">
      <c r="A4496" s="118" t="s">
        <v>3816</v>
      </c>
      <c r="B4496" s="166"/>
      <c r="C4496" s="118" t="s">
        <v>3817</v>
      </c>
      <c r="D4496" s="141"/>
      <c r="E4496" s="118"/>
      <c r="F4496" s="118"/>
      <c r="G4496" s="118" t="s">
        <v>3618</v>
      </c>
      <c r="H4496" s="118" t="s">
        <v>3638</v>
      </c>
      <c r="I4496" s="118" t="s">
        <v>3398</v>
      </c>
      <c r="J4496" s="118" t="s">
        <v>4633</v>
      </c>
      <c r="K4496" s="141"/>
      <c r="L4496" s="135" t="str">
        <f t="shared" si="252"/>
        <v>Oryzomys melanotis</v>
      </c>
      <c r="M4496" s="133">
        <f t="shared" si="253"/>
        <v>1.6989700000000001</v>
      </c>
      <c r="N4496" s="133">
        <v>49.999999500797408</v>
      </c>
      <c r="O4496" s="179" t="s">
        <v>3356</v>
      </c>
      <c r="P4496" s="117">
        <v>66</v>
      </c>
      <c r="Q4496" s="90" t="s">
        <v>6987</v>
      </c>
    </row>
    <row r="4497" spans="1:20" ht="12" customHeight="1">
      <c r="A4497" s="118" t="s">
        <v>3816</v>
      </c>
      <c r="B4497" s="166"/>
      <c r="C4497" s="118" t="s">
        <v>3817</v>
      </c>
      <c r="D4497" s="141"/>
      <c r="E4497" s="118"/>
      <c r="F4497" s="118"/>
      <c r="G4497" s="118" t="s">
        <v>3618</v>
      </c>
      <c r="H4497" s="118" t="s">
        <v>3638</v>
      </c>
      <c r="I4497" s="118" t="s">
        <v>3398</v>
      </c>
      <c r="J4497" s="118" t="s">
        <v>2182</v>
      </c>
      <c r="K4497" s="141"/>
      <c r="L4497" s="135" t="str">
        <f t="shared" si="252"/>
        <v>Oryzomys palustris</v>
      </c>
      <c r="M4497" s="133">
        <f t="shared" si="253"/>
        <v>1.7313900000000002</v>
      </c>
      <c r="N4497" s="133">
        <v>53.87533702877996</v>
      </c>
      <c r="O4497" s="179" t="s">
        <v>3356</v>
      </c>
      <c r="P4497" s="108">
        <v>60</v>
      </c>
      <c r="R4497" s="89"/>
    </row>
    <row r="4498" spans="1:20">
      <c r="A4498" s="118" t="s">
        <v>3816</v>
      </c>
      <c r="B4498" s="166"/>
      <c r="C4498" s="118" t="s">
        <v>3817</v>
      </c>
      <c r="D4498" s="141"/>
      <c r="E4498" s="118"/>
      <c r="F4498" s="118"/>
      <c r="G4498" s="118" t="s">
        <v>3618</v>
      </c>
      <c r="H4498" s="118" t="s">
        <v>3638</v>
      </c>
      <c r="I4498" s="118" t="s">
        <v>3398</v>
      </c>
      <c r="J4498" s="118" t="s">
        <v>3162</v>
      </c>
      <c r="K4498" s="141"/>
      <c r="L4498" s="135" t="str">
        <f t="shared" si="252"/>
        <v>Oryzomys couesi</v>
      </c>
      <c r="M4498" s="133">
        <f t="shared" si="253"/>
        <v>1.8407300000000002</v>
      </c>
      <c r="N4498" s="133">
        <v>69.299483857675455</v>
      </c>
      <c r="O4498" s="179" t="s">
        <v>3356</v>
      </c>
      <c r="P4498" s="108">
        <v>60</v>
      </c>
    </row>
    <row r="4499" spans="1:20">
      <c r="A4499" s="118" t="s">
        <v>3816</v>
      </c>
      <c r="B4499" s="166"/>
      <c r="C4499" s="118" t="s">
        <v>3817</v>
      </c>
      <c r="D4499" s="141"/>
      <c r="E4499" s="118"/>
      <c r="F4499" s="118"/>
      <c r="G4499" s="118" t="s">
        <v>3618</v>
      </c>
      <c r="H4499" s="118" t="s">
        <v>3638</v>
      </c>
      <c r="I4499" s="118" t="s">
        <v>3163</v>
      </c>
      <c r="J4499" s="118" t="s">
        <v>3632</v>
      </c>
      <c r="K4499" s="141"/>
      <c r="L4499" s="135" t="str">
        <f t="shared" si="252"/>
        <v>Osgoodomys banderanus</v>
      </c>
      <c r="M4499" s="133">
        <f t="shared" si="253"/>
        <v>1.6989700000000001</v>
      </c>
      <c r="N4499" s="133">
        <v>49.999999500797408</v>
      </c>
      <c r="O4499" s="179" t="s">
        <v>3356</v>
      </c>
      <c r="P4499" s="117">
        <v>66</v>
      </c>
    </row>
    <row r="4500" spans="1:20">
      <c r="A4500" s="118" t="s">
        <v>3816</v>
      </c>
      <c r="B4500" s="166"/>
      <c r="C4500" s="118" t="s">
        <v>3817</v>
      </c>
      <c r="D4500" s="141"/>
      <c r="E4500" s="118"/>
      <c r="F4500" s="118"/>
      <c r="G4500" s="118" t="s">
        <v>3618</v>
      </c>
      <c r="H4500" s="118" t="s">
        <v>3638</v>
      </c>
      <c r="I4500" s="118" t="s">
        <v>3633</v>
      </c>
      <c r="J4500" s="118" t="s">
        <v>3634</v>
      </c>
      <c r="K4500" s="141"/>
      <c r="L4500" s="135" t="str">
        <f t="shared" si="252"/>
        <v>Otonyctomys hatti</v>
      </c>
      <c r="M4500" s="133">
        <f t="shared" si="253"/>
        <v>1.5587100000000003</v>
      </c>
      <c r="N4500" s="133">
        <v>36.200119151374764</v>
      </c>
      <c r="O4500" s="179" t="s">
        <v>3356</v>
      </c>
      <c r="P4500" s="108">
        <v>60</v>
      </c>
    </row>
    <row r="4501" spans="1:20" ht="15" customHeight="1">
      <c r="A4501" s="118" t="s">
        <v>3816</v>
      </c>
      <c r="B4501" s="166"/>
      <c r="C4501" s="118" t="s">
        <v>3817</v>
      </c>
      <c r="D4501" s="141"/>
      <c r="E4501" s="118"/>
      <c r="F4501" s="118"/>
      <c r="G4501" s="118" t="s">
        <v>3618</v>
      </c>
      <c r="H4501" s="118" t="s">
        <v>3638</v>
      </c>
      <c r="I4501" s="118" t="s">
        <v>3168</v>
      </c>
      <c r="J4501" s="118" t="s">
        <v>3169</v>
      </c>
      <c r="K4501" s="141"/>
      <c r="L4501" s="135" t="str">
        <f t="shared" si="252"/>
        <v>Ototylomys phyllotis</v>
      </c>
      <c r="M4501" s="133">
        <f t="shared" si="253"/>
        <v>2.0791812460476247</v>
      </c>
      <c r="N4501" s="133">
        <v>120</v>
      </c>
      <c r="O4501" s="179" t="s">
        <v>3356</v>
      </c>
      <c r="P4501" s="108">
        <v>75</v>
      </c>
    </row>
    <row r="4502" spans="1:20" ht="15" customHeight="1">
      <c r="A4502" s="118" t="s">
        <v>3816</v>
      </c>
      <c r="B4502" s="165" t="s">
        <v>5119</v>
      </c>
      <c r="C4502" s="118" t="s">
        <v>3817</v>
      </c>
      <c r="D4502" s="141"/>
      <c r="E4502" s="118"/>
      <c r="F4502" s="118"/>
      <c r="G4502" s="118" t="s">
        <v>3618</v>
      </c>
      <c r="H4502" s="118" t="s">
        <v>3638</v>
      </c>
      <c r="I4502" s="118" t="s">
        <v>3167</v>
      </c>
      <c r="J4502" s="118" t="s">
        <v>2183</v>
      </c>
      <c r="K4502" s="141"/>
      <c r="L4502" s="135" t="str">
        <f t="shared" si="252"/>
        <v>Peromyscus levipes</v>
      </c>
      <c r="M4502" s="133">
        <v>-999</v>
      </c>
      <c r="N4502" s="133">
        <v>-999</v>
      </c>
      <c r="O4502" s="179" t="s">
        <v>3356</v>
      </c>
      <c r="P4502" s="108">
        <v>-999</v>
      </c>
      <c r="Q4502" s="80"/>
    </row>
    <row r="4503" spans="1:20">
      <c r="A4503" s="118" t="s">
        <v>3816</v>
      </c>
      <c r="B4503" s="165" t="s">
        <v>5121</v>
      </c>
      <c r="C4503" s="118" t="s">
        <v>3817</v>
      </c>
      <c r="D4503" s="141"/>
      <c r="E4503" s="118"/>
      <c r="F4503" s="118"/>
      <c r="G4503" s="118" t="s">
        <v>3618</v>
      </c>
      <c r="H4503" s="121" t="s">
        <v>3638</v>
      </c>
      <c r="I4503" s="118" t="s">
        <v>3167</v>
      </c>
      <c r="J4503" s="118" t="s">
        <v>5390</v>
      </c>
      <c r="K4503" s="141"/>
      <c r="L4503" s="135" t="str">
        <f t="shared" si="252"/>
        <v>Peromyscus mayensis</v>
      </c>
      <c r="M4503" s="133">
        <v>-999</v>
      </c>
      <c r="N4503" s="133">
        <v>-999</v>
      </c>
      <c r="O4503" s="179" t="s">
        <v>3356</v>
      </c>
      <c r="P4503" s="108">
        <v>-999</v>
      </c>
      <c r="Q4503" s="80" t="s">
        <v>6640</v>
      </c>
    </row>
    <row r="4504" spans="1:20">
      <c r="A4504" s="118" t="s">
        <v>3816</v>
      </c>
      <c r="B4504" s="166"/>
      <c r="C4504" s="118" t="s">
        <v>3817</v>
      </c>
      <c r="D4504" s="141"/>
      <c r="E4504" s="118"/>
      <c r="F4504" s="118"/>
      <c r="G4504" s="118" t="s">
        <v>3618</v>
      </c>
      <c r="H4504" s="118" t="s">
        <v>3638</v>
      </c>
      <c r="I4504" s="118" t="s">
        <v>3167</v>
      </c>
      <c r="J4504" s="118" t="s">
        <v>4623</v>
      </c>
      <c r="K4504" s="141"/>
      <c r="L4504" s="135" t="str">
        <f t="shared" si="252"/>
        <v>Peromyscus polionotus</v>
      </c>
      <c r="M4504" s="133">
        <f t="shared" ref="M4504:M4546" si="254">LOG(N4504)</f>
        <v>1.1122700000000001</v>
      </c>
      <c r="N4504" s="133">
        <v>12.950006905446124</v>
      </c>
      <c r="O4504" s="179" t="s">
        <v>3356</v>
      </c>
      <c r="P4504" s="108">
        <v>60</v>
      </c>
      <c r="T4504" s="92"/>
    </row>
    <row r="4505" spans="1:20" ht="15.75">
      <c r="A4505" s="118" t="s">
        <v>3816</v>
      </c>
      <c r="B4505" s="166"/>
      <c r="C4505" s="118" t="s">
        <v>3817</v>
      </c>
      <c r="D4505" s="141"/>
      <c r="E4505" s="118"/>
      <c r="F4505" s="118"/>
      <c r="G4505" s="118" t="s">
        <v>3618</v>
      </c>
      <c r="H4505" s="118" t="s">
        <v>3638</v>
      </c>
      <c r="I4505" s="118" t="s">
        <v>3167</v>
      </c>
      <c r="J4505" s="118" t="s">
        <v>3835</v>
      </c>
      <c r="K4505" s="141"/>
      <c r="L4505" s="135" t="str">
        <f t="shared" si="252"/>
        <v>Peromyscus crinitus</v>
      </c>
      <c r="M4505" s="133">
        <f t="shared" si="254"/>
        <v>1.2549100000000002</v>
      </c>
      <c r="N4505" s="133">
        <v>17.984981689509077</v>
      </c>
      <c r="O4505" s="179" t="s">
        <v>3356</v>
      </c>
      <c r="P4505" s="108">
        <v>60</v>
      </c>
      <c r="R4505" s="89"/>
      <c r="T4505" s="92"/>
    </row>
    <row r="4506" spans="1:20">
      <c r="A4506" s="118" t="s">
        <v>3816</v>
      </c>
      <c r="B4506" s="166"/>
      <c r="C4506" s="118" t="s">
        <v>3817</v>
      </c>
      <c r="D4506" s="141"/>
      <c r="E4506" s="118"/>
      <c r="F4506" s="118"/>
      <c r="G4506" s="118" t="s">
        <v>3618</v>
      </c>
      <c r="H4506" s="118" t="s">
        <v>3638</v>
      </c>
      <c r="I4506" s="118" t="s">
        <v>3167</v>
      </c>
      <c r="J4506" s="118" t="s">
        <v>7491</v>
      </c>
      <c r="K4506" s="141"/>
      <c r="L4506" s="135" t="str">
        <f t="shared" si="252"/>
        <v>Peromyscus leucopus</v>
      </c>
      <c r="M4506" s="133">
        <f t="shared" si="254"/>
        <v>1.3258200000000002</v>
      </c>
      <c r="N4506" s="133">
        <v>21.174833299521055</v>
      </c>
      <c r="O4506" s="179" t="s">
        <v>3356</v>
      </c>
      <c r="P4506" s="108">
        <v>60</v>
      </c>
      <c r="T4506" s="92"/>
    </row>
    <row r="4507" spans="1:20">
      <c r="A4507" s="118" t="s">
        <v>3816</v>
      </c>
      <c r="B4507" s="166"/>
      <c r="C4507" s="118" t="s">
        <v>3817</v>
      </c>
      <c r="D4507" s="141"/>
      <c r="E4507" s="118"/>
      <c r="F4507" s="118"/>
      <c r="G4507" s="118" t="s">
        <v>3618</v>
      </c>
      <c r="H4507" s="118" t="s">
        <v>3638</v>
      </c>
      <c r="I4507" s="118" t="s">
        <v>3167</v>
      </c>
      <c r="J4507" s="118" t="s">
        <v>3602</v>
      </c>
      <c r="K4507" s="141"/>
      <c r="L4507" s="135" t="str">
        <f t="shared" si="252"/>
        <v>Peromyscus maniculatus</v>
      </c>
      <c r="M4507" s="133">
        <f t="shared" si="254"/>
        <v>1.3280400000000001</v>
      </c>
      <c r="N4507" s="133">
        <v>21.283350638592552</v>
      </c>
      <c r="O4507" s="179" t="s">
        <v>3356</v>
      </c>
      <c r="P4507" s="108">
        <v>60</v>
      </c>
      <c r="T4507" s="92"/>
    </row>
    <row r="4508" spans="1:20">
      <c r="A4508" s="118" t="s">
        <v>3816</v>
      </c>
      <c r="B4508" s="166"/>
      <c r="C4508" s="118" t="s">
        <v>3817</v>
      </c>
      <c r="D4508" s="141"/>
      <c r="E4508" s="118"/>
      <c r="F4508" s="118"/>
      <c r="G4508" s="118" t="s">
        <v>3618</v>
      </c>
      <c r="H4508" s="118" t="s">
        <v>3638</v>
      </c>
      <c r="I4508" s="118" t="s">
        <v>3167</v>
      </c>
      <c r="J4508" s="118" t="s">
        <v>3208</v>
      </c>
      <c r="K4508" s="141"/>
      <c r="L4508" s="135" t="str">
        <f t="shared" si="252"/>
        <v>Peromyscus boylii</v>
      </c>
      <c r="M4508" s="133">
        <f t="shared" si="254"/>
        <v>1.3294000000000001</v>
      </c>
      <c r="N4508" s="133">
        <v>21.350104251272274</v>
      </c>
      <c r="O4508" s="179" t="s">
        <v>3356</v>
      </c>
      <c r="P4508" s="108">
        <v>60</v>
      </c>
      <c r="T4508" s="92"/>
    </row>
    <row r="4509" spans="1:20">
      <c r="A4509" s="118" t="s">
        <v>3816</v>
      </c>
      <c r="B4509" s="166"/>
      <c r="C4509" s="118" t="s">
        <v>3817</v>
      </c>
      <c r="D4509" s="141"/>
      <c r="E4509" s="118"/>
      <c r="F4509" s="118"/>
      <c r="G4509" s="118" t="s">
        <v>3618</v>
      </c>
      <c r="H4509" s="118" t="s">
        <v>3638</v>
      </c>
      <c r="I4509" s="118" t="s">
        <v>3167</v>
      </c>
      <c r="J4509" s="118" t="s">
        <v>3211</v>
      </c>
      <c r="K4509" s="141"/>
      <c r="L4509" s="135" t="str">
        <f t="shared" si="252"/>
        <v>Peromyscus eva</v>
      </c>
      <c r="M4509" s="133">
        <f t="shared" si="254"/>
        <v>1.3424199999999999</v>
      </c>
      <c r="N4509" s="133">
        <v>21.999864198351659</v>
      </c>
      <c r="O4509" s="179" t="s">
        <v>3356</v>
      </c>
      <c r="P4509" s="117">
        <v>66</v>
      </c>
      <c r="T4509" s="92"/>
    </row>
    <row r="4510" spans="1:20">
      <c r="A4510" s="118" t="s">
        <v>3816</v>
      </c>
      <c r="B4510" s="166"/>
      <c r="C4510" s="118" t="s">
        <v>3817</v>
      </c>
      <c r="D4510" s="141"/>
      <c r="E4510" s="118"/>
      <c r="F4510" s="118"/>
      <c r="G4510" s="118" t="s">
        <v>3618</v>
      </c>
      <c r="H4510" s="118" t="s">
        <v>3638</v>
      </c>
      <c r="I4510" s="118" t="s">
        <v>3167</v>
      </c>
      <c r="J4510" s="118" t="s">
        <v>3210</v>
      </c>
      <c r="K4510" s="141"/>
      <c r="L4510" s="135" t="str">
        <f t="shared" si="252"/>
        <v>Peromyscus eremicus</v>
      </c>
      <c r="M4510" s="133">
        <f t="shared" si="254"/>
        <v>1.3738300000000003</v>
      </c>
      <c r="N4510" s="133">
        <v>23.649937643784327</v>
      </c>
      <c r="O4510" s="179" t="s">
        <v>3356</v>
      </c>
      <c r="P4510" s="108">
        <v>60</v>
      </c>
    </row>
    <row r="4511" spans="1:20" ht="25.5">
      <c r="A4511" s="118" t="s">
        <v>3816</v>
      </c>
      <c r="B4511" s="165" t="s">
        <v>5272</v>
      </c>
      <c r="C4511" s="118" t="s">
        <v>3817</v>
      </c>
      <c r="D4511" s="141"/>
      <c r="E4511" s="118"/>
      <c r="F4511" s="118"/>
      <c r="G4511" s="118" t="s">
        <v>3618</v>
      </c>
      <c r="H4511" s="118" t="s">
        <v>3638</v>
      </c>
      <c r="I4511" s="118" t="s">
        <v>3167</v>
      </c>
      <c r="J4511" s="118" t="s">
        <v>8035</v>
      </c>
      <c r="K4511" s="141"/>
      <c r="L4511" s="135" t="str">
        <f t="shared" si="252"/>
        <v>Peromyscus oreas</v>
      </c>
      <c r="M4511" s="133">
        <f t="shared" si="254"/>
        <v>1.3905818785504354</v>
      </c>
      <c r="N4511" s="133">
        <v>24.58</v>
      </c>
      <c r="O4511" s="179" t="s">
        <v>3356</v>
      </c>
      <c r="P4511" s="108">
        <v>216</v>
      </c>
      <c r="Q4511" s="80"/>
    </row>
    <row r="4512" spans="1:20">
      <c r="A4512" s="118" t="s">
        <v>3816</v>
      </c>
      <c r="B4512" s="166"/>
      <c r="C4512" s="118" t="s">
        <v>3817</v>
      </c>
      <c r="D4512" s="141"/>
      <c r="E4512" s="118"/>
      <c r="F4512" s="118"/>
      <c r="G4512" s="118" t="s">
        <v>3618</v>
      </c>
      <c r="H4512" s="118" t="s">
        <v>3638</v>
      </c>
      <c r="I4512" s="118" t="s">
        <v>3167</v>
      </c>
      <c r="J4512" s="118" t="s">
        <v>3647</v>
      </c>
      <c r="K4512" s="141"/>
      <c r="L4512" s="135" t="str">
        <f t="shared" si="252"/>
        <v>Peromyscus yucatanicus</v>
      </c>
      <c r="M4512" s="133">
        <f t="shared" si="254"/>
        <v>1.4199600000000003</v>
      </c>
      <c r="N4512" s="133">
        <v>26.300257464166226</v>
      </c>
      <c r="O4512" s="179" t="s">
        <v>3356</v>
      </c>
      <c r="P4512" s="108">
        <v>60</v>
      </c>
    </row>
    <row r="4513" spans="1:18" ht="38.25">
      <c r="A4513" s="118" t="s">
        <v>3816</v>
      </c>
      <c r="B4513" s="165" t="s">
        <v>7677</v>
      </c>
      <c r="C4513" s="118" t="s">
        <v>3817</v>
      </c>
      <c r="D4513" s="141"/>
      <c r="E4513" s="118"/>
      <c r="F4513" s="118"/>
      <c r="G4513" s="118" t="s">
        <v>3618</v>
      </c>
      <c r="H4513" s="118" t="s">
        <v>3638</v>
      </c>
      <c r="I4513" s="118" t="s">
        <v>3167</v>
      </c>
      <c r="J4513" s="118" t="s">
        <v>7393</v>
      </c>
      <c r="K4513" s="141"/>
      <c r="L4513" s="135" t="str">
        <f t="shared" si="252"/>
        <v>Peromyscus gratus</v>
      </c>
      <c r="M4513" s="133">
        <f t="shared" si="254"/>
        <v>1.4369600000000002</v>
      </c>
      <c r="N4513" s="133">
        <v>27.350168103482694</v>
      </c>
      <c r="O4513" s="179" t="s">
        <v>7669</v>
      </c>
      <c r="P4513" s="108">
        <v>60</v>
      </c>
    </row>
    <row r="4514" spans="1:18">
      <c r="A4514" s="118" t="s">
        <v>3816</v>
      </c>
      <c r="B4514" s="166"/>
      <c r="C4514" s="118" t="s">
        <v>3817</v>
      </c>
      <c r="D4514" s="141"/>
      <c r="E4514" s="118"/>
      <c r="F4514" s="118"/>
      <c r="G4514" s="118" t="s">
        <v>3618</v>
      </c>
      <c r="H4514" s="118" t="s">
        <v>3638</v>
      </c>
      <c r="I4514" s="118" t="s">
        <v>3167</v>
      </c>
      <c r="J4514" s="118" t="s">
        <v>6326</v>
      </c>
      <c r="K4514" s="141"/>
      <c r="L4514" s="135" t="str">
        <f t="shared" si="252"/>
        <v>Peromyscus truei</v>
      </c>
      <c r="M4514" s="133">
        <f t="shared" si="254"/>
        <v>1.4369600000000002</v>
      </c>
      <c r="N4514" s="133">
        <v>27.350168103482694</v>
      </c>
      <c r="O4514" s="179" t="s">
        <v>3356</v>
      </c>
      <c r="P4514" s="108">
        <v>60</v>
      </c>
    </row>
    <row r="4515" spans="1:18">
      <c r="A4515" s="118" t="s">
        <v>3816</v>
      </c>
      <c r="B4515" s="166"/>
      <c r="C4515" s="121" t="s">
        <v>3817</v>
      </c>
      <c r="D4515" s="156"/>
      <c r="E4515" s="121"/>
      <c r="F4515" s="121"/>
      <c r="G4515" s="121" t="s">
        <v>3618</v>
      </c>
      <c r="H4515" s="118" t="s">
        <v>3638</v>
      </c>
      <c r="I4515" s="121" t="s">
        <v>3167</v>
      </c>
      <c r="J4515" s="121" t="s">
        <v>3209</v>
      </c>
      <c r="K4515" s="141"/>
      <c r="L4515" s="135" t="str">
        <f t="shared" si="252"/>
        <v>Peromyscus attwateri</v>
      </c>
      <c r="M4515" s="133">
        <f t="shared" si="254"/>
        <v>1.4456000000000002</v>
      </c>
      <c r="N4515" s="143">
        <v>27.899729974082664</v>
      </c>
      <c r="O4515" s="179" t="s">
        <v>3356</v>
      </c>
      <c r="P4515" s="108">
        <v>60</v>
      </c>
    </row>
    <row r="4516" spans="1:18" ht="51">
      <c r="A4516" s="118" t="s">
        <v>3816</v>
      </c>
      <c r="B4516" s="165" t="s">
        <v>5425</v>
      </c>
      <c r="C4516" s="118" t="s">
        <v>3817</v>
      </c>
      <c r="D4516" s="141"/>
      <c r="E4516" s="118"/>
      <c r="F4516" s="118"/>
      <c r="G4516" s="118" t="s">
        <v>3618</v>
      </c>
      <c r="H4516" s="118" t="s">
        <v>3638</v>
      </c>
      <c r="I4516" s="118" t="s">
        <v>3167</v>
      </c>
      <c r="J4516" s="118" t="s">
        <v>4705</v>
      </c>
      <c r="K4516" s="141"/>
      <c r="L4516" s="135" t="str">
        <f t="shared" si="252"/>
        <v>Peromyscus nasutus</v>
      </c>
      <c r="M4516" s="133">
        <f t="shared" si="254"/>
        <v>1.4471580313422192</v>
      </c>
      <c r="N4516" s="133">
        <f>AVERAGE(24,32)</f>
        <v>28</v>
      </c>
      <c r="O4516" s="179" t="s">
        <v>3356</v>
      </c>
      <c r="P4516" s="108" t="s">
        <v>257</v>
      </c>
      <c r="Q4516" s="80"/>
    </row>
    <row r="4517" spans="1:18" ht="15" customHeight="1">
      <c r="A4517" s="121" t="s">
        <v>3816</v>
      </c>
      <c r="B4517" s="166"/>
      <c r="C4517" s="121" t="s">
        <v>3817</v>
      </c>
      <c r="D4517" s="156"/>
      <c r="E4517" s="121"/>
      <c r="F4517" s="121"/>
      <c r="G4517" s="121" t="s">
        <v>3618</v>
      </c>
      <c r="H4517" s="118" t="s">
        <v>3638</v>
      </c>
      <c r="I4517" s="121" t="s">
        <v>3167</v>
      </c>
      <c r="J4517" s="121" t="s">
        <v>3836</v>
      </c>
      <c r="K4517" s="141"/>
      <c r="L4517" s="135" t="str">
        <f t="shared" si="252"/>
        <v>Peromyscus difficilis</v>
      </c>
      <c r="M4517" s="133">
        <f t="shared" si="254"/>
        <v>1.44716</v>
      </c>
      <c r="N4517" s="143">
        <v>28.000126924345338</v>
      </c>
      <c r="O4517" s="179" t="s">
        <v>3356</v>
      </c>
      <c r="P4517" s="108">
        <v>60</v>
      </c>
    </row>
    <row r="4518" spans="1:18" ht="25.5">
      <c r="A4518" s="118" t="s">
        <v>3816</v>
      </c>
      <c r="B4518" s="165" t="s">
        <v>4715</v>
      </c>
      <c r="C4518" s="118" t="s">
        <v>3817</v>
      </c>
      <c r="D4518" s="141"/>
      <c r="E4518" s="118"/>
      <c r="F4518" s="118"/>
      <c r="G4518" s="118" t="s">
        <v>3618</v>
      </c>
      <c r="H4518" s="118" t="s">
        <v>3638</v>
      </c>
      <c r="I4518" s="118" t="s">
        <v>3167</v>
      </c>
      <c r="J4518" s="118" t="s">
        <v>4952</v>
      </c>
      <c r="K4518" s="141"/>
      <c r="L4518" s="135" t="str">
        <f t="shared" si="252"/>
        <v>Peromyscus stirtoni</v>
      </c>
      <c r="M4518" s="133">
        <f t="shared" si="254"/>
        <v>1.4653828514484184</v>
      </c>
      <c r="N4518" s="133">
        <f>AVERAGE(31.3, 28.1, 28.2)</f>
        <v>29.200000000000003</v>
      </c>
      <c r="O4518" s="179" t="s">
        <v>6910</v>
      </c>
      <c r="P4518" s="108">
        <v>81</v>
      </c>
    </row>
    <row r="4519" spans="1:18" ht="12" customHeight="1">
      <c r="A4519" s="118" t="s">
        <v>3816</v>
      </c>
      <c r="B4519" s="166"/>
      <c r="C4519" s="121" t="s">
        <v>3817</v>
      </c>
      <c r="D4519" s="156"/>
      <c r="E4519" s="121"/>
      <c r="F4519" s="121"/>
      <c r="G4519" s="121" t="s">
        <v>3618</v>
      </c>
      <c r="H4519" s="118" t="s">
        <v>3638</v>
      </c>
      <c r="I4519" s="121" t="s">
        <v>3167</v>
      </c>
      <c r="J4519" s="121" t="s">
        <v>3213</v>
      </c>
      <c r="K4519" s="141"/>
      <c r="L4519" s="135" t="str">
        <f t="shared" si="252"/>
        <v>Peromyscus gossypinus</v>
      </c>
      <c r="M4519" s="133">
        <f t="shared" si="254"/>
        <v>1.4681600000000001</v>
      </c>
      <c r="N4519" s="143">
        <v>29.387321214750685</v>
      </c>
      <c r="O4519" s="179" t="s">
        <v>3356</v>
      </c>
      <c r="P4519" s="108">
        <v>60</v>
      </c>
      <c r="R4519" s="89"/>
    </row>
    <row r="4520" spans="1:18">
      <c r="A4520" s="121" t="s">
        <v>3816</v>
      </c>
      <c r="B4520" s="166"/>
      <c r="C4520" s="118" t="s">
        <v>3817</v>
      </c>
      <c r="D4520" s="141"/>
      <c r="E4520" s="118"/>
      <c r="F4520" s="118"/>
      <c r="G4520" s="118" t="s">
        <v>3618</v>
      </c>
      <c r="H4520" s="118" t="s">
        <v>3638</v>
      </c>
      <c r="I4520" s="118" t="s">
        <v>3167</v>
      </c>
      <c r="J4520" s="118" t="s">
        <v>4014</v>
      </c>
      <c r="K4520" s="141"/>
      <c r="L4520" s="135" t="str">
        <f t="shared" si="252"/>
        <v>Peromyscus mexicanus</v>
      </c>
      <c r="M4520" s="133">
        <f t="shared" si="254"/>
        <v>1.51322</v>
      </c>
      <c r="N4520" s="133">
        <v>32.60018014965565</v>
      </c>
      <c r="O4520" s="179" t="s">
        <v>3356</v>
      </c>
      <c r="P4520" s="108">
        <v>60</v>
      </c>
    </row>
    <row r="4521" spans="1:18">
      <c r="A4521" s="118" t="s">
        <v>3816</v>
      </c>
      <c r="B4521" s="166"/>
      <c r="C4521" s="118" t="s">
        <v>3817</v>
      </c>
      <c r="D4521" s="141"/>
      <c r="E4521" s="118"/>
      <c r="F4521" s="118"/>
      <c r="G4521" s="118" t="s">
        <v>3618</v>
      </c>
      <c r="H4521" s="118" t="s">
        <v>3638</v>
      </c>
      <c r="I4521" s="118" t="s">
        <v>3167</v>
      </c>
      <c r="J4521" s="118" t="s">
        <v>3212</v>
      </c>
      <c r="K4521" s="141"/>
      <c r="L4521" s="135" t="str">
        <f t="shared" si="252"/>
        <v>Peromyscus furvus</v>
      </c>
      <c r="M4521" s="133">
        <f t="shared" si="254"/>
        <v>1.5185100000000002</v>
      </c>
      <c r="N4521" s="133">
        <v>32.999700628522916</v>
      </c>
      <c r="O4521" s="179" t="s">
        <v>3356</v>
      </c>
      <c r="P4521" s="117">
        <v>66</v>
      </c>
    </row>
    <row r="4522" spans="1:18" ht="12" customHeight="1">
      <c r="A4522" s="121" t="s">
        <v>3816</v>
      </c>
      <c r="B4522" s="166"/>
      <c r="C4522" s="118" t="s">
        <v>3817</v>
      </c>
      <c r="D4522" s="141"/>
      <c r="E4522" s="118"/>
      <c r="F4522" s="118"/>
      <c r="G4522" s="118" t="s">
        <v>3618</v>
      </c>
      <c r="H4522" s="118" t="s">
        <v>3638</v>
      </c>
      <c r="I4522" s="118" t="s">
        <v>3167</v>
      </c>
      <c r="J4522" s="118" t="s">
        <v>3215</v>
      </c>
      <c r="K4522" s="141"/>
      <c r="L4522" s="135" t="str">
        <f t="shared" si="252"/>
        <v>Peromyscus hooperi</v>
      </c>
      <c r="M4522" s="133">
        <f t="shared" si="254"/>
        <v>1.5563</v>
      </c>
      <c r="N4522" s="133">
        <v>35.999792704335675</v>
      </c>
      <c r="O4522" s="179" t="s">
        <v>3356</v>
      </c>
      <c r="P4522" s="117">
        <v>66</v>
      </c>
      <c r="R4522" s="89"/>
    </row>
    <row r="4523" spans="1:18" ht="12" customHeight="1">
      <c r="A4523" s="118" t="s">
        <v>3816</v>
      </c>
      <c r="B4523" s="166"/>
      <c r="C4523" s="118" t="s">
        <v>3817</v>
      </c>
      <c r="D4523" s="141"/>
      <c r="E4523" s="118"/>
      <c r="F4523" s="118"/>
      <c r="G4523" s="118" t="s">
        <v>3618</v>
      </c>
      <c r="H4523" s="118" t="s">
        <v>3638</v>
      </c>
      <c r="I4523" s="118" t="s">
        <v>3167</v>
      </c>
      <c r="J4523" s="118" t="s">
        <v>3195</v>
      </c>
      <c r="K4523" s="141"/>
      <c r="L4523" s="135" t="str">
        <f t="shared" si="252"/>
        <v>Peromyscus spicilegus</v>
      </c>
      <c r="M4523" s="133">
        <f t="shared" si="254"/>
        <v>1.5563</v>
      </c>
      <c r="N4523" s="133">
        <v>35.999792704335675</v>
      </c>
      <c r="O4523" s="179" t="s">
        <v>3356</v>
      </c>
      <c r="P4523" s="117">
        <v>66</v>
      </c>
      <c r="R4523" s="89"/>
    </row>
    <row r="4524" spans="1:18">
      <c r="A4524" s="118" t="s">
        <v>3816</v>
      </c>
      <c r="B4524" s="166"/>
      <c r="C4524" s="118" t="s">
        <v>3817</v>
      </c>
      <c r="D4524" s="141"/>
      <c r="E4524" s="118"/>
      <c r="F4524" s="118"/>
      <c r="G4524" s="118" t="s">
        <v>3618</v>
      </c>
      <c r="H4524" s="118" t="s">
        <v>3638</v>
      </c>
      <c r="I4524" s="118" t="s">
        <v>3167</v>
      </c>
      <c r="J4524" s="118" t="s">
        <v>4621</v>
      </c>
      <c r="K4524" s="141"/>
      <c r="L4524" s="135" t="str">
        <f t="shared" si="252"/>
        <v>Peromyscus pectoralis</v>
      </c>
      <c r="M4524" s="133">
        <f t="shared" si="254"/>
        <v>1.5910600000000001</v>
      </c>
      <c r="N4524" s="133">
        <v>38.999586287443293</v>
      </c>
      <c r="O4524" s="179" t="s">
        <v>3356</v>
      </c>
      <c r="P4524" s="117">
        <v>66</v>
      </c>
    </row>
    <row r="4525" spans="1:18">
      <c r="A4525" s="118" t="s">
        <v>3816</v>
      </c>
      <c r="B4525" s="166"/>
      <c r="C4525" s="118" t="s">
        <v>3817</v>
      </c>
      <c r="D4525" s="141"/>
      <c r="E4525" s="118"/>
      <c r="F4525" s="118"/>
      <c r="G4525" s="118" t="s">
        <v>3618</v>
      </c>
      <c r="H4525" s="118" t="s">
        <v>3638</v>
      </c>
      <c r="I4525" s="118" t="s">
        <v>3167</v>
      </c>
      <c r="J4525" s="118" t="s">
        <v>4633</v>
      </c>
      <c r="K4525" s="141"/>
      <c r="L4525" s="135" t="str">
        <f t="shared" si="252"/>
        <v>Peromyscus melanotis</v>
      </c>
      <c r="M4525" s="133">
        <f t="shared" si="254"/>
        <v>1.5976999999999999</v>
      </c>
      <c r="N4525" s="133">
        <v>39.600438961152513</v>
      </c>
      <c r="O4525" s="179" t="s">
        <v>3356</v>
      </c>
      <c r="P4525" s="108">
        <v>60</v>
      </c>
    </row>
    <row r="4526" spans="1:18" ht="12" customHeight="1">
      <c r="A4526" s="118" t="s">
        <v>3816</v>
      </c>
      <c r="B4526" s="166"/>
      <c r="C4526" s="118" t="s">
        <v>3817</v>
      </c>
      <c r="D4526" s="141"/>
      <c r="E4526" s="118"/>
      <c r="F4526" s="118"/>
      <c r="G4526" s="118" t="s">
        <v>3618</v>
      </c>
      <c r="H4526" s="118" t="s">
        <v>3638</v>
      </c>
      <c r="I4526" s="118" t="s">
        <v>3167</v>
      </c>
      <c r="J4526" s="118" t="s">
        <v>7237</v>
      </c>
      <c r="K4526" s="141"/>
      <c r="L4526" s="135" t="str">
        <f t="shared" si="252"/>
        <v>Peromyscus aztecus</v>
      </c>
      <c r="M4526" s="133">
        <f t="shared" si="254"/>
        <v>1.60206</v>
      </c>
      <c r="N4526" s="133">
        <v>40.000000798724201</v>
      </c>
      <c r="O4526" s="179" t="s">
        <v>3356</v>
      </c>
      <c r="P4526" s="117">
        <v>66</v>
      </c>
      <c r="R4526" s="89"/>
    </row>
    <row r="4527" spans="1:18">
      <c r="A4527" s="118" t="s">
        <v>3816</v>
      </c>
      <c r="B4527" s="166"/>
      <c r="C4527" s="118" t="s">
        <v>3817</v>
      </c>
      <c r="D4527" s="141"/>
      <c r="E4527" s="118"/>
      <c r="F4527" s="118"/>
      <c r="G4527" s="118" t="s">
        <v>3618</v>
      </c>
      <c r="H4527" s="118" t="s">
        <v>3638</v>
      </c>
      <c r="I4527" s="118" t="s">
        <v>3167</v>
      </c>
      <c r="J4527" s="118" t="s">
        <v>3834</v>
      </c>
      <c r="K4527" s="141"/>
      <c r="L4527" s="135" t="str">
        <f t="shared" si="252"/>
        <v>Peromyscus bullatus</v>
      </c>
      <c r="M4527" s="133">
        <f t="shared" si="254"/>
        <v>1.60206</v>
      </c>
      <c r="N4527" s="133">
        <v>40.000000798724201</v>
      </c>
      <c r="O4527" s="179" t="s">
        <v>3356</v>
      </c>
      <c r="P4527" s="117">
        <v>66</v>
      </c>
      <c r="Q4527" s="90" t="s">
        <v>6640</v>
      </c>
    </row>
    <row r="4528" spans="1:18">
      <c r="A4528" s="118" t="s">
        <v>3816</v>
      </c>
      <c r="B4528" s="166"/>
      <c r="C4528" s="118" t="s">
        <v>3817</v>
      </c>
      <c r="D4528" s="141"/>
      <c r="E4528" s="118"/>
      <c r="F4528" s="118"/>
      <c r="G4528" s="118" t="s">
        <v>3618</v>
      </c>
      <c r="H4528" s="118" t="s">
        <v>3638</v>
      </c>
      <c r="I4528" s="118" t="s">
        <v>3167</v>
      </c>
      <c r="J4528" s="118" t="s">
        <v>4231</v>
      </c>
      <c r="K4528" s="141"/>
      <c r="L4528" s="135" t="str">
        <f t="shared" si="252"/>
        <v>Peromyscus guatemalensis</v>
      </c>
      <c r="M4528" s="133">
        <f t="shared" si="254"/>
        <v>1.60206</v>
      </c>
      <c r="N4528" s="133">
        <v>40.000000798724201</v>
      </c>
      <c r="O4528" s="179" t="s">
        <v>3356</v>
      </c>
      <c r="P4528" s="117">
        <v>66</v>
      </c>
    </row>
    <row r="4529" spans="1:18" ht="12" customHeight="1">
      <c r="A4529" s="118" t="s">
        <v>3816</v>
      </c>
      <c r="B4529" s="166"/>
      <c r="C4529" s="118" t="s">
        <v>3817</v>
      </c>
      <c r="D4529" s="141"/>
      <c r="E4529" s="118"/>
      <c r="F4529" s="118"/>
      <c r="G4529" s="118" t="s">
        <v>3618</v>
      </c>
      <c r="H4529" s="118" t="s">
        <v>3638</v>
      </c>
      <c r="I4529" s="118" t="s">
        <v>3167</v>
      </c>
      <c r="J4529" s="118" t="s">
        <v>3214</v>
      </c>
      <c r="K4529" s="141"/>
      <c r="L4529" s="135" t="str">
        <f t="shared" si="252"/>
        <v>Peromyscus gymnotis</v>
      </c>
      <c r="M4529" s="133">
        <f t="shared" si="254"/>
        <v>1.60206</v>
      </c>
      <c r="N4529" s="133">
        <v>40.000000798724201</v>
      </c>
      <c r="O4529" s="179" t="s">
        <v>3356</v>
      </c>
      <c r="P4529" s="117">
        <v>66</v>
      </c>
      <c r="R4529" s="89"/>
    </row>
    <row r="4530" spans="1:18">
      <c r="A4530" s="118" t="s">
        <v>3816</v>
      </c>
      <c r="B4530" s="166"/>
      <c r="C4530" s="118" t="s">
        <v>3817</v>
      </c>
      <c r="D4530" s="141"/>
      <c r="E4530" s="118"/>
      <c r="F4530" s="118"/>
      <c r="G4530" s="118" t="s">
        <v>3618</v>
      </c>
      <c r="H4530" s="118" t="s">
        <v>3638</v>
      </c>
      <c r="I4530" s="118" t="s">
        <v>3167</v>
      </c>
      <c r="J4530" s="118" t="s">
        <v>3606</v>
      </c>
      <c r="K4530" s="141"/>
      <c r="L4530" s="135" t="str">
        <f t="shared" si="252"/>
        <v>Peromyscus melanophrys</v>
      </c>
      <c r="M4530" s="133">
        <f t="shared" si="254"/>
        <v>1.60206</v>
      </c>
      <c r="N4530" s="133">
        <v>40.000000798724201</v>
      </c>
      <c r="O4530" s="179" t="s">
        <v>3356</v>
      </c>
      <c r="P4530" s="117">
        <v>66</v>
      </c>
    </row>
    <row r="4531" spans="1:18">
      <c r="A4531" s="118" t="s">
        <v>3816</v>
      </c>
      <c r="B4531" s="166"/>
      <c r="C4531" s="118" t="s">
        <v>3817</v>
      </c>
      <c r="D4531" s="141"/>
      <c r="E4531" s="118"/>
      <c r="F4531" s="118"/>
      <c r="G4531" s="118" t="s">
        <v>3618</v>
      </c>
      <c r="H4531" s="118" t="s">
        <v>3638</v>
      </c>
      <c r="I4531" s="118" t="s">
        <v>3167</v>
      </c>
      <c r="J4531" s="118" t="s">
        <v>3607</v>
      </c>
      <c r="K4531" s="141"/>
      <c r="L4531" s="135" t="str">
        <f t="shared" si="252"/>
        <v>Peromyscus melanurus</v>
      </c>
      <c r="M4531" s="133">
        <f t="shared" si="254"/>
        <v>1.60206</v>
      </c>
      <c r="N4531" s="133">
        <v>40.000000798724201</v>
      </c>
      <c r="O4531" s="179" t="s">
        <v>3356</v>
      </c>
      <c r="P4531" s="117">
        <v>66</v>
      </c>
      <c r="Q4531" s="90" t="s">
        <v>6988</v>
      </c>
    </row>
    <row r="4532" spans="1:18">
      <c r="A4532" s="118" t="s">
        <v>3816</v>
      </c>
      <c r="B4532" s="166"/>
      <c r="C4532" s="118" t="s">
        <v>3817</v>
      </c>
      <c r="D4532" s="141"/>
      <c r="E4532" s="118"/>
      <c r="F4532" s="118"/>
      <c r="G4532" s="118" t="s">
        <v>3618</v>
      </c>
      <c r="H4532" s="118" t="s">
        <v>3638</v>
      </c>
      <c r="I4532" s="118" t="s">
        <v>3167</v>
      </c>
      <c r="J4532" s="118" t="s">
        <v>2222</v>
      </c>
      <c r="K4532" s="141"/>
      <c r="L4532" s="135" t="str">
        <f t="shared" si="252"/>
        <v>Peromyscus merriami</v>
      </c>
      <c r="M4532" s="133">
        <f t="shared" si="254"/>
        <v>1.60206</v>
      </c>
      <c r="N4532" s="133">
        <v>40.000000798724201</v>
      </c>
      <c r="O4532" s="179" t="s">
        <v>3356</v>
      </c>
      <c r="P4532" s="117">
        <v>66</v>
      </c>
    </row>
    <row r="4533" spans="1:18">
      <c r="A4533" s="121" t="s">
        <v>3816</v>
      </c>
      <c r="B4533" s="166"/>
      <c r="C4533" s="118" t="s">
        <v>3817</v>
      </c>
      <c r="D4533" s="141"/>
      <c r="E4533" s="118"/>
      <c r="F4533" s="118"/>
      <c r="G4533" s="118" t="s">
        <v>3618</v>
      </c>
      <c r="H4533" s="118" t="s">
        <v>3638</v>
      </c>
      <c r="I4533" s="118" t="s">
        <v>3167</v>
      </c>
      <c r="J4533" s="118" t="s">
        <v>4083</v>
      </c>
      <c r="K4533" s="141"/>
      <c r="L4533" s="135" t="str">
        <f t="shared" si="252"/>
        <v>Peromyscus ochraventer</v>
      </c>
      <c r="M4533" s="133">
        <f t="shared" si="254"/>
        <v>1.60206</v>
      </c>
      <c r="N4533" s="133">
        <v>40.000000798724201</v>
      </c>
      <c r="O4533" s="179" t="s">
        <v>3356</v>
      </c>
      <c r="P4533" s="117">
        <v>66</v>
      </c>
    </row>
    <row r="4534" spans="1:18">
      <c r="A4534" s="118" t="s">
        <v>3816</v>
      </c>
      <c r="B4534" s="166"/>
      <c r="C4534" s="118" t="s">
        <v>3817</v>
      </c>
      <c r="D4534" s="141"/>
      <c r="E4534" s="118"/>
      <c r="F4534" s="118"/>
      <c r="G4534" s="118" t="s">
        <v>3618</v>
      </c>
      <c r="H4534" s="118" t="s">
        <v>3638</v>
      </c>
      <c r="I4534" s="118" t="s">
        <v>3167</v>
      </c>
      <c r="J4534" s="118" t="s">
        <v>4622</v>
      </c>
      <c r="K4534" s="141"/>
      <c r="L4534" s="135" t="str">
        <f t="shared" si="252"/>
        <v>Peromyscus perfulvus</v>
      </c>
      <c r="M4534" s="133">
        <f t="shared" si="254"/>
        <v>1.60206</v>
      </c>
      <c r="N4534" s="133">
        <v>40.000000798724201</v>
      </c>
      <c r="O4534" s="179" t="s">
        <v>3356</v>
      </c>
      <c r="P4534" s="117">
        <v>66</v>
      </c>
    </row>
    <row r="4535" spans="1:18">
      <c r="A4535" s="118" t="s">
        <v>3816</v>
      </c>
      <c r="B4535" s="166"/>
      <c r="C4535" s="118" t="s">
        <v>3817</v>
      </c>
      <c r="D4535" s="141"/>
      <c r="E4535" s="118"/>
      <c r="F4535" s="118"/>
      <c r="G4535" s="118" t="s">
        <v>3618</v>
      </c>
      <c r="H4535" s="118" t="s">
        <v>3638</v>
      </c>
      <c r="I4535" s="118" t="s">
        <v>3167</v>
      </c>
      <c r="J4535" s="118" t="s">
        <v>4624</v>
      </c>
      <c r="K4535" s="141"/>
      <c r="L4535" s="135" t="str">
        <f t="shared" si="252"/>
        <v>Peromyscus polius</v>
      </c>
      <c r="M4535" s="133">
        <f t="shared" si="254"/>
        <v>1.60206</v>
      </c>
      <c r="N4535" s="133">
        <v>40.000000798724201</v>
      </c>
      <c r="O4535" s="179" t="s">
        <v>3356</v>
      </c>
      <c r="P4535" s="117">
        <v>66</v>
      </c>
      <c r="Q4535" s="90" t="s">
        <v>6988</v>
      </c>
    </row>
    <row r="4536" spans="1:18" ht="15" customHeight="1">
      <c r="A4536" s="118" t="s">
        <v>3816</v>
      </c>
      <c r="B4536" s="166"/>
      <c r="C4536" s="118" t="s">
        <v>3817</v>
      </c>
      <c r="D4536" s="141"/>
      <c r="E4536" s="118"/>
      <c r="F4536" s="118"/>
      <c r="G4536" s="118" t="s">
        <v>3618</v>
      </c>
      <c r="H4536" s="118" t="s">
        <v>3638</v>
      </c>
      <c r="I4536" s="118" t="s">
        <v>3167</v>
      </c>
      <c r="J4536" s="118" t="s">
        <v>4615</v>
      </c>
      <c r="K4536" s="141"/>
      <c r="L4536" s="135" t="str">
        <f t="shared" si="252"/>
        <v>Peromyscus simulus</v>
      </c>
      <c r="M4536" s="133">
        <f t="shared" si="254"/>
        <v>1.60206</v>
      </c>
      <c r="N4536" s="133">
        <v>40.000000798724201</v>
      </c>
      <c r="O4536" s="179" t="s">
        <v>3356</v>
      </c>
      <c r="P4536" s="117">
        <v>66</v>
      </c>
      <c r="Q4536" s="90" t="s">
        <v>6642</v>
      </c>
    </row>
    <row r="4537" spans="1:18" ht="15" customHeight="1">
      <c r="A4537" s="118" t="s">
        <v>3816</v>
      </c>
      <c r="B4537" s="166"/>
      <c r="C4537" s="118" t="s">
        <v>3817</v>
      </c>
      <c r="D4537" s="141"/>
      <c r="E4537" s="118"/>
      <c r="F4537" s="118"/>
      <c r="G4537" s="118" t="s">
        <v>3618</v>
      </c>
      <c r="H4537" s="118" t="s">
        <v>3638</v>
      </c>
      <c r="I4537" s="118" t="s">
        <v>3167</v>
      </c>
      <c r="J4537" s="118" t="s">
        <v>3390</v>
      </c>
      <c r="K4537" s="141"/>
      <c r="L4537" s="135" t="str">
        <f t="shared" si="252"/>
        <v>Peromyscus zarhynchus</v>
      </c>
      <c r="M4537" s="133">
        <f t="shared" si="254"/>
        <v>1.60206</v>
      </c>
      <c r="N4537" s="133">
        <v>40.000000798724201</v>
      </c>
      <c r="O4537" s="179" t="s">
        <v>3356</v>
      </c>
      <c r="P4537" s="117">
        <v>66</v>
      </c>
      <c r="Q4537" s="90" t="s">
        <v>6988</v>
      </c>
    </row>
    <row r="4538" spans="1:18">
      <c r="A4538" s="118" t="s">
        <v>3816</v>
      </c>
      <c r="B4538" s="166"/>
      <c r="C4538" s="118" t="s">
        <v>3817</v>
      </c>
      <c r="D4538" s="141"/>
      <c r="E4538" s="118"/>
      <c r="F4538" s="118"/>
      <c r="G4538" s="118" t="s">
        <v>3618</v>
      </c>
      <c r="H4538" s="118" t="s">
        <v>3638</v>
      </c>
      <c r="I4538" s="118" t="s">
        <v>3167</v>
      </c>
      <c r="J4538" s="118" t="s">
        <v>4404</v>
      </c>
      <c r="K4538" s="141"/>
      <c r="L4538" s="135" t="str">
        <f t="shared" si="252"/>
        <v>Peromyscus californicus</v>
      </c>
      <c r="M4538" s="133">
        <f t="shared" si="254"/>
        <v>1.6388200000000002</v>
      </c>
      <c r="N4538" s="133">
        <v>43.533140652017195</v>
      </c>
      <c r="O4538" s="179" t="s">
        <v>3356</v>
      </c>
      <c r="P4538" s="108">
        <v>60</v>
      </c>
    </row>
    <row r="4539" spans="1:18">
      <c r="A4539" s="118" t="s">
        <v>3816</v>
      </c>
      <c r="B4539" s="166"/>
      <c r="C4539" s="118" t="s">
        <v>3817</v>
      </c>
      <c r="D4539" s="141"/>
      <c r="E4539" s="118"/>
      <c r="F4539" s="118"/>
      <c r="G4539" s="118" t="s">
        <v>3618</v>
      </c>
      <c r="H4539" s="118" t="s">
        <v>3638</v>
      </c>
      <c r="I4539" s="118" t="s">
        <v>3167</v>
      </c>
      <c r="J4539" s="118" t="s">
        <v>6327</v>
      </c>
      <c r="K4539" s="141"/>
      <c r="L4539" s="135" t="str">
        <f t="shared" si="252"/>
        <v>Peromyscus winkelmanni</v>
      </c>
      <c r="M4539" s="133">
        <f t="shared" si="254"/>
        <v>1.7303784685876429</v>
      </c>
      <c r="N4539" s="133">
        <f>AVERAGE(53,54.5)</f>
        <v>53.75</v>
      </c>
      <c r="O4539" s="179" t="s">
        <v>3356</v>
      </c>
      <c r="P4539" s="117">
        <v>264</v>
      </c>
      <c r="Q4539" s="90" t="s">
        <v>6642</v>
      </c>
    </row>
    <row r="4540" spans="1:18" ht="12" customHeight="1">
      <c r="A4540" s="118" t="s">
        <v>3816</v>
      </c>
      <c r="B4540" s="166"/>
      <c r="C4540" s="118" t="s">
        <v>3817</v>
      </c>
      <c r="D4540" s="141"/>
      <c r="E4540" s="118"/>
      <c r="F4540" s="118"/>
      <c r="G4540" s="118" t="s">
        <v>3618</v>
      </c>
      <c r="H4540" s="118" t="s">
        <v>3638</v>
      </c>
      <c r="I4540" s="118" t="s">
        <v>3167</v>
      </c>
      <c r="J4540" s="118" t="s">
        <v>3605</v>
      </c>
      <c r="K4540" s="141"/>
      <c r="L4540" s="135" t="str">
        <f t="shared" si="252"/>
        <v>Peromyscus melanocarpus</v>
      </c>
      <c r="M4540" s="133">
        <f t="shared" si="254"/>
        <v>1.7708500000000003</v>
      </c>
      <c r="N4540" s="133">
        <v>58.999726713977353</v>
      </c>
      <c r="O4540" s="179" t="s">
        <v>3356</v>
      </c>
      <c r="P4540" s="108">
        <v>60</v>
      </c>
      <c r="R4540" s="89"/>
    </row>
    <row r="4541" spans="1:18">
      <c r="A4541" s="118" t="s">
        <v>3816</v>
      </c>
      <c r="B4541" s="166"/>
      <c r="C4541" s="121" t="s">
        <v>3817</v>
      </c>
      <c r="D4541" s="156"/>
      <c r="E4541" s="121"/>
      <c r="F4541" s="121"/>
      <c r="G4541" s="121" t="s">
        <v>3618</v>
      </c>
      <c r="H4541" s="118" t="s">
        <v>3638</v>
      </c>
      <c r="I4541" s="121" t="s">
        <v>3167</v>
      </c>
      <c r="J4541" s="121" t="s">
        <v>3604</v>
      </c>
      <c r="K4541" s="141"/>
      <c r="L4541" s="135" t="str">
        <f t="shared" si="252"/>
        <v>Peromyscus mekisturus</v>
      </c>
      <c r="M4541" s="133">
        <f t="shared" si="254"/>
        <v>1.7781500000000001</v>
      </c>
      <c r="N4541" s="143">
        <v>59.999827253364401</v>
      </c>
      <c r="O4541" s="179" t="s">
        <v>3356</v>
      </c>
      <c r="P4541" s="117">
        <v>66</v>
      </c>
      <c r="Q4541" s="90" t="s">
        <v>6988</v>
      </c>
    </row>
    <row r="4542" spans="1:18">
      <c r="A4542" s="118" t="s">
        <v>3816</v>
      </c>
      <c r="B4542" s="166"/>
      <c r="C4542" s="121" t="s">
        <v>3817</v>
      </c>
      <c r="D4542" s="156"/>
      <c r="E4542" s="121"/>
      <c r="F4542" s="121"/>
      <c r="G4542" s="121" t="s">
        <v>3618</v>
      </c>
      <c r="H4542" s="118" t="s">
        <v>3638</v>
      </c>
      <c r="I4542" s="121" t="s">
        <v>3167</v>
      </c>
      <c r="J4542" s="121" t="s">
        <v>3603</v>
      </c>
      <c r="K4542" s="141"/>
      <c r="L4542" s="135" t="str">
        <f t="shared" si="252"/>
        <v>Peromyscus megalops</v>
      </c>
      <c r="M4542" s="133">
        <f t="shared" si="254"/>
        <v>1.8208599999999999</v>
      </c>
      <c r="N4542" s="143">
        <v>66.200306472694223</v>
      </c>
      <c r="O4542" s="179" t="s">
        <v>3356</v>
      </c>
      <c r="P4542" s="117">
        <v>60</v>
      </c>
    </row>
    <row r="4543" spans="1:18">
      <c r="A4543" s="118" t="s">
        <v>3816</v>
      </c>
      <c r="B4543" s="166"/>
      <c r="C4543" s="121" t="s">
        <v>3817</v>
      </c>
      <c r="D4543" s="156"/>
      <c r="E4543" s="121"/>
      <c r="F4543" s="121"/>
      <c r="G4543" s="121" t="s">
        <v>3618</v>
      </c>
      <c r="H4543" s="118" t="s">
        <v>3638</v>
      </c>
      <c r="I4543" s="121" t="s">
        <v>3167</v>
      </c>
      <c r="J4543" s="121" t="s">
        <v>6591</v>
      </c>
      <c r="K4543" s="141"/>
      <c r="L4543" s="135" t="str">
        <f t="shared" si="252"/>
        <v>Peromyscus grandis</v>
      </c>
      <c r="M4543" s="133">
        <f t="shared" si="254"/>
        <v>1.8512583487190752</v>
      </c>
      <c r="N4543" s="143">
        <v>71</v>
      </c>
      <c r="O4543" s="179" t="s">
        <v>3356</v>
      </c>
      <c r="P4543" s="117">
        <v>66</v>
      </c>
      <c r="Q4543" s="90" t="s">
        <v>6642</v>
      </c>
    </row>
    <row r="4544" spans="1:18">
      <c r="A4544" s="118" t="s">
        <v>3816</v>
      </c>
      <c r="B4544" s="166"/>
      <c r="C4544" s="118" t="s">
        <v>3817</v>
      </c>
      <c r="D4544" s="141"/>
      <c r="E4544" s="118"/>
      <c r="F4544" s="118"/>
      <c r="G4544" s="118" t="s">
        <v>3618</v>
      </c>
      <c r="H4544" s="118" t="s">
        <v>3638</v>
      </c>
      <c r="I4544" s="118" t="s">
        <v>7221</v>
      </c>
      <c r="J4544" s="118" t="s">
        <v>3587</v>
      </c>
      <c r="K4544" s="141"/>
      <c r="L4544" s="135" t="str">
        <f t="shared" si="252"/>
        <v>Phenacomys intermedius</v>
      </c>
      <c r="M4544" s="133">
        <f t="shared" si="254"/>
        <v>1.4014</v>
      </c>
      <c r="N4544" s="133">
        <v>25.199968621092381</v>
      </c>
      <c r="O4544" s="179" t="s">
        <v>3356</v>
      </c>
      <c r="P4544" s="108">
        <v>60</v>
      </c>
    </row>
    <row r="4545" spans="1:20">
      <c r="A4545" s="118" t="s">
        <v>3816</v>
      </c>
      <c r="B4545" s="165" t="s">
        <v>5067</v>
      </c>
      <c r="C4545" s="118" t="s">
        <v>3817</v>
      </c>
      <c r="D4545" s="141"/>
      <c r="E4545" s="118"/>
      <c r="F4545" s="118"/>
      <c r="G4545" s="118" t="s">
        <v>3618</v>
      </c>
      <c r="H4545" s="121" t="s">
        <v>3638</v>
      </c>
      <c r="I4545" s="118" t="s">
        <v>7221</v>
      </c>
      <c r="J4545" s="118" t="s">
        <v>5689</v>
      </c>
      <c r="K4545" s="141"/>
      <c r="L4545" s="135" t="str">
        <f t="shared" si="252"/>
        <v>Phenacomys ungava</v>
      </c>
      <c r="M4545" s="133">
        <f t="shared" si="254"/>
        <v>1.5118833609788744</v>
      </c>
      <c r="N4545" s="133">
        <f>AVERAGE(25,40)</f>
        <v>32.5</v>
      </c>
      <c r="O4545" s="179" t="s">
        <v>3356</v>
      </c>
      <c r="P4545" s="108" t="s">
        <v>257</v>
      </c>
      <c r="Q4545" s="80"/>
    </row>
    <row r="4546" spans="1:20">
      <c r="A4546" s="118" t="s">
        <v>3816</v>
      </c>
      <c r="B4546" s="166"/>
      <c r="C4546" s="118" t="s">
        <v>3817</v>
      </c>
      <c r="D4546" s="141"/>
      <c r="E4546" s="118"/>
      <c r="F4546" s="118"/>
      <c r="G4546" s="118" t="s">
        <v>3618</v>
      </c>
      <c r="H4546" s="118" t="s">
        <v>3638</v>
      </c>
      <c r="I4546" s="118" t="s">
        <v>4889</v>
      </c>
      <c r="J4546" s="118" t="s">
        <v>2190</v>
      </c>
      <c r="K4546" s="141"/>
      <c r="L4546" s="135" t="str">
        <f t="shared" si="252"/>
        <v>Podomys floridanus</v>
      </c>
      <c r="M4546" s="133">
        <f t="shared" si="254"/>
        <v>1.48855</v>
      </c>
      <c r="N4546" s="133">
        <v>30.799949186102069</v>
      </c>
      <c r="O4546" s="179" t="s">
        <v>6641</v>
      </c>
      <c r="P4546" s="108">
        <v>60</v>
      </c>
      <c r="Q4546" s="90" t="s">
        <v>6988</v>
      </c>
    </row>
    <row r="4547" spans="1:20">
      <c r="A4547" s="118" t="s">
        <v>3816</v>
      </c>
      <c r="B4547" s="165" t="s">
        <v>7139</v>
      </c>
      <c r="C4547" s="118" t="s">
        <v>3817</v>
      </c>
      <c r="D4547" s="141"/>
      <c r="E4547" s="118"/>
      <c r="F4547" s="118"/>
      <c r="G4547" s="118" t="s">
        <v>3618</v>
      </c>
      <c r="H4547" s="118" t="s">
        <v>3638</v>
      </c>
      <c r="I4547" s="118" t="s">
        <v>4890</v>
      </c>
      <c r="J4547" s="118" t="s">
        <v>5484</v>
      </c>
      <c r="K4547" s="141"/>
      <c r="L4547" s="135" t="str">
        <f t="shared" si="252"/>
        <v>Reithrodontomys paradoxus</v>
      </c>
      <c r="M4547" s="133">
        <v>-999</v>
      </c>
      <c r="N4547" s="133">
        <v>-999</v>
      </c>
      <c r="O4547" s="179" t="s">
        <v>3356</v>
      </c>
      <c r="P4547" s="108">
        <v>-999</v>
      </c>
      <c r="Q4547" s="80" t="s">
        <v>6642</v>
      </c>
    </row>
    <row r="4548" spans="1:20">
      <c r="A4548" s="118" t="s">
        <v>3816</v>
      </c>
      <c r="B4548" s="165" t="s">
        <v>2677</v>
      </c>
      <c r="C4548" s="118" t="s">
        <v>3817</v>
      </c>
      <c r="D4548" s="141"/>
      <c r="E4548" s="118"/>
      <c r="F4548" s="118"/>
      <c r="G4548" s="118" t="s">
        <v>3618</v>
      </c>
      <c r="H4548" s="118" t="s">
        <v>3638</v>
      </c>
      <c r="I4548" s="118" t="s">
        <v>4890</v>
      </c>
      <c r="J4548" s="118" t="s">
        <v>7398</v>
      </c>
      <c r="K4548" s="141"/>
      <c r="L4548" s="135" t="str">
        <f t="shared" si="252"/>
        <v>Reithrodontomys rodriguezi</v>
      </c>
      <c r="M4548" s="133">
        <v>-999</v>
      </c>
      <c r="N4548" s="133">
        <v>-999</v>
      </c>
      <c r="O4548" s="179" t="s">
        <v>3356</v>
      </c>
      <c r="P4548" s="108">
        <v>-999</v>
      </c>
      <c r="Q4548" s="80" t="s">
        <v>6988</v>
      </c>
    </row>
    <row r="4549" spans="1:20">
      <c r="A4549" s="118" t="s">
        <v>3816</v>
      </c>
      <c r="B4549" s="165" t="s">
        <v>7208</v>
      </c>
      <c r="C4549" s="118" t="s">
        <v>3817</v>
      </c>
      <c r="D4549" s="141"/>
      <c r="E4549" s="118"/>
      <c r="F4549" s="118"/>
      <c r="G4549" s="118" t="s">
        <v>3618</v>
      </c>
      <c r="H4549" s="118" t="s">
        <v>3638</v>
      </c>
      <c r="I4549" s="118" t="s">
        <v>4890</v>
      </c>
      <c r="J4549" s="118" t="s">
        <v>4807</v>
      </c>
      <c r="K4549" s="141"/>
      <c r="L4549" s="135" t="str">
        <f t="shared" ref="L4549:L4612" si="255">I4549&amp;" "&amp;J4549</f>
        <v>Reithrodontomys zacatecae</v>
      </c>
      <c r="M4549" s="133">
        <v>-999</v>
      </c>
      <c r="N4549" s="133">
        <v>-999</v>
      </c>
      <c r="O4549" s="179" t="s">
        <v>3356</v>
      </c>
      <c r="P4549" s="108">
        <v>-999</v>
      </c>
      <c r="Q4549" s="80" t="s">
        <v>6642</v>
      </c>
    </row>
    <row r="4550" spans="1:20" ht="15" customHeight="1">
      <c r="A4550" s="118" t="s">
        <v>3816</v>
      </c>
      <c r="B4550" s="166"/>
      <c r="C4550" s="118" t="s">
        <v>3817</v>
      </c>
      <c r="D4550" s="141"/>
      <c r="E4550" s="118"/>
      <c r="F4550" s="118"/>
      <c r="G4550" s="118" t="s">
        <v>3618</v>
      </c>
      <c r="H4550" s="118" t="s">
        <v>3638</v>
      </c>
      <c r="I4550" s="118" t="s">
        <v>4890</v>
      </c>
      <c r="J4550" s="118" t="s">
        <v>4892</v>
      </c>
      <c r="K4550" s="141"/>
      <c r="L4550" s="135" t="str">
        <f t="shared" si="255"/>
        <v>Reithrodontomys humulis</v>
      </c>
      <c r="M4550" s="133">
        <f t="shared" ref="M4550:M4564" si="256">LOG(N4550)</f>
        <v>0.91943000000000008</v>
      </c>
      <c r="N4550" s="133">
        <v>8.3067281927162853</v>
      </c>
      <c r="O4550" s="179" t="s">
        <v>3356</v>
      </c>
      <c r="P4550" s="108">
        <v>60</v>
      </c>
    </row>
    <row r="4551" spans="1:20">
      <c r="A4551" s="118" t="s">
        <v>3816</v>
      </c>
      <c r="B4551" s="166"/>
      <c r="C4551" s="118" t="s">
        <v>3817</v>
      </c>
      <c r="D4551" s="141"/>
      <c r="E4551" s="118"/>
      <c r="F4551" s="118"/>
      <c r="G4551" s="118" t="s">
        <v>3618</v>
      </c>
      <c r="H4551" s="118" t="s">
        <v>3638</v>
      </c>
      <c r="I4551" s="118" t="s">
        <v>4890</v>
      </c>
      <c r="J4551" s="118" t="s">
        <v>2000</v>
      </c>
      <c r="K4551" s="141"/>
      <c r="L4551" s="135" t="str">
        <f t="shared" si="255"/>
        <v>Reithrodontomys megalotis</v>
      </c>
      <c r="M4551" s="133">
        <f t="shared" si="256"/>
        <v>0.97197</v>
      </c>
      <c r="N4551" s="133">
        <v>9.3749724467368782</v>
      </c>
      <c r="O4551" s="179" t="s">
        <v>3356</v>
      </c>
      <c r="P4551" s="108">
        <v>60</v>
      </c>
    </row>
    <row r="4552" spans="1:20">
      <c r="A4552" s="118" t="s">
        <v>3816</v>
      </c>
      <c r="B4552" s="166"/>
      <c r="C4552" s="118" t="s">
        <v>3817</v>
      </c>
      <c r="D4552" s="141"/>
      <c r="E4552" s="118"/>
      <c r="F4552" s="118"/>
      <c r="G4552" s="118" t="s">
        <v>3618</v>
      </c>
      <c r="H4552" s="118" t="s">
        <v>3638</v>
      </c>
      <c r="I4552" s="118" t="s">
        <v>4890</v>
      </c>
      <c r="J4552" s="118" t="s">
        <v>3985</v>
      </c>
      <c r="K4552" s="141"/>
      <c r="L4552" s="135" t="str">
        <f t="shared" si="255"/>
        <v>Reithrodontomys montanus</v>
      </c>
      <c r="M4552" s="133">
        <f t="shared" si="256"/>
        <v>1.0374300000000001</v>
      </c>
      <c r="N4552" s="133">
        <v>10.90008789566228</v>
      </c>
      <c r="O4552" s="179" t="s">
        <v>3356</v>
      </c>
      <c r="P4552" s="108">
        <v>60</v>
      </c>
    </row>
    <row r="4553" spans="1:20">
      <c r="A4553" s="121" t="s">
        <v>3816</v>
      </c>
      <c r="B4553" s="166"/>
      <c r="C4553" s="118" t="s">
        <v>3817</v>
      </c>
      <c r="D4553" s="141"/>
      <c r="E4553" s="118"/>
      <c r="F4553" s="118"/>
      <c r="G4553" s="118" t="s">
        <v>3618</v>
      </c>
      <c r="H4553" s="118" t="s">
        <v>3638</v>
      </c>
      <c r="I4553" s="118" t="s">
        <v>4890</v>
      </c>
      <c r="J4553" s="118" t="s">
        <v>1996</v>
      </c>
      <c r="K4553" s="141"/>
      <c r="L4553" s="135" t="str">
        <f t="shared" si="255"/>
        <v>Reithrodontomys raviventris</v>
      </c>
      <c r="M4553" s="133">
        <f t="shared" si="256"/>
        <v>1.0433600000000003</v>
      </c>
      <c r="N4553" s="133">
        <v>11.049942039172706</v>
      </c>
      <c r="O4553" s="179" t="s">
        <v>6917</v>
      </c>
      <c r="P4553" s="108">
        <v>60</v>
      </c>
      <c r="Q4553" s="90" t="s">
        <v>6988</v>
      </c>
    </row>
    <row r="4554" spans="1:20">
      <c r="A4554" s="118" t="s">
        <v>3816</v>
      </c>
      <c r="B4554" s="166"/>
      <c r="C4554" s="118" t="s">
        <v>3817</v>
      </c>
      <c r="D4554" s="141"/>
      <c r="E4554" s="118"/>
      <c r="F4554" s="118"/>
      <c r="G4554" s="118" t="s">
        <v>3618</v>
      </c>
      <c r="H4554" s="118" t="s">
        <v>3638</v>
      </c>
      <c r="I4554" s="118" t="s">
        <v>4890</v>
      </c>
      <c r="J4554" s="118" t="s">
        <v>3368</v>
      </c>
      <c r="K4554" s="141"/>
      <c r="L4554" s="135" t="str">
        <f t="shared" si="255"/>
        <v>Reithrodontomys fulvescens</v>
      </c>
      <c r="M4554" s="133">
        <f t="shared" si="256"/>
        <v>1.0569</v>
      </c>
      <c r="N4554" s="133">
        <v>11.39987265569977</v>
      </c>
      <c r="O4554" s="179" t="s">
        <v>3356</v>
      </c>
      <c r="P4554" s="108">
        <v>60</v>
      </c>
    </row>
    <row r="4555" spans="1:20">
      <c r="A4555" s="121" t="s">
        <v>3816</v>
      </c>
      <c r="B4555" s="166"/>
      <c r="C4555" s="118" t="s">
        <v>3817</v>
      </c>
      <c r="D4555" s="141"/>
      <c r="E4555" s="118"/>
      <c r="F4555" s="118"/>
      <c r="G4555" s="118" t="s">
        <v>3618</v>
      </c>
      <c r="H4555" s="118" t="s">
        <v>3638</v>
      </c>
      <c r="I4555" s="118" t="s">
        <v>4890</v>
      </c>
      <c r="J4555" s="118" t="s">
        <v>3786</v>
      </c>
      <c r="K4555" s="141"/>
      <c r="L4555" s="135" t="str">
        <f t="shared" si="255"/>
        <v>Reithrodontomys gracilis</v>
      </c>
      <c r="M4555" s="133">
        <f t="shared" si="256"/>
        <v>1.0890200000000001</v>
      </c>
      <c r="N4555" s="133">
        <v>12.274957581255038</v>
      </c>
      <c r="O4555" s="179" t="s">
        <v>3356</v>
      </c>
      <c r="P4555" s="108">
        <v>60</v>
      </c>
    </row>
    <row r="4556" spans="1:20">
      <c r="A4556" s="118" t="s">
        <v>3816</v>
      </c>
      <c r="B4556" s="165" t="s">
        <v>7139</v>
      </c>
      <c r="C4556" s="118" t="s">
        <v>3817</v>
      </c>
      <c r="D4556" s="141"/>
      <c r="E4556" s="118"/>
      <c r="F4556" s="118"/>
      <c r="G4556" s="118" t="s">
        <v>3618</v>
      </c>
      <c r="H4556" s="118" t="s">
        <v>3638</v>
      </c>
      <c r="I4556" s="118" t="s">
        <v>4890</v>
      </c>
      <c r="J4556" s="118" t="s">
        <v>5644</v>
      </c>
      <c r="K4556" s="141"/>
      <c r="L4556" s="135" t="str">
        <f t="shared" si="255"/>
        <v>Reithrodontomys brevirostris</v>
      </c>
      <c r="M4556" s="133">
        <f t="shared" si="256"/>
        <v>1.110589710299249</v>
      </c>
      <c r="N4556" s="133">
        <v>12.9</v>
      </c>
      <c r="O4556" s="179" t="s">
        <v>3356</v>
      </c>
      <c r="P4556" s="108">
        <v>76</v>
      </c>
    </row>
    <row r="4557" spans="1:20">
      <c r="A4557" s="118" t="s">
        <v>3816</v>
      </c>
      <c r="B4557" s="166"/>
      <c r="C4557" s="118" t="s">
        <v>3817</v>
      </c>
      <c r="D4557" s="141"/>
      <c r="E4557" s="118"/>
      <c r="F4557" s="118"/>
      <c r="G4557" s="118" t="s">
        <v>3618</v>
      </c>
      <c r="H4557" s="118" t="s">
        <v>3638</v>
      </c>
      <c r="I4557" s="118" t="s">
        <v>4890</v>
      </c>
      <c r="J4557" s="118" t="s">
        <v>3646</v>
      </c>
      <c r="K4557" s="141"/>
      <c r="L4557" s="135" t="str">
        <f t="shared" si="255"/>
        <v>Reithrodontomys chrysopsis</v>
      </c>
      <c r="M4557" s="133">
        <f t="shared" si="256"/>
        <v>1.2787500000000001</v>
      </c>
      <c r="N4557" s="133">
        <v>18.999842462147331</v>
      </c>
      <c r="O4557" s="179" t="s">
        <v>3356</v>
      </c>
      <c r="P4557" s="117">
        <v>66</v>
      </c>
      <c r="T4557" s="92"/>
    </row>
    <row r="4558" spans="1:20">
      <c r="A4558" s="118" t="s">
        <v>3816</v>
      </c>
      <c r="B4558" s="166"/>
      <c r="C4558" s="118" t="s">
        <v>3817</v>
      </c>
      <c r="D4558" s="141"/>
      <c r="E4558" s="118"/>
      <c r="F4558" s="118"/>
      <c r="G4558" s="118" t="s">
        <v>3618</v>
      </c>
      <c r="H4558" s="118" t="s">
        <v>3638</v>
      </c>
      <c r="I4558" s="118" t="s">
        <v>4890</v>
      </c>
      <c r="J4558" s="118" t="s">
        <v>4014</v>
      </c>
      <c r="K4558" s="141"/>
      <c r="L4558" s="135" t="str">
        <f t="shared" si="255"/>
        <v>Reithrodontomys mexicanus</v>
      </c>
      <c r="M4558" s="133">
        <f t="shared" si="256"/>
        <v>1.2787500000000001</v>
      </c>
      <c r="N4558" s="133">
        <v>18.999842462147331</v>
      </c>
      <c r="O4558" s="179" t="s">
        <v>3356</v>
      </c>
      <c r="P4558" s="117">
        <v>66</v>
      </c>
      <c r="T4558" s="92"/>
    </row>
    <row r="4559" spans="1:20">
      <c r="A4559" s="121" t="s">
        <v>3816</v>
      </c>
      <c r="B4559" s="166"/>
      <c r="C4559" s="118" t="s">
        <v>3817</v>
      </c>
      <c r="D4559" s="141"/>
      <c r="E4559" s="118"/>
      <c r="F4559" s="118"/>
      <c r="G4559" s="118" t="s">
        <v>3618</v>
      </c>
      <c r="H4559" s="118" t="s">
        <v>3638</v>
      </c>
      <c r="I4559" s="118" t="s">
        <v>4890</v>
      </c>
      <c r="J4559" s="118" t="s">
        <v>4749</v>
      </c>
      <c r="K4559" s="141"/>
      <c r="L4559" s="135" t="str">
        <f t="shared" si="255"/>
        <v>Reithrodontomys sumichrasti</v>
      </c>
      <c r="M4559" s="133">
        <f t="shared" si="256"/>
        <v>1.2787500000000001</v>
      </c>
      <c r="N4559" s="133">
        <v>18.999842462147331</v>
      </c>
      <c r="O4559" s="179" t="s">
        <v>3356</v>
      </c>
      <c r="P4559" s="117">
        <v>66</v>
      </c>
      <c r="T4559" s="92"/>
    </row>
    <row r="4560" spans="1:20">
      <c r="A4560" s="118" t="s">
        <v>3816</v>
      </c>
      <c r="B4560" s="166"/>
      <c r="C4560" s="118" t="s">
        <v>3817</v>
      </c>
      <c r="D4560" s="141"/>
      <c r="E4560" s="118"/>
      <c r="F4560" s="118"/>
      <c r="G4560" s="118" t="s">
        <v>3618</v>
      </c>
      <c r="H4560" s="118" t="s">
        <v>3638</v>
      </c>
      <c r="I4560" s="118" t="s">
        <v>4890</v>
      </c>
      <c r="J4560" s="118" t="s">
        <v>3434</v>
      </c>
      <c r="K4560" s="141"/>
      <c r="L4560" s="135" t="str">
        <f t="shared" si="255"/>
        <v>Reithrodontomys burti</v>
      </c>
      <c r="M4560" s="133">
        <f t="shared" si="256"/>
        <v>1.3010300000000001</v>
      </c>
      <c r="N4560" s="133">
        <v>20.000000199681054</v>
      </c>
      <c r="O4560" s="179" t="s">
        <v>3356</v>
      </c>
      <c r="P4560" s="117">
        <v>66</v>
      </c>
      <c r="T4560" s="92"/>
    </row>
    <row r="4561" spans="1:20">
      <c r="A4561" s="118" t="s">
        <v>3816</v>
      </c>
      <c r="B4561" s="166"/>
      <c r="C4561" s="118" t="s">
        <v>3817</v>
      </c>
      <c r="D4561" s="141"/>
      <c r="E4561" s="118"/>
      <c r="F4561" s="118"/>
      <c r="G4561" s="118" t="s">
        <v>3618</v>
      </c>
      <c r="H4561" s="118" t="s">
        <v>3638</v>
      </c>
      <c r="I4561" s="118" t="s">
        <v>4890</v>
      </c>
      <c r="J4561" s="118" t="s">
        <v>3776</v>
      </c>
      <c r="K4561" s="141"/>
      <c r="L4561" s="135" t="str">
        <f t="shared" si="255"/>
        <v>Reithrodontomys hirsutus</v>
      </c>
      <c r="M4561" s="133">
        <f t="shared" si="256"/>
        <v>1.3010300000000001</v>
      </c>
      <c r="N4561" s="133">
        <v>20.000000199681054</v>
      </c>
      <c r="O4561" s="179" t="s">
        <v>3356</v>
      </c>
      <c r="P4561" s="117">
        <v>66</v>
      </c>
      <c r="Q4561" s="90" t="s">
        <v>6642</v>
      </c>
      <c r="T4561" s="92"/>
    </row>
    <row r="4562" spans="1:20">
      <c r="A4562" s="118" t="s">
        <v>3816</v>
      </c>
      <c r="B4562" s="166"/>
      <c r="C4562" s="118" t="s">
        <v>3817</v>
      </c>
      <c r="D4562" s="141"/>
      <c r="E4562" s="118"/>
      <c r="F4562" s="118"/>
      <c r="G4562" s="118" t="s">
        <v>3618</v>
      </c>
      <c r="H4562" s="118" t="s">
        <v>3638</v>
      </c>
      <c r="I4562" s="118" t="s">
        <v>4890</v>
      </c>
      <c r="J4562" s="118" t="s">
        <v>1995</v>
      </c>
      <c r="K4562" s="141"/>
      <c r="L4562" s="135" t="str">
        <f t="shared" si="255"/>
        <v>Reithrodontomys microdon</v>
      </c>
      <c r="M4562" s="133">
        <f t="shared" si="256"/>
        <v>1.3010300000000001</v>
      </c>
      <c r="N4562" s="133">
        <v>20.000000199681054</v>
      </c>
      <c r="O4562" s="179" t="s">
        <v>3356</v>
      </c>
      <c r="P4562" s="117">
        <v>66</v>
      </c>
      <c r="Q4562" s="90" t="s">
        <v>6642</v>
      </c>
      <c r="T4562" s="92"/>
    </row>
    <row r="4563" spans="1:20" ht="12" customHeight="1">
      <c r="A4563" s="118" t="s">
        <v>3816</v>
      </c>
      <c r="B4563" s="166"/>
      <c r="C4563" s="118" t="s">
        <v>3817</v>
      </c>
      <c r="D4563" s="141"/>
      <c r="E4563" s="118"/>
      <c r="F4563" s="118"/>
      <c r="G4563" s="118" t="s">
        <v>3618</v>
      </c>
      <c r="H4563" s="118" t="s">
        <v>3638</v>
      </c>
      <c r="I4563" s="118" t="s">
        <v>4890</v>
      </c>
      <c r="J4563" s="118" t="s">
        <v>4496</v>
      </c>
      <c r="K4563" s="141"/>
      <c r="L4563" s="135" t="str">
        <f t="shared" si="255"/>
        <v>Reithrodontomys tenuirostris</v>
      </c>
      <c r="M4563" s="133">
        <f t="shared" si="256"/>
        <v>1.3010300000000001</v>
      </c>
      <c r="N4563" s="133">
        <v>20.000000199681054</v>
      </c>
      <c r="O4563" s="179" t="s">
        <v>3356</v>
      </c>
      <c r="P4563" s="117">
        <v>66</v>
      </c>
      <c r="R4563" s="89"/>
      <c r="T4563" s="92"/>
    </row>
    <row r="4564" spans="1:20" ht="12" customHeight="1">
      <c r="A4564" s="118" t="s">
        <v>3816</v>
      </c>
      <c r="B4564" s="165" t="s">
        <v>5081</v>
      </c>
      <c r="C4564" s="118" t="s">
        <v>3817</v>
      </c>
      <c r="D4564" s="141"/>
      <c r="E4564" s="118"/>
      <c r="F4564" s="118"/>
      <c r="G4564" s="118" t="s">
        <v>3618</v>
      </c>
      <c r="H4564" s="118" t="s">
        <v>3638</v>
      </c>
      <c r="I4564" s="118" t="s">
        <v>4890</v>
      </c>
      <c r="J4564" s="118" t="s">
        <v>4953</v>
      </c>
      <c r="K4564" s="141"/>
      <c r="L4564" s="135" t="str">
        <f t="shared" si="255"/>
        <v>Reithrodontomys creper</v>
      </c>
      <c r="M4564" s="133">
        <f t="shared" si="256"/>
        <v>1.3579348470004537</v>
      </c>
      <c r="N4564" s="133">
        <v>22.8</v>
      </c>
      <c r="O4564" s="179" t="s">
        <v>3356</v>
      </c>
      <c r="P4564" s="108">
        <v>71</v>
      </c>
      <c r="Q4564" s="88"/>
      <c r="T4564" s="92"/>
    </row>
    <row r="4565" spans="1:20">
      <c r="A4565" s="118" t="s">
        <v>3816</v>
      </c>
      <c r="B4565" s="165" t="s">
        <v>5081</v>
      </c>
      <c r="C4565" s="118" t="s">
        <v>3817</v>
      </c>
      <c r="D4565" s="141"/>
      <c r="E4565" s="118"/>
      <c r="F4565" s="118"/>
      <c r="G4565" s="118" t="s">
        <v>3618</v>
      </c>
      <c r="H4565" s="118" t="s">
        <v>3638</v>
      </c>
      <c r="I4565" s="118" t="s">
        <v>1997</v>
      </c>
      <c r="J4565" s="118" t="s">
        <v>6738</v>
      </c>
      <c r="K4565" s="141"/>
      <c r="L4565" s="135" t="str">
        <f t="shared" si="255"/>
        <v>Rheomys underwoodi</v>
      </c>
      <c r="M4565" s="133">
        <v>-999</v>
      </c>
      <c r="N4565" s="133">
        <v>-999</v>
      </c>
      <c r="O4565" s="179" t="s">
        <v>3356</v>
      </c>
      <c r="P4565" s="108">
        <v>-999</v>
      </c>
      <c r="Q4565" s="80"/>
    </row>
    <row r="4566" spans="1:20" ht="15.75">
      <c r="A4566" s="118" t="s">
        <v>3816</v>
      </c>
      <c r="B4566" s="166"/>
      <c r="C4566" s="118" t="s">
        <v>3817</v>
      </c>
      <c r="D4566" s="141"/>
      <c r="E4566" s="118"/>
      <c r="F4566" s="118"/>
      <c r="G4566" s="118" t="s">
        <v>3618</v>
      </c>
      <c r="H4566" s="118" t="s">
        <v>3638</v>
      </c>
      <c r="I4566" s="118" t="s">
        <v>1997</v>
      </c>
      <c r="J4566" s="118" t="s">
        <v>4014</v>
      </c>
      <c r="K4566" s="141"/>
      <c r="L4566" s="135" t="str">
        <f t="shared" si="255"/>
        <v>Rheomys mexicanus</v>
      </c>
      <c r="M4566" s="133">
        <f>LOG(N4566)</f>
        <v>1.60206</v>
      </c>
      <c r="N4566" s="133">
        <v>40.000000798724201</v>
      </c>
      <c r="O4566" s="179" t="s">
        <v>3356</v>
      </c>
      <c r="P4566" s="117">
        <v>66</v>
      </c>
      <c r="Q4566" s="90" t="s">
        <v>6642</v>
      </c>
      <c r="R4566" s="89"/>
    </row>
    <row r="4567" spans="1:20">
      <c r="A4567" s="118" t="s">
        <v>3816</v>
      </c>
      <c r="B4567" s="166"/>
      <c r="C4567" s="118" t="s">
        <v>3817</v>
      </c>
      <c r="D4567" s="141"/>
      <c r="E4567" s="118"/>
      <c r="F4567" s="118"/>
      <c r="G4567" s="118" t="s">
        <v>3618</v>
      </c>
      <c r="H4567" s="118" t="s">
        <v>3638</v>
      </c>
      <c r="I4567" s="118" t="s">
        <v>1997</v>
      </c>
      <c r="J4567" s="118" t="s">
        <v>4852</v>
      </c>
      <c r="K4567" s="141"/>
      <c r="L4567" s="135" t="str">
        <f t="shared" si="255"/>
        <v>Rheomys thomasi</v>
      </c>
      <c r="M4567" s="133">
        <f>LOG(N4567)</f>
        <v>1.60206</v>
      </c>
      <c r="N4567" s="133">
        <v>40.000000798724201</v>
      </c>
      <c r="O4567" s="179" t="s">
        <v>3356</v>
      </c>
      <c r="P4567" s="117">
        <v>66</v>
      </c>
    </row>
    <row r="4568" spans="1:20">
      <c r="A4568" s="118" t="s">
        <v>3816</v>
      </c>
      <c r="B4568" s="165" t="s">
        <v>2582</v>
      </c>
      <c r="C4568" s="118" t="s">
        <v>3817</v>
      </c>
      <c r="D4568" s="141"/>
      <c r="E4568" s="118"/>
      <c r="F4568" s="118"/>
      <c r="G4568" s="118" t="s">
        <v>3618</v>
      </c>
      <c r="H4568" s="118" t="s">
        <v>3638</v>
      </c>
      <c r="I4568" s="118" t="s">
        <v>4233</v>
      </c>
      <c r="J4568" s="118" t="s">
        <v>4790</v>
      </c>
      <c r="K4568" s="141"/>
      <c r="L4568" s="135" t="str">
        <f t="shared" si="255"/>
        <v>Rhipidomys scandens</v>
      </c>
      <c r="M4568" s="133">
        <v>-999</v>
      </c>
      <c r="N4568" s="133">
        <v>-999</v>
      </c>
      <c r="O4568" s="179" t="s">
        <v>3356</v>
      </c>
      <c r="P4568" s="108">
        <v>-999</v>
      </c>
      <c r="Q4568" s="80" t="s">
        <v>6988</v>
      </c>
    </row>
    <row r="4569" spans="1:20">
      <c r="A4569" s="121" t="s">
        <v>3816</v>
      </c>
      <c r="B4569" s="166"/>
      <c r="C4569" s="118" t="s">
        <v>3817</v>
      </c>
      <c r="D4569" s="141"/>
      <c r="E4569" s="118"/>
      <c r="F4569" s="118"/>
      <c r="G4569" s="118" t="s">
        <v>3618</v>
      </c>
      <c r="H4569" s="118" t="s">
        <v>3638</v>
      </c>
      <c r="I4569" s="118" t="s">
        <v>4745</v>
      </c>
      <c r="J4569" s="118" t="s">
        <v>4746</v>
      </c>
      <c r="K4569" s="141"/>
      <c r="L4569" s="135" t="str">
        <f t="shared" si="255"/>
        <v>Scotinomys teguina</v>
      </c>
      <c r="M4569" s="133">
        <f t="shared" ref="M4569:M4581" si="257">LOG(N4569)</f>
        <v>1.05115</v>
      </c>
      <c r="N4569" s="133">
        <v>11.249934658505206</v>
      </c>
      <c r="O4569" s="179" t="s">
        <v>3356</v>
      </c>
      <c r="P4569" s="108">
        <v>60</v>
      </c>
    </row>
    <row r="4570" spans="1:20">
      <c r="A4570" s="118" t="s">
        <v>3816</v>
      </c>
      <c r="B4570" s="166"/>
      <c r="C4570" s="118" t="s">
        <v>3817</v>
      </c>
      <c r="D4570" s="141"/>
      <c r="E4570" s="118"/>
      <c r="F4570" s="118"/>
      <c r="G4570" s="118" t="s">
        <v>3618</v>
      </c>
      <c r="H4570" s="118" t="s">
        <v>3638</v>
      </c>
      <c r="I4570" s="118" t="s">
        <v>4745</v>
      </c>
      <c r="J4570" s="118" t="s">
        <v>5886</v>
      </c>
      <c r="K4570" s="141"/>
      <c r="L4570" s="135" t="str">
        <f t="shared" si="255"/>
        <v>Scotinomys xerampelinus</v>
      </c>
      <c r="M4570" s="133">
        <f t="shared" si="257"/>
        <v>1.1760912590556813</v>
      </c>
      <c r="N4570" s="133">
        <v>15</v>
      </c>
      <c r="O4570" s="179" t="s">
        <v>6736</v>
      </c>
      <c r="P4570" s="108">
        <v>68</v>
      </c>
      <c r="T4570" s="92"/>
    </row>
    <row r="4571" spans="1:20">
      <c r="A4571" s="118" t="s">
        <v>3816</v>
      </c>
      <c r="B4571" s="166"/>
      <c r="C4571" s="118" t="s">
        <v>3817</v>
      </c>
      <c r="D4571" s="141"/>
      <c r="E4571" s="118"/>
      <c r="F4571" s="118"/>
      <c r="G4571" s="118" t="s">
        <v>3618</v>
      </c>
      <c r="H4571" s="118" t="s">
        <v>3638</v>
      </c>
      <c r="I4571" s="118" t="s">
        <v>4747</v>
      </c>
      <c r="J4571" s="118" t="s">
        <v>4174</v>
      </c>
      <c r="K4571" s="141"/>
      <c r="L4571" s="135" t="str">
        <f t="shared" si="255"/>
        <v>Sigmodon hispidus</v>
      </c>
      <c r="M4571" s="133">
        <f t="shared" si="257"/>
        <v>1.9655900000000002</v>
      </c>
      <c r="N4571" s="133">
        <v>92.382561542213608</v>
      </c>
      <c r="O4571" s="179" t="s">
        <v>3356</v>
      </c>
      <c r="P4571" s="108">
        <v>60</v>
      </c>
    </row>
    <row r="4572" spans="1:20" ht="15" customHeight="1">
      <c r="A4572" s="118" t="s">
        <v>3816</v>
      </c>
      <c r="B4572" s="166"/>
      <c r="C4572" s="118" t="s">
        <v>3817</v>
      </c>
      <c r="D4572" s="141"/>
      <c r="E4572" s="118"/>
      <c r="F4572" s="118"/>
      <c r="G4572" s="118" t="s">
        <v>3618</v>
      </c>
      <c r="H4572" s="118" t="s">
        <v>3638</v>
      </c>
      <c r="I4572" s="118" t="s">
        <v>4747</v>
      </c>
      <c r="J4572" s="118" t="s">
        <v>7246</v>
      </c>
      <c r="K4572" s="141"/>
      <c r="L4572" s="135" t="str">
        <f t="shared" si="255"/>
        <v>Sigmodon mascotensis</v>
      </c>
      <c r="M4572" s="133">
        <f t="shared" si="257"/>
        <v>2.0791800000000005</v>
      </c>
      <c r="N4572" s="133">
        <v>119.99965570481169</v>
      </c>
      <c r="O4572" s="179" t="s">
        <v>3356</v>
      </c>
      <c r="P4572" s="117">
        <v>66</v>
      </c>
    </row>
    <row r="4573" spans="1:20">
      <c r="A4573" s="121" t="s">
        <v>3816</v>
      </c>
      <c r="B4573" s="166"/>
      <c r="C4573" s="118" t="s">
        <v>3817</v>
      </c>
      <c r="D4573" s="141"/>
      <c r="E4573" s="118"/>
      <c r="F4573" s="118"/>
      <c r="G4573" s="118" t="s">
        <v>3618</v>
      </c>
      <c r="H4573" s="118" t="s">
        <v>3638</v>
      </c>
      <c r="I4573" s="118" t="s">
        <v>4747</v>
      </c>
      <c r="J4573" s="118" t="s">
        <v>7247</v>
      </c>
      <c r="K4573" s="141"/>
      <c r="L4573" s="135" t="str">
        <f t="shared" si="255"/>
        <v>Sigmodon ochrognathus</v>
      </c>
      <c r="M4573" s="133">
        <f t="shared" si="257"/>
        <v>2.0863600000000004</v>
      </c>
      <c r="N4573" s="133">
        <v>122.00004756607701</v>
      </c>
      <c r="O4573" s="179" t="s">
        <v>3356</v>
      </c>
      <c r="P4573" s="108">
        <v>60</v>
      </c>
    </row>
    <row r="4574" spans="1:20">
      <c r="A4574" s="118" t="s">
        <v>3816</v>
      </c>
      <c r="B4574" s="166"/>
      <c r="C4574" s="118" t="s">
        <v>3817</v>
      </c>
      <c r="D4574" s="141"/>
      <c r="E4574" s="118"/>
      <c r="F4574" s="118"/>
      <c r="G4574" s="118" t="s">
        <v>3618</v>
      </c>
      <c r="H4574" s="118" t="s">
        <v>3638</v>
      </c>
      <c r="I4574" s="118" t="s">
        <v>4747</v>
      </c>
      <c r="J4574" s="118" t="s">
        <v>7245</v>
      </c>
      <c r="K4574" s="141"/>
      <c r="L4574" s="135" t="str">
        <f t="shared" si="255"/>
        <v>Sigmodon leucotis</v>
      </c>
      <c r="M4574" s="133">
        <f t="shared" si="257"/>
        <v>2.1319400000000002</v>
      </c>
      <c r="N4574" s="133">
        <v>135.50021989472347</v>
      </c>
      <c r="O4574" s="179" t="s">
        <v>3356</v>
      </c>
      <c r="P4574" s="108">
        <v>60</v>
      </c>
    </row>
    <row r="4575" spans="1:20">
      <c r="A4575" s="118" t="s">
        <v>3816</v>
      </c>
      <c r="B4575" s="166"/>
      <c r="C4575" s="118" t="s">
        <v>3817</v>
      </c>
      <c r="D4575" s="141"/>
      <c r="E4575" s="118"/>
      <c r="F4575" s="118"/>
      <c r="G4575" s="118" t="s">
        <v>3618</v>
      </c>
      <c r="H4575" s="118" t="s">
        <v>3638</v>
      </c>
      <c r="I4575" s="118" t="s">
        <v>4747</v>
      </c>
      <c r="J4575" s="118" t="s">
        <v>4087</v>
      </c>
      <c r="K4575" s="141"/>
      <c r="L4575" s="135" t="str">
        <f t="shared" si="255"/>
        <v>Sigmodon alleni</v>
      </c>
      <c r="M4575" s="133">
        <f t="shared" si="257"/>
        <v>2.2528500000000005</v>
      </c>
      <c r="N4575" s="133">
        <v>178.99875074740714</v>
      </c>
      <c r="O4575" s="179" t="s">
        <v>3356</v>
      </c>
      <c r="P4575" s="108">
        <v>60</v>
      </c>
    </row>
    <row r="4576" spans="1:20">
      <c r="A4576" s="121" t="s">
        <v>3816</v>
      </c>
      <c r="B4576" s="166"/>
      <c r="C4576" s="118" t="s">
        <v>3817</v>
      </c>
      <c r="D4576" s="141"/>
      <c r="E4576" s="118"/>
      <c r="F4576" s="118"/>
      <c r="G4576" s="118" t="s">
        <v>3618</v>
      </c>
      <c r="H4576" s="118" t="s">
        <v>3638</v>
      </c>
      <c r="I4576" s="118" t="s">
        <v>4747</v>
      </c>
      <c r="J4576" s="118" t="s">
        <v>4671</v>
      </c>
      <c r="K4576" s="141"/>
      <c r="L4576" s="135" t="str">
        <f t="shared" si="255"/>
        <v>Sigmodon arizonae</v>
      </c>
      <c r="M4576" s="133">
        <f t="shared" si="257"/>
        <v>2.2966700000000002</v>
      </c>
      <c r="N4576" s="133">
        <v>198.00219282889842</v>
      </c>
      <c r="O4576" s="179" t="s">
        <v>3356</v>
      </c>
      <c r="P4576" s="117">
        <v>66</v>
      </c>
    </row>
    <row r="4577" spans="1:20">
      <c r="A4577" s="121" t="s">
        <v>3816</v>
      </c>
      <c r="B4577" s="166"/>
      <c r="C4577" s="118" t="s">
        <v>3817</v>
      </c>
      <c r="D4577" s="141"/>
      <c r="E4577" s="118"/>
      <c r="F4577" s="118"/>
      <c r="G4577" s="118" t="s">
        <v>3618</v>
      </c>
      <c r="H4577" s="118" t="s">
        <v>3638</v>
      </c>
      <c r="I4577" s="118" t="s">
        <v>4747</v>
      </c>
      <c r="J4577" s="118" t="s">
        <v>2002</v>
      </c>
      <c r="K4577" s="141"/>
      <c r="L4577" s="135" t="str">
        <f t="shared" si="255"/>
        <v>Sigmodon fulviventer</v>
      </c>
      <c r="M4577" s="133">
        <f t="shared" si="257"/>
        <v>2.3304100000000005</v>
      </c>
      <c r="N4577" s="133">
        <v>213.99814067815171</v>
      </c>
      <c r="O4577" s="179" t="s">
        <v>3356</v>
      </c>
      <c r="P4577" s="108">
        <v>60</v>
      </c>
    </row>
    <row r="4578" spans="1:20">
      <c r="A4578" s="118" t="s">
        <v>3816</v>
      </c>
      <c r="B4578" s="165" t="s">
        <v>8245</v>
      </c>
      <c r="C4578" s="118" t="s">
        <v>3817</v>
      </c>
      <c r="D4578" s="141"/>
      <c r="E4578" s="118"/>
      <c r="F4578" s="118"/>
      <c r="G4578" s="118" t="s">
        <v>3618</v>
      </c>
      <c r="H4578" s="118" t="s">
        <v>3638</v>
      </c>
      <c r="I4578" s="118" t="s">
        <v>5078</v>
      </c>
      <c r="J4578" s="118" t="s">
        <v>6233</v>
      </c>
      <c r="K4578" s="141"/>
      <c r="L4578" s="135" t="str">
        <f t="shared" si="255"/>
        <v>Sigmodontomys alfari</v>
      </c>
      <c r="M4578" s="133">
        <f t="shared" si="257"/>
        <v>1.6989700043360187</v>
      </c>
      <c r="N4578" s="133">
        <f>1000*0.05</f>
        <v>50</v>
      </c>
      <c r="O4578" s="179" t="s">
        <v>3356</v>
      </c>
      <c r="P4578" s="108" t="s">
        <v>7950</v>
      </c>
      <c r="Q4578" s="80"/>
    </row>
    <row r="4579" spans="1:20" ht="25.5">
      <c r="A4579" s="118" t="s">
        <v>3816</v>
      </c>
      <c r="B4579" s="165" t="s">
        <v>5081</v>
      </c>
      <c r="C4579" s="118" t="s">
        <v>3817</v>
      </c>
      <c r="D4579" s="141"/>
      <c r="E4579" s="118"/>
      <c r="F4579" s="118"/>
      <c r="G4579" s="118" t="s">
        <v>3618</v>
      </c>
      <c r="H4579" s="118" t="s">
        <v>3638</v>
      </c>
      <c r="I4579" s="118" t="s">
        <v>5078</v>
      </c>
      <c r="J4579" s="118" t="s">
        <v>5079</v>
      </c>
      <c r="K4579" s="141"/>
      <c r="L4579" s="135" t="str">
        <f t="shared" si="255"/>
        <v>Sigmodontomys aphrastus</v>
      </c>
      <c r="M4579" s="133">
        <f t="shared" si="257"/>
        <v>1.8512583487190752</v>
      </c>
      <c r="N4579" s="133">
        <v>71</v>
      </c>
      <c r="O4579" s="179" t="s">
        <v>1960</v>
      </c>
      <c r="P4579" s="108">
        <v>218</v>
      </c>
      <c r="Q4579" s="80" t="s">
        <v>7071</v>
      </c>
    </row>
    <row r="4580" spans="1:20">
      <c r="A4580" s="118" t="s">
        <v>3816</v>
      </c>
      <c r="B4580" s="166"/>
      <c r="C4580" s="118" t="s">
        <v>3817</v>
      </c>
      <c r="D4580" s="141"/>
      <c r="E4580" s="118"/>
      <c r="F4580" s="118"/>
      <c r="G4580" s="118" t="s">
        <v>3618</v>
      </c>
      <c r="H4580" s="118" t="s">
        <v>3638</v>
      </c>
      <c r="I4580" s="118" t="s">
        <v>7685</v>
      </c>
      <c r="J4580" s="118" t="s">
        <v>4627</v>
      </c>
      <c r="K4580" s="141"/>
      <c r="L4580" s="135" t="str">
        <f t="shared" si="255"/>
        <v>Synaptomys borealis</v>
      </c>
      <c r="M4580" s="133">
        <f t="shared" si="257"/>
        <v>1.3283799999999999</v>
      </c>
      <c r="N4580" s="133">
        <v>21.300019449380763</v>
      </c>
      <c r="O4580" s="179" t="s">
        <v>3356</v>
      </c>
      <c r="P4580" s="108">
        <v>60</v>
      </c>
      <c r="T4580" s="92"/>
    </row>
    <row r="4581" spans="1:20">
      <c r="A4581" s="118" t="s">
        <v>3816</v>
      </c>
      <c r="B4581" s="166"/>
      <c r="C4581" s="118" t="s">
        <v>3817</v>
      </c>
      <c r="D4581" s="141"/>
      <c r="E4581" s="118"/>
      <c r="F4581" s="118"/>
      <c r="G4581" s="118" t="s">
        <v>3618</v>
      </c>
      <c r="H4581" s="118" t="s">
        <v>3638</v>
      </c>
      <c r="I4581" s="118" t="s">
        <v>7685</v>
      </c>
      <c r="J4581" s="118" t="s">
        <v>4610</v>
      </c>
      <c r="K4581" s="141"/>
      <c r="L4581" s="135" t="str">
        <f t="shared" si="255"/>
        <v>Synaptomys cooperi</v>
      </c>
      <c r="M4581" s="133">
        <f t="shared" si="257"/>
        <v>1.50413</v>
      </c>
      <c r="N4581" s="133">
        <v>31.924933404727962</v>
      </c>
      <c r="O4581" s="179" t="s">
        <v>3356</v>
      </c>
      <c r="P4581" s="108">
        <v>60</v>
      </c>
    </row>
    <row r="4582" spans="1:20" ht="15" customHeight="1">
      <c r="A4582" s="118" t="s">
        <v>3816</v>
      </c>
      <c r="B4582" s="165" t="s">
        <v>2582</v>
      </c>
      <c r="C4582" s="118" t="s">
        <v>3817</v>
      </c>
      <c r="D4582" s="141"/>
      <c r="E4582" s="118"/>
      <c r="F4582" s="118"/>
      <c r="G4582" s="118" t="s">
        <v>3618</v>
      </c>
      <c r="H4582" s="118" t="s">
        <v>3638</v>
      </c>
      <c r="I4582" s="118" t="s">
        <v>4611</v>
      </c>
      <c r="J4582" s="118" t="s">
        <v>2002</v>
      </c>
      <c r="K4582" s="141"/>
      <c r="L4582" s="135" t="str">
        <f t="shared" si="255"/>
        <v>Tylomys fulviventer</v>
      </c>
      <c r="M4582" s="133">
        <v>-999</v>
      </c>
      <c r="N4582" s="133">
        <v>-999</v>
      </c>
      <c r="O4582" s="179" t="s">
        <v>3356</v>
      </c>
      <c r="P4582" s="108">
        <v>-999</v>
      </c>
      <c r="Q4582" s="80" t="s">
        <v>6642</v>
      </c>
    </row>
    <row r="4583" spans="1:20">
      <c r="A4583" s="118" t="s">
        <v>3816</v>
      </c>
      <c r="B4583" s="165" t="s">
        <v>2582</v>
      </c>
      <c r="C4583" s="121" t="s">
        <v>3817</v>
      </c>
      <c r="D4583" s="156"/>
      <c r="E4583" s="121"/>
      <c r="F4583" s="121"/>
      <c r="G4583" s="121" t="s">
        <v>3618</v>
      </c>
      <c r="H4583" s="118" t="s">
        <v>3638</v>
      </c>
      <c r="I4583" s="121" t="s">
        <v>4611</v>
      </c>
      <c r="J4583" s="121" t="s">
        <v>5080</v>
      </c>
      <c r="K4583" s="141"/>
      <c r="L4583" s="135" t="str">
        <f t="shared" si="255"/>
        <v>Tylomys panamensis</v>
      </c>
      <c r="M4583" s="133">
        <v>-999</v>
      </c>
      <c r="N4583" s="143">
        <v>-999</v>
      </c>
      <c r="O4583" s="179" t="s">
        <v>3356</v>
      </c>
      <c r="P4583" s="108">
        <v>-999</v>
      </c>
      <c r="Q4583" s="80" t="s">
        <v>6988</v>
      </c>
    </row>
    <row r="4584" spans="1:20">
      <c r="A4584" s="118" t="s">
        <v>3816</v>
      </c>
      <c r="B4584" s="166"/>
      <c r="C4584" s="118" t="s">
        <v>3817</v>
      </c>
      <c r="D4584" s="141"/>
      <c r="E4584" s="118"/>
      <c r="F4584" s="118"/>
      <c r="G4584" s="118" t="s">
        <v>3618</v>
      </c>
      <c r="H4584" s="118" t="s">
        <v>3638</v>
      </c>
      <c r="I4584" s="118" t="s">
        <v>4611</v>
      </c>
      <c r="J4584" s="118" t="s">
        <v>4091</v>
      </c>
      <c r="K4584" s="141"/>
      <c r="L4584" s="135" t="str">
        <f t="shared" si="255"/>
        <v>Tylomys nudicaudus</v>
      </c>
      <c r="M4584" s="133">
        <f t="shared" ref="M4584:M4620" si="258">LOG(N4584)</f>
        <v>2</v>
      </c>
      <c r="N4584" s="133">
        <v>100</v>
      </c>
      <c r="O4584" s="179" t="s">
        <v>3356</v>
      </c>
      <c r="P4584" s="108">
        <v>60</v>
      </c>
    </row>
    <row r="4585" spans="1:20">
      <c r="A4585" s="118" t="s">
        <v>3816</v>
      </c>
      <c r="B4585" s="165" t="s">
        <v>5081</v>
      </c>
      <c r="C4585" s="118" t="s">
        <v>3817</v>
      </c>
      <c r="D4585" s="141"/>
      <c r="E4585" s="118"/>
      <c r="F4585" s="118"/>
      <c r="G4585" s="118" t="s">
        <v>3618</v>
      </c>
      <c r="H4585" s="118" t="s">
        <v>3638</v>
      </c>
      <c r="I4585" s="118" t="s">
        <v>4611</v>
      </c>
      <c r="J4585" s="118" t="s">
        <v>4943</v>
      </c>
      <c r="K4585" s="141"/>
      <c r="L4585" s="135" t="str">
        <f t="shared" si="255"/>
        <v>Tylomys watsoni</v>
      </c>
      <c r="M4585" s="133">
        <f t="shared" si="258"/>
        <v>2.3802112417116059</v>
      </c>
      <c r="N4585" s="133">
        <f>1000*0.24</f>
        <v>240</v>
      </c>
      <c r="O4585" s="179" t="s">
        <v>3356</v>
      </c>
      <c r="P4585" s="108" t="s">
        <v>7950</v>
      </c>
      <c r="Q4585" s="80"/>
    </row>
    <row r="4586" spans="1:20">
      <c r="A4586" s="118" t="s">
        <v>3816</v>
      </c>
      <c r="B4586" s="166"/>
      <c r="C4586" s="118" t="s">
        <v>3817</v>
      </c>
      <c r="D4586" s="141"/>
      <c r="E4586" s="118"/>
      <c r="F4586" s="118"/>
      <c r="G4586" s="118" t="s">
        <v>3618</v>
      </c>
      <c r="H4586" s="118" t="s">
        <v>3638</v>
      </c>
      <c r="I4586" s="118" t="s">
        <v>4611</v>
      </c>
      <c r="J4586" s="118" t="s">
        <v>4090</v>
      </c>
      <c r="K4586" s="141"/>
      <c r="L4586" s="135" t="str">
        <f t="shared" si="255"/>
        <v>Tylomys bullaris</v>
      </c>
      <c r="M4586" s="133">
        <f t="shared" si="258"/>
        <v>2.4471600000000002</v>
      </c>
      <c r="N4586" s="133">
        <v>280.00126924345341</v>
      </c>
      <c r="O4586" s="179" t="s">
        <v>3356</v>
      </c>
      <c r="P4586" s="117">
        <v>66</v>
      </c>
      <c r="Q4586" s="90" t="s">
        <v>7071</v>
      </c>
    </row>
    <row r="4587" spans="1:20">
      <c r="A4587" s="121" t="s">
        <v>3816</v>
      </c>
      <c r="B4587" s="166"/>
      <c r="C4587" s="118" t="s">
        <v>3817</v>
      </c>
      <c r="D4587" s="141"/>
      <c r="E4587" s="118"/>
      <c r="F4587" s="118"/>
      <c r="G4587" s="118" t="s">
        <v>3618</v>
      </c>
      <c r="H4587" s="118" t="s">
        <v>3638</v>
      </c>
      <c r="I4587" s="118" t="s">
        <v>4611</v>
      </c>
      <c r="J4587" s="118" t="s">
        <v>3894</v>
      </c>
      <c r="K4587" s="141"/>
      <c r="L4587" s="135" t="str">
        <f t="shared" si="255"/>
        <v>Tylomys tumbalensis</v>
      </c>
      <c r="M4587" s="133">
        <f t="shared" si="258"/>
        <v>2.4471600000000002</v>
      </c>
      <c r="N4587" s="133">
        <v>280.00126924345341</v>
      </c>
      <c r="O4587" s="179" t="s">
        <v>3356</v>
      </c>
      <c r="P4587" s="117">
        <v>66</v>
      </c>
      <c r="Q4587" s="90" t="s">
        <v>7071</v>
      </c>
    </row>
    <row r="4588" spans="1:20">
      <c r="A4588" s="118" t="s">
        <v>3816</v>
      </c>
      <c r="B4588" s="166"/>
      <c r="C4588" s="118" t="s">
        <v>3817</v>
      </c>
      <c r="D4588" s="141"/>
      <c r="E4588" s="118"/>
      <c r="F4588" s="118"/>
      <c r="G4588" s="118" t="s">
        <v>3618</v>
      </c>
      <c r="H4588" s="118" t="s">
        <v>3638</v>
      </c>
      <c r="I4588" s="118" t="s">
        <v>4776</v>
      </c>
      <c r="J4588" s="118" t="s">
        <v>3155</v>
      </c>
      <c r="K4588" s="141"/>
      <c r="L4588" s="135" t="str">
        <f t="shared" si="255"/>
        <v>Xenomys nelsoni</v>
      </c>
      <c r="M4588" s="133">
        <f t="shared" si="258"/>
        <v>2.1139400000000004</v>
      </c>
      <c r="N4588" s="133">
        <v>129.99899653754548</v>
      </c>
      <c r="O4588" s="179" t="s">
        <v>3356</v>
      </c>
      <c r="P4588" s="117">
        <v>66</v>
      </c>
      <c r="Q4588" s="90" t="s">
        <v>6642</v>
      </c>
    </row>
    <row r="4589" spans="1:20">
      <c r="A4589" s="118" t="s">
        <v>3816</v>
      </c>
      <c r="B4589" s="166"/>
      <c r="C4589" s="118" t="s">
        <v>3817</v>
      </c>
      <c r="D4589" s="141"/>
      <c r="E4589" s="118"/>
      <c r="F4589" s="118"/>
      <c r="G4589" s="118" t="s">
        <v>3618</v>
      </c>
      <c r="H4589" s="118" t="s">
        <v>3438</v>
      </c>
      <c r="I4589" s="118" t="s">
        <v>5915</v>
      </c>
      <c r="J4589" s="118" t="s">
        <v>6796</v>
      </c>
      <c r="K4589" s="141"/>
      <c r="L4589" s="135" t="str">
        <f t="shared" si="255"/>
        <v>Ammospermophilus leucurus</v>
      </c>
      <c r="M4589" s="133">
        <f t="shared" si="258"/>
        <v>2.0156700000000005</v>
      </c>
      <c r="N4589" s="133">
        <v>103.67403461014715</v>
      </c>
      <c r="O4589" s="179" t="s">
        <v>3356</v>
      </c>
      <c r="P4589" s="108">
        <v>60</v>
      </c>
    </row>
    <row r="4590" spans="1:20" ht="15" customHeight="1">
      <c r="A4590" s="118" t="s">
        <v>3816</v>
      </c>
      <c r="B4590" s="166"/>
      <c r="C4590" s="118" t="s">
        <v>3817</v>
      </c>
      <c r="D4590" s="141"/>
      <c r="E4590" s="118"/>
      <c r="F4590" s="118"/>
      <c r="G4590" s="118" t="s">
        <v>3618</v>
      </c>
      <c r="H4590" s="118" t="s">
        <v>3438</v>
      </c>
      <c r="I4590" s="118" t="s">
        <v>5915</v>
      </c>
      <c r="J4590" s="118" t="s">
        <v>6518</v>
      </c>
      <c r="K4590" s="141"/>
      <c r="L4590" s="135" t="str">
        <f t="shared" si="255"/>
        <v>Ammospermophilus interpres</v>
      </c>
      <c r="M4590" s="133">
        <f t="shared" si="258"/>
        <v>2.0425800000000005</v>
      </c>
      <c r="N4590" s="133">
        <v>110.30113973450034</v>
      </c>
      <c r="O4590" s="179" t="s">
        <v>3356</v>
      </c>
      <c r="P4590" s="108">
        <v>60</v>
      </c>
    </row>
    <row r="4591" spans="1:20">
      <c r="A4591" s="118" t="s">
        <v>3816</v>
      </c>
      <c r="B4591" s="166"/>
      <c r="C4591" s="118" t="s">
        <v>3817</v>
      </c>
      <c r="D4591" s="141"/>
      <c r="E4591" s="118"/>
      <c r="F4591" s="118"/>
      <c r="G4591" s="118" t="s">
        <v>3618</v>
      </c>
      <c r="H4591" s="121" t="s">
        <v>3438</v>
      </c>
      <c r="I4591" s="118" t="s">
        <v>5915</v>
      </c>
      <c r="J4591" s="118" t="s">
        <v>6789</v>
      </c>
      <c r="K4591" s="141"/>
      <c r="L4591" s="135" t="str">
        <f t="shared" si="255"/>
        <v>Ammospermophilus harrisii</v>
      </c>
      <c r="M4591" s="133">
        <f t="shared" si="258"/>
        <v>2.0863600000000004</v>
      </c>
      <c r="N4591" s="133">
        <v>122.00004756607701</v>
      </c>
      <c r="O4591" s="179" t="s">
        <v>3356</v>
      </c>
      <c r="P4591" s="108">
        <v>60</v>
      </c>
    </row>
    <row r="4592" spans="1:20">
      <c r="A4592" s="118" t="s">
        <v>3816</v>
      </c>
      <c r="B4592" s="166"/>
      <c r="C4592" s="118" t="s">
        <v>3817</v>
      </c>
      <c r="D4592" s="141"/>
      <c r="E4592" s="118"/>
      <c r="F4592" s="118"/>
      <c r="G4592" s="118" t="s">
        <v>3618</v>
      </c>
      <c r="H4592" s="118" t="s">
        <v>3438</v>
      </c>
      <c r="I4592" s="118" t="s">
        <v>5915</v>
      </c>
      <c r="J4592" s="118" t="s">
        <v>3155</v>
      </c>
      <c r="K4592" s="141"/>
      <c r="L4592" s="135" t="str">
        <f t="shared" si="255"/>
        <v>Ammospermophilus nelsoni</v>
      </c>
      <c r="M4592" s="133">
        <f t="shared" si="258"/>
        <v>2.2052</v>
      </c>
      <c r="N4592" s="133">
        <v>160.39838825084189</v>
      </c>
      <c r="O4592" s="179" t="s">
        <v>6641</v>
      </c>
      <c r="P4592" s="108">
        <v>60</v>
      </c>
      <c r="Q4592" s="90" t="s">
        <v>6640</v>
      </c>
    </row>
    <row r="4593" spans="1:17">
      <c r="A4593" s="118" t="s">
        <v>3816</v>
      </c>
      <c r="B4593" s="166"/>
      <c r="C4593" s="118" t="s">
        <v>3817</v>
      </c>
      <c r="D4593" s="141"/>
      <c r="E4593" s="118"/>
      <c r="F4593" s="118"/>
      <c r="G4593" s="118" t="s">
        <v>3618</v>
      </c>
      <c r="H4593" s="118" t="s">
        <v>3438</v>
      </c>
      <c r="I4593" s="118" t="s">
        <v>6800</v>
      </c>
      <c r="J4593" s="118" t="s">
        <v>4014</v>
      </c>
      <c r="K4593" s="141"/>
      <c r="L4593" s="135" t="str">
        <f t="shared" si="255"/>
        <v>Cynomys mexicanus</v>
      </c>
      <c r="M4593" s="133">
        <f t="shared" si="258"/>
        <v>2.9542400000000004</v>
      </c>
      <c r="N4593" s="133">
        <v>899.99479963720182</v>
      </c>
      <c r="O4593" s="179" t="s">
        <v>6641</v>
      </c>
      <c r="P4593" s="117">
        <v>66</v>
      </c>
      <c r="Q4593" s="90" t="s">
        <v>6640</v>
      </c>
    </row>
    <row r="4594" spans="1:17" ht="38.25">
      <c r="A4594" s="118" t="s">
        <v>3816</v>
      </c>
      <c r="B4594" s="166"/>
      <c r="C4594" s="118" t="s">
        <v>3817</v>
      </c>
      <c r="D4594" s="141"/>
      <c r="E4594" s="118"/>
      <c r="F4594" s="118"/>
      <c r="G4594" s="118" t="s">
        <v>3618</v>
      </c>
      <c r="H4594" s="118" t="s">
        <v>3438</v>
      </c>
      <c r="I4594" s="118" t="s">
        <v>6800</v>
      </c>
      <c r="J4594" s="118" t="s">
        <v>2490</v>
      </c>
      <c r="K4594" s="141"/>
      <c r="L4594" s="135" t="str">
        <f t="shared" si="255"/>
        <v>Cynomys parvidens</v>
      </c>
      <c r="M4594" s="133">
        <f t="shared" si="258"/>
        <v>2.9542400000000004</v>
      </c>
      <c r="N4594" s="133">
        <v>899.99479963720182</v>
      </c>
      <c r="O4594" s="179" t="s">
        <v>6634</v>
      </c>
      <c r="P4594" s="117">
        <v>66</v>
      </c>
      <c r="Q4594" s="90" t="s">
        <v>6642</v>
      </c>
    </row>
    <row r="4595" spans="1:17">
      <c r="A4595" s="118" t="s">
        <v>3816</v>
      </c>
      <c r="B4595" s="166"/>
      <c r="C4595" s="118" t="s">
        <v>3817</v>
      </c>
      <c r="D4595" s="141"/>
      <c r="E4595" s="118"/>
      <c r="F4595" s="118"/>
      <c r="G4595" s="118" t="s">
        <v>3618</v>
      </c>
      <c r="H4595" s="118" t="s">
        <v>3438</v>
      </c>
      <c r="I4595" s="118" t="s">
        <v>6800</v>
      </c>
      <c r="J4595" s="118" t="s">
        <v>6796</v>
      </c>
      <c r="K4595" s="141"/>
      <c r="L4595" s="135" t="str">
        <f t="shared" si="255"/>
        <v>Cynomys leucurus</v>
      </c>
      <c r="M4595" s="133">
        <f t="shared" si="258"/>
        <v>2.9583200000000005</v>
      </c>
      <c r="N4595" s="133">
        <v>908.48968355949683</v>
      </c>
      <c r="O4595" s="179" t="s">
        <v>3356</v>
      </c>
      <c r="P4595" s="108">
        <v>60</v>
      </c>
    </row>
    <row r="4596" spans="1:17">
      <c r="A4596" s="118" t="s">
        <v>3816</v>
      </c>
      <c r="B4596" s="166"/>
      <c r="C4596" s="118" t="s">
        <v>3817</v>
      </c>
      <c r="D4596" s="141"/>
      <c r="E4596" s="118"/>
      <c r="F4596" s="118"/>
      <c r="G4596" s="118" t="s">
        <v>3618</v>
      </c>
      <c r="H4596" s="118" t="s">
        <v>3438</v>
      </c>
      <c r="I4596" s="118" t="s">
        <v>6800</v>
      </c>
      <c r="J4596" s="118" t="s">
        <v>3462</v>
      </c>
      <c r="K4596" s="141"/>
      <c r="L4596" s="135" t="str">
        <f t="shared" si="255"/>
        <v>Cynomys gunnisoni</v>
      </c>
      <c r="M4596" s="133">
        <f t="shared" si="258"/>
        <v>2.9661400000000002</v>
      </c>
      <c r="N4596" s="133">
        <v>924.99630946172647</v>
      </c>
      <c r="O4596" s="179" t="s">
        <v>3356</v>
      </c>
      <c r="P4596" s="108">
        <v>60</v>
      </c>
    </row>
    <row r="4597" spans="1:17">
      <c r="A4597" s="118" t="s">
        <v>3816</v>
      </c>
      <c r="B4597" s="166"/>
      <c r="C4597" s="118" t="s">
        <v>3817</v>
      </c>
      <c r="D4597" s="141"/>
      <c r="E4597" s="118"/>
      <c r="F4597" s="118"/>
      <c r="G4597" s="118" t="s">
        <v>3618</v>
      </c>
      <c r="H4597" s="118" t="s">
        <v>3438</v>
      </c>
      <c r="I4597" s="118" t="s">
        <v>6800</v>
      </c>
      <c r="J4597" s="118" t="s">
        <v>3463</v>
      </c>
      <c r="K4597" s="141"/>
      <c r="L4597" s="135" t="str">
        <f t="shared" si="255"/>
        <v>Cynomys ludovicianus</v>
      </c>
      <c r="M4597" s="133">
        <f t="shared" si="258"/>
        <v>3.1348143703204601</v>
      </c>
      <c r="N4597" s="133">
        <v>1364</v>
      </c>
      <c r="O4597" s="179" t="s">
        <v>6632</v>
      </c>
      <c r="P4597" s="108">
        <v>75</v>
      </c>
      <c r="Q4597" s="90" t="s">
        <v>6642</v>
      </c>
    </row>
    <row r="4598" spans="1:17">
      <c r="A4598" s="118" t="s">
        <v>3816</v>
      </c>
      <c r="B4598" s="166"/>
      <c r="C4598" s="118" t="s">
        <v>3817</v>
      </c>
      <c r="D4598" s="141"/>
      <c r="E4598" s="118"/>
      <c r="F4598" s="118"/>
      <c r="G4598" s="118" t="s">
        <v>3618</v>
      </c>
      <c r="H4598" s="118" t="s">
        <v>3438</v>
      </c>
      <c r="I4598" s="118" t="s">
        <v>3464</v>
      </c>
      <c r="J4598" s="118" t="s">
        <v>4449</v>
      </c>
      <c r="K4598" s="141"/>
      <c r="L4598" s="135" t="str">
        <f t="shared" si="255"/>
        <v>Glaucomys volans</v>
      </c>
      <c r="M4598" s="133">
        <f t="shared" si="258"/>
        <v>1.8052699999999999</v>
      </c>
      <c r="N4598" s="133">
        <v>63.866041668015491</v>
      </c>
      <c r="O4598" s="179" t="s">
        <v>3356</v>
      </c>
      <c r="P4598" s="108">
        <v>60</v>
      </c>
    </row>
    <row r="4599" spans="1:17">
      <c r="A4599" s="118" t="s">
        <v>3816</v>
      </c>
      <c r="B4599" s="166"/>
      <c r="C4599" s="118" t="s">
        <v>3817</v>
      </c>
      <c r="D4599" s="141"/>
      <c r="E4599" s="118"/>
      <c r="F4599" s="118"/>
      <c r="G4599" s="118" t="s">
        <v>3618</v>
      </c>
      <c r="H4599" s="118" t="s">
        <v>3438</v>
      </c>
      <c r="I4599" s="118" t="s">
        <v>3464</v>
      </c>
      <c r="J4599" s="118" t="s">
        <v>3465</v>
      </c>
      <c r="K4599" s="141"/>
      <c r="L4599" s="135" t="str">
        <f t="shared" si="255"/>
        <v>Glaucomys sabrinus</v>
      </c>
      <c r="M4599" s="133">
        <f t="shared" si="258"/>
        <v>2.22011</v>
      </c>
      <c r="N4599" s="133">
        <v>166.00073080838632</v>
      </c>
      <c r="O4599" s="179" t="s">
        <v>3356</v>
      </c>
      <c r="P4599" s="108">
        <v>60</v>
      </c>
    </row>
    <row r="4600" spans="1:17">
      <c r="A4600" s="118" t="s">
        <v>3816</v>
      </c>
      <c r="B4600" s="166"/>
      <c r="C4600" s="118" t="s">
        <v>3817</v>
      </c>
      <c r="D4600" s="141"/>
      <c r="E4600" s="118"/>
      <c r="F4600" s="118"/>
      <c r="G4600" s="118" t="s">
        <v>3618</v>
      </c>
      <c r="H4600" s="118" t="s">
        <v>3438</v>
      </c>
      <c r="I4600" s="118" t="s">
        <v>6825</v>
      </c>
      <c r="J4600" s="118" t="s">
        <v>3693</v>
      </c>
      <c r="K4600" s="141"/>
      <c r="L4600" s="135" t="str">
        <f t="shared" si="255"/>
        <v>Marmota flaviventris</v>
      </c>
      <c r="M4600" s="133">
        <f t="shared" si="258"/>
        <v>3.5250400000000006</v>
      </c>
      <c r="N4600" s="133">
        <v>3349.9629203570894</v>
      </c>
      <c r="O4600" s="179" t="s">
        <v>3356</v>
      </c>
      <c r="P4600" s="117">
        <v>66</v>
      </c>
    </row>
    <row r="4601" spans="1:17">
      <c r="A4601" s="118" t="s">
        <v>3816</v>
      </c>
      <c r="B4601" s="165" t="s">
        <v>6280</v>
      </c>
      <c r="C4601" s="118" t="s">
        <v>3817</v>
      </c>
      <c r="D4601" s="141"/>
      <c r="E4601" s="118"/>
      <c r="F4601" s="118"/>
      <c r="G4601" s="118" t="s">
        <v>3618</v>
      </c>
      <c r="H4601" s="118" t="s">
        <v>3438</v>
      </c>
      <c r="I4601" s="118" t="s">
        <v>6825</v>
      </c>
      <c r="J4601" s="118" t="s">
        <v>5789</v>
      </c>
      <c r="K4601" s="141"/>
      <c r="L4601" s="135" t="str">
        <f t="shared" si="255"/>
        <v>Marmota broweri</v>
      </c>
      <c r="M4601" s="133">
        <f t="shared" si="258"/>
        <v>3.5321171162488039</v>
      </c>
      <c r="N4601" s="133">
        <f>AVERAGE(3630, 3180)</f>
        <v>3405</v>
      </c>
      <c r="O4601" s="179" t="s">
        <v>3356</v>
      </c>
      <c r="P4601" s="108" t="s">
        <v>257</v>
      </c>
      <c r="Q4601" s="80"/>
    </row>
    <row r="4602" spans="1:17">
      <c r="A4602" s="121" t="s">
        <v>3816</v>
      </c>
      <c r="B4602" s="166"/>
      <c r="C4602" s="118" t="s">
        <v>3817</v>
      </c>
      <c r="D4602" s="141"/>
      <c r="E4602" s="118"/>
      <c r="F4602" s="118"/>
      <c r="G4602" s="118" t="s">
        <v>3618</v>
      </c>
      <c r="H4602" s="118" t="s">
        <v>3438</v>
      </c>
      <c r="I4602" s="118" t="s">
        <v>6825</v>
      </c>
      <c r="J4602" s="118" t="s">
        <v>7479</v>
      </c>
      <c r="K4602" s="141"/>
      <c r="L4602" s="135" t="str">
        <f t="shared" si="255"/>
        <v>Marmota monax</v>
      </c>
      <c r="M4602" s="133">
        <f t="shared" si="258"/>
        <v>3.5799800000000004</v>
      </c>
      <c r="N4602" s="133">
        <v>3801.7188835497095</v>
      </c>
      <c r="O4602" s="179" t="s">
        <v>3356</v>
      </c>
      <c r="P4602" s="108">
        <v>60</v>
      </c>
    </row>
    <row r="4603" spans="1:17">
      <c r="A4603" s="118" t="s">
        <v>3816</v>
      </c>
      <c r="B4603" s="166"/>
      <c r="C4603" s="118" t="s">
        <v>3817</v>
      </c>
      <c r="D4603" s="141"/>
      <c r="E4603" s="118"/>
      <c r="F4603" s="118"/>
      <c r="G4603" s="118" t="s">
        <v>3618</v>
      </c>
      <c r="H4603" s="118" t="s">
        <v>3438</v>
      </c>
      <c r="I4603" s="118" t="s">
        <v>6825</v>
      </c>
      <c r="J4603" s="118" t="s">
        <v>3694</v>
      </c>
      <c r="K4603" s="141"/>
      <c r="L4603" s="135" t="str">
        <f t="shared" si="255"/>
        <v>Marmota olympus</v>
      </c>
      <c r="M4603" s="133">
        <f t="shared" si="258"/>
        <v>3.7993400000000004</v>
      </c>
      <c r="N4603" s="133">
        <v>6299.9920294741987</v>
      </c>
      <c r="O4603" s="179" t="s">
        <v>3356</v>
      </c>
      <c r="P4603" s="117">
        <v>66</v>
      </c>
    </row>
    <row r="4604" spans="1:17" ht="15" customHeight="1">
      <c r="A4604" s="118" t="s">
        <v>3816</v>
      </c>
      <c r="B4604" s="166"/>
      <c r="C4604" s="118" t="s">
        <v>3817</v>
      </c>
      <c r="D4604" s="141"/>
      <c r="E4604" s="118"/>
      <c r="F4604" s="118"/>
      <c r="G4604" s="118" t="s">
        <v>3618</v>
      </c>
      <c r="H4604" s="118" t="s">
        <v>3438</v>
      </c>
      <c r="I4604" s="118" t="s">
        <v>6825</v>
      </c>
      <c r="J4604" s="118" t="s">
        <v>4320</v>
      </c>
      <c r="K4604" s="141"/>
      <c r="L4604" s="135" t="str">
        <f t="shared" si="255"/>
        <v>Marmota vancouverensis</v>
      </c>
      <c r="M4604" s="133">
        <f t="shared" si="258"/>
        <v>3.7993400000000004</v>
      </c>
      <c r="N4604" s="133">
        <v>6299.9920294741987</v>
      </c>
      <c r="O4604" s="179" t="s">
        <v>6831</v>
      </c>
      <c r="P4604" s="117">
        <v>66</v>
      </c>
      <c r="Q4604" s="90" t="s">
        <v>6640</v>
      </c>
    </row>
    <row r="4605" spans="1:17">
      <c r="A4605" s="118" t="s">
        <v>3816</v>
      </c>
      <c r="B4605" s="166"/>
      <c r="C4605" s="118" t="s">
        <v>3817</v>
      </c>
      <c r="D4605" s="141"/>
      <c r="E4605" s="118"/>
      <c r="F4605" s="118"/>
      <c r="G4605" s="118" t="s">
        <v>3618</v>
      </c>
      <c r="H4605" s="118" t="s">
        <v>3438</v>
      </c>
      <c r="I4605" s="118" t="s">
        <v>6825</v>
      </c>
      <c r="J4605" s="118" t="s">
        <v>3466</v>
      </c>
      <c r="K4605" s="141"/>
      <c r="L4605" s="135" t="str">
        <f t="shared" si="255"/>
        <v>Marmota caligata</v>
      </c>
      <c r="M4605" s="133">
        <f t="shared" si="258"/>
        <v>3.8591400000000009</v>
      </c>
      <c r="N4605" s="133">
        <v>7230.0283461687695</v>
      </c>
      <c r="O4605" s="179" t="s">
        <v>3356</v>
      </c>
      <c r="P4605" s="108">
        <v>60</v>
      </c>
    </row>
    <row r="4606" spans="1:17">
      <c r="A4606" s="121" t="s">
        <v>3816</v>
      </c>
      <c r="B4606" s="166"/>
      <c r="C4606" s="118" t="s">
        <v>3817</v>
      </c>
      <c r="D4606" s="141"/>
      <c r="E4606" s="118"/>
      <c r="F4606" s="118"/>
      <c r="G4606" s="118" t="s">
        <v>3618</v>
      </c>
      <c r="H4606" s="118" t="s">
        <v>3438</v>
      </c>
      <c r="I4606" s="118" t="s">
        <v>3468</v>
      </c>
      <c r="J4606" s="118" t="s">
        <v>6568</v>
      </c>
      <c r="K4606" s="141"/>
      <c r="L4606" s="135" t="str">
        <f t="shared" si="255"/>
        <v>Sciurus deppei</v>
      </c>
      <c r="M4606" s="133">
        <f t="shared" si="258"/>
        <v>2.2787500000000001</v>
      </c>
      <c r="N4606" s="133">
        <v>189.99842462147336</v>
      </c>
      <c r="O4606" s="179" t="s">
        <v>3356</v>
      </c>
      <c r="P4606" s="108">
        <v>60</v>
      </c>
    </row>
    <row r="4607" spans="1:17" ht="15" customHeight="1">
      <c r="A4607" s="118" t="s">
        <v>3816</v>
      </c>
      <c r="B4607" s="165" t="s">
        <v>7558</v>
      </c>
      <c r="C4607" s="118" t="s">
        <v>3817</v>
      </c>
      <c r="D4607" s="141"/>
      <c r="E4607" s="118"/>
      <c r="F4607" s="118"/>
      <c r="G4607" s="118" t="s">
        <v>3618</v>
      </c>
      <c r="H4607" s="118" t="s">
        <v>3438</v>
      </c>
      <c r="I4607" s="118" t="s">
        <v>3468</v>
      </c>
      <c r="J4607" s="118" t="s">
        <v>6243</v>
      </c>
      <c r="K4607" s="141"/>
      <c r="L4607" s="135" t="str">
        <f t="shared" si="255"/>
        <v>Sciurus richmondi</v>
      </c>
      <c r="M4607" s="133">
        <f t="shared" si="258"/>
        <v>2.3117538610557542</v>
      </c>
      <c r="N4607" s="133">
        <f>AVERAGE(191, 219)</f>
        <v>205</v>
      </c>
      <c r="O4607" s="179" t="s">
        <v>6882</v>
      </c>
      <c r="P4607" s="108">
        <v>73</v>
      </c>
      <c r="Q4607" s="90" t="s">
        <v>6642</v>
      </c>
    </row>
    <row r="4608" spans="1:17" ht="15" customHeight="1">
      <c r="A4608" s="118" t="s">
        <v>3816</v>
      </c>
      <c r="B4608" s="166"/>
      <c r="C4608" s="118" t="s">
        <v>3817</v>
      </c>
      <c r="D4608" s="141"/>
      <c r="E4608" s="118"/>
      <c r="F4608" s="118"/>
      <c r="G4608" s="118" t="s">
        <v>3618</v>
      </c>
      <c r="H4608" s="118" t="s">
        <v>3438</v>
      </c>
      <c r="I4608" s="118" t="s">
        <v>3468</v>
      </c>
      <c r="J4608" s="118" t="s">
        <v>4385</v>
      </c>
      <c r="K4608" s="141"/>
      <c r="L4608" s="135" t="str">
        <f t="shared" si="255"/>
        <v>Sciurus yucatanensis</v>
      </c>
      <c r="M4608" s="133">
        <f t="shared" si="258"/>
        <v>2.3521800000000006</v>
      </c>
      <c r="N4608" s="133">
        <v>224.9986954165031</v>
      </c>
      <c r="O4608" s="179" t="s">
        <v>3356</v>
      </c>
      <c r="P4608" s="108">
        <v>66</v>
      </c>
    </row>
    <row r="4609" spans="1:17">
      <c r="A4609" s="118" t="s">
        <v>3816</v>
      </c>
      <c r="B4609" s="166"/>
      <c r="C4609" s="118" t="s">
        <v>3817</v>
      </c>
      <c r="D4609" s="141"/>
      <c r="E4609" s="118"/>
      <c r="F4609" s="118"/>
      <c r="G4609" s="118" t="s">
        <v>3618</v>
      </c>
      <c r="H4609" s="118" t="s">
        <v>3438</v>
      </c>
      <c r="I4609" s="118" t="s">
        <v>3468</v>
      </c>
      <c r="J4609" s="118" t="s">
        <v>7990</v>
      </c>
      <c r="K4609" s="141"/>
      <c r="L4609" s="135" t="str">
        <f t="shared" si="255"/>
        <v>Sciurus granatensis</v>
      </c>
      <c r="M4609" s="133">
        <f t="shared" si="258"/>
        <v>2.3979400000000002</v>
      </c>
      <c r="N4609" s="133">
        <v>249.99999500797404</v>
      </c>
      <c r="O4609" s="179" t="s">
        <v>3356</v>
      </c>
      <c r="P4609" s="108">
        <v>60</v>
      </c>
      <c r="Q4609" s="91"/>
    </row>
    <row r="4610" spans="1:17">
      <c r="A4610" s="118" t="s">
        <v>3816</v>
      </c>
      <c r="B4610" s="166"/>
      <c r="C4610" s="118" t="s">
        <v>3817</v>
      </c>
      <c r="D4610" s="141"/>
      <c r="E4610" s="118"/>
      <c r="F4610" s="118"/>
      <c r="G4610" s="118" t="s">
        <v>3618</v>
      </c>
      <c r="H4610" s="118" t="s">
        <v>3438</v>
      </c>
      <c r="I4610" s="118" t="s">
        <v>3468</v>
      </c>
      <c r="J4610" s="118" t="s">
        <v>4087</v>
      </c>
      <c r="K4610" s="141"/>
      <c r="L4610" s="135" t="str">
        <f t="shared" si="255"/>
        <v>Sciurus alleni</v>
      </c>
      <c r="M4610" s="133">
        <f t="shared" si="258"/>
        <v>2.6379899999999998</v>
      </c>
      <c r="N4610" s="133">
        <v>434.50021931910777</v>
      </c>
      <c r="O4610" s="179" t="s">
        <v>3356</v>
      </c>
      <c r="P4610" s="108">
        <v>60</v>
      </c>
    </row>
    <row r="4611" spans="1:17" ht="15" customHeight="1">
      <c r="A4611" s="121" t="s">
        <v>3816</v>
      </c>
      <c r="B4611" s="166"/>
      <c r="C4611" s="118" t="s">
        <v>3817</v>
      </c>
      <c r="D4611" s="141"/>
      <c r="E4611" s="118"/>
      <c r="F4611" s="118"/>
      <c r="G4611" s="118" t="s">
        <v>3618</v>
      </c>
      <c r="H4611" s="118" t="s">
        <v>3438</v>
      </c>
      <c r="I4611" s="118" t="s">
        <v>3468</v>
      </c>
      <c r="J4611" s="118" t="s">
        <v>4384</v>
      </c>
      <c r="K4611" s="141"/>
      <c r="L4611" s="135" t="str">
        <f t="shared" si="255"/>
        <v>Sciurus variegatoides</v>
      </c>
      <c r="M4611" s="133">
        <f t="shared" si="258"/>
        <v>2.6857400000000005</v>
      </c>
      <c r="N4611" s="133">
        <v>484.998058413254</v>
      </c>
      <c r="O4611" s="179" t="s">
        <v>3356</v>
      </c>
      <c r="P4611" s="108">
        <v>60</v>
      </c>
    </row>
    <row r="4612" spans="1:17">
      <c r="A4612" s="121" t="s">
        <v>3816</v>
      </c>
      <c r="B4612" s="166"/>
      <c r="C4612" s="118" t="s">
        <v>3817</v>
      </c>
      <c r="D4612" s="141"/>
      <c r="E4612" s="118"/>
      <c r="F4612" s="118"/>
      <c r="G4612" s="118" t="s">
        <v>3618</v>
      </c>
      <c r="H4612" s="118" t="s">
        <v>3438</v>
      </c>
      <c r="I4612" s="118" t="s">
        <v>3468</v>
      </c>
      <c r="J4612" s="118" t="s">
        <v>4148</v>
      </c>
      <c r="K4612" s="141"/>
      <c r="L4612" s="135" t="str">
        <f t="shared" si="255"/>
        <v>Sciurus colliaei</v>
      </c>
      <c r="M4612" s="133">
        <f t="shared" si="258"/>
        <v>2.6972299999999998</v>
      </c>
      <c r="N4612" s="133">
        <v>498.00075364970525</v>
      </c>
      <c r="O4612" s="179" t="s">
        <v>3356</v>
      </c>
      <c r="P4612" s="117">
        <v>66</v>
      </c>
    </row>
    <row r="4613" spans="1:17">
      <c r="A4613" s="118" t="s">
        <v>3816</v>
      </c>
      <c r="B4613" s="166"/>
      <c r="C4613" s="118" t="s">
        <v>3817</v>
      </c>
      <c r="D4613" s="141"/>
      <c r="E4613" s="118"/>
      <c r="F4613" s="118"/>
      <c r="G4613" s="118" t="s">
        <v>3618</v>
      </c>
      <c r="H4613" s="118" t="s">
        <v>3438</v>
      </c>
      <c r="I4613" s="118" t="s">
        <v>3468</v>
      </c>
      <c r="J4613" s="118" t="s">
        <v>4106</v>
      </c>
      <c r="K4613" s="141"/>
      <c r="L4613" s="135" t="str">
        <f t="shared" ref="L4613:L4676" si="259">I4613&amp;" "&amp;J4613</f>
        <v>Sciurus carolinensis</v>
      </c>
      <c r="M4613" s="133">
        <f t="shared" si="258"/>
        <v>2.7045800000000004</v>
      </c>
      <c r="N4613" s="133">
        <v>506.50064179724302</v>
      </c>
      <c r="O4613" s="179" t="s">
        <v>3356</v>
      </c>
      <c r="P4613" s="108">
        <v>60</v>
      </c>
    </row>
    <row r="4614" spans="1:17" ht="15" customHeight="1">
      <c r="A4614" s="118" t="s">
        <v>3816</v>
      </c>
      <c r="B4614" s="166"/>
      <c r="C4614" s="118" t="s">
        <v>3817</v>
      </c>
      <c r="D4614" s="141"/>
      <c r="E4614" s="118"/>
      <c r="F4614" s="118"/>
      <c r="G4614" s="118" t="s">
        <v>3618</v>
      </c>
      <c r="H4614" s="118" t="s">
        <v>3438</v>
      </c>
      <c r="I4614" s="118" t="s">
        <v>3468</v>
      </c>
      <c r="J4614" s="118" t="s">
        <v>4324</v>
      </c>
      <c r="K4614" s="141"/>
      <c r="L4614" s="135" t="str">
        <f t="shared" si="259"/>
        <v>Sciurus aureogaster</v>
      </c>
      <c r="M4614" s="133">
        <f t="shared" si="258"/>
        <v>2.7745200000000003</v>
      </c>
      <c r="N4614" s="133">
        <v>595.00415708210733</v>
      </c>
      <c r="O4614" s="179" t="s">
        <v>3356</v>
      </c>
      <c r="P4614" s="108">
        <v>60</v>
      </c>
    </row>
    <row r="4615" spans="1:17">
      <c r="A4615" s="118" t="s">
        <v>3816</v>
      </c>
      <c r="B4615" s="166"/>
      <c r="C4615" s="118" t="s">
        <v>3817</v>
      </c>
      <c r="D4615" s="141"/>
      <c r="E4615" s="118"/>
      <c r="F4615" s="118"/>
      <c r="G4615" s="118" t="s">
        <v>3618</v>
      </c>
      <c r="H4615" s="118" t="s">
        <v>3438</v>
      </c>
      <c r="I4615" s="118" t="s">
        <v>3468</v>
      </c>
      <c r="J4615" s="118" t="s">
        <v>3469</v>
      </c>
      <c r="K4615" s="141"/>
      <c r="L4615" s="135" t="str">
        <f t="shared" si="259"/>
        <v>Sciurus aberti</v>
      </c>
      <c r="M4615" s="133">
        <f t="shared" si="258"/>
        <v>2.7951800000000002</v>
      </c>
      <c r="N4615" s="133">
        <v>623.99340551902378</v>
      </c>
      <c r="O4615" s="179" t="s">
        <v>3356</v>
      </c>
      <c r="P4615" s="108">
        <v>60</v>
      </c>
    </row>
    <row r="4616" spans="1:17">
      <c r="A4616" s="118" t="s">
        <v>3816</v>
      </c>
      <c r="B4616" s="166"/>
      <c r="C4616" s="118" t="s">
        <v>3817</v>
      </c>
      <c r="D4616" s="141"/>
      <c r="E4616" s="118"/>
      <c r="F4616" s="118"/>
      <c r="G4616" s="118" t="s">
        <v>3618</v>
      </c>
      <c r="H4616" s="118" t="s">
        <v>3438</v>
      </c>
      <c r="I4616" s="118" t="s">
        <v>3468</v>
      </c>
      <c r="J4616" s="118" t="s">
        <v>3695</v>
      </c>
      <c r="K4616" s="141"/>
      <c r="L4616" s="135" t="str">
        <f t="shared" si="259"/>
        <v>Sciurus arizonensis</v>
      </c>
      <c r="M4616" s="133">
        <f t="shared" si="258"/>
        <v>2.8109000000000006</v>
      </c>
      <c r="N4616" s="133">
        <v>646.99362280868195</v>
      </c>
      <c r="O4616" s="179" t="s">
        <v>6641</v>
      </c>
      <c r="P4616" s="108">
        <v>60</v>
      </c>
      <c r="Q4616" s="90" t="s">
        <v>6642</v>
      </c>
    </row>
    <row r="4617" spans="1:17">
      <c r="A4617" s="118" t="s">
        <v>3816</v>
      </c>
      <c r="B4617" s="166"/>
      <c r="C4617" s="118" t="s">
        <v>3817</v>
      </c>
      <c r="D4617" s="141"/>
      <c r="E4617" s="118"/>
      <c r="F4617" s="118"/>
      <c r="G4617" s="118" t="s">
        <v>3618</v>
      </c>
      <c r="H4617" s="118" t="s">
        <v>3438</v>
      </c>
      <c r="I4617" s="118" t="s">
        <v>3468</v>
      </c>
      <c r="J4617" s="118" t="s">
        <v>3879</v>
      </c>
      <c r="K4617" s="141"/>
      <c r="L4617" s="135" t="str">
        <f t="shared" si="259"/>
        <v>Sciurus oculatus</v>
      </c>
      <c r="M4617" s="133">
        <f t="shared" si="258"/>
        <v>2.8129100000000005</v>
      </c>
      <c r="N4617" s="133">
        <v>649.99497619814383</v>
      </c>
      <c r="O4617" s="182" t="s">
        <v>3356</v>
      </c>
      <c r="P4617" s="108">
        <v>60</v>
      </c>
    </row>
    <row r="4618" spans="1:17">
      <c r="A4618" s="118" t="s">
        <v>3816</v>
      </c>
      <c r="B4618" s="166"/>
      <c r="C4618" s="118" t="s">
        <v>3817</v>
      </c>
      <c r="D4618" s="141"/>
      <c r="E4618" s="118"/>
      <c r="F4618" s="118"/>
      <c r="G4618" s="118" t="s">
        <v>3618</v>
      </c>
      <c r="H4618" s="118" t="s">
        <v>3438</v>
      </c>
      <c r="I4618" s="118" t="s">
        <v>3468</v>
      </c>
      <c r="J4618" s="118" t="s">
        <v>6569</v>
      </c>
      <c r="K4618" s="141"/>
      <c r="L4618" s="135" t="str">
        <f t="shared" si="259"/>
        <v>Sciurus nayaritensis</v>
      </c>
      <c r="M4618" s="133">
        <f t="shared" si="258"/>
        <v>2.8432300000000006</v>
      </c>
      <c r="N4618" s="133">
        <v>696.99554143973774</v>
      </c>
      <c r="O4618" s="179" t="s">
        <v>3356</v>
      </c>
      <c r="P4618" s="108">
        <v>60</v>
      </c>
    </row>
    <row r="4619" spans="1:17">
      <c r="A4619" s="118" t="s">
        <v>3816</v>
      </c>
      <c r="B4619" s="166"/>
      <c r="C4619" s="118" t="s">
        <v>3817</v>
      </c>
      <c r="D4619" s="141"/>
      <c r="E4619" s="118"/>
      <c r="F4619" s="118"/>
      <c r="G4619" s="118" t="s">
        <v>3618</v>
      </c>
      <c r="H4619" s="118" t="s">
        <v>3438</v>
      </c>
      <c r="I4619" s="118" t="s">
        <v>3468</v>
      </c>
      <c r="J4619" s="118" t="s">
        <v>2210</v>
      </c>
      <c r="K4619" s="141"/>
      <c r="L4619" s="135" t="str">
        <f t="shared" si="259"/>
        <v>Sciurus griseus</v>
      </c>
      <c r="M4619" s="133">
        <f t="shared" si="258"/>
        <v>2.8639200000000002</v>
      </c>
      <c r="N4619" s="133">
        <v>731.00441509085294</v>
      </c>
      <c r="O4619" s="179" t="s">
        <v>3356</v>
      </c>
      <c r="P4619" s="108">
        <v>60</v>
      </c>
    </row>
    <row r="4620" spans="1:17">
      <c r="A4620" s="118" t="s">
        <v>3816</v>
      </c>
      <c r="B4620" s="166"/>
      <c r="C4620" s="118" t="s">
        <v>3817</v>
      </c>
      <c r="D4620" s="141"/>
      <c r="E4620" s="118"/>
      <c r="F4620" s="118"/>
      <c r="G4620" s="118" t="s">
        <v>3618</v>
      </c>
      <c r="H4620" s="118" t="s">
        <v>3438</v>
      </c>
      <c r="I4620" s="118" t="s">
        <v>3468</v>
      </c>
      <c r="J4620" s="118" t="s">
        <v>3837</v>
      </c>
      <c r="K4620" s="141"/>
      <c r="L4620" s="135" t="str">
        <f t="shared" si="259"/>
        <v>Sciurus niger</v>
      </c>
      <c r="M4620" s="133">
        <f t="shared" si="258"/>
        <v>2.8819000000000004</v>
      </c>
      <c r="N4620" s="133">
        <v>761.90355504937133</v>
      </c>
      <c r="O4620" s="179" t="s">
        <v>3356</v>
      </c>
      <c r="P4620" s="108">
        <v>60</v>
      </c>
    </row>
    <row r="4621" spans="1:17" ht="25.5">
      <c r="A4621" s="118" t="s">
        <v>3816</v>
      </c>
      <c r="B4621" s="165" t="s">
        <v>7635</v>
      </c>
      <c r="C4621" s="118" t="s">
        <v>3817</v>
      </c>
      <c r="D4621" s="141"/>
      <c r="E4621" s="118"/>
      <c r="F4621" s="118"/>
      <c r="G4621" s="118" t="s">
        <v>3618</v>
      </c>
      <c r="H4621" s="118" t="s">
        <v>3438</v>
      </c>
      <c r="I4621" s="118" t="s">
        <v>2933</v>
      </c>
      <c r="J4621" s="118" t="s">
        <v>6247</v>
      </c>
      <c r="K4621" s="141"/>
      <c r="L4621" s="135" t="str">
        <f t="shared" si="259"/>
        <v>Spermophilus canus</v>
      </c>
      <c r="M4621" s="133">
        <v>-999</v>
      </c>
      <c r="N4621" s="133">
        <v>-999</v>
      </c>
      <c r="O4621" s="179" t="s">
        <v>3356</v>
      </c>
      <c r="P4621" s="108">
        <v>-999</v>
      </c>
      <c r="Q4621" s="80"/>
    </row>
    <row r="4622" spans="1:17">
      <c r="A4622" s="118" t="s">
        <v>3816</v>
      </c>
      <c r="B4622" s="166"/>
      <c r="C4622" s="118" t="s">
        <v>3817</v>
      </c>
      <c r="D4622" s="141"/>
      <c r="E4622" s="118"/>
      <c r="F4622" s="118"/>
      <c r="G4622" s="118" t="s">
        <v>3618</v>
      </c>
      <c r="H4622" s="118" t="s">
        <v>3438</v>
      </c>
      <c r="I4622" s="118" t="s">
        <v>2933</v>
      </c>
      <c r="J4622" s="118" t="s">
        <v>3086</v>
      </c>
      <c r="K4622" s="141"/>
      <c r="L4622" s="135" t="str">
        <f t="shared" si="259"/>
        <v>Spermophilus spilosoma</v>
      </c>
      <c r="M4622" s="133">
        <f t="shared" ref="M4622:M4653" si="260">LOG(N4622)</f>
        <v>1.9493900000000002</v>
      </c>
      <c r="N4622" s="133">
        <v>88.99999863825758</v>
      </c>
      <c r="O4622" s="179" t="s">
        <v>3356</v>
      </c>
      <c r="P4622" s="108">
        <v>60</v>
      </c>
    </row>
    <row r="4623" spans="1:17">
      <c r="A4623" s="118" t="s">
        <v>3816</v>
      </c>
      <c r="B4623" s="166"/>
      <c r="C4623" s="118" t="s">
        <v>3817</v>
      </c>
      <c r="D4623" s="141"/>
      <c r="E4623" s="118"/>
      <c r="F4623" s="118"/>
      <c r="G4623" s="118" t="s">
        <v>3618</v>
      </c>
      <c r="H4623" s="118" t="s">
        <v>3438</v>
      </c>
      <c r="I4623" s="118" t="s">
        <v>2933</v>
      </c>
      <c r="J4623" s="118" t="s">
        <v>2934</v>
      </c>
      <c r="K4623" s="141"/>
      <c r="L4623" s="135" t="str">
        <f t="shared" si="259"/>
        <v>Spermophilus adocetus</v>
      </c>
      <c r="M4623" s="133">
        <f t="shared" si="260"/>
        <v>2.0969099999999998</v>
      </c>
      <c r="N4623" s="133">
        <v>124.99999625598045</v>
      </c>
      <c r="O4623" s="179" t="s">
        <v>3356</v>
      </c>
      <c r="P4623" s="117">
        <v>66</v>
      </c>
    </row>
    <row r="4624" spans="1:17">
      <c r="A4624" s="118" t="s">
        <v>3816</v>
      </c>
      <c r="B4624" s="166"/>
      <c r="C4624" s="118" t="s">
        <v>3817</v>
      </c>
      <c r="D4624" s="141"/>
      <c r="E4624" s="118"/>
      <c r="F4624" s="118"/>
      <c r="G4624" s="118" t="s">
        <v>3618</v>
      </c>
      <c r="H4624" s="118" t="s">
        <v>3438</v>
      </c>
      <c r="I4624" s="118" t="s">
        <v>2933</v>
      </c>
      <c r="J4624" s="118" t="s">
        <v>3088</v>
      </c>
      <c r="K4624" s="141"/>
      <c r="L4624" s="135" t="str">
        <f t="shared" si="259"/>
        <v>Spermophilus tridecemlineatus</v>
      </c>
      <c r="M4624" s="133">
        <f t="shared" si="260"/>
        <v>2.1194799999999998</v>
      </c>
      <c r="N4624" s="133">
        <v>131.66792760039542</v>
      </c>
      <c r="O4624" s="179" t="s">
        <v>3356</v>
      </c>
      <c r="P4624" s="108">
        <v>60</v>
      </c>
    </row>
    <row r="4625" spans="1:17" ht="15" customHeight="1">
      <c r="A4625" s="118" t="s">
        <v>3816</v>
      </c>
      <c r="B4625" s="166"/>
      <c r="C4625" s="118" t="s">
        <v>3817</v>
      </c>
      <c r="D4625" s="141"/>
      <c r="E4625" s="118"/>
      <c r="F4625" s="118"/>
      <c r="G4625" s="118" t="s">
        <v>3618</v>
      </c>
      <c r="H4625" s="118" t="s">
        <v>3438</v>
      </c>
      <c r="I4625" s="118" t="s">
        <v>2933</v>
      </c>
      <c r="J4625" s="118" t="s">
        <v>6397</v>
      </c>
      <c r="K4625" s="141"/>
      <c r="L4625" s="135" t="str">
        <f t="shared" si="259"/>
        <v>Spermophilus perotensis</v>
      </c>
      <c r="M4625" s="133">
        <f t="shared" si="260"/>
        <v>2.1461299999999999</v>
      </c>
      <c r="N4625" s="133">
        <v>140.000633223953</v>
      </c>
      <c r="O4625" s="179" t="s">
        <v>6882</v>
      </c>
      <c r="P4625" s="117">
        <v>66</v>
      </c>
      <c r="Q4625" s="90" t="s">
        <v>6642</v>
      </c>
    </row>
    <row r="4626" spans="1:17">
      <c r="A4626" s="118" t="s">
        <v>3816</v>
      </c>
      <c r="B4626" s="166"/>
      <c r="C4626" s="118" t="s">
        <v>3817</v>
      </c>
      <c r="D4626" s="141"/>
      <c r="E4626" s="118"/>
      <c r="F4626" s="118"/>
      <c r="G4626" s="118" t="s">
        <v>3618</v>
      </c>
      <c r="H4626" s="118" t="s">
        <v>3438</v>
      </c>
      <c r="I4626" s="118" t="s">
        <v>2933</v>
      </c>
      <c r="J4626" s="118" t="s">
        <v>3087</v>
      </c>
      <c r="K4626" s="141"/>
      <c r="L4626" s="135" t="str">
        <f t="shared" si="259"/>
        <v>Spermophilus tereticaudus</v>
      </c>
      <c r="M4626" s="133">
        <f t="shared" si="260"/>
        <v>2.1945100000000006</v>
      </c>
      <c r="N4626" s="133">
        <v>156.4984353906446</v>
      </c>
      <c r="O4626" s="179" t="s">
        <v>3356</v>
      </c>
      <c r="P4626" s="108">
        <v>60</v>
      </c>
    </row>
    <row r="4627" spans="1:17">
      <c r="A4627" s="118" t="s">
        <v>3816</v>
      </c>
      <c r="B4627" s="166"/>
      <c r="C4627" s="118" t="s">
        <v>3817</v>
      </c>
      <c r="D4627" s="141"/>
      <c r="E4627" s="118"/>
      <c r="F4627" s="118"/>
      <c r="G4627" s="118" t="s">
        <v>3618</v>
      </c>
      <c r="H4627" s="118" t="s">
        <v>3438</v>
      </c>
      <c r="I4627" s="118" t="s">
        <v>2933</v>
      </c>
      <c r="J4627" s="118" t="s">
        <v>6675</v>
      </c>
      <c r="K4627" s="141"/>
      <c r="L4627" s="135" t="str">
        <f t="shared" si="259"/>
        <v>Spermophilus mollis</v>
      </c>
      <c r="M4627" s="133">
        <f t="shared" si="260"/>
        <v>2.2185355052165279</v>
      </c>
      <c r="N4627" s="133">
        <v>165.4</v>
      </c>
      <c r="O4627" s="179" t="s">
        <v>6736</v>
      </c>
      <c r="P4627" s="108">
        <v>68</v>
      </c>
    </row>
    <row r="4628" spans="1:17">
      <c r="A4628" s="121" t="s">
        <v>3816</v>
      </c>
      <c r="B4628" s="166"/>
      <c r="C4628" s="118" t="s">
        <v>3817</v>
      </c>
      <c r="D4628" s="141"/>
      <c r="E4628" s="118"/>
      <c r="F4628" s="118"/>
      <c r="G4628" s="118" t="s">
        <v>3618</v>
      </c>
      <c r="H4628" s="118" t="s">
        <v>3438</v>
      </c>
      <c r="I4628" s="118" t="s">
        <v>2933</v>
      </c>
      <c r="J4628" s="118" t="s">
        <v>4014</v>
      </c>
      <c r="K4628" s="141"/>
      <c r="L4628" s="135" t="str">
        <f t="shared" si="259"/>
        <v>Spermophilus mexicanus</v>
      </c>
      <c r="M4628" s="133">
        <f t="shared" si="260"/>
        <v>2.2779200000000004</v>
      </c>
      <c r="N4628" s="133">
        <v>189.63565672464267</v>
      </c>
      <c r="O4628" s="179" t="s">
        <v>3356</v>
      </c>
      <c r="P4628" s="108">
        <v>60</v>
      </c>
    </row>
    <row r="4629" spans="1:17" ht="25.5">
      <c r="A4629" s="118" t="s">
        <v>3816</v>
      </c>
      <c r="B4629" s="166"/>
      <c r="C4629" s="118" t="s">
        <v>3817</v>
      </c>
      <c r="D4629" s="141"/>
      <c r="E4629" s="118"/>
      <c r="F4629" s="118"/>
      <c r="G4629" s="118" t="s">
        <v>3618</v>
      </c>
      <c r="H4629" s="118" t="s">
        <v>3438</v>
      </c>
      <c r="I4629" s="118" t="s">
        <v>2933</v>
      </c>
      <c r="J4629" s="118" t="s">
        <v>5517</v>
      </c>
      <c r="K4629" s="141"/>
      <c r="L4629" s="135" t="str">
        <f t="shared" si="259"/>
        <v>Spermophilus mohavensis</v>
      </c>
      <c r="M4629" s="133">
        <f t="shared" si="260"/>
        <v>2.2787536009528289</v>
      </c>
      <c r="N4629" s="133">
        <v>190</v>
      </c>
      <c r="O4629" s="179" t="s">
        <v>6858</v>
      </c>
      <c r="P4629" s="108">
        <v>68</v>
      </c>
      <c r="Q4629" s="90" t="s">
        <v>6988</v>
      </c>
    </row>
    <row r="4630" spans="1:17">
      <c r="A4630" s="118" t="s">
        <v>3816</v>
      </c>
      <c r="B4630" s="166"/>
      <c r="C4630" s="118" t="s">
        <v>3817</v>
      </c>
      <c r="D4630" s="141"/>
      <c r="E4630" s="118"/>
      <c r="F4630" s="118"/>
      <c r="G4630" s="118" t="s">
        <v>3618</v>
      </c>
      <c r="H4630" s="118" t="s">
        <v>3438</v>
      </c>
      <c r="I4630" s="118" t="s">
        <v>2933</v>
      </c>
      <c r="J4630" s="118" t="s">
        <v>4411</v>
      </c>
      <c r="K4630" s="141"/>
      <c r="L4630" s="135" t="str">
        <f t="shared" si="259"/>
        <v>Spermophilus lateralis</v>
      </c>
      <c r="M4630" s="133">
        <f t="shared" si="260"/>
        <v>2.2810299999999999</v>
      </c>
      <c r="N4630" s="133">
        <v>190.99851911122641</v>
      </c>
      <c r="O4630" s="179" t="s">
        <v>3356</v>
      </c>
      <c r="P4630" s="108">
        <v>60</v>
      </c>
    </row>
    <row r="4631" spans="1:17">
      <c r="A4631" s="118" t="s">
        <v>3816</v>
      </c>
      <c r="B4631" s="166"/>
      <c r="C4631" s="118" t="s">
        <v>3817</v>
      </c>
      <c r="D4631" s="141"/>
      <c r="E4631" s="118"/>
      <c r="F4631" s="118"/>
      <c r="G4631" s="118" t="s">
        <v>3618</v>
      </c>
      <c r="H4631" s="118" t="s">
        <v>3438</v>
      </c>
      <c r="I4631" s="118" t="s">
        <v>2933</v>
      </c>
      <c r="J4631" s="118" t="s">
        <v>3090</v>
      </c>
      <c r="K4631" s="141"/>
      <c r="L4631" s="135" t="str">
        <f t="shared" si="259"/>
        <v>Spermophilus washingtoni</v>
      </c>
      <c r="M4631" s="133">
        <f t="shared" si="260"/>
        <v>2.3170200000000003</v>
      </c>
      <c r="N4631" s="133">
        <v>207.50090729538317</v>
      </c>
      <c r="O4631" s="179" t="s">
        <v>7044</v>
      </c>
      <c r="P4631" s="108">
        <v>60</v>
      </c>
      <c r="Q4631" s="90" t="s">
        <v>6988</v>
      </c>
    </row>
    <row r="4632" spans="1:17">
      <c r="A4632" s="118" t="s">
        <v>3816</v>
      </c>
      <c r="B4632" s="166"/>
      <c r="C4632" s="118" t="s">
        <v>3817</v>
      </c>
      <c r="D4632" s="141"/>
      <c r="E4632" s="118"/>
      <c r="F4632" s="118"/>
      <c r="G4632" s="118" t="s">
        <v>3618</v>
      </c>
      <c r="H4632" s="118" t="s">
        <v>3438</v>
      </c>
      <c r="I4632" s="118" t="s">
        <v>2933</v>
      </c>
      <c r="J4632" s="118" t="s">
        <v>5148</v>
      </c>
      <c r="K4632" s="141"/>
      <c r="L4632" s="135" t="str">
        <f t="shared" si="259"/>
        <v>Spermophilus townsendii</v>
      </c>
      <c r="M4632" s="133">
        <f t="shared" si="260"/>
        <v>2.3283800000000001</v>
      </c>
      <c r="N4632" s="133">
        <v>213.00019449380778</v>
      </c>
      <c r="O4632" s="179" t="s">
        <v>3356</v>
      </c>
      <c r="P4632" s="108">
        <v>60</v>
      </c>
      <c r="Q4632" s="90" t="s">
        <v>6987</v>
      </c>
    </row>
    <row r="4633" spans="1:17">
      <c r="A4633" s="118" t="s">
        <v>3816</v>
      </c>
      <c r="B4633" s="166"/>
      <c r="C4633" s="118" t="s">
        <v>3817</v>
      </c>
      <c r="D4633" s="141"/>
      <c r="E4633" s="118"/>
      <c r="F4633" s="118"/>
      <c r="G4633" s="118" t="s">
        <v>3618</v>
      </c>
      <c r="H4633" s="118" t="s">
        <v>3438</v>
      </c>
      <c r="I4633" s="118" t="s">
        <v>2933</v>
      </c>
      <c r="J4633" s="118" t="s">
        <v>3085</v>
      </c>
      <c r="K4633" s="141"/>
      <c r="L4633" s="135" t="str">
        <f t="shared" si="259"/>
        <v>Spermophilus saturatus</v>
      </c>
      <c r="M4633" s="133">
        <f t="shared" si="260"/>
        <v>2.3424200000000002</v>
      </c>
      <c r="N4633" s="133">
        <v>219.99864198351676</v>
      </c>
      <c r="O4633" s="179" t="s">
        <v>3356</v>
      </c>
      <c r="P4633" s="117">
        <v>60</v>
      </c>
    </row>
    <row r="4634" spans="1:17">
      <c r="A4634" s="118" t="s">
        <v>3816</v>
      </c>
      <c r="B4634" s="166"/>
      <c r="C4634" s="118" t="s">
        <v>3817</v>
      </c>
      <c r="D4634" s="141"/>
      <c r="E4634" s="118"/>
      <c r="F4634" s="118"/>
      <c r="G4634" s="118" t="s">
        <v>3618</v>
      </c>
      <c r="H4634" s="118" t="s">
        <v>3438</v>
      </c>
      <c r="I4634" s="118" t="s">
        <v>2933</v>
      </c>
      <c r="J4634" s="118" t="s">
        <v>6219</v>
      </c>
      <c r="K4634" s="141"/>
      <c r="L4634" s="135" t="str">
        <f t="shared" si="259"/>
        <v>Spermophilus madrensis</v>
      </c>
      <c r="M4634" s="133">
        <f t="shared" si="260"/>
        <v>2.43933</v>
      </c>
      <c r="N4634" s="133">
        <v>274.99829424260366</v>
      </c>
      <c r="O4634" s="179" t="s">
        <v>6882</v>
      </c>
      <c r="P4634" s="117">
        <v>66</v>
      </c>
      <c r="Q4634" s="90" t="s">
        <v>6642</v>
      </c>
    </row>
    <row r="4635" spans="1:17">
      <c r="A4635" s="118" t="s">
        <v>3816</v>
      </c>
      <c r="B4635" s="166"/>
      <c r="C4635" s="118" t="s">
        <v>3817</v>
      </c>
      <c r="D4635" s="141"/>
      <c r="E4635" s="118"/>
      <c r="F4635" s="118"/>
      <c r="G4635" s="118" t="s">
        <v>3618</v>
      </c>
      <c r="H4635" s="118" t="s">
        <v>3438</v>
      </c>
      <c r="I4635" s="118" t="s">
        <v>2933</v>
      </c>
      <c r="J4635" s="118" t="s">
        <v>3093</v>
      </c>
      <c r="K4635" s="141"/>
      <c r="L4635" s="135" t="str">
        <f t="shared" si="259"/>
        <v>Spermophilus beldingi</v>
      </c>
      <c r="M4635" s="133">
        <f t="shared" si="260"/>
        <v>2.4479299999999999</v>
      </c>
      <c r="N4635" s="133">
        <v>280.49814919141687</v>
      </c>
      <c r="O4635" s="179" t="s">
        <v>3356</v>
      </c>
      <c r="P4635" s="108">
        <v>60</v>
      </c>
    </row>
    <row r="4636" spans="1:17" ht="25.5">
      <c r="A4636" s="118" t="s">
        <v>3816</v>
      </c>
      <c r="B4636" s="166"/>
      <c r="C4636" s="118" t="s">
        <v>3817</v>
      </c>
      <c r="D4636" s="141"/>
      <c r="E4636" s="118"/>
      <c r="F4636" s="118"/>
      <c r="G4636" s="118" t="s">
        <v>3618</v>
      </c>
      <c r="H4636" s="118" t="s">
        <v>3438</v>
      </c>
      <c r="I4636" s="118" t="s">
        <v>2933</v>
      </c>
      <c r="J4636" s="118" t="s">
        <v>4781</v>
      </c>
      <c r="K4636" s="141"/>
      <c r="L4636" s="135" t="str">
        <f t="shared" si="259"/>
        <v>Spermophilus brunneus</v>
      </c>
      <c r="M4636" s="133">
        <f t="shared" si="260"/>
        <v>2.4771200000000007</v>
      </c>
      <c r="N4636" s="133">
        <v>299.99913327161516</v>
      </c>
      <c r="O4636" s="179" t="s">
        <v>8183</v>
      </c>
      <c r="P4636" s="117">
        <v>66</v>
      </c>
      <c r="Q4636" s="90" t="s">
        <v>6640</v>
      </c>
    </row>
    <row r="4637" spans="1:17">
      <c r="A4637" s="118" t="s">
        <v>3816</v>
      </c>
      <c r="B4637" s="166"/>
      <c r="C4637" s="118" t="s">
        <v>3817</v>
      </c>
      <c r="D4637" s="141"/>
      <c r="E4637" s="118"/>
      <c r="F4637" s="118"/>
      <c r="G4637" s="118" t="s">
        <v>3618</v>
      </c>
      <c r="H4637" s="118" t="s">
        <v>3438</v>
      </c>
      <c r="I4637" s="118" t="s">
        <v>2933</v>
      </c>
      <c r="J4637" s="118" t="s">
        <v>6386</v>
      </c>
      <c r="K4637" s="141"/>
      <c r="L4637" s="135" t="str">
        <f t="shared" si="259"/>
        <v>Spermophilus armatus</v>
      </c>
      <c r="M4637" s="133">
        <f t="shared" si="260"/>
        <v>2.4955400000000001</v>
      </c>
      <c r="N4637" s="133">
        <v>312.99687390626622</v>
      </c>
      <c r="O4637" s="179" t="s">
        <v>3356</v>
      </c>
      <c r="P4637" s="108">
        <v>60</v>
      </c>
    </row>
    <row r="4638" spans="1:17">
      <c r="A4638" s="118" t="s">
        <v>3816</v>
      </c>
      <c r="B4638" s="166"/>
      <c r="C4638" s="118" t="s">
        <v>3817</v>
      </c>
      <c r="D4638" s="141"/>
      <c r="E4638" s="118"/>
      <c r="F4638" s="118"/>
      <c r="G4638" s="118" t="s">
        <v>3618</v>
      </c>
      <c r="H4638" s="118" t="s">
        <v>3438</v>
      </c>
      <c r="I4638" s="118" t="s">
        <v>2933</v>
      </c>
      <c r="J4638" s="118" t="s">
        <v>6218</v>
      </c>
      <c r="K4638" s="141"/>
      <c r="L4638" s="135" t="str">
        <f t="shared" si="259"/>
        <v>Spermophilus franklinii</v>
      </c>
      <c r="M4638" s="133">
        <f t="shared" si="260"/>
        <v>2.5599099999999999</v>
      </c>
      <c r="N4638" s="133">
        <v>363.00282093533883</v>
      </c>
      <c r="O4638" s="179" t="s">
        <v>3356</v>
      </c>
      <c r="P4638" s="108">
        <v>60</v>
      </c>
    </row>
    <row r="4639" spans="1:17">
      <c r="A4639" s="118" t="s">
        <v>3816</v>
      </c>
      <c r="B4639" s="166"/>
      <c r="C4639" s="118" t="s">
        <v>3817</v>
      </c>
      <c r="D4639" s="141"/>
      <c r="E4639" s="118"/>
      <c r="F4639" s="118"/>
      <c r="G4639" s="118" t="s">
        <v>3618</v>
      </c>
      <c r="H4639" s="121" t="s">
        <v>3438</v>
      </c>
      <c r="I4639" s="118" t="s">
        <v>2933</v>
      </c>
      <c r="J4639" s="118" t="s">
        <v>3422</v>
      </c>
      <c r="K4639" s="141"/>
      <c r="L4639" s="135" t="str">
        <f t="shared" si="259"/>
        <v>Spermophilus richardsonii</v>
      </c>
      <c r="M4639" s="133">
        <f t="shared" si="260"/>
        <v>2.6085260335771943</v>
      </c>
      <c r="N4639" s="133">
        <v>406</v>
      </c>
      <c r="O4639" s="179" t="s">
        <v>3356</v>
      </c>
      <c r="P4639" s="108">
        <v>75</v>
      </c>
    </row>
    <row r="4640" spans="1:17">
      <c r="A4640" s="118" t="s">
        <v>3816</v>
      </c>
      <c r="B4640" s="166"/>
      <c r="C4640" s="118" t="s">
        <v>3817</v>
      </c>
      <c r="D4640" s="141"/>
      <c r="E4640" s="118"/>
      <c r="F4640" s="118"/>
      <c r="G4640" s="118" t="s">
        <v>3618</v>
      </c>
      <c r="H4640" s="118" t="s">
        <v>3438</v>
      </c>
      <c r="I4640" s="118" t="s">
        <v>2933</v>
      </c>
      <c r="J4640" s="118" t="s">
        <v>2076</v>
      </c>
      <c r="K4640" s="141"/>
      <c r="L4640" s="135" t="str">
        <f t="shared" si="259"/>
        <v>Spermophilus elegans</v>
      </c>
      <c r="M4640" s="133">
        <f t="shared" si="260"/>
        <v>2.6566730458848502</v>
      </c>
      <c r="N4640" s="133">
        <v>453.6</v>
      </c>
      <c r="O4640" s="179" t="s">
        <v>6736</v>
      </c>
      <c r="P4640" s="108">
        <v>68</v>
      </c>
    </row>
    <row r="4641" spans="1:19">
      <c r="A4641" s="118" t="s">
        <v>3816</v>
      </c>
      <c r="B4641" s="166"/>
      <c r="C4641" s="118" t="s">
        <v>3817</v>
      </c>
      <c r="D4641" s="141"/>
      <c r="E4641" s="118"/>
      <c r="F4641" s="118"/>
      <c r="G4641" s="118" t="s">
        <v>3618</v>
      </c>
      <c r="H4641" s="118" t="s">
        <v>3438</v>
      </c>
      <c r="I4641" s="118" t="s">
        <v>2933</v>
      </c>
      <c r="J4641" s="118" t="s">
        <v>3094</v>
      </c>
      <c r="K4641" s="141"/>
      <c r="L4641" s="135" t="str">
        <f t="shared" si="259"/>
        <v>Spermophilus columbianus</v>
      </c>
      <c r="M4641" s="133">
        <f t="shared" si="260"/>
        <v>2.69285</v>
      </c>
      <c r="N4641" s="133">
        <v>493.00349717018258</v>
      </c>
      <c r="O4641" s="179" t="s">
        <v>3356</v>
      </c>
      <c r="P4641" s="108">
        <v>60</v>
      </c>
    </row>
    <row r="4642" spans="1:19">
      <c r="A4642" s="118" t="s">
        <v>3816</v>
      </c>
      <c r="B4642" s="166"/>
      <c r="C4642" s="118" t="s">
        <v>3817</v>
      </c>
      <c r="D4642" s="141"/>
      <c r="E4642" s="118"/>
      <c r="F4642" s="118"/>
      <c r="G4642" s="118" t="s">
        <v>3618</v>
      </c>
      <c r="H4642" s="118" t="s">
        <v>3438</v>
      </c>
      <c r="I4642" s="118" t="s">
        <v>2933</v>
      </c>
      <c r="J4642" s="118" t="s">
        <v>2935</v>
      </c>
      <c r="K4642" s="141"/>
      <c r="L4642" s="135" t="str">
        <f t="shared" si="259"/>
        <v>Spermophilus annulatus</v>
      </c>
      <c r="M4642" s="133">
        <f t="shared" si="260"/>
        <v>2.6989700000000005</v>
      </c>
      <c r="N4642" s="133">
        <v>499.99999500797441</v>
      </c>
      <c r="O4642" s="179" t="s">
        <v>3356</v>
      </c>
      <c r="P4642" s="117">
        <v>66</v>
      </c>
    </row>
    <row r="4643" spans="1:19">
      <c r="A4643" s="118" t="s">
        <v>3816</v>
      </c>
      <c r="B4643" s="166"/>
      <c r="C4643" s="118" t="s">
        <v>3817</v>
      </c>
      <c r="D4643" s="141"/>
      <c r="E4643" s="118"/>
      <c r="F4643" s="118"/>
      <c r="G4643" s="118" t="s">
        <v>3618</v>
      </c>
      <c r="H4643" s="118" t="s">
        <v>3438</v>
      </c>
      <c r="I4643" s="118" t="s">
        <v>2933</v>
      </c>
      <c r="J4643" s="118" t="s">
        <v>6390</v>
      </c>
      <c r="K4643" s="141"/>
      <c r="L4643" s="135" t="str">
        <f t="shared" si="259"/>
        <v>Spermophilus atricapillus</v>
      </c>
      <c r="M4643" s="133">
        <f t="shared" si="260"/>
        <v>2.7411500000000006</v>
      </c>
      <c r="N4643" s="133">
        <v>550.99797150148493</v>
      </c>
      <c r="O4643" s="179" t="s">
        <v>3356</v>
      </c>
      <c r="P4643" s="108">
        <v>60</v>
      </c>
    </row>
    <row r="4644" spans="1:19">
      <c r="A4644" s="118" t="s">
        <v>3816</v>
      </c>
      <c r="B4644" s="166"/>
      <c r="C4644" s="118" t="s">
        <v>3817</v>
      </c>
      <c r="D4644" s="141"/>
      <c r="E4644" s="118"/>
      <c r="F4644" s="118"/>
      <c r="G4644" s="118" t="s">
        <v>3618</v>
      </c>
      <c r="H4644" s="118" t="s">
        <v>3438</v>
      </c>
      <c r="I4644" s="118" t="s">
        <v>2933</v>
      </c>
      <c r="J4644" s="118" t="s">
        <v>3071</v>
      </c>
      <c r="K4644" s="141"/>
      <c r="L4644" s="135" t="str">
        <f t="shared" si="259"/>
        <v>Spermophilus beecheyi</v>
      </c>
      <c r="M4644" s="133">
        <f t="shared" si="260"/>
        <v>2.7623000000000006</v>
      </c>
      <c r="N4644" s="133">
        <v>578.49551996509058</v>
      </c>
      <c r="O4644" s="179" t="s">
        <v>3356</v>
      </c>
      <c r="P4644" s="108">
        <v>60</v>
      </c>
    </row>
    <row r="4645" spans="1:19">
      <c r="A4645" s="118" t="s">
        <v>3816</v>
      </c>
      <c r="B4645" s="166"/>
      <c r="C4645" s="118" t="s">
        <v>3817</v>
      </c>
      <c r="D4645" s="141"/>
      <c r="E4645" s="118"/>
      <c r="F4645" s="118"/>
      <c r="G4645" s="118" t="s">
        <v>3618</v>
      </c>
      <c r="H4645" s="118" t="s">
        <v>3438</v>
      </c>
      <c r="I4645" s="118" t="s">
        <v>2933</v>
      </c>
      <c r="J4645" s="118" t="s">
        <v>3089</v>
      </c>
      <c r="K4645" s="141"/>
      <c r="L4645" s="135" t="str">
        <f t="shared" si="259"/>
        <v>Spermophilus variegatus</v>
      </c>
      <c r="M4645" s="133">
        <f t="shared" si="260"/>
        <v>2.83988</v>
      </c>
      <c r="N4645" s="133">
        <v>691.63983736456794</v>
      </c>
      <c r="O4645" s="179" t="s">
        <v>3356</v>
      </c>
      <c r="P4645" s="108">
        <v>60</v>
      </c>
    </row>
    <row r="4646" spans="1:19">
      <c r="A4646" s="118" t="s">
        <v>3816</v>
      </c>
      <c r="B4646" s="166"/>
      <c r="C4646" s="118" t="s">
        <v>3817</v>
      </c>
      <c r="D4646" s="141"/>
      <c r="E4646" s="118"/>
      <c r="F4646" s="118"/>
      <c r="G4646" s="118" t="s">
        <v>3618</v>
      </c>
      <c r="H4646" s="118" t="s">
        <v>3438</v>
      </c>
      <c r="I4646" s="118" t="s">
        <v>2933</v>
      </c>
      <c r="J4646" s="118" t="s">
        <v>6220</v>
      </c>
      <c r="K4646" s="141"/>
      <c r="L4646" s="135" t="str">
        <f t="shared" si="259"/>
        <v>Spermophilus parryii</v>
      </c>
      <c r="M4646" s="133">
        <f t="shared" si="260"/>
        <v>2.8808100000000003</v>
      </c>
      <c r="N4646" s="133">
        <v>759.99371366152729</v>
      </c>
      <c r="O4646" s="179"/>
      <c r="P4646" s="108">
        <v>60</v>
      </c>
    </row>
    <row r="4647" spans="1:19" ht="25.5">
      <c r="A4647" s="118" t="s">
        <v>3816</v>
      </c>
      <c r="B4647" s="165" t="s">
        <v>6896</v>
      </c>
      <c r="C4647" s="118" t="s">
        <v>3817</v>
      </c>
      <c r="D4647" s="141"/>
      <c r="E4647" s="118"/>
      <c r="F4647" s="118"/>
      <c r="G4647" s="118" t="s">
        <v>3618</v>
      </c>
      <c r="H4647" s="118" t="s">
        <v>3438</v>
      </c>
      <c r="I4647" s="118" t="s">
        <v>5588</v>
      </c>
      <c r="J4647" s="118" t="s">
        <v>5589</v>
      </c>
      <c r="K4647" s="141"/>
      <c r="L4647" s="135" t="str">
        <f t="shared" si="259"/>
        <v>Syntheosciurus brochus</v>
      </c>
      <c r="M4647" s="133">
        <f t="shared" si="260"/>
        <v>2.1233284146286691</v>
      </c>
      <c r="N4647" s="133">
        <v>132.83986165333698</v>
      </c>
      <c r="O4647" s="179" t="s">
        <v>6882</v>
      </c>
      <c r="P4647" s="108" t="s">
        <v>7833</v>
      </c>
      <c r="Q4647" s="80" t="s">
        <v>6642</v>
      </c>
      <c r="R4647" s="85" t="s">
        <v>7876</v>
      </c>
      <c r="S4647" s="85">
        <f>2.725*LOG(162)-6.8976</f>
        <v>-0.87667158537133094</v>
      </c>
    </row>
    <row r="4648" spans="1:19" ht="15" customHeight="1">
      <c r="A4648" s="118" t="s">
        <v>3816</v>
      </c>
      <c r="B4648" s="166"/>
      <c r="C4648" s="118" t="s">
        <v>3817</v>
      </c>
      <c r="D4648" s="141"/>
      <c r="E4648" s="118"/>
      <c r="F4648" s="118"/>
      <c r="G4648" s="118" t="s">
        <v>3618</v>
      </c>
      <c r="H4648" s="118" t="s">
        <v>3438</v>
      </c>
      <c r="I4648" s="118" t="s">
        <v>3091</v>
      </c>
      <c r="J4648" s="118" t="s">
        <v>3092</v>
      </c>
      <c r="K4648" s="141"/>
      <c r="L4648" s="135" t="str">
        <f t="shared" si="259"/>
        <v>Tamias alpinus</v>
      </c>
      <c r="M4648" s="133">
        <f t="shared" si="260"/>
        <v>1.5628900000000001</v>
      </c>
      <c r="N4648" s="133">
        <v>36.550220389623334</v>
      </c>
      <c r="O4648" s="179" t="s">
        <v>3356</v>
      </c>
      <c r="P4648" s="108">
        <v>60</v>
      </c>
    </row>
    <row r="4649" spans="1:19" ht="15" customHeight="1">
      <c r="A4649" s="118" t="s">
        <v>3816</v>
      </c>
      <c r="B4649" s="166"/>
      <c r="C4649" s="118" t="s">
        <v>3817</v>
      </c>
      <c r="D4649" s="141"/>
      <c r="E4649" s="118"/>
      <c r="F4649" s="118"/>
      <c r="G4649" s="118" t="s">
        <v>3618</v>
      </c>
      <c r="H4649" s="118" t="s">
        <v>3438</v>
      </c>
      <c r="I4649" s="118" t="s">
        <v>3091</v>
      </c>
      <c r="J4649" s="118" t="s">
        <v>4137</v>
      </c>
      <c r="K4649" s="141"/>
      <c r="L4649" s="135" t="str">
        <f t="shared" si="259"/>
        <v>Tamias amoenus</v>
      </c>
      <c r="M4649" s="133">
        <f t="shared" si="260"/>
        <v>1.7032900000000002</v>
      </c>
      <c r="N4649" s="133">
        <v>50.499839751862218</v>
      </c>
      <c r="O4649" s="179" t="s">
        <v>3356</v>
      </c>
      <c r="P4649" s="108">
        <v>60</v>
      </c>
    </row>
    <row r="4650" spans="1:19">
      <c r="A4650" s="118" t="s">
        <v>3816</v>
      </c>
      <c r="B4650" s="166"/>
      <c r="C4650" s="118" t="s">
        <v>3817</v>
      </c>
      <c r="D4650" s="141"/>
      <c r="E4650" s="118"/>
      <c r="F4650" s="118"/>
      <c r="G4650" s="118" t="s">
        <v>3618</v>
      </c>
      <c r="H4650" s="118" t="s">
        <v>3438</v>
      </c>
      <c r="I4650" s="118" t="s">
        <v>3091</v>
      </c>
      <c r="J4650" s="118" t="s">
        <v>3008</v>
      </c>
      <c r="K4650" s="141"/>
      <c r="L4650" s="135" t="str">
        <f t="shared" si="259"/>
        <v>Tamias panamintinus</v>
      </c>
      <c r="M4650" s="133">
        <f t="shared" si="260"/>
        <v>1.7185000000000001</v>
      </c>
      <c r="N4650" s="133">
        <v>52.299796618215581</v>
      </c>
      <c r="O4650" s="179" t="s">
        <v>3356</v>
      </c>
      <c r="P4650" s="108">
        <v>60</v>
      </c>
    </row>
    <row r="4651" spans="1:19" ht="15" customHeight="1">
      <c r="A4651" s="118" t="s">
        <v>3816</v>
      </c>
      <c r="B4651" s="166" t="s">
        <v>6873</v>
      </c>
      <c r="C4651" s="118" t="s">
        <v>3817</v>
      </c>
      <c r="D4651" s="141"/>
      <c r="E4651" s="118"/>
      <c r="F4651" s="118"/>
      <c r="G4651" s="118" t="s">
        <v>3618</v>
      </c>
      <c r="H4651" s="118" t="s">
        <v>3438</v>
      </c>
      <c r="I4651" s="118" t="s">
        <v>3091</v>
      </c>
      <c r="J4651" s="118" t="s">
        <v>2329</v>
      </c>
      <c r="K4651" s="141"/>
      <c r="L4651" s="135" t="str">
        <f t="shared" si="259"/>
        <v>Tamias rufus</v>
      </c>
      <c r="M4651" s="133">
        <f t="shared" si="260"/>
        <v>1.72916478969277</v>
      </c>
      <c r="N4651" s="133">
        <f>AVERAGE(59.3, 47.9)</f>
        <v>53.599999999999994</v>
      </c>
      <c r="O4651" s="179" t="s">
        <v>3356</v>
      </c>
      <c r="P4651" s="108">
        <v>90</v>
      </c>
    </row>
    <row r="4652" spans="1:19" ht="12" customHeight="1">
      <c r="A4652" s="118" t="s">
        <v>3816</v>
      </c>
      <c r="B4652" s="166"/>
      <c r="C4652" s="118" t="s">
        <v>3817</v>
      </c>
      <c r="D4652" s="141"/>
      <c r="E4652" s="118"/>
      <c r="F4652" s="118"/>
      <c r="G4652" s="118" t="s">
        <v>3618</v>
      </c>
      <c r="H4652" s="118" t="s">
        <v>3438</v>
      </c>
      <c r="I4652" s="118" t="s">
        <v>3091</v>
      </c>
      <c r="J4652" s="118" t="s">
        <v>6216</v>
      </c>
      <c r="K4652" s="141"/>
      <c r="L4652" s="135" t="str">
        <f t="shared" si="259"/>
        <v>Tamias cinereicollis</v>
      </c>
      <c r="M4652" s="133">
        <f t="shared" si="260"/>
        <v>1.7902899999999999</v>
      </c>
      <c r="N4652" s="133">
        <v>61.700687047205726</v>
      </c>
      <c r="O4652" s="179" t="s">
        <v>3356</v>
      </c>
      <c r="P4652" s="108">
        <v>60</v>
      </c>
      <c r="R4652" s="89"/>
    </row>
    <row r="4653" spans="1:19">
      <c r="A4653" s="118" t="s">
        <v>3816</v>
      </c>
      <c r="B4653" s="166"/>
      <c r="C4653" s="118" t="s">
        <v>3817</v>
      </c>
      <c r="D4653" s="141"/>
      <c r="E4653" s="118"/>
      <c r="F4653" s="118"/>
      <c r="G4653" s="118" t="s">
        <v>3618</v>
      </c>
      <c r="H4653" s="118" t="s">
        <v>3438</v>
      </c>
      <c r="I4653" s="118" t="s">
        <v>3091</v>
      </c>
      <c r="J4653" s="118" t="s">
        <v>4666</v>
      </c>
      <c r="K4653" s="141"/>
      <c r="L4653" s="135" t="str">
        <f t="shared" si="259"/>
        <v>Tamias speciosus</v>
      </c>
      <c r="M4653" s="133">
        <f t="shared" si="260"/>
        <v>1.7923900000000001</v>
      </c>
      <c r="N4653" s="133">
        <v>61.999758807232553</v>
      </c>
      <c r="O4653" s="179" t="s">
        <v>3356</v>
      </c>
      <c r="P4653" s="108">
        <v>60</v>
      </c>
    </row>
    <row r="4654" spans="1:19">
      <c r="A4654" s="118" t="s">
        <v>3816</v>
      </c>
      <c r="B4654" s="166"/>
      <c r="C4654" s="118" t="s">
        <v>3817</v>
      </c>
      <c r="D4654" s="141"/>
      <c r="E4654" s="118"/>
      <c r="F4654" s="118"/>
      <c r="G4654" s="118" t="s">
        <v>3618</v>
      </c>
      <c r="H4654" s="118" t="s">
        <v>3438</v>
      </c>
      <c r="I4654" s="118" t="s">
        <v>3091</v>
      </c>
      <c r="J4654" s="118" t="s">
        <v>6398</v>
      </c>
      <c r="K4654" s="141"/>
      <c r="L4654" s="135" t="str">
        <f t="shared" si="259"/>
        <v>Tamias quadrivittatus</v>
      </c>
      <c r="M4654" s="133">
        <f t="shared" ref="M4654:M4671" si="261">LOG(N4654)</f>
        <v>1.7937900000000002</v>
      </c>
      <c r="N4654" s="133">
        <v>62.199944904300409</v>
      </c>
      <c r="O4654" s="179" t="s">
        <v>3356</v>
      </c>
      <c r="P4654" s="108">
        <v>60</v>
      </c>
    </row>
    <row r="4655" spans="1:19">
      <c r="A4655" s="118" t="s">
        <v>3816</v>
      </c>
      <c r="B4655" s="166"/>
      <c r="C4655" s="118" t="s">
        <v>3817</v>
      </c>
      <c r="D4655" s="141"/>
      <c r="E4655" s="118"/>
      <c r="F4655" s="118"/>
      <c r="G4655" s="118" t="s">
        <v>3618</v>
      </c>
      <c r="H4655" s="118" t="s">
        <v>3438</v>
      </c>
      <c r="I4655" s="118" t="s">
        <v>3091</v>
      </c>
      <c r="J4655" s="118" t="s">
        <v>4196</v>
      </c>
      <c r="K4655" s="141"/>
      <c r="L4655" s="135" t="str">
        <f t="shared" si="259"/>
        <v>Tamias umbrinus</v>
      </c>
      <c r="M4655" s="133">
        <f t="shared" si="261"/>
        <v>1.7993399999999999</v>
      </c>
      <c r="N4655" s="133">
        <v>62.999920294741955</v>
      </c>
      <c r="O4655" s="179" t="s">
        <v>3356</v>
      </c>
      <c r="P4655" s="108">
        <v>60</v>
      </c>
    </row>
    <row r="4656" spans="1:19">
      <c r="A4656" s="118" t="s">
        <v>3816</v>
      </c>
      <c r="B4656" s="166"/>
      <c r="C4656" s="118" t="s">
        <v>3817</v>
      </c>
      <c r="D4656" s="141"/>
      <c r="E4656" s="118"/>
      <c r="F4656" s="118"/>
      <c r="G4656" s="118" t="s">
        <v>3618</v>
      </c>
      <c r="H4656" s="118" t="s">
        <v>3438</v>
      </c>
      <c r="I4656" s="118" t="s">
        <v>3091</v>
      </c>
      <c r="J4656" s="118" t="s">
        <v>6399</v>
      </c>
      <c r="K4656" s="141"/>
      <c r="L4656" s="135" t="str">
        <f t="shared" si="259"/>
        <v>Tamias ruficaudus</v>
      </c>
      <c r="M4656" s="133">
        <f t="shared" si="261"/>
        <v>1.8325100000000001</v>
      </c>
      <c r="N4656" s="133">
        <v>68.000170244089148</v>
      </c>
      <c r="O4656" s="179" t="s">
        <v>3356</v>
      </c>
      <c r="P4656" s="108">
        <v>60</v>
      </c>
    </row>
    <row r="4657" spans="1:30" ht="25.5">
      <c r="A4657" s="118" t="s">
        <v>3816</v>
      </c>
      <c r="B4657" s="166"/>
      <c r="C4657" s="118" t="s">
        <v>3817</v>
      </c>
      <c r="D4657" s="141"/>
      <c r="E4657" s="118"/>
      <c r="F4657" s="118"/>
      <c r="G4657" s="118" t="s">
        <v>3618</v>
      </c>
      <c r="H4657" s="118" t="s">
        <v>3438</v>
      </c>
      <c r="I4657" s="118" t="s">
        <v>3091</v>
      </c>
      <c r="J4657" s="118" t="s">
        <v>6262</v>
      </c>
      <c r="K4657" s="141"/>
      <c r="L4657" s="135" t="str">
        <f t="shared" si="259"/>
        <v>Tamias palmeri</v>
      </c>
      <c r="M4657" s="133">
        <f t="shared" si="261"/>
        <v>1.8413600000000001</v>
      </c>
      <c r="N4657" s="133">
        <v>69.400084621050951</v>
      </c>
      <c r="O4657" s="179" t="s">
        <v>6769</v>
      </c>
      <c r="P4657" s="108">
        <v>60</v>
      </c>
      <c r="Q4657" s="90" t="s">
        <v>6988</v>
      </c>
    </row>
    <row r="4658" spans="1:30">
      <c r="A4658" s="118" t="s">
        <v>3816</v>
      </c>
      <c r="B4658" s="166" t="s">
        <v>6777</v>
      </c>
      <c r="C4658" s="118" t="s">
        <v>3817</v>
      </c>
      <c r="D4658" s="141"/>
      <c r="E4658" s="118"/>
      <c r="F4658" s="118"/>
      <c r="G4658" s="118" t="s">
        <v>3618</v>
      </c>
      <c r="H4658" s="118" t="s">
        <v>3438</v>
      </c>
      <c r="I4658" s="118" t="s">
        <v>3091</v>
      </c>
      <c r="J4658" s="118" t="s">
        <v>5590</v>
      </c>
      <c r="K4658" s="141"/>
      <c r="L4658" s="135" t="str">
        <f t="shared" si="259"/>
        <v>Tamias canipes</v>
      </c>
      <c r="M4658" s="133">
        <f t="shared" si="261"/>
        <v>1.8475726591421122</v>
      </c>
      <c r="N4658" s="133">
        <v>70.400000000000006</v>
      </c>
      <c r="O4658" s="179" t="s">
        <v>6961</v>
      </c>
      <c r="P4658" s="108">
        <v>86</v>
      </c>
      <c r="Q4658" s="90" t="s">
        <v>6642</v>
      </c>
    </row>
    <row r="4659" spans="1:30">
      <c r="A4659" s="118" t="s">
        <v>3816</v>
      </c>
      <c r="B4659" s="166"/>
      <c r="C4659" s="118" t="s">
        <v>3817</v>
      </c>
      <c r="D4659" s="141"/>
      <c r="E4659" s="118"/>
      <c r="F4659" s="118"/>
      <c r="G4659" s="118" t="s">
        <v>3618</v>
      </c>
      <c r="H4659" s="118" t="s">
        <v>3438</v>
      </c>
      <c r="I4659" s="118" t="s">
        <v>3091</v>
      </c>
      <c r="J4659" s="118" t="s">
        <v>3630</v>
      </c>
      <c r="K4659" s="141"/>
      <c r="L4659" s="135" t="str">
        <f t="shared" si="259"/>
        <v>Tamias dorsalis</v>
      </c>
      <c r="M4659" s="133">
        <f t="shared" si="261"/>
        <v>1.8518700000000003</v>
      </c>
      <c r="N4659" s="133">
        <v>71.100065366077317</v>
      </c>
      <c r="O4659" s="179" t="s">
        <v>3356</v>
      </c>
      <c r="P4659" s="108">
        <v>60</v>
      </c>
    </row>
    <row r="4660" spans="1:30">
      <c r="A4660" s="118" t="s">
        <v>3816</v>
      </c>
      <c r="B4660" s="166"/>
      <c r="C4660" s="118" t="s">
        <v>3817</v>
      </c>
      <c r="D4660" s="141"/>
      <c r="E4660" s="118"/>
      <c r="F4660" s="118"/>
      <c r="G4660" s="118" t="s">
        <v>3618</v>
      </c>
      <c r="H4660" s="118" t="s">
        <v>3438</v>
      </c>
      <c r="I4660" s="118" t="s">
        <v>3091</v>
      </c>
      <c r="J4660" s="118" t="s">
        <v>7543</v>
      </c>
      <c r="K4660" s="141"/>
      <c r="L4660" s="135" t="str">
        <f t="shared" si="259"/>
        <v>Tamias obscurus</v>
      </c>
      <c r="M4660" s="133">
        <f t="shared" si="261"/>
        <v>1.8633200000000003</v>
      </c>
      <c r="N4660" s="133">
        <v>72.999519247620086</v>
      </c>
      <c r="O4660" s="179" t="s">
        <v>3356</v>
      </c>
      <c r="P4660" s="108">
        <v>60</v>
      </c>
    </row>
    <row r="4661" spans="1:30">
      <c r="A4661" s="118" t="s">
        <v>3816</v>
      </c>
      <c r="B4661" s="166"/>
      <c r="C4661" s="118" t="s">
        <v>3817</v>
      </c>
      <c r="D4661" s="141"/>
      <c r="E4661" s="118"/>
      <c r="F4661" s="118"/>
      <c r="G4661" s="118" t="s">
        <v>3618</v>
      </c>
      <c r="H4661" s="118" t="s">
        <v>3438</v>
      </c>
      <c r="I4661" s="118" t="s">
        <v>3091</v>
      </c>
      <c r="J4661" s="118" t="s">
        <v>5148</v>
      </c>
      <c r="K4661" s="141"/>
      <c r="L4661" s="135" t="str">
        <f t="shared" si="259"/>
        <v>Tamias townsendii</v>
      </c>
      <c r="M4661" s="133">
        <f t="shared" si="261"/>
        <v>1.8737600000000003</v>
      </c>
      <c r="N4661" s="133">
        <v>74.775616098626713</v>
      </c>
      <c r="O4661" s="179" t="s">
        <v>3356</v>
      </c>
      <c r="P4661" s="108">
        <v>60</v>
      </c>
      <c r="W4661"/>
      <c r="X4661"/>
      <c r="Y4661"/>
      <c r="Z4661"/>
      <c r="AA4661"/>
      <c r="AB4661"/>
      <c r="AC4661"/>
      <c r="AD4661"/>
    </row>
    <row r="4662" spans="1:30">
      <c r="A4662" s="118" t="s">
        <v>3816</v>
      </c>
      <c r="B4662" s="166"/>
      <c r="C4662" s="118" t="s">
        <v>3817</v>
      </c>
      <c r="D4662" s="141"/>
      <c r="E4662" s="118"/>
      <c r="F4662" s="118"/>
      <c r="G4662" s="118" t="s">
        <v>3618</v>
      </c>
      <c r="H4662" s="118" t="s">
        <v>3438</v>
      </c>
      <c r="I4662" s="118" t="s">
        <v>3091</v>
      </c>
      <c r="J4662" s="118" t="s">
        <v>2222</v>
      </c>
      <c r="K4662" s="141"/>
      <c r="L4662" s="135" t="str">
        <f t="shared" si="259"/>
        <v>Tamias merriami</v>
      </c>
      <c r="M4662" s="133">
        <f t="shared" si="261"/>
        <v>1.8739000000000001</v>
      </c>
      <c r="N4662" s="133">
        <v>74.799724794933354</v>
      </c>
      <c r="O4662" s="179" t="s">
        <v>3356</v>
      </c>
      <c r="P4662" s="108">
        <v>60</v>
      </c>
    </row>
    <row r="4663" spans="1:30">
      <c r="A4663" s="118" t="s">
        <v>3816</v>
      </c>
      <c r="B4663" s="166"/>
      <c r="C4663" s="118" t="s">
        <v>3817</v>
      </c>
      <c r="D4663" s="141"/>
      <c r="E4663" s="118"/>
      <c r="F4663" s="118"/>
      <c r="G4663" s="118" t="s">
        <v>3618</v>
      </c>
      <c r="H4663" s="118" t="s">
        <v>3438</v>
      </c>
      <c r="I4663" s="118" t="s">
        <v>3091</v>
      </c>
      <c r="J4663" s="118" t="s">
        <v>6404</v>
      </c>
      <c r="K4663" s="141"/>
      <c r="L4663" s="135" t="str">
        <f t="shared" si="259"/>
        <v>Tamias siskiyou</v>
      </c>
      <c r="M4663" s="133">
        <f t="shared" si="261"/>
        <v>1.8750599999999999</v>
      </c>
      <c r="N4663" s="133">
        <v>74.9997818203002</v>
      </c>
      <c r="O4663" s="179" t="s">
        <v>3356</v>
      </c>
      <c r="P4663" s="117">
        <v>66</v>
      </c>
    </row>
    <row r="4664" spans="1:30">
      <c r="A4664" s="118" t="s">
        <v>3816</v>
      </c>
      <c r="B4664" s="166"/>
      <c r="C4664" s="118" t="s">
        <v>3817</v>
      </c>
      <c r="D4664" s="141"/>
      <c r="E4664" s="118"/>
      <c r="F4664" s="118"/>
      <c r="G4664" s="118" t="s">
        <v>3618</v>
      </c>
      <c r="H4664" s="118" t="s">
        <v>3438</v>
      </c>
      <c r="I4664" s="118" t="s">
        <v>3091</v>
      </c>
      <c r="J4664" s="118" t="s">
        <v>7928</v>
      </c>
      <c r="K4664" s="141"/>
      <c r="L4664" s="135" t="str">
        <f t="shared" si="259"/>
        <v>Tamias sonomae</v>
      </c>
      <c r="M4664" s="133">
        <f t="shared" si="261"/>
        <v>1.8750599999999999</v>
      </c>
      <c r="N4664" s="133">
        <v>74.9997818203002</v>
      </c>
      <c r="O4664" s="179" t="s">
        <v>3356</v>
      </c>
      <c r="P4664" s="117">
        <v>66</v>
      </c>
    </row>
    <row r="4665" spans="1:30">
      <c r="A4665" s="118" t="s">
        <v>3816</v>
      </c>
      <c r="B4665" s="166"/>
      <c r="C4665" s="118" t="s">
        <v>3817</v>
      </c>
      <c r="D4665" s="141"/>
      <c r="E4665" s="118"/>
      <c r="F4665" s="118"/>
      <c r="G4665" s="118" t="s">
        <v>3618</v>
      </c>
      <c r="H4665" s="118" t="s">
        <v>3438</v>
      </c>
      <c r="I4665" s="118" t="s">
        <v>3091</v>
      </c>
      <c r="J4665" s="118" t="s">
        <v>6217</v>
      </c>
      <c r="K4665" s="141"/>
      <c r="L4665" s="135" t="str">
        <f t="shared" si="259"/>
        <v>Tamias durangae</v>
      </c>
      <c r="M4665" s="133">
        <f t="shared" si="261"/>
        <v>1.9294199999999999</v>
      </c>
      <c r="N4665" s="133">
        <v>85.000210259171723</v>
      </c>
      <c r="O4665" s="179" t="s">
        <v>3356</v>
      </c>
      <c r="P4665" s="117">
        <v>66</v>
      </c>
    </row>
    <row r="4666" spans="1:30">
      <c r="A4666" s="121" t="s">
        <v>3816</v>
      </c>
      <c r="B4666" s="166"/>
      <c r="C4666" s="118" t="s">
        <v>3817</v>
      </c>
      <c r="D4666" s="141"/>
      <c r="E4666" s="118"/>
      <c r="F4666" s="118"/>
      <c r="G4666" s="118" t="s">
        <v>3618</v>
      </c>
      <c r="H4666" s="118" t="s">
        <v>3438</v>
      </c>
      <c r="I4666" s="118" t="s">
        <v>3091</v>
      </c>
      <c r="J4666" s="118" t="s">
        <v>6389</v>
      </c>
      <c r="K4666" s="141"/>
      <c r="L4666" s="135" t="str">
        <f t="shared" si="259"/>
        <v>Tamias quadrimaculatus</v>
      </c>
      <c r="M4666" s="133">
        <f t="shared" si="261"/>
        <v>1.9306900000000002</v>
      </c>
      <c r="N4666" s="133">
        <v>85.249138726077106</v>
      </c>
      <c r="O4666" s="179" t="s">
        <v>3356</v>
      </c>
      <c r="P4666" s="117">
        <v>66</v>
      </c>
    </row>
    <row r="4667" spans="1:30">
      <c r="A4667" s="118" t="s">
        <v>3816</v>
      </c>
      <c r="B4667" s="166"/>
      <c r="C4667" s="118" t="s">
        <v>3817</v>
      </c>
      <c r="D4667" s="141"/>
      <c r="E4667" s="118"/>
      <c r="F4667" s="118"/>
      <c r="G4667" s="118" t="s">
        <v>3618</v>
      </c>
      <c r="H4667" s="118" t="s">
        <v>3438</v>
      </c>
      <c r="I4667" s="118" t="s">
        <v>3091</v>
      </c>
      <c r="J4667" s="118" t="s">
        <v>6403</v>
      </c>
      <c r="K4667" s="141"/>
      <c r="L4667" s="135" t="str">
        <f t="shared" si="259"/>
        <v>Tamias senex</v>
      </c>
      <c r="M4667" s="133">
        <f t="shared" si="261"/>
        <v>1.9510900000000002</v>
      </c>
      <c r="N4667" s="133">
        <v>89.349062498642041</v>
      </c>
      <c r="O4667" s="179" t="s">
        <v>3356</v>
      </c>
      <c r="P4667" s="108">
        <v>60</v>
      </c>
    </row>
    <row r="4668" spans="1:30">
      <c r="A4668" s="118" t="s">
        <v>3816</v>
      </c>
      <c r="B4668" s="166"/>
      <c r="C4668" s="118" t="s">
        <v>3817</v>
      </c>
      <c r="D4668" s="141"/>
      <c r="E4668" s="118"/>
      <c r="F4668" s="118"/>
      <c r="G4668" s="118" t="s">
        <v>3618</v>
      </c>
      <c r="H4668" s="118" t="s">
        <v>3438</v>
      </c>
      <c r="I4668" s="118" t="s">
        <v>3091</v>
      </c>
      <c r="J4668" s="118" t="s">
        <v>6261</v>
      </c>
      <c r="K4668" s="141"/>
      <c r="L4668" s="135" t="str">
        <f t="shared" si="259"/>
        <v>Tamias ochrogenys</v>
      </c>
      <c r="M4668" s="133">
        <f t="shared" si="261"/>
        <v>1.9623700000000004</v>
      </c>
      <c r="N4668" s="133">
        <v>91.70014027142463</v>
      </c>
      <c r="O4668" s="179" t="s">
        <v>3356</v>
      </c>
      <c r="P4668" s="111">
        <v>60</v>
      </c>
    </row>
    <row r="4669" spans="1:30">
      <c r="A4669" s="118" t="s">
        <v>3816</v>
      </c>
      <c r="B4669" s="166"/>
      <c r="C4669" s="118" t="s">
        <v>3817</v>
      </c>
      <c r="D4669" s="141"/>
      <c r="E4669" s="118"/>
      <c r="F4669" s="118"/>
      <c r="G4669" s="118" t="s">
        <v>3618</v>
      </c>
      <c r="H4669" s="118" t="s">
        <v>3438</v>
      </c>
      <c r="I4669" s="118" t="s">
        <v>3091</v>
      </c>
      <c r="J4669" s="118" t="s">
        <v>3528</v>
      </c>
      <c r="K4669" s="141"/>
      <c r="L4669" s="135" t="str">
        <f t="shared" si="259"/>
        <v>Tamias bulleri</v>
      </c>
      <c r="M4669" s="133">
        <f t="shared" si="261"/>
        <v>2</v>
      </c>
      <c r="N4669" s="133">
        <v>100</v>
      </c>
      <c r="O4669" s="179" t="s">
        <v>3356</v>
      </c>
      <c r="P4669" s="117">
        <v>66</v>
      </c>
    </row>
    <row r="4670" spans="1:30">
      <c r="A4670" s="118" t="s">
        <v>3816</v>
      </c>
      <c r="B4670" s="166"/>
      <c r="C4670" s="118" t="s">
        <v>3817</v>
      </c>
      <c r="D4670" s="141"/>
      <c r="E4670" s="118"/>
      <c r="F4670" s="118"/>
      <c r="G4670" s="118" t="s">
        <v>3618</v>
      </c>
      <c r="H4670" s="118" t="s">
        <v>3438</v>
      </c>
      <c r="I4670" s="118" t="s">
        <v>3091</v>
      </c>
      <c r="J4670" s="118" t="s">
        <v>3807</v>
      </c>
      <c r="K4670" s="141"/>
      <c r="L4670" s="135" t="str">
        <f t="shared" si="259"/>
        <v>Tamias striatus</v>
      </c>
      <c r="M4670" s="133">
        <f t="shared" si="261"/>
        <v>2.0488499999999998</v>
      </c>
      <c r="N4670" s="133">
        <v>111.90513100824023</v>
      </c>
      <c r="O4670" s="179" t="s">
        <v>3356</v>
      </c>
      <c r="P4670" s="108">
        <v>60</v>
      </c>
    </row>
    <row r="4671" spans="1:30">
      <c r="A4671" s="118" t="s">
        <v>3816</v>
      </c>
      <c r="B4671" s="166"/>
      <c r="C4671" s="118" t="s">
        <v>3817</v>
      </c>
      <c r="D4671" s="141"/>
      <c r="E4671" s="118"/>
      <c r="F4671" s="118"/>
      <c r="G4671" s="118" t="s">
        <v>3618</v>
      </c>
      <c r="H4671" s="121" t="s">
        <v>3438</v>
      </c>
      <c r="I4671" s="118" t="s">
        <v>3091</v>
      </c>
      <c r="J4671" s="118" t="s">
        <v>4171</v>
      </c>
      <c r="K4671" s="141"/>
      <c r="L4671" s="135" t="str">
        <f t="shared" si="259"/>
        <v>Tamias minimus</v>
      </c>
      <c r="M4671" s="133">
        <f t="shared" si="261"/>
        <v>2.1311900000000006</v>
      </c>
      <c r="N4671" s="133">
        <v>135.26642124099396</v>
      </c>
      <c r="O4671" s="179" t="s">
        <v>3356</v>
      </c>
      <c r="P4671" s="108">
        <v>60</v>
      </c>
    </row>
    <row r="4672" spans="1:30" ht="25.5">
      <c r="A4672" s="118" t="s">
        <v>3816</v>
      </c>
      <c r="B4672" s="166" t="s">
        <v>8289</v>
      </c>
      <c r="C4672" s="118" t="s">
        <v>3817</v>
      </c>
      <c r="D4672" s="141"/>
      <c r="E4672" s="118"/>
      <c r="F4672" s="118"/>
      <c r="G4672" s="118" t="s">
        <v>3618</v>
      </c>
      <c r="H4672" s="118" t="s">
        <v>3438</v>
      </c>
      <c r="I4672" s="118" t="s">
        <v>7986</v>
      </c>
      <c r="J4672" s="118" t="s">
        <v>3310</v>
      </c>
      <c r="K4672" s="141"/>
      <c r="L4672" s="135" t="str">
        <f t="shared" si="259"/>
        <v>Tamiasciurus mearnsi</v>
      </c>
      <c r="M4672" s="133">
        <v>-999</v>
      </c>
      <c r="N4672" s="133">
        <v>-999</v>
      </c>
      <c r="O4672" s="179" t="s">
        <v>3356</v>
      </c>
      <c r="P4672" s="108">
        <v>-999</v>
      </c>
      <c r="Q4672" s="80"/>
      <c r="S4672" s="85">
        <f>1000*10^S4671</f>
        <v>1000</v>
      </c>
    </row>
    <row r="4673" spans="1:17">
      <c r="A4673" s="118" t="s">
        <v>3816</v>
      </c>
      <c r="B4673" s="166"/>
      <c r="C4673" s="118" t="s">
        <v>3817</v>
      </c>
      <c r="D4673" s="141"/>
      <c r="E4673" s="118"/>
      <c r="F4673" s="118"/>
      <c r="G4673" s="118" t="s">
        <v>3618</v>
      </c>
      <c r="H4673" s="118" t="s">
        <v>3438</v>
      </c>
      <c r="I4673" s="118" t="s">
        <v>7986</v>
      </c>
      <c r="J4673" s="118" t="s">
        <v>7988</v>
      </c>
      <c r="K4673" s="141"/>
      <c r="L4673" s="135" t="str">
        <f t="shared" si="259"/>
        <v>Tamiasciurus hudsonicus</v>
      </c>
      <c r="M4673" s="133">
        <f t="shared" ref="M4673:M4704" si="262">LOG(N4673)</f>
        <v>2.3035600000000005</v>
      </c>
      <c r="N4673" s="133">
        <v>201.16851035713219</v>
      </c>
      <c r="O4673" s="179" t="s">
        <v>3356</v>
      </c>
      <c r="P4673" s="108">
        <v>60</v>
      </c>
    </row>
    <row r="4674" spans="1:17">
      <c r="A4674" s="118" t="s">
        <v>3816</v>
      </c>
      <c r="B4674" s="166"/>
      <c r="C4674" s="121" t="s">
        <v>3817</v>
      </c>
      <c r="D4674" s="156"/>
      <c r="E4674" s="121"/>
      <c r="F4674" s="121"/>
      <c r="G4674" s="121" t="s">
        <v>3618</v>
      </c>
      <c r="H4674" s="118" t="s">
        <v>3438</v>
      </c>
      <c r="I4674" s="121" t="s">
        <v>7986</v>
      </c>
      <c r="J4674" s="121" t="s">
        <v>7987</v>
      </c>
      <c r="K4674" s="141"/>
      <c r="L4674" s="135" t="str">
        <f t="shared" si="259"/>
        <v>Tamiasciurus douglasii</v>
      </c>
      <c r="M4674" s="133">
        <f t="shared" si="262"/>
        <v>2.3521800000000006</v>
      </c>
      <c r="N4674" s="143">
        <v>224.9986954165031</v>
      </c>
      <c r="O4674" s="179" t="s">
        <v>3356</v>
      </c>
      <c r="P4674" s="117">
        <v>66</v>
      </c>
    </row>
    <row r="4675" spans="1:17">
      <c r="A4675" s="118" t="s">
        <v>3816</v>
      </c>
      <c r="B4675" s="166"/>
      <c r="C4675" s="118" t="s">
        <v>3817</v>
      </c>
      <c r="D4675" s="141"/>
      <c r="E4675" s="118"/>
      <c r="F4675" s="118"/>
      <c r="G4675" s="118" t="s">
        <v>7361</v>
      </c>
      <c r="H4675" s="118" t="s">
        <v>3584</v>
      </c>
      <c r="I4675" s="118" t="s">
        <v>3556</v>
      </c>
      <c r="J4675" s="118" t="s">
        <v>3996</v>
      </c>
      <c r="K4675" s="141"/>
      <c r="L4675" s="135" t="str">
        <f t="shared" si="259"/>
        <v>Trichechus manatus</v>
      </c>
      <c r="M4675" s="133">
        <f t="shared" si="262"/>
        <v>5.6368217635143676</v>
      </c>
      <c r="N4675" s="133">
        <v>433333</v>
      </c>
      <c r="O4675" s="182" t="s">
        <v>6736</v>
      </c>
      <c r="P4675" s="108">
        <v>68</v>
      </c>
    </row>
    <row r="4676" spans="1:17">
      <c r="A4676" s="134" t="s">
        <v>3816</v>
      </c>
      <c r="B4676" s="290"/>
      <c r="C4676" s="136" t="s">
        <v>5092</v>
      </c>
      <c r="D4676" s="220"/>
      <c r="E4676" s="136"/>
      <c r="F4676" s="136"/>
      <c r="G4676" s="134" t="s">
        <v>6415</v>
      </c>
      <c r="H4676" s="134" t="s">
        <v>6594</v>
      </c>
      <c r="I4676" s="134" t="s">
        <v>3500</v>
      </c>
      <c r="J4676" s="134" t="s">
        <v>4122</v>
      </c>
      <c r="K4676" s="135"/>
      <c r="L4676" s="135" t="str">
        <f t="shared" si="259"/>
        <v>Dasypus bellus</v>
      </c>
      <c r="M4676" s="133">
        <f t="shared" si="262"/>
        <v>4.653212513775344</v>
      </c>
      <c r="N4676" s="137">
        <v>45000</v>
      </c>
      <c r="O4676" s="180"/>
      <c r="P4676" s="110" t="s">
        <v>1042</v>
      </c>
    </row>
    <row r="4677" spans="1:17">
      <c r="A4677" s="134" t="s">
        <v>3816</v>
      </c>
      <c r="B4677" s="290"/>
      <c r="C4677" s="136" t="s">
        <v>5092</v>
      </c>
      <c r="D4677" s="220"/>
      <c r="E4677" s="136"/>
      <c r="F4677" s="136"/>
      <c r="G4677" s="134" t="s">
        <v>6415</v>
      </c>
      <c r="H4677" s="134" t="s">
        <v>6594</v>
      </c>
      <c r="I4677" s="134" t="s">
        <v>2326</v>
      </c>
      <c r="J4677" s="134" t="s">
        <v>5935</v>
      </c>
      <c r="K4677" s="135"/>
      <c r="L4677" s="135" t="str">
        <f t="shared" ref="L4677:L4740" si="263">I4677&amp;" "&amp;J4677</f>
        <v>Holmesina  septentrionalis</v>
      </c>
      <c r="M4677" s="133">
        <f t="shared" si="262"/>
        <v>5.3979400086720375</v>
      </c>
      <c r="N4677" s="137">
        <v>250000</v>
      </c>
      <c r="O4677" s="180"/>
      <c r="P4677" s="110" t="s">
        <v>1045</v>
      </c>
    </row>
    <row r="4678" spans="1:17">
      <c r="A4678" s="134" t="s">
        <v>3816</v>
      </c>
      <c r="B4678" s="290"/>
      <c r="C4678" s="136" t="s">
        <v>5092</v>
      </c>
      <c r="D4678" s="220"/>
      <c r="E4678" s="136"/>
      <c r="F4678" s="136"/>
      <c r="G4678" s="134" t="s">
        <v>6415</v>
      </c>
      <c r="H4678" s="134" t="s">
        <v>2359</v>
      </c>
      <c r="I4678" s="134" t="s">
        <v>2409</v>
      </c>
      <c r="J4678" s="134" t="s">
        <v>7289</v>
      </c>
      <c r="K4678" s="135"/>
      <c r="L4678" s="135" t="str">
        <f t="shared" si="263"/>
        <v>Nothrotheriops shastense</v>
      </c>
      <c r="M4678" s="133">
        <f t="shared" si="262"/>
        <v>5.4771212547196626</v>
      </c>
      <c r="N4678" s="137">
        <v>300000</v>
      </c>
      <c r="O4678" s="180"/>
      <c r="P4678" s="110" t="s">
        <v>1862</v>
      </c>
    </row>
    <row r="4679" spans="1:17">
      <c r="A4679" s="134" t="s">
        <v>3816</v>
      </c>
      <c r="B4679" s="290"/>
      <c r="C4679" s="136" t="s">
        <v>5092</v>
      </c>
      <c r="D4679" s="220"/>
      <c r="E4679" s="136"/>
      <c r="F4679" s="136"/>
      <c r="G4679" s="134" t="s">
        <v>6415</v>
      </c>
      <c r="H4679" s="134" t="s">
        <v>3330</v>
      </c>
      <c r="I4679" s="134" t="s">
        <v>2787</v>
      </c>
      <c r="J4679" s="134" t="s">
        <v>2270</v>
      </c>
      <c r="K4679" s="135"/>
      <c r="L4679" s="135" t="str">
        <f t="shared" si="263"/>
        <v>Megalonyx jeffersonii</v>
      </c>
      <c r="M4679" s="133">
        <f t="shared" si="262"/>
        <v>5.7781512503836439</v>
      </c>
      <c r="N4679" s="137">
        <v>600000</v>
      </c>
      <c r="O4679" s="180"/>
      <c r="P4679" s="109" t="s">
        <v>1871</v>
      </c>
    </row>
    <row r="4680" spans="1:17">
      <c r="A4680" s="134" t="s">
        <v>3816</v>
      </c>
      <c r="B4680" s="290"/>
      <c r="C4680" s="136" t="s">
        <v>5092</v>
      </c>
      <c r="D4680" s="220"/>
      <c r="E4680" s="136"/>
      <c r="F4680" s="136"/>
      <c r="G4680" s="134" t="s">
        <v>6415</v>
      </c>
      <c r="H4680" s="134" t="s">
        <v>2460</v>
      </c>
      <c r="I4680" s="134" t="s">
        <v>2586</v>
      </c>
      <c r="J4680" s="134" t="s">
        <v>2247</v>
      </c>
      <c r="K4680" s="135"/>
      <c r="L4680" s="135" t="str">
        <f t="shared" si="263"/>
        <v>Glyptotherium floridanum</v>
      </c>
      <c r="M4680" s="133">
        <f t="shared" si="262"/>
        <v>6.0413926851582254</v>
      </c>
      <c r="N4680" s="137">
        <v>1100000</v>
      </c>
      <c r="O4680" s="180"/>
      <c r="P4680" s="109" t="s">
        <v>950</v>
      </c>
    </row>
    <row r="4681" spans="1:17">
      <c r="A4681" s="134" t="s">
        <v>3816</v>
      </c>
      <c r="B4681" s="290"/>
      <c r="C4681" s="136" t="s">
        <v>5092</v>
      </c>
      <c r="D4681" s="220"/>
      <c r="E4681" s="136"/>
      <c r="F4681" s="136"/>
      <c r="G4681" s="134" t="s">
        <v>6415</v>
      </c>
      <c r="H4681" s="134" t="s">
        <v>2460</v>
      </c>
      <c r="I4681" s="134" t="s">
        <v>2586</v>
      </c>
      <c r="J4681" s="134" t="s">
        <v>2248</v>
      </c>
      <c r="K4681" s="135"/>
      <c r="L4681" s="135" t="str">
        <f t="shared" si="263"/>
        <v>Glyptotherium mexicanum</v>
      </c>
      <c r="M4681" s="133">
        <f t="shared" si="262"/>
        <v>6.0413926851582254</v>
      </c>
      <c r="N4681" s="137">
        <v>1100000</v>
      </c>
      <c r="O4681" s="180"/>
      <c r="P4681" s="109">
        <v>32</v>
      </c>
    </row>
    <row r="4682" spans="1:17">
      <c r="A4682" s="134" t="s">
        <v>3816</v>
      </c>
      <c r="B4682" s="290"/>
      <c r="C4682" s="136" t="s">
        <v>5092</v>
      </c>
      <c r="D4682" s="220"/>
      <c r="E4682" s="136"/>
      <c r="F4682" s="136"/>
      <c r="G4682" s="134" t="s">
        <v>6415</v>
      </c>
      <c r="H4682" s="134" t="s">
        <v>7290</v>
      </c>
      <c r="I4682" s="299" t="s">
        <v>8402</v>
      </c>
      <c r="J4682" s="134" t="s">
        <v>5049</v>
      </c>
      <c r="K4682" s="328" t="s">
        <v>8403</v>
      </c>
      <c r="L4682" s="135" t="str">
        <f t="shared" si="263"/>
        <v xml:space="preserve"> Paramylodon harlani</v>
      </c>
      <c r="M4682" s="133">
        <f t="shared" si="262"/>
        <v>6.2005769267548478</v>
      </c>
      <c r="N4682" s="137">
        <v>1587000</v>
      </c>
      <c r="O4682" s="180"/>
      <c r="P4682" s="109" t="s">
        <v>1124</v>
      </c>
    </row>
    <row r="4683" spans="1:17">
      <c r="A4683" s="134" t="s">
        <v>3816</v>
      </c>
      <c r="B4683" s="290"/>
      <c r="C4683" s="136" t="s">
        <v>5092</v>
      </c>
      <c r="D4683" s="220"/>
      <c r="E4683" s="136"/>
      <c r="F4683" s="136"/>
      <c r="G4683" s="134" t="s">
        <v>6415</v>
      </c>
      <c r="H4683" s="134" t="s">
        <v>2359</v>
      </c>
      <c r="I4683" s="134" t="s">
        <v>2342</v>
      </c>
      <c r="J4683" s="329" t="s">
        <v>8458</v>
      </c>
      <c r="K4683" s="328" t="s">
        <v>8407</v>
      </c>
      <c r="L4683" s="135" t="str">
        <f t="shared" si="263"/>
        <v>Eremotherium rusconii (laurillardi)</v>
      </c>
      <c r="M4683" s="133">
        <f t="shared" si="262"/>
        <v>6.5440680443502757</v>
      </c>
      <c r="N4683" s="137">
        <v>3500000</v>
      </c>
      <c r="O4683" s="180"/>
      <c r="P4683" s="109" t="s">
        <v>244</v>
      </c>
    </row>
    <row r="4684" spans="1:17">
      <c r="A4684" s="121" t="s">
        <v>3816</v>
      </c>
      <c r="B4684" s="166"/>
      <c r="C4684" s="118" t="s">
        <v>3817</v>
      </c>
      <c r="D4684" s="141"/>
      <c r="E4684" s="118"/>
      <c r="F4684" s="118"/>
      <c r="G4684" s="118" t="s">
        <v>6415</v>
      </c>
      <c r="H4684" s="118" t="s">
        <v>6416</v>
      </c>
      <c r="I4684" s="118" t="s">
        <v>6599</v>
      </c>
      <c r="J4684" s="118" t="s">
        <v>3089</v>
      </c>
      <c r="K4684" s="141"/>
      <c r="L4684" s="135" t="str">
        <f t="shared" si="263"/>
        <v>Bradypus variegatus</v>
      </c>
      <c r="M4684" s="133">
        <f t="shared" si="262"/>
        <v>3.6369900000000004</v>
      </c>
      <c r="N4684" s="133">
        <v>4335.0089654558778</v>
      </c>
      <c r="O4684" s="179" t="s">
        <v>3356</v>
      </c>
      <c r="P4684" s="108">
        <v>60</v>
      </c>
      <c r="Q4684" s="91"/>
    </row>
    <row r="4685" spans="1:17">
      <c r="A4685" s="118" t="s">
        <v>3816</v>
      </c>
      <c r="B4685" s="166"/>
      <c r="C4685" s="118" t="s">
        <v>3817</v>
      </c>
      <c r="D4685" s="141"/>
      <c r="E4685" s="118"/>
      <c r="F4685" s="118"/>
      <c r="G4685" s="118" t="s">
        <v>6415</v>
      </c>
      <c r="H4685" s="118" t="s">
        <v>6594</v>
      </c>
      <c r="I4685" s="118" t="s">
        <v>3328</v>
      </c>
      <c r="J4685" s="118" t="s">
        <v>3499</v>
      </c>
      <c r="K4685" s="141"/>
      <c r="L4685" s="135" t="str">
        <f t="shared" si="263"/>
        <v>Cabassous centralis</v>
      </c>
      <c r="M4685" s="133">
        <f t="shared" si="262"/>
        <v>3.5809199999999999</v>
      </c>
      <c r="N4685" s="133">
        <v>3809.9563493981541</v>
      </c>
      <c r="O4685" s="179" t="s">
        <v>3356</v>
      </c>
      <c r="P4685" s="108">
        <v>60</v>
      </c>
      <c r="Q4685" s="90" t="s">
        <v>6987</v>
      </c>
    </row>
    <row r="4686" spans="1:17">
      <c r="A4686" s="118" t="s">
        <v>3816</v>
      </c>
      <c r="B4686" s="166"/>
      <c r="C4686" s="118" t="s">
        <v>3817</v>
      </c>
      <c r="D4686" s="141"/>
      <c r="E4686" s="118"/>
      <c r="F4686" s="118"/>
      <c r="G4686" s="118" t="s">
        <v>6415</v>
      </c>
      <c r="H4686" s="118" t="s">
        <v>6594</v>
      </c>
      <c r="I4686" s="118" t="s">
        <v>3500</v>
      </c>
      <c r="J4686" s="118" t="s">
        <v>3501</v>
      </c>
      <c r="K4686" s="141"/>
      <c r="L4686" s="135" t="str">
        <f t="shared" si="263"/>
        <v>Dasypus novemcinctus</v>
      </c>
      <c r="M4686" s="133">
        <f t="shared" si="262"/>
        <v>3.62364</v>
      </c>
      <c r="N4686" s="133">
        <v>4203.7801970002665</v>
      </c>
      <c r="O4686" s="179" t="s">
        <v>3356</v>
      </c>
      <c r="P4686" s="108">
        <v>60</v>
      </c>
    </row>
    <row r="4687" spans="1:17">
      <c r="A4687" s="118" t="s">
        <v>3816</v>
      </c>
      <c r="B4687" s="166"/>
      <c r="C4687" s="118" t="s">
        <v>3817</v>
      </c>
      <c r="D4687" s="141"/>
      <c r="E4687" s="118"/>
      <c r="F4687" s="118"/>
      <c r="G4687" s="118" t="s">
        <v>6415</v>
      </c>
      <c r="H4687" s="121" t="s">
        <v>3330</v>
      </c>
      <c r="I4687" s="118" t="s">
        <v>3283</v>
      </c>
      <c r="J4687" s="118" t="s">
        <v>3285</v>
      </c>
      <c r="K4687" s="141"/>
      <c r="L4687" s="135" t="str">
        <f t="shared" si="263"/>
        <v>Choloepus hoffmanni</v>
      </c>
      <c r="M4687" s="133">
        <f t="shared" si="262"/>
        <v>3.7781512503836434</v>
      </c>
      <c r="N4687" s="133">
        <v>6000</v>
      </c>
      <c r="O4687" s="179" t="s">
        <v>3356</v>
      </c>
      <c r="P4687" s="108">
        <v>75</v>
      </c>
      <c r="Q4687" s="91" t="s">
        <v>6987</v>
      </c>
    </row>
    <row r="4688" spans="1:17">
      <c r="A4688" s="118" t="s">
        <v>3816</v>
      </c>
      <c r="B4688" s="166"/>
      <c r="C4688" s="118" t="s">
        <v>3817</v>
      </c>
      <c r="D4688" s="141"/>
      <c r="E4688" s="118"/>
      <c r="F4688" s="118"/>
      <c r="G4688" s="118" t="s">
        <v>6415</v>
      </c>
      <c r="H4688" s="118" t="s">
        <v>3286</v>
      </c>
      <c r="I4688" s="118" t="s">
        <v>3119</v>
      </c>
      <c r="J4688" s="118" t="s">
        <v>3284</v>
      </c>
      <c r="K4688" s="141"/>
      <c r="L4688" s="135" t="str">
        <f t="shared" si="263"/>
        <v>Cyclopes didactylus</v>
      </c>
      <c r="M4688" s="133">
        <f t="shared" si="262"/>
        <v>2.5178600000000007</v>
      </c>
      <c r="N4688" s="133">
        <v>329.50347568431044</v>
      </c>
      <c r="O4688" s="179" t="s">
        <v>3356</v>
      </c>
      <c r="P4688" s="108">
        <v>60</v>
      </c>
    </row>
    <row r="4689" spans="1:18">
      <c r="A4689" s="118" t="s">
        <v>3816</v>
      </c>
      <c r="B4689" s="166"/>
      <c r="C4689" s="118" t="s">
        <v>3817</v>
      </c>
      <c r="D4689" s="141"/>
      <c r="E4689" s="118"/>
      <c r="F4689" s="118"/>
      <c r="G4689" s="118" t="s">
        <v>6415</v>
      </c>
      <c r="H4689" s="118" t="s">
        <v>3286</v>
      </c>
      <c r="I4689" s="118" t="s">
        <v>3120</v>
      </c>
      <c r="J4689" s="118" t="s">
        <v>3769</v>
      </c>
      <c r="K4689" s="141"/>
      <c r="L4689" s="135" t="str">
        <f t="shared" si="263"/>
        <v>Myrmecophaga tridactyla</v>
      </c>
      <c r="M4689" s="133">
        <f t="shared" si="262"/>
        <v>4.3489500000000003</v>
      </c>
      <c r="N4689" s="133">
        <v>22333.150881274611</v>
      </c>
      <c r="O4689" s="179" t="s">
        <v>7081</v>
      </c>
      <c r="P4689" s="108">
        <v>60</v>
      </c>
      <c r="Q4689" s="90" t="s">
        <v>6988</v>
      </c>
    </row>
    <row r="4690" spans="1:18">
      <c r="A4690" s="118" t="s">
        <v>3816</v>
      </c>
      <c r="B4690" s="166"/>
      <c r="C4690" s="118" t="s">
        <v>3817</v>
      </c>
      <c r="D4690" s="141"/>
      <c r="E4690" s="118"/>
      <c r="F4690" s="118"/>
      <c r="G4690" s="118" t="s">
        <v>6415</v>
      </c>
      <c r="H4690" s="118" t="s">
        <v>3286</v>
      </c>
      <c r="I4690" s="118" t="s">
        <v>3300</v>
      </c>
      <c r="J4690" s="118" t="s">
        <v>4375</v>
      </c>
      <c r="K4690" s="141"/>
      <c r="L4690" s="135" t="str">
        <f t="shared" si="263"/>
        <v>Tamandua mexicana</v>
      </c>
      <c r="M4690" s="133">
        <f t="shared" si="262"/>
        <v>3.6242800000000002</v>
      </c>
      <c r="N4690" s="133">
        <v>4209.9796832627626</v>
      </c>
      <c r="O4690" s="179" t="s">
        <v>3356</v>
      </c>
      <c r="P4690" s="108">
        <v>60</v>
      </c>
    </row>
    <row r="4691" spans="1:18" ht="12" customHeight="1">
      <c r="A4691" s="121" t="s">
        <v>8151</v>
      </c>
      <c r="B4691" s="166"/>
      <c r="C4691" s="118" t="s">
        <v>3817</v>
      </c>
      <c r="D4691" s="141"/>
      <c r="E4691" s="118"/>
      <c r="F4691" s="118"/>
      <c r="G4691" s="118" t="s">
        <v>6761</v>
      </c>
      <c r="H4691" s="118" t="s">
        <v>6762</v>
      </c>
      <c r="I4691" s="118" t="s">
        <v>5561</v>
      </c>
      <c r="J4691" s="118" t="s">
        <v>5562</v>
      </c>
      <c r="K4691" s="141"/>
      <c r="L4691" s="135" t="str">
        <f t="shared" si="263"/>
        <v>Balaena mysticetus</v>
      </c>
      <c r="M4691" s="133">
        <f t="shared" si="262"/>
        <v>8</v>
      </c>
      <c r="N4691" s="133">
        <v>100000000</v>
      </c>
      <c r="O4691" s="179" t="s">
        <v>6736</v>
      </c>
      <c r="P4691" s="108">
        <v>68</v>
      </c>
      <c r="Q4691" s="88"/>
    </row>
    <row r="4692" spans="1:18" ht="12" customHeight="1">
      <c r="A4692" s="118" t="s">
        <v>8151</v>
      </c>
      <c r="B4692" s="166"/>
      <c r="C4692" s="118" t="s">
        <v>3817</v>
      </c>
      <c r="D4692" s="141"/>
      <c r="E4692" s="118"/>
      <c r="F4692" s="118"/>
      <c r="G4692" s="118" t="s">
        <v>6761</v>
      </c>
      <c r="H4692" s="118" t="s">
        <v>6762</v>
      </c>
      <c r="I4692" s="118" t="s">
        <v>5563</v>
      </c>
      <c r="J4692" s="118" t="s">
        <v>3789</v>
      </c>
      <c r="K4692" s="141"/>
      <c r="L4692" s="135" t="str">
        <f t="shared" si="263"/>
        <v>Eubalaena australis</v>
      </c>
      <c r="M4692" s="133">
        <f t="shared" si="262"/>
        <v>7.3617278360175931</v>
      </c>
      <c r="N4692" s="133">
        <v>23000000</v>
      </c>
      <c r="O4692" s="179" t="s">
        <v>6736</v>
      </c>
      <c r="P4692" s="108">
        <v>68</v>
      </c>
      <c r="Q4692" s="88"/>
    </row>
    <row r="4693" spans="1:18" ht="12" customHeight="1">
      <c r="A4693" s="118" t="s">
        <v>8151</v>
      </c>
      <c r="B4693" s="166"/>
      <c r="C4693" s="118" t="s">
        <v>3817</v>
      </c>
      <c r="D4693" s="141"/>
      <c r="E4693" s="118"/>
      <c r="F4693" s="118"/>
      <c r="G4693" s="118" t="s">
        <v>6761</v>
      </c>
      <c r="H4693" s="118" t="s">
        <v>6762</v>
      </c>
      <c r="I4693" s="118" t="s">
        <v>5563</v>
      </c>
      <c r="J4693" s="118" t="s">
        <v>5564</v>
      </c>
      <c r="K4693" s="141"/>
      <c r="L4693" s="135" t="str">
        <f t="shared" si="263"/>
        <v>Eubalaena glacialis</v>
      </c>
      <c r="M4693" s="133">
        <f t="shared" si="262"/>
        <v>7.3617278360175931</v>
      </c>
      <c r="N4693" s="133">
        <v>23000000</v>
      </c>
      <c r="O4693" s="179" t="s">
        <v>6736</v>
      </c>
      <c r="P4693" s="111">
        <v>68</v>
      </c>
      <c r="Q4693" s="88"/>
    </row>
    <row r="4694" spans="1:18" ht="12" customHeight="1">
      <c r="A4694" s="118" t="s">
        <v>8151</v>
      </c>
      <c r="B4694" s="166"/>
      <c r="C4694" s="118" t="s">
        <v>3817</v>
      </c>
      <c r="D4694" s="141"/>
      <c r="E4694" s="118"/>
      <c r="F4694" s="118"/>
      <c r="G4694" s="118" t="s">
        <v>6761</v>
      </c>
      <c r="H4694" s="118" t="s">
        <v>6751</v>
      </c>
      <c r="I4694" s="118" t="s">
        <v>5833</v>
      </c>
      <c r="J4694" s="118" t="s">
        <v>5834</v>
      </c>
      <c r="K4694" s="141"/>
      <c r="L4694" s="135" t="str">
        <f t="shared" si="263"/>
        <v>Balaenoptera acutorostrata</v>
      </c>
      <c r="M4694" s="133">
        <f t="shared" si="262"/>
        <v>7</v>
      </c>
      <c r="N4694" s="133">
        <v>10000000</v>
      </c>
      <c r="O4694" s="179" t="s">
        <v>6736</v>
      </c>
      <c r="P4694" s="111">
        <v>68</v>
      </c>
      <c r="Q4694" s="88"/>
    </row>
    <row r="4695" spans="1:18" ht="12" customHeight="1">
      <c r="A4695" s="118" t="s">
        <v>8151</v>
      </c>
      <c r="B4695" s="166"/>
      <c r="C4695" s="118" t="s">
        <v>3817</v>
      </c>
      <c r="D4695" s="141"/>
      <c r="E4695" s="118"/>
      <c r="F4695" s="118"/>
      <c r="G4695" s="118" t="s">
        <v>6761</v>
      </c>
      <c r="H4695" s="118" t="s">
        <v>6751</v>
      </c>
      <c r="I4695" s="118" t="s">
        <v>5833</v>
      </c>
      <c r="J4695" s="118" t="s">
        <v>4627</v>
      </c>
      <c r="K4695" s="141"/>
      <c r="L4695" s="135" t="str">
        <f t="shared" si="263"/>
        <v>Balaenoptera borealis</v>
      </c>
      <c r="M4695" s="133">
        <f t="shared" si="262"/>
        <v>7.3010299956639813</v>
      </c>
      <c r="N4695" s="133">
        <v>20000000</v>
      </c>
      <c r="O4695" s="179" t="s">
        <v>6736</v>
      </c>
      <c r="P4695" s="108">
        <v>68</v>
      </c>
      <c r="Q4695" s="88"/>
    </row>
    <row r="4696" spans="1:18" ht="12" customHeight="1">
      <c r="A4696" s="118" t="s">
        <v>8151</v>
      </c>
      <c r="B4696" s="166"/>
      <c r="C4696" s="118" t="s">
        <v>3817</v>
      </c>
      <c r="D4696" s="141"/>
      <c r="E4696" s="118"/>
      <c r="F4696" s="118"/>
      <c r="G4696" s="118" t="s">
        <v>6761</v>
      </c>
      <c r="H4696" s="118" t="s">
        <v>6751</v>
      </c>
      <c r="I4696" s="118" t="s">
        <v>5833</v>
      </c>
      <c r="J4696" s="118" t="s">
        <v>5572</v>
      </c>
      <c r="K4696" s="141"/>
      <c r="L4696" s="135" t="str">
        <f t="shared" si="263"/>
        <v>Balaenoptera edeni</v>
      </c>
      <c r="M4696" s="133">
        <f t="shared" si="262"/>
        <v>7.3010299956639813</v>
      </c>
      <c r="N4696" s="133">
        <v>20000000</v>
      </c>
      <c r="O4696" s="179" t="s">
        <v>6736</v>
      </c>
      <c r="P4696" s="108">
        <v>68</v>
      </c>
      <c r="Q4696" s="88"/>
    </row>
    <row r="4697" spans="1:18" ht="12" customHeight="1">
      <c r="A4697" s="121" t="s">
        <v>8151</v>
      </c>
      <c r="B4697" s="166"/>
      <c r="C4697" s="118" t="s">
        <v>3817</v>
      </c>
      <c r="D4697" s="141"/>
      <c r="E4697" s="118"/>
      <c r="F4697" s="118"/>
      <c r="G4697" s="118" t="s">
        <v>6761</v>
      </c>
      <c r="H4697" s="118" t="s">
        <v>6751</v>
      </c>
      <c r="I4697" s="118" t="s">
        <v>5833</v>
      </c>
      <c r="J4697" s="118" t="s">
        <v>5573</v>
      </c>
      <c r="K4697" s="141"/>
      <c r="L4697" s="135" t="str">
        <f t="shared" si="263"/>
        <v>Balaenoptera physalus</v>
      </c>
      <c r="M4697" s="133">
        <f t="shared" si="262"/>
        <v>7.8450980400142569</v>
      </c>
      <c r="N4697" s="133">
        <v>70000000</v>
      </c>
      <c r="O4697" s="179" t="s">
        <v>6736</v>
      </c>
      <c r="P4697" s="108">
        <v>68</v>
      </c>
      <c r="Q4697" s="88"/>
    </row>
    <row r="4698" spans="1:18" ht="12" customHeight="1">
      <c r="A4698" s="118" t="s">
        <v>8151</v>
      </c>
      <c r="B4698" s="166"/>
      <c r="C4698" s="118" t="s">
        <v>3817</v>
      </c>
      <c r="D4698" s="141"/>
      <c r="E4698" s="118"/>
      <c r="F4698" s="118"/>
      <c r="G4698" s="118" t="s">
        <v>6761</v>
      </c>
      <c r="H4698" s="118" t="s">
        <v>6751</v>
      </c>
      <c r="I4698" s="118" t="s">
        <v>5833</v>
      </c>
      <c r="J4698" s="118" t="s">
        <v>4307</v>
      </c>
      <c r="K4698" s="141"/>
      <c r="L4698" s="135" t="str">
        <f t="shared" si="263"/>
        <v>Balaenoptera musculus</v>
      </c>
      <c r="M4698" s="133">
        <f t="shared" si="262"/>
        <v>8.2787536009528289</v>
      </c>
      <c r="N4698" s="133">
        <v>190000000</v>
      </c>
      <c r="O4698" s="179" t="s">
        <v>6736</v>
      </c>
      <c r="P4698" s="111">
        <v>68</v>
      </c>
      <c r="Q4698" s="88"/>
    </row>
    <row r="4699" spans="1:18" ht="12" customHeight="1">
      <c r="A4699" s="118" t="s">
        <v>8151</v>
      </c>
      <c r="B4699" s="166"/>
      <c r="C4699" s="118" t="s">
        <v>3817</v>
      </c>
      <c r="D4699" s="141"/>
      <c r="E4699" s="118"/>
      <c r="F4699" s="118"/>
      <c r="G4699" s="118" t="s">
        <v>6761</v>
      </c>
      <c r="H4699" s="118" t="s">
        <v>6751</v>
      </c>
      <c r="I4699" s="118" t="s">
        <v>5109</v>
      </c>
      <c r="J4699" s="118" t="s">
        <v>5577</v>
      </c>
      <c r="K4699" s="141"/>
      <c r="L4699" s="135" t="str">
        <f t="shared" si="263"/>
        <v>Megaptera novaeangliae</v>
      </c>
      <c r="M4699" s="133">
        <f t="shared" si="262"/>
        <v>7.4771212547196626</v>
      </c>
      <c r="N4699" s="133">
        <v>30000000</v>
      </c>
      <c r="O4699" s="179" t="s">
        <v>6736</v>
      </c>
      <c r="P4699" s="108">
        <v>68</v>
      </c>
      <c r="Q4699" s="88"/>
    </row>
    <row r="4700" spans="1:18" ht="12" customHeight="1">
      <c r="A4700" s="118" t="s">
        <v>8151</v>
      </c>
      <c r="B4700" s="166"/>
      <c r="C4700" s="118" t="s">
        <v>3817</v>
      </c>
      <c r="D4700" s="141"/>
      <c r="E4700" s="118"/>
      <c r="F4700" s="118"/>
      <c r="G4700" s="118" t="s">
        <v>6761</v>
      </c>
      <c r="H4700" s="118" t="s">
        <v>6752</v>
      </c>
      <c r="I4700" s="118" t="s">
        <v>6429</v>
      </c>
      <c r="J4700" s="118" t="s">
        <v>3701</v>
      </c>
      <c r="K4700" s="141"/>
      <c r="L4700" s="135" t="str">
        <f t="shared" si="263"/>
        <v>Cephalorhynchus heavisidii</v>
      </c>
      <c r="M4700" s="133">
        <f t="shared" si="262"/>
        <v>4.6020599913279625</v>
      </c>
      <c r="N4700" s="143">
        <v>40000</v>
      </c>
      <c r="O4700" s="179" t="s">
        <v>3356</v>
      </c>
      <c r="P4700" s="108">
        <v>106</v>
      </c>
      <c r="Q4700" s="88"/>
    </row>
    <row r="4701" spans="1:18" ht="12" customHeight="1">
      <c r="A4701" s="118" t="s">
        <v>8151</v>
      </c>
      <c r="B4701" s="166"/>
      <c r="C4701" s="118" t="s">
        <v>3817</v>
      </c>
      <c r="D4701" s="141"/>
      <c r="E4701" s="118"/>
      <c r="F4701" s="118"/>
      <c r="G4701" s="118" t="s">
        <v>6761</v>
      </c>
      <c r="H4701" s="118" t="s">
        <v>6752</v>
      </c>
      <c r="I4701" s="118" t="s">
        <v>6429</v>
      </c>
      <c r="J4701" s="118" t="s">
        <v>6074</v>
      </c>
      <c r="K4701" s="141"/>
      <c r="L4701" s="135" t="str">
        <f t="shared" si="263"/>
        <v>Cephalorhynchus eutropia</v>
      </c>
      <c r="M4701" s="133">
        <f t="shared" si="262"/>
        <v>4.653212513775344</v>
      </c>
      <c r="N4701" s="133">
        <v>45000</v>
      </c>
      <c r="O4701" s="179" t="s">
        <v>3356</v>
      </c>
      <c r="P4701" s="108">
        <v>137</v>
      </c>
      <c r="Q4701" s="88"/>
      <c r="R4701" s="89"/>
    </row>
    <row r="4702" spans="1:18" ht="12" customHeight="1">
      <c r="A4702" s="118" t="s">
        <v>8151</v>
      </c>
      <c r="B4702" s="166"/>
      <c r="C4702" s="118" t="s">
        <v>3817</v>
      </c>
      <c r="D4702" s="141"/>
      <c r="E4702" s="118"/>
      <c r="F4702" s="118"/>
      <c r="G4702" s="118" t="s">
        <v>6761</v>
      </c>
      <c r="H4702" s="118" t="s">
        <v>6752</v>
      </c>
      <c r="I4702" s="118" t="s">
        <v>6429</v>
      </c>
      <c r="J4702" s="118" t="s">
        <v>5641</v>
      </c>
      <c r="K4702" s="141"/>
      <c r="L4702" s="135" t="str">
        <f t="shared" si="263"/>
        <v>Cephalorhynchus hectori</v>
      </c>
      <c r="M4702" s="133">
        <f t="shared" si="262"/>
        <v>4.6989700043360187</v>
      </c>
      <c r="N4702" s="133">
        <v>50000</v>
      </c>
      <c r="O4702" s="179" t="s">
        <v>6736</v>
      </c>
      <c r="P4702" s="108">
        <v>-999</v>
      </c>
      <c r="Q4702" s="88"/>
    </row>
    <row r="4703" spans="1:18" ht="12" customHeight="1">
      <c r="A4703" s="118" t="s">
        <v>8151</v>
      </c>
      <c r="B4703" s="166"/>
      <c r="C4703" s="118" t="s">
        <v>3817</v>
      </c>
      <c r="D4703" s="141"/>
      <c r="E4703" s="118"/>
      <c r="F4703" s="118"/>
      <c r="G4703" s="118" t="s">
        <v>6761</v>
      </c>
      <c r="H4703" s="118" t="s">
        <v>6752</v>
      </c>
      <c r="I4703" s="118" t="s">
        <v>6429</v>
      </c>
      <c r="J4703" s="118" t="s">
        <v>6443</v>
      </c>
      <c r="K4703" s="141"/>
      <c r="L4703" s="135" t="str">
        <f t="shared" si="263"/>
        <v>Cephalorhynchus commersonii</v>
      </c>
      <c r="M4703" s="133">
        <f t="shared" si="262"/>
        <v>4.8597385661971471</v>
      </c>
      <c r="N4703" s="133">
        <v>72400</v>
      </c>
      <c r="O4703" s="179" t="s">
        <v>6736</v>
      </c>
      <c r="P4703" s="108">
        <v>68</v>
      </c>
      <c r="Q4703" s="88"/>
    </row>
    <row r="4704" spans="1:18" ht="12" customHeight="1">
      <c r="A4704" s="118" t="s">
        <v>8151</v>
      </c>
      <c r="B4704" s="166"/>
      <c r="C4704" s="118" t="s">
        <v>3817</v>
      </c>
      <c r="D4704" s="141"/>
      <c r="E4704" s="118"/>
      <c r="F4704" s="118"/>
      <c r="G4704" s="118" t="s">
        <v>6761</v>
      </c>
      <c r="H4704" s="118" t="s">
        <v>6752</v>
      </c>
      <c r="I4704" s="118" t="s">
        <v>6437</v>
      </c>
      <c r="J4704" s="118" t="s">
        <v>5635</v>
      </c>
      <c r="K4704" s="141"/>
      <c r="L4704" s="135" t="str">
        <f t="shared" si="263"/>
        <v>Delphinus delphis</v>
      </c>
      <c r="M4704" s="133">
        <f t="shared" si="262"/>
        <v>4.9030899869919438</v>
      </c>
      <c r="N4704" s="133">
        <v>80000</v>
      </c>
      <c r="O4704" s="179" t="s">
        <v>6736</v>
      </c>
      <c r="P4704" s="108">
        <v>68</v>
      </c>
      <c r="Q4704" s="88"/>
    </row>
    <row r="4705" spans="1:18" ht="12" customHeight="1">
      <c r="A4705" s="118" t="s">
        <v>8151</v>
      </c>
      <c r="B4705" s="166"/>
      <c r="C4705" s="118" t="s">
        <v>3817</v>
      </c>
      <c r="D4705" s="141"/>
      <c r="E4705" s="118"/>
      <c r="F4705" s="118"/>
      <c r="G4705" s="118" t="s">
        <v>6761</v>
      </c>
      <c r="H4705" s="118" t="s">
        <v>6752</v>
      </c>
      <c r="I4705" s="118" t="s">
        <v>4142</v>
      </c>
      <c r="J4705" s="118" t="s">
        <v>5099</v>
      </c>
      <c r="K4705" s="141"/>
      <c r="L4705" s="135" t="str">
        <f t="shared" si="263"/>
        <v>Feresa attenuata</v>
      </c>
      <c r="M4705" s="133">
        <f t="shared" ref="M4705:M4736" si="264">LOG(N4705)</f>
        <v>5.2304489213782741</v>
      </c>
      <c r="N4705" s="133">
        <v>170000</v>
      </c>
      <c r="O4705" s="179"/>
      <c r="P4705" s="108">
        <v>106</v>
      </c>
      <c r="Q4705" s="88"/>
    </row>
    <row r="4706" spans="1:18" ht="12" customHeight="1">
      <c r="A4706" s="118" t="s">
        <v>8151</v>
      </c>
      <c r="B4706" s="166"/>
      <c r="C4706" s="118" t="s">
        <v>3817</v>
      </c>
      <c r="D4706" s="141"/>
      <c r="E4706" s="118"/>
      <c r="F4706" s="118"/>
      <c r="G4706" s="118" t="s">
        <v>6761</v>
      </c>
      <c r="H4706" s="118" t="s">
        <v>6752</v>
      </c>
      <c r="I4706" s="118" t="s">
        <v>6432</v>
      </c>
      <c r="J4706" s="118" t="s">
        <v>5638</v>
      </c>
      <c r="K4706" s="141"/>
      <c r="L4706" s="135" t="str">
        <f t="shared" si="263"/>
        <v>Globicephala macrorhynchus</v>
      </c>
      <c r="M4706" s="133">
        <f t="shared" si="264"/>
        <v>5.8609366207000937</v>
      </c>
      <c r="N4706" s="133">
        <v>726000</v>
      </c>
      <c r="O4706" s="179" t="s">
        <v>6736</v>
      </c>
      <c r="P4706" s="108">
        <v>68</v>
      </c>
      <c r="Q4706" s="88"/>
    </row>
    <row r="4707" spans="1:18" ht="12" customHeight="1">
      <c r="A4707" s="121" t="s">
        <v>8151</v>
      </c>
      <c r="B4707" s="166"/>
      <c r="C4707" s="118" t="s">
        <v>3817</v>
      </c>
      <c r="D4707" s="141"/>
      <c r="E4707" s="118"/>
      <c r="F4707" s="118"/>
      <c r="G4707" s="118" t="s">
        <v>6761</v>
      </c>
      <c r="H4707" s="118" t="s">
        <v>6752</v>
      </c>
      <c r="I4707" s="118" t="s">
        <v>6432</v>
      </c>
      <c r="J4707" s="118" t="s">
        <v>5639</v>
      </c>
      <c r="K4707" s="141"/>
      <c r="L4707" s="135" t="str">
        <f t="shared" si="263"/>
        <v>Globicephala melas</v>
      </c>
      <c r="M4707" s="133">
        <f t="shared" si="264"/>
        <v>5.9030899869919438</v>
      </c>
      <c r="N4707" s="133">
        <v>800000</v>
      </c>
      <c r="O4707" s="179" t="s">
        <v>6736</v>
      </c>
      <c r="P4707" s="108">
        <v>68</v>
      </c>
      <c r="Q4707" s="88"/>
    </row>
    <row r="4708" spans="1:18" ht="12" customHeight="1">
      <c r="A4708" s="118" t="s">
        <v>8151</v>
      </c>
      <c r="B4708" s="166"/>
      <c r="C4708" s="118" t="s">
        <v>3817</v>
      </c>
      <c r="D4708" s="141"/>
      <c r="E4708" s="118"/>
      <c r="F4708" s="118"/>
      <c r="G4708" s="118" t="s">
        <v>6761</v>
      </c>
      <c r="H4708" s="118" t="s">
        <v>6752</v>
      </c>
      <c r="I4708" s="118" t="s">
        <v>3454</v>
      </c>
      <c r="J4708" s="118" t="s">
        <v>2210</v>
      </c>
      <c r="K4708" s="141"/>
      <c r="L4708" s="135" t="str">
        <f t="shared" si="263"/>
        <v>Grampus griseus</v>
      </c>
      <c r="M4708" s="133">
        <f t="shared" si="264"/>
        <v>5.5882717068423293</v>
      </c>
      <c r="N4708" s="133">
        <f>AVERAGE(400000, 375000)</f>
        <v>387500</v>
      </c>
      <c r="O4708" s="179" t="s">
        <v>3356</v>
      </c>
      <c r="P4708" s="108" t="s">
        <v>6948</v>
      </c>
      <c r="Q4708" s="88" t="s">
        <v>8156</v>
      </c>
    </row>
    <row r="4709" spans="1:18" ht="12" customHeight="1">
      <c r="A4709" s="118" t="s">
        <v>8151</v>
      </c>
      <c r="B4709" s="166"/>
      <c r="C4709" s="118" t="s">
        <v>3817</v>
      </c>
      <c r="D4709" s="141"/>
      <c r="E4709" s="118"/>
      <c r="F4709" s="118"/>
      <c r="G4709" s="118" t="s">
        <v>6761</v>
      </c>
      <c r="H4709" s="118" t="s">
        <v>6752</v>
      </c>
      <c r="I4709" s="118" t="s">
        <v>5640</v>
      </c>
      <c r="J4709" s="118" t="s">
        <v>5637</v>
      </c>
      <c r="K4709" s="141"/>
      <c r="L4709" s="135" t="str">
        <f t="shared" si="263"/>
        <v>Lagenodelphis hosei</v>
      </c>
      <c r="M4709" s="133">
        <f t="shared" si="264"/>
        <v>5.214843848047698</v>
      </c>
      <c r="N4709" s="133">
        <v>164000</v>
      </c>
      <c r="O4709" s="179" t="s">
        <v>6736</v>
      </c>
      <c r="P4709" s="108">
        <v>68</v>
      </c>
      <c r="Q4709" s="88"/>
    </row>
    <row r="4710" spans="1:18" ht="12" customHeight="1">
      <c r="A4710" s="118" t="s">
        <v>8151</v>
      </c>
      <c r="B4710" s="166"/>
      <c r="C4710" s="118" t="s">
        <v>3817</v>
      </c>
      <c r="D4710" s="141"/>
      <c r="E4710" s="118"/>
      <c r="F4710" s="118"/>
      <c r="G4710" s="118" t="s">
        <v>6761</v>
      </c>
      <c r="H4710" s="118" t="s">
        <v>6752</v>
      </c>
      <c r="I4710" s="118" t="s">
        <v>6615</v>
      </c>
      <c r="J4710" s="118" t="s">
        <v>3455</v>
      </c>
      <c r="K4710" s="141"/>
      <c r="L4710" s="135" t="str">
        <f t="shared" si="263"/>
        <v>Lagenorhynchus cruciger</v>
      </c>
      <c r="M4710" s="133">
        <f t="shared" si="264"/>
        <v>5.0413926851582254</v>
      </c>
      <c r="N4710" s="133">
        <v>110000</v>
      </c>
      <c r="O4710" s="179" t="s">
        <v>3356</v>
      </c>
      <c r="P4710" s="108">
        <v>137</v>
      </c>
      <c r="Q4710" s="88"/>
    </row>
    <row r="4711" spans="1:18" ht="12" customHeight="1">
      <c r="A4711" s="118" t="s">
        <v>8151</v>
      </c>
      <c r="B4711" s="166"/>
      <c r="C4711" s="118" t="s">
        <v>3817</v>
      </c>
      <c r="D4711" s="141"/>
      <c r="E4711" s="118"/>
      <c r="F4711" s="118"/>
      <c r="G4711" s="118" t="s">
        <v>6761</v>
      </c>
      <c r="H4711" s="118" t="s">
        <v>6752</v>
      </c>
      <c r="I4711" s="118" t="s">
        <v>6615</v>
      </c>
      <c r="J4711" s="118" t="s">
        <v>3789</v>
      </c>
      <c r="K4711" s="141"/>
      <c r="L4711" s="135" t="str">
        <f t="shared" si="263"/>
        <v>Lagenorhynchus australis</v>
      </c>
      <c r="M4711" s="133">
        <f t="shared" si="264"/>
        <v>5.0791812460476251</v>
      </c>
      <c r="N4711" s="133">
        <v>120000</v>
      </c>
      <c r="O4711" s="179" t="s">
        <v>3356</v>
      </c>
      <c r="P4711" s="108">
        <v>137</v>
      </c>
      <c r="Q4711" s="88"/>
      <c r="R4711" s="89"/>
    </row>
    <row r="4712" spans="1:18" ht="12" customHeight="1">
      <c r="A4712" s="118" t="s">
        <v>8151</v>
      </c>
      <c r="B4712" s="166"/>
      <c r="C4712" s="118" t="s">
        <v>3817</v>
      </c>
      <c r="D4712" s="141"/>
      <c r="E4712" s="118"/>
      <c r="F4712" s="118"/>
      <c r="G4712" s="118" t="s">
        <v>6761</v>
      </c>
      <c r="H4712" s="118" t="s">
        <v>6752</v>
      </c>
      <c r="I4712" s="118" t="s">
        <v>6615</v>
      </c>
      <c r="J4712" s="118" t="s">
        <v>3660</v>
      </c>
      <c r="K4712" s="141"/>
      <c r="L4712" s="135" t="str">
        <f t="shared" si="263"/>
        <v>Lagenorhynchus obliquidens</v>
      </c>
      <c r="M4712" s="133">
        <f t="shared" si="264"/>
        <v>5.0791812460476251</v>
      </c>
      <c r="N4712" s="133">
        <v>120000</v>
      </c>
      <c r="O4712" s="179" t="s">
        <v>3356</v>
      </c>
      <c r="P4712" s="108">
        <v>137</v>
      </c>
      <c r="Q4712" s="88"/>
    </row>
    <row r="4713" spans="1:18" ht="12" customHeight="1">
      <c r="A4713" s="118" t="s">
        <v>8151</v>
      </c>
      <c r="B4713" s="166"/>
      <c r="C4713" s="118" t="s">
        <v>3817</v>
      </c>
      <c r="D4713" s="141"/>
      <c r="E4713" s="118"/>
      <c r="F4713" s="118"/>
      <c r="G4713" s="118" t="s">
        <v>6761</v>
      </c>
      <c r="H4713" s="118" t="s">
        <v>6752</v>
      </c>
      <c r="I4713" s="118" t="s">
        <v>6615</v>
      </c>
      <c r="J4713" s="118" t="s">
        <v>7543</v>
      </c>
      <c r="K4713" s="141"/>
      <c r="L4713" s="135" t="str">
        <f t="shared" si="263"/>
        <v>Lagenorhynchus obscurus</v>
      </c>
      <c r="M4713" s="133">
        <f t="shared" si="264"/>
        <v>5.1055101847699742</v>
      </c>
      <c r="N4713" s="133">
        <f>AVERAGE(115000, 140000)</f>
        <v>127500</v>
      </c>
      <c r="O4713" s="179" t="s">
        <v>3356</v>
      </c>
      <c r="P4713" s="108">
        <v>137</v>
      </c>
      <c r="Q4713" s="88"/>
    </row>
    <row r="4714" spans="1:18" ht="24" customHeight="1">
      <c r="A4714" s="118" t="s">
        <v>8151</v>
      </c>
      <c r="B4714" s="166"/>
      <c r="C4714" s="118" t="s">
        <v>3817</v>
      </c>
      <c r="D4714" s="141"/>
      <c r="E4714" s="118"/>
      <c r="F4714" s="118"/>
      <c r="G4714" s="118" t="s">
        <v>6761</v>
      </c>
      <c r="H4714" s="118" t="s">
        <v>6752</v>
      </c>
      <c r="I4714" s="118" t="s">
        <v>6615</v>
      </c>
      <c r="J4714" s="118" t="s">
        <v>5966</v>
      </c>
      <c r="K4714" s="141"/>
      <c r="L4714" s="135" t="str">
        <f t="shared" si="263"/>
        <v>Lagenorhynchus albirostris</v>
      </c>
      <c r="M4714" s="133">
        <f t="shared" si="264"/>
        <v>5.2552725051033065</v>
      </c>
      <c r="N4714" s="133">
        <v>180000</v>
      </c>
      <c r="O4714" s="179" t="s">
        <v>3356</v>
      </c>
      <c r="P4714" s="108">
        <v>134</v>
      </c>
      <c r="Q4714" s="88"/>
      <c r="R4714" s="91"/>
    </row>
    <row r="4715" spans="1:18" ht="12" customHeight="1">
      <c r="A4715" s="118" t="s">
        <v>8151</v>
      </c>
      <c r="B4715" s="166"/>
      <c r="C4715" s="118" t="s">
        <v>3817</v>
      </c>
      <c r="D4715" s="141"/>
      <c r="E4715" s="118"/>
      <c r="F4715" s="118"/>
      <c r="G4715" s="118" t="s">
        <v>6761</v>
      </c>
      <c r="H4715" s="118" t="s">
        <v>6752</v>
      </c>
      <c r="I4715" s="118" t="s">
        <v>6615</v>
      </c>
      <c r="J4715" s="118" t="s">
        <v>5642</v>
      </c>
      <c r="K4715" s="141"/>
      <c r="L4715" s="135" t="str">
        <f t="shared" si="263"/>
        <v>Lagenorhynchus acutus</v>
      </c>
      <c r="M4715" s="133">
        <f t="shared" si="264"/>
        <v>5.2600713879850751</v>
      </c>
      <c r="N4715" s="133">
        <v>182000</v>
      </c>
      <c r="O4715" s="179" t="s">
        <v>6736</v>
      </c>
      <c r="P4715" s="108">
        <v>68</v>
      </c>
      <c r="Q4715" s="88"/>
    </row>
    <row r="4716" spans="1:18" ht="12" customHeight="1">
      <c r="A4716" s="118" t="s">
        <v>8151</v>
      </c>
      <c r="B4716" s="166"/>
      <c r="C4716" s="118" t="s">
        <v>3817</v>
      </c>
      <c r="D4716" s="141"/>
      <c r="E4716" s="118"/>
      <c r="F4716" s="118"/>
      <c r="G4716" s="118" t="s">
        <v>6761</v>
      </c>
      <c r="H4716" s="118" t="s">
        <v>6752</v>
      </c>
      <c r="I4716" s="118" t="s">
        <v>3661</v>
      </c>
      <c r="J4716" s="118" t="s">
        <v>4627</v>
      </c>
      <c r="K4716" s="141"/>
      <c r="L4716" s="135" t="str">
        <f t="shared" si="263"/>
        <v>Lissodelphis borealis</v>
      </c>
      <c r="M4716" s="133">
        <f t="shared" si="264"/>
        <v>5.0530784434834199</v>
      </c>
      <c r="N4716" s="133">
        <v>113000</v>
      </c>
      <c r="O4716" s="179" t="s">
        <v>6964</v>
      </c>
      <c r="P4716" s="108">
        <v>88</v>
      </c>
      <c r="Q4716" s="88"/>
    </row>
    <row r="4717" spans="1:18" ht="12" customHeight="1">
      <c r="A4717" s="118" t="s">
        <v>8151</v>
      </c>
      <c r="B4717" s="166"/>
      <c r="C4717" s="118" t="s">
        <v>3817</v>
      </c>
      <c r="D4717" s="141"/>
      <c r="E4717" s="118"/>
      <c r="F4717" s="118"/>
      <c r="G4717" s="118" t="s">
        <v>6761</v>
      </c>
      <c r="H4717" s="118" t="s">
        <v>6752</v>
      </c>
      <c r="I4717" s="118" t="s">
        <v>3661</v>
      </c>
      <c r="J4717" s="118" t="s">
        <v>4147</v>
      </c>
      <c r="K4717" s="141"/>
      <c r="L4717" s="135" t="str">
        <f t="shared" si="263"/>
        <v>Lissodelphis peronii</v>
      </c>
      <c r="M4717" s="133">
        <f t="shared" si="264"/>
        <v>5.0644579892269181</v>
      </c>
      <c r="N4717" s="133">
        <v>116000</v>
      </c>
      <c r="O4717" s="179" t="s">
        <v>6964</v>
      </c>
      <c r="P4717" s="108">
        <v>93</v>
      </c>
      <c r="Q4717" s="88"/>
    </row>
    <row r="4718" spans="1:18" ht="12" customHeight="1">
      <c r="A4718" s="118" t="s">
        <v>8151</v>
      </c>
      <c r="B4718" s="167"/>
      <c r="C4718" s="118" t="s">
        <v>3817</v>
      </c>
      <c r="D4718" s="141"/>
      <c r="E4718" s="118"/>
      <c r="F4718" s="118"/>
      <c r="G4718" s="118" t="s">
        <v>6761</v>
      </c>
      <c r="H4718" s="118" t="s">
        <v>6752</v>
      </c>
      <c r="I4718" s="118" t="s">
        <v>5636</v>
      </c>
      <c r="J4718" s="118" t="s">
        <v>5644</v>
      </c>
      <c r="K4718" s="141"/>
      <c r="L4718" s="135" t="str">
        <f t="shared" si="263"/>
        <v>Orcaella brevirostris</v>
      </c>
      <c r="M4718" s="133">
        <f t="shared" si="264"/>
        <v>5.2787536009528289</v>
      </c>
      <c r="N4718" s="133">
        <v>190000</v>
      </c>
      <c r="O4718" s="179" t="s">
        <v>6736</v>
      </c>
      <c r="P4718" s="108">
        <v>68</v>
      </c>
      <c r="Q4718" s="88"/>
    </row>
    <row r="4719" spans="1:18" ht="12" customHeight="1">
      <c r="A4719" s="118" t="s">
        <v>8151</v>
      </c>
      <c r="B4719" s="166"/>
      <c r="C4719" s="118" t="s">
        <v>3817</v>
      </c>
      <c r="D4719" s="141"/>
      <c r="E4719" s="118"/>
      <c r="F4719" s="118"/>
      <c r="G4719" s="118" t="s">
        <v>6761</v>
      </c>
      <c r="H4719" s="118" t="s">
        <v>6752</v>
      </c>
      <c r="I4719" s="118" t="s">
        <v>3298</v>
      </c>
      <c r="J4719" s="118" t="s">
        <v>3299</v>
      </c>
      <c r="K4719" s="141"/>
      <c r="L4719" s="135" t="str">
        <f t="shared" si="263"/>
        <v>Orcinus orca</v>
      </c>
      <c r="M4719" s="133">
        <f t="shared" si="264"/>
        <v>6.6334684555795862</v>
      </c>
      <c r="N4719" s="133">
        <v>4300000</v>
      </c>
      <c r="O4719" s="179" t="s">
        <v>6736</v>
      </c>
      <c r="P4719" s="108">
        <v>68</v>
      </c>
      <c r="Q4719" s="88"/>
    </row>
    <row r="4720" spans="1:18" ht="12" customHeight="1">
      <c r="A4720" s="118" t="s">
        <v>8151</v>
      </c>
      <c r="B4720" s="166"/>
      <c r="C4720" s="118" t="s">
        <v>3817</v>
      </c>
      <c r="D4720" s="141"/>
      <c r="E4720" s="118"/>
      <c r="F4720" s="118"/>
      <c r="G4720" s="118" t="s">
        <v>6761</v>
      </c>
      <c r="H4720" s="118" t="s">
        <v>6752</v>
      </c>
      <c r="I4720" s="118" t="s">
        <v>3126</v>
      </c>
      <c r="J4720" s="118" t="s">
        <v>3335</v>
      </c>
      <c r="K4720" s="141"/>
      <c r="L4720" s="135" t="str">
        <f t="shared" si="263"/>
        <v>Peponocephala electra</v>
      </c>
      <c r="M4720" s="133">
        <f t="shared" si="264"/>
        <v>5.3138672203691533</v>
      </c>
      <c r="N4720" s="133">
        <v>206000</v>
      </c>
      <c r="O4720" s="179" t="s">
        <v>6736</v>
      </c>
      <c r="P4720" s="108">
        <v>68</v>
      </c>
      <c r="Q4720" s="88"/>
    </row>
    <row r="4721" spans="1:18" ht="24" customHeight="1">
      <c r="A4721" s="121" t="s">
        <v>8151</v>
      </c>
      <c r="B4721" s="166"/>
      <c r="C4721" s="118" t="s">
        <v>3817</v>
      </c>
      <c r="D4721" s="141"/>
      <c r="E4721" s="118"/>
      <c r="F4721" s="118"/>
      <c r="G4721" s="118" t="s">
        <v>6761</v>
      </c>
      <c r="H4721" s="118" t="s">
        <v>6752</v>
      </c>
      <c r="I4721" s="118" t="s">
        <v>3336</v>
      </c>
      <c r="J4721" s="118" t="s">
        <v>3337</v>
      </c>
      <c r="K4721" s="141"/>
      <c r="L4721" s="135" t="str">
        <f t="shared" si="263"/>
        <v>Pseudorca crassidens</v>
      </c>
      <c r="M4721" s="133">
        <f t="shared" si="264"/>
        <v>6.1335389083702179</v>
      </c>
      <c r="N4721" s="133">
        <v>1360000</v>
      </c>
      <c r="O4721" s="179" t="s">
        <v>6736</v>
      </c>
      <c r="P4721" s="108">
        <v>68</v>
      </c>
      <c r="Q4721" s="88"/>
    </row>
    <row r="4722" spans="1:18" ht="12" customHeight="1">
      <c r="A4722" s="118" t="s">
        <v>8151</v>
      </c>
      <c r="B4722" s="166"/>
      <c r="C4722" s="118" t="s">
        <v>3817</v>
      </c>
      <c r="D4722" s="141"/>
      <c r="E4722" s="118"/>
      <c r="F4722" s="118"/>
      <c r="G4722" s="118" t="s">
        <v>6761</v>
      </c>
      <c r="H4722" s="118" t="s">
        <v>6752</v>
      </c>
      <c r="I4722" s="118" t="s">
        <v>3662</v>
      </c>
      <c r="J4722" s="118" t="s">
        <v>3663</v>
      </c>
      <c r="K4722" s="141"/>
      <c r="L4722" s="135" t="str">
        <f t="shared" si="263"/>
        <v>Sotalia fluviatilis</v>
      </c>
      <c r="M4722" s="133">
        <f t="shared" si="264"/>
        <v>4.7781512503836439</v>
      </c>
      <c r="N4722" s="133">
        <v>60000</v>
      </c>
      <c r="O4722" s="179" t="s">
        <v>3356</v>
      </c>
      <c r="P4722" s="108">
        <v>137</v>
      </c>
      <c r="Q4722" s="88"/>
    </row>
    <row r="4723" spans="1:18" ht="12" customHeight="1">
      <c r="A4723" s="121" t="s">
        <v>8151</v>
      </c>
      <c r="B4723" s="166"/>
      <c r="C4723" s="118" t="s">
        <v>3817</v>
      </c>
      <c r="D4723" s="141"/>
      <c r="E4723" s="118"/>
      <c r="F4723" s="118"/>
      <c r="G4723" s="118" t="s">
        <v>6761</v>
      </c>
      <c r="H4723" s="118" t="s">
        <v>6752</v>
      </c>
      <c r="I4723" s="118" t="s">
        <v>3664</v>
      </c>
      <c r="J4723" s="118" t="s">
        <v>3665</v>
      </c>
      <c r="K4723" s="141"/>
      <c r="L4723" s="135" t="str">
        <f t="shared" si="263"/>
        <v>Sousa teuszii</v>
      </c>
      <c r="M4723" s="133">
        <f t="shared" si="264"/>
        <v>5</v>
      </c>
      <c r="N4723" s="133">
        <v>100000</v>
      </c>
      <c r="O4723" s="179" t="s">
        <v>3356</v>
      </c>
      <c r="P4723" s="108">
        <v>137</v>
      </c>
      <c r="Q4723" s="88"/>
    </row>
    <row r="4724" spans="1:18" ht="12" customHeight="1">
      <c r="A4724" s="118" t="s">
        <v>8151</v>
      </c>
      <c r="B4724" s="166"/>
      <c r="C4724" s="118" t="s">
        <v>3817</v>
      </c>
      <c r="D4724" s="141"/>
      <c r="E4724" s="118"/>
      <c r="F4724" s="118"/>
      <c r="G4724" s="118" t="s">
        <v>6761</v>
      </c>
      <c r="H4724" s="118" t="s">
        <v>6752</v>
      </c>
      <c r="I4724" s="118" t="s">
        <v>3664</v>
      </c>
      <c r="J4724" s="118" t="s">
        <v>4036</v>
      </c>
      <c r="K4724" s="141"/>
      <c r="L4724" s="135" t="str">
        <f t="shared" si="263"/>
        <v>Sousa chinensis</v>
      </c>
      <c r="M4724" s="133">
        <f t="shared" si="264"/>
        <v>5.4471580313422194</v>
      </c>
      <c r="N4724" s="133">
        <v>280000</v>
      </c>
      <c r="O4724" s="179" t="s">
        <v>3356</v>
      </c>
      <c r="P4724" s="108" t="s">
        <v>7038</v>
      </c>
      <c r="Q4724" s="88"/>
    </row>
    <row r="4725" spans="1:18" ht="12" customHeight="1">
      <c r="A4725" s="118" t="s">
        <v>8151</v>
      </c>
      <c r="B4725" s="166"/>
      <c r="C4725" s="118" t="s">
        <v>3817</v>
      </c>
      <c r="D4725" s="141"/>
      <c r="E4725" s="118"/>
      <c r="F4725" s="118"/>
      <c r="G4725" s="118" t="s">
        <v>6761</v>
      </c>
      <c r="H4725" s="118" t="s">
        <v>6752</v>
      </c>
      <c r="I4725" s="118" t="s">
        <v>3118</v>
      </c>
      <c r="J4725" s="118" t="s">
        <v>2428</v>
      </c>
      <c r="K4725" s="141"/>
      <c r="L4725" s="135" t="str">
        <f t="shared" si="263"/>
        <v>Stenella longirostris</v>
      </c>
      <c r="M4725" s="133">
        <f t="shared" si="264"/>
        <v>4.7032913781186609</v>
      </c>
      <c r="N4725" s="133">
        <v>50500</v>
      </c>
      <c r="O4725" s="179" t="s">
        <v>6736</v>
      </c>
      <c r="P4725" s="108">
        <v>68</v>
      </c>
      <c r="Q4725" s="88"/>
    </row>
    <row r="4726" spans="1:18" ht="12" customHeight="1">
      <c r="A4726" s="118" t="s">
        <v>8151</v>
      </c>
      <c r="B4726" s="166"/>
      <c r="C4726" s="118" t="s">
        <v>3817</v>
      </c>
      <c r="D4726" s="141"/>
      <c r="E4726" s="118"/>
      <c r="F4726" s="118"/>
      <c r="G4726" s="118" t="s">
        <v>6761</v>
      </c>
      <c r="H4726" s="118" t="s">
        <v>6752</v>
      </c>
      <c r="I4726" s="118" t="s">
        <v>3118</v>
      </c>
      <c r="J4726" s="118" t="s">
        <v>5099</v>
      </c>
      <c r="K4726" s="141"/>
      <c r="L4726" s="135" t="str">
        <f t="shared" si="263"/>
        <v>Stenella attenuata</v>
      </c>
      <c r="M4726" s="133">
        <f t="shared" si="264"/>
        <v>4.7589118923979736</v>
      </c>
      <c r="N4726" s="133">
        <v>57400</v>
      </c>
      <c r="O4726" s="179" t="s">
        <v>6736</v>
      </c>
      <c r="P4726" s="108">
        <v>68</v>
      </c>
      <c r="Q4726" s="88"/>
    </row>
    <row r="4727" spans="1:18" ht="12" customHeight="1">
      <c r="A4727" s="118" t="s">
        <v>8151</v>
      </c>
      <c r="B4727" s="166"/>
      <c r="C4727" s="118" t="s">
        <v>3817</v>
      </c>
      <c r="D4727" s="141"/>
      <c r="E4727" s="118"/>
      <c r="F4727" s="118"/>
      <c r="G4727" s="118" t="s">
        <v>6761</v>
      </c>
      <c r="H4727" s="118" t="s">
        <v>6752</v>
      </c>
      <c r="I4727" s="118" t="s">
        <v>3118</v>
      </c>
      <c r="J4727" s="118" t="s">
        <v>3241</v>
      </c>
      <c r="K4727" s="141"/>
      <c r="L4727" s="135" t="str">
        <f t="shared" si="263"/>
        <v>Stenella clymene</v>
      </c>
      <c r="M4727" s="133">
        <f t="shared" si="264"/>
        <v>4.8325089127062366</v>
      </c>
      <c r="N4727" s="133">
        <f>AVERAGE(78000, 58000)</f>
        <v>68000</v>
      </c>
      <c r="O4727" s="179" t="s">
        <v>3356</v>
      </c>
      <c r="P4727" s="108">
        <v>60</v>
      </c>
      <c r="Q4727" s="88"/>
    </row>
    <row r="4728" spans="1:18" ht="12" customHeight="1">
      <c r="A4728" s="121" t="s">
        <v>8151</v>
      </c>
      <c r="B4728" s="166"/>
      <c r="C4728" s="118" t="s">
        <v>3817</v>
      </c>
      <c r="D4728" s="141"/>
      <c r="E4728" s="118"/>
      <c r="F4728" s="118"/>
      <c r="G4728" s="118" t="s">
        <v>6761</v>
      </c>
      <c r="H4728" s="118" t="s">
        <v>6752</v>
      </c>
      <c r="I4728" s="118" t="s">
        <v>3118</v>
      </c>
      <c r="J4728" s="118" t="s">
        <v>7688</v>
      </c>
      <c r="K4728" s="141"/>
      <c r="L4728" s="135" t="str">
        <f t="shared" si="263"/>
        <v>Stenella frontalis</v>
      </c>
      <c r="M4728" s="133">
        <f t="shared" si="264"/>
        <v>5.0413926851582254</v>
      </c>
      <c r="N4728" s="133">
        <v>110000</v>
      </c>
      <c r="O4728" s="179" t="s">
        <v>3356</v>
      </c>
      <c r="P4728" s="108">
        <v>134</v>
      </c>
      <c r="Q4728" s="88"/>
      <c r="R4728" s="91"/>
    </row>
    <row r="4729" spans="1:18" ht="12" customHeight="1">
      <c r="A4729" s="118" t="s">
        <v>8151</v>
      </c>
      <c r="B4729" s="166"/>
      <c r="C4729" s="118" t="s">
        <v>3817</v>
      </c>
      <c r="D4729" s="141"/>
      <c r="E4729" s="118"/>
      <c r="F4729" s="118"/>
      <c r="G4729" s="118" t="s">
        <v>6761</v>
      </c>
      <c r="H4729" s="118" t="s">
        <v>6752</v>
      </c>
      <c r="I4729" s="118" t="s">
        <v>3118</v>
      </c>
      <c r="J4729" s="118" t="s">
        <v>6005</v>
      </c>
      <c r="K4729" s="141"/>
      <c r="L4729" s="135" t="str">
        <f t="shared" si="263"/>
        <v>Stenella coeruleoalba</v>
      </c>
      <c r="M4729" s="133">
        <f t="shared" si="264"/>
        <v>5.133219456732494</v>
      </c>
      <c r="N4729" s="133">
        <v>135900</v>
      </c>
      <c r="O4729" s="179" t="s">
        <v>6736</v>
      </c>
      <c r="P4729" s="108">
        <v>68</v>
      </c>
      <c r="Q4729" s="88"/>
    </row>
    <row r="4730" spans="1:18" ht="12" customHeight="1">
      <c r="A4730" s="118" t="s">
        <v>8151</v>
      </c>
      <c r="B4730" s="166"/>
      <c r="C4730" s="118" t="s">
        <v>3817</v>
      </c>
      <c r="D4730" s="141"/>
      <c r="E4730" s="118"/>
      <c r="F4730" s="118"/>
      <c r="G4730" s="118" t="s">
        <v>6761</v>
      </c>
      <c r="H4730" s="118" t="s">
        <v>6752</v>
      </c>
      <c r="I4730" s="118" t="s">
        <v>6542</v>
      </c>
      <c r="J4730" s="118" t="s">
        <v>6543</v>
      </c>
      <c r="K4730" s="141"/>
      <c r="L4730" s="135" t="str">
        <f t="shared" si="263"/>
        <v>Steno bredanensis</v>
      </c>
      <c r="M4730" s="133">
        <f t="shared" si="264"/>
        <v>5.1139433523068369</v>
      </c>
      <c r="N4730" s="133">
        <v>130000</v>
      </c>
      <c r="O4730" s="179" t="s">
        <v>3356</v>
      </c>
      <c r="P4730" s="108">
        <v>134</v>
      </c>
      <c r="Q4730" s="88" t="s">
        <v>7881</v>
      </c>
      <c r="R4730" s="91"/>
    </row>
    <row r="4731" spans="1:18">
      <c r="A4731" s="118" t="s">
        <v>8151</v>
      </c>
      <c r="B4731" s="166"/>
      <c r="C4731" s="118" t="s">
        <v>3817</v>
      </c>
      <c r="D4731" s="141"/>
      <c r="E4731" s="118"/>
      <c r="F4731" s="118"/>
      <c r="G4731" s="118" t="s">
        <v>6761</v>
      </c>
      <c r="H4731" s="118" t="s">
        <v>6752</v>
      </c>
      <c r="I4731" s="118" t="s">
        <v>6017</v>
      </c>
      <c r="J4731" s="118" t="s">
        <v>3762</v>
      </c>
      <c r="K4731" s="141"/>
      <c r="L4731" s="135" t="str">
        <f t="shared" si="263"/>
        <v>Tursiops truncatus</v>
      </c>
      <c r="M4731" s="133">
        <f t="shared" si="264"/>
        <v>5.2430380486862944</v>
      </c>
      <c r="N4731" s="133">
        <v>175000</v>
      </c>
      <c r="O4731" s="179" t="s">
        <v>6736</v>
      </c>
      <c r="P4731" s="108">
        <v>68</v>
      </c>
    </row>
    <row r="4732" spans="1:18" ht="24" customHeight="1">
      <c r="A4732" s="118" t="s">
        <v>8151</v>
      </c>
      <c r="B4732" s="166"/>
      <c r="C4732" s="118" t="s">
        <v>3817</v>
      </c>
      <c r="D4732" s="141"/>
      <c r="E4732" s="118"/>
      <c r="F4732" s="118"/>
      <c r="G4732" s="118" t="s">
        <v>6761</v>
      </c>
      <c r="H4732" s="118" t="s">
        <v>3577</v>
      </c>
      <c r="I4732" s="118" t="s">
        <v>8138</v>
      </c>
      <c r="J4732" s="118" t="s">
        <v>7099</v>
      </c>
      <c r="K4732" s="141"/>
      <c r="L4732" s="135" t="str">
        <f t="shared" si="263"/>
        <v>Eschrichtius robustus</v>
      </c>
      <c r="M4732" s="133">
        <f t="shared" si="264"/>
        <v>7.4548448600085102</v>
      </c>
      <c r="N4732" s="133">
        <v>28500000</v>
      </c>
      <c r="O4732" s="179" t="s">
        <v>6736</v>
      </c>
      <c r="P4732" s="108">
        <v>68</v>
      </c>
      <c r="Q4732" s="88"/>
    </row>
    <row r="4733" spans="1:18" ht="12" customHeight="1">
      <c r="A4733" s="118" t="s">
        <v>8151</v>
      </c>
      <c r="B4733" s="166"/>
      <c r="C4733" s="118" t="s">
        <v>3817</v>
      </c>
      <c r="D4733" s="141"/>
      <c r="E4733" s="118"/>
      <c r="F4733" s="118"/>
      <c r="G4733" s="118" t="s">
        <v>6761</v>
      </c>
      <c r="H4733" s="118" t="s">
        <v>3578</v>
      </c>
      <c r="I4733" s="118" t="s">
        <v>6007</v>
      </c>
      <c r="J4733" s="118" t="s">
        <v>6018</v>
      </c>
      <c r="K4733" s="141"/>
      <c r="L4733" s="135" t="str">
        <f t="shared" si="263"/>
        <v>Delphinapterus leucas</v>
      </c>
      <c r="M4733" s="133">
        <f t="shared" si="264"/>
        <v>6.1335389083702179</v>
      </c>
      <c r="N4733" s="133">
        <v>1360000</v>
      </c>
      <c r="O4733" s="179" t="s">
        <v>6736</v>
      </c>
      <c r="P4733" s="108">
        <v>68</v>
      </c>
      <c r="Q4733" s="88"/>
    </row>
    <row r="4734" spans="1:18" ht="12" customHeight="1">
      <c r="A4734" s="121" t="s">
        <v>8151</v>
      </c>
      <c r="B4734" s="166"/>
      <c r="C4734" s="118" t="s">
        <v>3817</v>
      </c>
      <c r="D4734" s="141"/>
      <c r="E4734" s="118"/>
      <c r="F4734" s="118"/>
      <c r="G4734" s="118" t="s">
        <v>6761</v>
      </c>
      <c r="H4734" s="118" t="s">
        <v>3578</v>
      </c>
      <c r="I4734" s="118" t="s">
        <v>8142</v>
      </c>
      <c r="J4734" s="118" t="s">
        <v>8143</v>
      </c>
      <c r="K4734" s="141"/>
      <c r="L4734" s="135" t="str">
        <f t="shared" si="263"/>
        <v>Monodon monoceros</v>
      </c>
      <c r="M4734" s="133">
        <f t="shared" si="264"/>
        <v>5.9542425094393252</v>
      </c>
      <c r="N4734" s="133">
        <v>900000</v>
      </c>
      <c r="O4734" s="179" t="s">
        <v>6736</v>
      </c>
      <c r="P4734" s="108">
        <v>68</v>
      </c>
      <c r="Q4734" s="88"/>
    </row>
    <row r="4735" spans="1:18" ht="12" customHeight="1">
      <c r="A4735" s="118" t="s">
        <v>8151</v>
      </c>
      <c r="B4735" s="166"/>
      <c r="C4735" s="118" t="s">
        <v>3817</v>
      </c>
      <c r="D4735" s="141"/>
      <c r="E4735" s="118"/>
      <c r="F4735" s="118"/>
      <c r="G4735" s="118" t="s">
        <v>6761</v>
      </c>
      <c r="H4735" s="118" t="s">
        <v>4191</v>
      </c>
      <c r="I4735" s="118" t="s">
        <v>6028</v>
      </c>
      <c r="J4735" s="118" t="s">
        <v>8144</v>
      </c>
      <c r="K4735" s="141"/>
      <c r="L4735" s="135" t="str">
        <f t="shared" si="263"/>
        <v>Caperea marginata</v>
      </c>
      <c r="M4735" s="133">
        <f t="shared" si="264"/>
        <v>7.5051499783199063</v>
      </c>
      <c r="N4735" s="133">
        <v>32000000</v>
      </c>
      <c r="O4735" s="179" t="s">
        <v>6736</v>
      </c>
      <c r="P4735" s="108">
        <v>68</v>
      </c>
      <c r="Q4735" s="88"/>
    </row>
    <row r="4736" spans="1:18" ht="12" customHeight="1">
      <c r="A4736" s="118" t="s">
        <v>8151</v>
      </c>
      <c r="B4736" s="166"/>
      <c r="C4736" s="118" t="s">
        <v>3817</v>
      </c>
      <c r="D4736" s="141"/>
      <c r="E4736" s="118"/>
      <c r="F4736" s="118"/>
      <c r="G4736" s="118" t="s">
        <v>6761</v>
      </c>
      <c r="H4736" s="118" t="s">
        <v>4003</v>
      </c>
      <c r="I4736" s="118" t="s">
        <v>6544</v>
      </c>
      <c r="J4736" s="118" t="s">
        <v>8081</v>
      </c>
      <c r="K4736" s="141"/>
      <c r="L4736" s="135" t="str">
        <f t="shared" si="263"/>
        <v>Australophocaena dioptrica</v>
      </c>
      <c r="M4736" s="133">
        <f t="shared" si="264"/>
        <v>4.8129133566428557</v>
      </c>
      <c r="N4736" s="133">
        <f>AVERAGE(50000, 80000)</f>
        <v>65000</v>
      </c>
      <c r="O4736" s="179" t="s">
        <v>3356</v>
      </c>
      <c r="P4736" s="108">
        <v>137</v>
      </c>
      <c r="Q4736" s="88"/>
    </row>
    <row r="4737" spans="1:22" ht="15">
      <c r="A4737" s="118" t="s">
        <v>8151</v>
      </c>
      <c r="B4737" s="166"/>
      <c r="C4737" s="118" t="s">
        <v>3817</v>
      </c>
      <c r="D4737" s="141"/>
      <c r="E4737" s="118"/>
      <c r="F4737" s="118"/>
      <c r="G4737" s="118" t="s">
        <v>6761</v>
      </c>
      <c r="H4737" s="118" t="s">
        <v>4003</v>
      </c>
      <c r="I4737" s="118" t="s">
        <v>5665</v>
      </c>
      <c r="J4737" s="118" t="s">
        <v>5292</v>
      </c>
      <c r="K4737" s="141"/>
      <c r="L4737" s="135" t="str">
        <f t="shared" si="263"/>
        <v>Neophocaena phocaenoides</v>
      </c>
      <c r="M4737" s="133">
        <f t="shared" ref="M4737:M4754" si="265">LOG(N4737)</f>
        <v>4.5118833609788744</v>
      </c>
      <c r="N4737" s="133">
        <v>32500</v>
      </c>
      <c r="O4737" s="179" t="s">
        <v>6736</v>
      </c>
      <c r="P4737" s="108">
        <v>68</v>
      </c>
      <c r="Q4737" s="88"/>
    </row>
    <row r="4738" spans="1:22" ht="12" customHeight="1">
      <c r="A4738" s="118" t="s">
        <v>8151</v>
      </c>
      <c r="B4738" s="166"/>
      <c r="C4738" s="118" t="s">
        <v>3817</v>
      </c>
      <c r="D4738" s="141"/>
      <c r="E4738" s="118"/>
      <c r="F4738" s="118"/>
      <c r="G4738" s="118" t="s">
        <v>6761</v>
      </c>
      <c r="H4738" s="118" t="s">
        <v>4003</v>
      </c>
      <c r="I4738" s="118" t="s">
        <v>6435</v>
      </c>
      <c r="J4738" s="118" t="s">
        <v>6077</v>
      </c>
      <c r="K4738" s="141"/>
      <c r="L4738" s="135" t="str">
        <f t="shared" si="263"/>
        <v>Phocoena sinus</v>
      </c>
      <c r="M4738" s="133">
        <f t="shared" si="265"/>
        <v>4.6283889300503116</v>
      </c>
      <c r="N4738" s="133">
        <f>85000/2</f>
        <v>42500</v>
      </c>
      <c r="O4738" s="179" t="s">
        <v>3356</v>
      </c>
      <c r="P4738" s="108">
        <v>137</v>
      </c>
      <c r="Q4738" s="88"/>
      <c r="R4738" s="89"/>
    </row>
    <row r="4739" spans="1:22" ht="12" customHeight="1">
      <c r="A4739" s="118" t="s">
        <v>8151</v>
      </c>
      <c r="B4739" s="166"/>
      <c r="C4739" s="118" t="s">
        <v>3817</v>
      </c>
      <c r="D4739" s="141"/>
      <c r="E4739" s="118"/>
      <c r="F4739" s="118"/>
      <c r="G4739" s="118" t="s">
        <v>6761</v>
      </c>
      <c r="H4739" s="118" t="s">
        <v>4003</v>
      </c>
      <c r="I4739" s="118" t="s">
        <v>6435</v>
      </c>
      <c r="J4739" s="118" t="s">
        <v>6436</v>
      </c>
      <c r="K4739" s="141"/>
      <c r="L4739" s="135" t="str">
        <f t="shared" si="263"/>
        <v>Phocoena phocoena</v>
      </c>
      <c r="M4739" s="133">
        <f t="shared" si="265"/>
        <v>4.720159303405957</v>
      </c>
      <c r="N4739" s="133">
        <v>52500</v>
      </c>
      <c r="O4739" s="179" t="s">
        <v>6736</v>
      </c>
      <c r="P4739" s="108">
        <v>68</v>
      </c>
      <c r="Q4739" s="88"/>
      <c r="U4739"/>
      <c r="V4739"/>
    </row>
    <row r="4740" spans="1:22" ht="12" customHeight="1">
      <c r="A4740" s="118" t="s">
        <v>8151</v>
      </c>
      <c r="B4740" s="166"/>
      <c r="C4740" s="118" t="s">
        <v>3817</v>
      </c>
      <c r="D4740" s="141"/>
      <c r="E4740" s="118"/>
      <c r="F4740" s="118"/>
      <c r="G4740" s="118" t="s">
        <v>6761</v>
      </c>
      <c r="H4740" s="118" t="s">
        <v>4003</v>
      </c>
      <c r="I4740" s="118" t="s">
        <v>6435</v>
      </c>
      <c r="J4740" s="118" t="s">
        <v>5225</v>
      </c>
      <c r="K4740" s="141"/>
      <c r="L4740" s="135" t="str">
        <f t="shared" si="263"/>
        <v>Phocoena spinipinnis</v>
      </c>
      <c r="M4740" s="133">
        <f t="shared" si="265"/>
        <v>4.7781512503836439</v>
      </c>
      <c r="N4740" s="133">
        <v>60000</v>
      </c>
      <c r="O4740" s="179" t="s">
        <v>3356</v>
      </c>
      <c r="P4740" s="108">
        <v>137</v>
      </c>
      <c r="Q4740" s="88"/>
    </row>
    <row r="4741" spans="1:22" ht="12" customHeight="1">
      <c r="A4741" s="121" t="s">
        <v>8151</v>
      </c>
      <c r="B4741" s="166"/>
      <c r="C4741" s="118" t="s">
        <v>3817</v>
      </c>
      <c r="D4741" s="141"/>
      <c r="E4741" s="118"/>
      <c r="F4741" s="118"/>
      <c r="G4741" s="118" t="s">
        <v>6761</v>
      </c>
      <c r="H4741" s="118" t="s">
        <v>4003</v>
      </c>
      <c r="I4741" s="118" t="s">
        <v>8296</v>
      </c>
      <c r="J4741" s="118" t="s">
        <v>7464</v>
      </c>
      <c r="K4741" s="141"/>
      <c r="L4741" s="135" t="str">
        <f t="shared" ref="L4741:L4804" si="266">I4741&amp;" "&amp;J4741</f>
        <v>Phocoenoides dalli</v>
      </c>
      <c r="M4741" s="133">
        <f t="shared" si="265"/>
        <v>5.0107238653917729</v>
      </c>
      <c r="N4741" s="133">
        <v>102500</v>
      </c>
      <c r="O4741" s="179" t="s">
        <v>6736</v>
      </c>
      <c r="P4741" s="108">
        <v>68</v>
      </c>
      <c r="Q4741" s="88"/>
    </row>
    <row r="4742" spans="1:22" ht="24" customHeight="1">
      <c r="A4742" s="118" t="s">
        <v>8151</v>
      </c>
      <c r="B4742" s="166"/>
      <c r="C4742" s="118" t="s">
        <v>3817</v>
      </c>
      <c r="D4742" s="141"/>
      <c r="E4742" s="118"/>
      <c r="F4742" s="118"/>
      <c r="G4742" s="118" t="s">
        <v>6761</v>
      </c>
      <c r="H4742" s="118" t="s">
        <v>3345</v>
      </c>
      <c r="I4742" s="118" t="s">
        <v>5226</v>
      </c>
      <c r="J4742" s="118" t="s">
        <v>8213</v>
      </c>
      <c r="K4742" s="141"/>
      <c r="L4742" s="135" t="str">
        <f t="shared" si="266"/>
        <v>Kogia simus</v>
      </c>
      <c r="M4742" s="133">
        <f t="shared" si="265"/>
        <v>5.2626092738450554</v>
      </c>
      <c r="N4742" s="133">
        <f>AVERAGE(136100, 209100, 204000)</f>
        <v>183066.66666666666</v>
      </c>
      <c r="O4742" s="179" t="s">
        <v>6872</v>
      </c>
      <c r="P4742" s="108">
        <v>79</v>
      </c>
      <c r="Q4742" s="88"/>
    </row>
    <row r="4743" spans="1:22" ht="12" customHeight="1">
      <c r="A4743" s="118" t="s">
        <v>8151</v>
      </c>
      <c r="B4743" s="166"/>
      <c r="C4743" s="118" t="s">
        <v>3817</v>
      </c>
      <c r="D4743" s="141"/>
      <c r="E4743" s="118"/>
      <c r="F4743" s="118"/>
      <c r="G4743" s="118" t="s">
        <v>6761</v>
      </c>
      <c r="H4743" s="118" t="s">
        <v>3345</v>
      </c>
      <c r="I4743" s="118" t="s">
        <v>5226</v>
      </c>
      <c r="J4743" s="118" t="s">
        <v>4269</v>
      </c>
      <c r="K4743" s="141"/>
      <c r="L4743" s="135" t="str">
        <f t="shared" si="266"/>
        <v>Kogia breviceps</v>
      </c>
      <c r="M4743" s="133">
        <f t="shared" si="265"/>
        <v>5.6349808000512285</v>
      </c>
      <c r="N4743" s="133">
        <f>AVERAGE(500000, 363000)</f>
        <v>431500</v>
      </c>
      <c r="O4743" s="179" t="s">
        <v>3356</v>
      </c>
      <c r="P4743" s="108" t="s">
        <v>6948</v>
      </c>
      <c r="Q4743" s="88" t="s">
        <v>7880</v>
      </c>
    </row>
    <row r="4744" spans="1:22" ht="12" customHeight="1">
      <c r="A4744" s="118" t="s">
        <v>8151</v>
      </c>
      <c r="B4744" s="166"/>
      <c r="C4744" s="118" t="s">
        <v>3817</v>
      </c>
      <c r="D4744" s="141"/>
      <c r="E4744" s="118"/>
      <c r="F4744" s="118"/>
      <c r="G4744" s="118" t="s">
        <v>6761</v>
      </c>
      <c r="H4744" s="118" t="s">
        <v>3345</v>
      </c>
      <c r="I4744" s="118" t="s">
        <v>8297</v>
      </c>
      <c r="J4744" s="118" t="s">
        <v>5649</v>
      </c>
      <c r="K4744" s="141"/>
      <c r="L4744" s="135" t="str">
        <f t="shared" si="266"/>
        <v>Physeter catodon</v>
      </c>
      <c r="M4744" s="133">
        <f t="shared" si="265"/>
        <v>7.1469028699281987</v>
      </c>
      <c r="N4744" s="133">
        <v>14025000</v>
      </c>
      <c r="O4744" s="179"/>
      <c r="P4744" s="108">
        <v>68</v>
      </c>
      <c r="Q4744" s="88"/>
    </row>
    <row r="4745" spans="1:22" ht="12" customHeight="1">
      <c r="A4745" s="118" t="s">
        <v>8151</v>
      </c>
      <c r="B4745" s="166"/>
      <c r="C4745" s="118" t="s">
        <v>3817</v>
      </c>
      <c r="D4745" s="141"/>
      <c r="E4745" s="118"/>
      <c r="F4745" s="118"/>
      <c r="G4745" s="118" t="s">
        <v>6761</v>
      </c>
      <c r="H4745" s="118" t="s">
        <v>3346</v>
      </c>
      <c r="I4745" s="118" t="s">
        <v>5227</v>
      </c>
      <c r="J4745" s="118" t="s">
        <v>5228</v>
      </c>
      <c r="K4745" s="141"/>
      <c r="L4745" s="135" t="str">
        <f t="shared" si="266"/>
        <v>Inia geoffrensis</v>
      </c>
      <c r="M4745" s="133">
        <f t="shared" si="265"/>
        <v>5.1114305517659799</v>
      </c>
      <c r="N4745" s="133">
        <f>AVERAGE(160000, 98500)</f>
        <v>129250</v>
      </c>
      <c r="O4745" s="179" t="s">
        <v>8315</v>
      </c>
      <c r="P4745" s="108">
        <v>89</v>
      </c>
      <c r="Q4745" s="88"/>
    </row>
    <row r="4746" spans="1:22" ht="12" customHeight="1">
      <c r="A4746" s="118" t="s">
        <v>8151</v>
      </c>
      <c r="B4746" s="166"/>
      <c r="C4746" s="118" t="s">
        <v>3817</v>
      </c>
      <c r="D4746" s="141"/>
      <c r="E4746" s="118"/>
      <c r="F4746" s="118"/>
      <c r="G4746" s="118" t="s">
        <v>6761</v>
      </c>
      <c r="H4746" s="118" t="s">
        <v>3346</v>
      </c>
      <c r="I4746" s="118" t="s">
        <v>8147</v>
      </c>
      <c r="J4746" s="118" t="s">
        <v>5810</v>
      </c>
      <c r="K4746" s="141"/>
      <c r="L4746" s="135" t="str">
        <f t="shared" si="266"/>
        <v>Lipotes vexillifer</v>
      </c>
      <c r="M4746" s="133">
        <f t="shared" si="265"/>
        <v>4.9216864754836021</v>
      </c>
      <c r="N4746" s="133">
        <v>83500</v>
      </c>
      <c r="O4746" s="179" t="s">
        <v>6736</v>
      </c>
      <c r="P4746" s="108">
        <v>68</v>
      </c>
      <c r="Q4746" s="88"/>
    </row>
    <row r="4747" spans="1:22" ht="12" customHeight="1">
      <c r="A4747" s="118" t="s">
        <v>8151</v>
      </c>
      <c r="B4747" s="166"/>
      <c r="C4747" s="118" t="s">
        <v>3817</v>
      </c>
      <c r="D4747" s="141"/>
      <c r="E4747" s="118"/>
      <c r="F4747" s="118"/>
      <c r="G4747" s="118" t="s">
        <v>6761</v>
      </c>
      <c r="H4747" s="118" t="s">
        <v>3346</v>
      </c>
      <c r="I4747" s="118" t="s">
        <v>5229</v>
      </c>
      <c r="J4747" s="118" t="s">
        <v>3078</v>
      </c>
      <c r="K4747" s="141"/>
      <c r="L4747" s="135" t="str">
        <f t="shared" si="266"/>
        <v>Platanista minor</v>
      </c>
      <c r="M4747" s="133">
        <f t="shared" si="265"/>
        <v>4.9238374976879662</v>
      </c>
      <c r="N4747" s="133">
        <f>185*453.5924</f>
        <v>83914.593999999997</v>
      </c>
      <c r="O4747" s="179" t="s">
        <v>3356</v>
      </c>
      <c r="P4747" s="108">
        <v>215</v>
      </c>
      <c r="Q4747" s="88"/>
    </row>
    <row r="4748" spans="1:22" ht="12" customHeight="1">
      <c r="A4748" s="118" t="s">
        <v>8151</v>
      </c>
      <c r="B4748" s="166"/>
      <c r="C4748" s="118" t="s">
        <v>3817</v>
      </c>
      <c r="D4748" s="141"/>
      <c r="E4748" s="118"/>
      <c r="F4748" s="118"/>
      <c r="G4748" s="118" t="s">
        <v>6761</v>
      </c>
      <c r="H4748" s="118" t="s">
        <v>3346</v>
      </c>
      <c r="I4748" s="118" t="s">
        <v>5229</v>
      </c>
      <c r="J4748" s="118" t="s">
        <v>5622</v>
      </c>
      <c r="K4748" s="141"/>
      <c r="L4748" s="135" t="str">
        <f t="shared" si="266"/>
        <v>Platanista gangetica</v>
      </c>
      <c r="M4748" s="133">
        <f t="shared" si="265"/>
        <v>5.0606978403536118</v>
      </c>
      <c r="N4748" s="133">
        <v>115000</v>
      </c>
      <c r="O4748" s="179" t="s">
        <v>3356</v>
      </c>
      <c r="P4748" s="108">
        <v>75</v>
      </c>
      <c r="Q4748" s="88"/>
    </row>
    <row r="4749" spans="1:22" ht="12" customHeight="1">
      <c r="A4749" s="118" t="s">
        <v>8151</v>
      </c>
      <c r="B4749" s="166"/>
      <c r="C4749" s="118" t="s">
        <v>3817</v>
      </c>
      <c r="D4749" s="141"/>
      <c r="E4749" s="118"/>
      <c r="F4749" s="118"/>
      <c r="G4749" s="118" t="s">
        <v>6761</v>
      </c>
      <c r="H4749" s="118" t="s">
        <v>3346</v>
      </c>
      <c r="I4749" s="118" t="s">
        <v>5666</v>
      </c>
      <c r="J4749" s="118" t="s">
        <v>3315</v>
      </c>
      <c r="K4749" s="141"/>
      <c r="L4749" s="135" t="str">
        <f t="shared" si="266"/>
        <v>Pontoporia blainvillei</v>
      </c>
      <c r="M4749" s="133">
        <f t="shared" si="265"/>
        <v>4.6074550232146683</v>
      </c>
      <c r="N4749" s="133">
        <v>40500</v>
      </c>
      <c r="O4749" s="179" t="s">
        <v>6736</v>
      </c>
      <c r="P4749" s="108">
        <v>68</v>
      </c>
      <c r="Q4749" s="88"/>
    </row>
    <row r="4750" spans="1:22" ht="12" customHeight="1">
      <c r="A4750" s="118" t="s">
        <v>8151</v>
      </c>
      <c r="B4750" s="166"/>
      <c r="C4750" s="118" t="s">
        <v>3817</v>
      </c>
      <c r="D4750" s="141"/>
      <c r="E4750" s="118"/>
      <c r="F4750" s="118"/>
      <c r="G4750" s="118" t="s">
        <v>6761</v>
      </c>
      <c r="H4750" s="118" t="s">
        <v>3538</v>
      </c>
      <c r="I4750" s="118" t="s">
        <v>5667</v>
      </c>
      <c r="J4750" s="118" t="s">
        <v>5623</v>
      </c>
      <c r="K4750" s="141"/>
      <c r="L4750" s="135" t="str">
        <f t="shared" si="266"/>
        <v>Berardius arnuxii</v>
      </c>
      <c r="M4750" s="133">
        <f t="shared" si="265"/>
        <v>6.8450980400142569</v>
      </c>
      <c r="N4750" s="133">
        <v>7000000</v>
      </c>
      <c r="O4750" s="179" t="s">
        <v>3356</v>
      </c>
      <c r="P4750" s="108">
        <v>106</v>
      </c>
      <c r="Q4750" s="88"/>
    </row>
    <row r="4751" spans="1:22" ht="12" customHeight="1">
      <c r="A4751" s="118" t="s">
        <v>8151</v>
      </c>
      <c r="B4751" s="166"/>
      <c r="C4751" s="118" t="s">
        <v>3817</v>
      </c>
      <c r="D4751" s="141"/>
      <c r="E4751" s="118"/>
      <c r="F4751" s="118"/>
      <c r="G4751" s="118" t="s">
        <v>6761</v>
      </c>
      <c r="H4751" s="118" t="s">
        <v>3538</v>
      </c>
      <c r="I4751" s="118" t="s">
        <v>5667</v>
      </c>
      <c r="J4751" s="118" t="s">
        <v>1944</v>
      </c>
      <c r="K4751" s="141"/>
      <c r="L4751" s="135" t="str">
        <f t="shared" si="266"/>
        <v>Berardius bairdii</v>
      </c>
      <c r="M4751" s="133">
        <f t="shared" si="265"/>
        <v>7.0561422620590522</v>
      </c>
      <c r="N4751" s="133">
        <v>11380000</v>
      </c>
      <c r="O4751" s="179" t="s">
        <v>6736</v>
      </c>
      <c r="P4751" s="108">
        <v>68</v>
      </c>
      <c r="Q4751" s="88"/>
      <c r="S4751" s="92"/>
    </row>
    <row r="4752" spans="1:22" ht="12" customHeight="1">
      <c r="A4752" s="118" t="s">
        <v>8151</v>
      </c>
      <c r="B4752" s="166"/>
      <c r="C4752" s="118" t="s">
        <v>3817</v>
      </c>
      <c r="D4752" s="141"/>
      <c r="E4752" s="118"/>
      <c r="F4752" s="118"/>
      <c r="G4752" s="118" t="s">
        <v>6761</v>
      </c>
      <c r="H4752" s="118" t="s">
        <v>3538</v>
      </c>
      <c r="I4752" s="118" t="s">
        <v>6029</v>
      </c>
      <c r="J4752" s="118" t="s">
        <v>4154</v>
      </c>
      <c r="K4752" s="141"/>
      <c r="L4752" s="135" t="str">
        <f t="shared" si="266"/>
        <v>Hyperoodon planifrons</v>
      </c>
      <c r="M4752" s="133">
        <f t="shared" si="265"/>
        <v>6.4771212547196626</v>
      </c>
      <c r="N4752" s="133">
        <v>3000000</v>
      </c>
      <c r="O4752" s="179" t="s">
        <v>3356</v>
      </c>
      <c r="P4752" s="108">
        <v>106</v>
      </c>
      <c r="Q4752" s="88"/>
    </row>
    <row r="4753" spans="1:18" ht="12" customHeight="1">
      <c r="A4753" s="118" t="s">
        <v>8151</v>
      </c>
      <c r="B4753" s="166"/>
      <c r="C4753" s="118" t="s">
        <v>3817</v>
      </c>
      <c r="D4753" s="141"/>
      <c r="E4753" s="118"/>
      <c r="F4753" s="118"/>
      <c r="G4753" s="118" t="s">
        <v>6761</v>
      </c>
      <c r="H4753" s="118" t="s">
        <v>3538</v>
      </c>
      <c r="I4753" s="118" t="s">
        <v>6029</v>
      </c>
      <c r="J4753" s="118" t="s">
        <v>6030</v>
      </c>
      <c r="K4753" s="141"/>
      <c r="L4753" s="135" t="str">
        <f t="shared" si="266"/>
        <v>Hyperoodon ampullatus</v>
      </c>
      <c r="M4753" s="133">
        <f t="shared" si="265"/>
        <v>6.7634279935629369</v>
      </c>
      <c r="N4753" s="133">
        <v>5800000</v>
      </c>
      <c r="O4753" s="179" t="s">
        <v>6736</v>
      </c>
      <c r="P4753" s="108">
        <v>68</v>
      </c>
      <c r="Q4753" s="88"/>
    </row>
    <row r="4754" spans="1:18" ht="12" customHeight="1">
      <c r="A4754" s="118" t="s">
        <v>8151</v>
      </c>
      <c r="B4754" s="166"/>
      <c r="C4754" s="118" t="s">
        <v>3817</v>
      </c>
      <c r="D4754" s="141"/>
      <c r="E4754" s="118"/>
      <c r="F4754" s="118"/>
      <c r="G4754" s="118" t="s">
        <v>6761</v>
      </c>
      <c r="H4754" s="118" t="s">
        <v>3538</v>
      </c>
      <c r="I4754" s="118" t="s">
        <v>5624</v>
      </c>
      <c r="J4754" s="118" t="s">
        <v>6027</v>
      </c>
      <c r="K4754" s="141"/>
      <c r="L4754" s="135" t="str">
        <f t="shared" si="266"/>
        <v>Indopacetus pacificus</v>
      </c>
      <c r="M4754" s="133">
        <f t="shared" si="265"/>
        <v>6.3424226808222066</v>
      </c>
      <c r="N4754" s="133">
        <v>2200000</v>
      </c>
      <c r="O4754" s="179" t="s">
        <v>3356</v>
      </c>
      <c r="P4754" s="108">
        <v>137</v>
      </c>
      <c r="Q4754" s="88"/>
    </row>
    <row r="4755" spans="1:18" ht="12" customHeight="1">
      <c r="A4755" s="118" t="s">
        <v>8151</v>
      </c>
      <c r="B4755" s="166"/>
      <c r="C4755" s="118" t="s">
        <v>3817</v>
      </c>
      <c r="D4755" s="141"/>
      <c r="E4755" s="118"/>
      <c r="F4755" s="118"/>
      <c r="G4755" s="118" t="s">
        <v>6761</v>
      </c>
      <c r="H4755" s="118" t="s">
        <v>3538</v>
      </c>
      <c r="I4755" s="118" t="s">
        <v>5625</v>
      </c>
      <c r="J4755" s="118" t="s">
        <v>5412</v>
      </c>
      <c r="K4755" s="141"/>
      <c r="L4755" s="135" t="str">
        <f t="shared" si="266"/>
        <v>Mesoplodon peruvianus</v>
      </c>
      <c r="M4755" s="133">
        <v>-999</v>
      </c>
      <c r="N4755" s="133">
        <v>-999</v>
      </c>
      <c r="O4755" s="179" t="s">
        <v>3356</v>
      </c>
      <c r="P4755" s="108">
        <v>-999</v>
      </c>
      <c r="Q4755" s="88"/>
    </row>
    <row r="4756" spans="1:18" ht="12" customHeight="1">
      <c r="A4756" s="118" t="s">
        <v>8151</v>
      </c>
      <c r="B4756" s="166"/>
      <c r="C4756" s="118" t="s">
        <v>3817</v>
      </c>
      <c r="D4756" s="141"/>
      <c r="E4756" s="118"/>
      <c r="F4756" s="118"/>
      <c r="G4756" s="118" t="s">
        <v>6761</v>
      </c>
      <c r="H4756" s="118" t="s">
        <v>3538</v>
      </c>
      <c r="I4756" s="118" t="s">
        <v>5625</v>
      </c>
      <c r="J4756" s="118" t="s">
        <v>5641</v>
      </c>
      <c r="K4756" s="141"/>
      <c r="L4756" s="135" t="str">
        <f t="shared" si="266"/>
        <v>Mesoplodon hectori</v>
      </c>
      <c r="M4756" s="133">
        <f t="shared" ref="M4756:M4787" si="267">LOG(N4756)</f>
        <v>6</v>
      </c>
      <c r="N4756" s="133">
        <v>1000000</v>
      </c>
      <c r="O4756" s="179" t="s">
        <v>3356</v>
      </c>
      <c r="P4756" s="108">
        <v>106</v>
      </c>
      <c r="Q4756" s="88"/>
    </row>
    <row r="4757" spans="1:18" ht="12" customHeight="1">
      <c r="A4757" s="118" t="s">
        <v>8151</v>
      </c>
      <c r="B4757" s="166"/>
      <c r="C4757" s="118" t="s">
        <v>3817</v>
      </c>
      <c r="D4757" s="141"/>
      <c r="E4757" s="118"/>
      <c r="F4757" s="118"/>
      <c r="G4757" s="118" t="s">
        <v>6761</v>
      </c>
      <c r="H4757" s="118" t="s">
        <v>3538</v>
      </c>
      <c r="I4757" s="118" t="s">
        <v>5625</v>
      </c>
      <c r="J4757" s="118" t="s">
        <v>5832</v>
      </c>
      <c r="K4757" s="141"/>
      <c r="L4757" s="135" t="str">
        <f t="shared" si="266"/>
        <v>Mesoplodon ginkgodens</v>
      </c>
      <c r="M4757" s="133">
        <f t="shared" si="267"/>
        <v>6.1760912590556813</v>
      </c>
      <c r="N4757" s="133">
        <v>1500000</v>
      </c>
      <c r="O4757" s="179" t="s">
        <v>3356</v>
      </c>
      <c r="P4757" s="108">
        <v>137</v>
      </c>
      <c r="Q4757" s="88"/>
    </row>
    <row r="4758" spans="1:18" ht="12" customHeight="1">
      <c r="A4758" s="118" t="s">
        <v>8151</v>
      </c>
      <c r="B4758" s="166"/>
      <c r="C4758" s="118" t="s">
        <v>3817</v>
      </c>
      <c r="D4758" s="141"/>
      <c r="E4758" s="118"/>
      <c r="F4758" s="118"/>
      <c r="G4758" s="118" t="s">
        <v>6761</v>
      </c>
      <c r="H4758" s="118" t="s">
        <v>3538</v>
      </c>
      <c r="I4758" s="118" t="s">
        <v>5625</v>
      </c>
      <c r="J4758" s="118" t="s">
        <v>5654</v>
      </c>
      <c r="K4758" s="141"/>
      <c r="L4758" s="135" t="str">
        <f t="shared" si="266"/>
        <v>Mesoplodon layardii</v>
      </c>
      <c r="M4758" s="133">
        <f t="shared" si="267"/>
        <v>6.1760912590556813</v>
      </c>
      <c r="N4758" s="133">
        <v>1500000</v>
      </c>
      <c r="O4758" s="179" t="s">
        <v>3356</v>
      </c>
      <c r="P4758" s="108">
        <v>106</v>
      </c>
      <c r="Q4758" s="88"/>
    </row>
    <row r="4759" spans="1:18" ht="12" customHeight="1">
      <c r="A4759" s="118" t="s">
        <v>8151</v>
      </c>
      <c r="B4759" s="166"/>
      <c r="C4759" s="118" t="s">
        <v>3817</v>
      </c>
      <c r="D4759" s="141"/>
      <c r="E4759" s="118"/>
      <c r="F4759" s="118"/>
      <c r="G4759" s="118" t="s">
        <v>6761</v>
      </c>
      <c r="H4759" s="118" t="s">
        <v>3538</v>
      </c>
      <c r="I4759" s="118" t="s">
        <v>5625</v>
      </c>
      <c r="J4759" s="118" t="s">
        <v>5655</v>
      </c>
      <c r="K4759" s="141"/>
      <c r="L4759" s="135" t="str">
        <f t="shared" si="266"/>
        <v>Mesoplodon mirus</v>
      </c>
      <c r="M4759" s="133">
        <f t="shared" si="267"/>
        <v>6.3222192947339195</v>
      </c>
      <c r="N4759" s="133">
        <f>AVERAGE(1000000, 3200000)</f>
        <v>2100000</v>
      </c>
      <c r="O4759" s="179" t="s">
        <v>3356</v>
      </c>
      <c r="P4759" s="108" t="s">
        <v>6948</v>
      </c>
      <c r="Q4759" s="88" t="s">
        <v>6885</v>
      </c>
    </row>
    <row r="4760" spans="1:18" ht="12" customHeight="1">
      <c r="A4760" s="118" t="s">
        <v>8151</v>
      </c>
      <c r="B4760" s="166"/>
      <c r="C4760" s="118" t="s">
        <v>3817</v>
      </c>
      <c r="D4760" s="141"/>
      <c r="E4760" s="118"/>
      <c r="F4760" s="118"/>
      <c r="G4760" s="118" t="s">
        <v>6761</v>
      </c>
      <c r="H4760" s="118" t="s">
        <v>3538</v>
      </c>
      <c r="I4760" s="118" t="s">
        <v>5625</v>
      </c>
      <c r="J4760" s="118" t="s">
        <v>5621</v>
      </c>
      <c r="K4760" s="141"/>
      <c r="L4760" s="135" t="str">
        <f t="shared" si="266"/>
        <v>Mesoplodon densirostris</v>
      </c>
      <c r="M4760" s="133">
        <f t="shared" si="267"/>
        <v>6.3617278360175931</v>
      </c>
      <c r="N4760" s="133">
        <f>AVERAGE(1000000, 3600000)</f>
        <v>2300000</v>
      </c>
      <c r="O4760" s="179" t="s">
        <v>3356</v>
      </c>
      <c r="P4760" s="108" t="s">
        <v>6948</v>
      </c>
      <c r="Q4760" s="88" t="s">
        <v>6665</v>
      </c>
    </row>
    <row r="4761" spans="1:18" ht="12" customHeight="1">
      <c r="A4761" s="118" t="s">
        <v>8151</v>
      </c>
      <c r="B4761" s="166"/>
      <c r="C4761" s="118" t="s">
        <v>3817</v>
      </c>
      <c r="D4761" s="141"/>
      <c r="E4761" s="118"/>
      <c r="F4761" s="118"/>
      <c r="G4761" s="118" t="s">
        <v>6761</v>
      </c>
      <c r="H4761" s="118" t="s">
        <v>3538</v>
      </c>
      <c r="I4761" s="118" t="s">
        <v>5625</v>
      </c>
      <c r="J4761" s="118" t="s">
        <v>5611</v>
      </c>
      <c r="K4761" s="141"/>
      <c r="L4761" s="135" t="str">
        <f t="shared" si="266"/>
        <v>Mesoplodon bowdoini</v>
      </c>
      <c r="M4761" s="133">
        <f t="shared" si="267"/>
        <v>6.4149733479708182</v>
      </c>
      <c r="N4761" s="133">
        <f>2.6*1000*1000</f>
        <v>2600000</v>
      </c>
      <c r="O4761" s="179" t="s">
        <v>1096</v>
      </c>
      <c r="P4761" s="108">
        <v>141</v>
      </c>
      <c r="Q4761" s="88"/>
    </row>
    <row r="4762" spans="1:18" ht="12" customHeight="1">
      <c r="A4762" s="118" t="s">
        <v>8151</v>
      </c>
      <c r="B4762" s="166"/>
      <c r="C4762" s="118" t="s">
        <v>3817</v>
      </c>
      <c r="D4762" s="141"/>
      <c r="E4762" s="118"/>
      <c r="F4762" s="118"/>
      <c r="G4762" s="118" t="s">
        <v>6761</v>
      </c>
      <c r="H4762" s="118" t="s">
        <v>3538</v>
      </c>
      <c r="I4762" s="118" t="s">
        <v>5625</v>
      </c>
      <c r="J4762" s="118" t="s">
        <v>5883</v>
      </c>
      <c r="K4762" s="141"/>
      <c r="L4762" s="135" t="str">
        <f t="shared" si="266"/>
        <v>Mesoplodon grayi</v>
      </c>
      <c r="M4762" s="133">
        <f t="shared" si="267"/>
        <v>6.4623979978989565</v>
      </c>
      <c r="N4762" s="133">
        <f>AVERAGE(1000000, 4800000)</f>
        <v>2900000</v>
      </c>
      <c r="O4762" s="179" t="s">
        <v>3356</v>
      </c>
      <c r="P4762" s="108" t="s">
        <v>6948</v>
      </c>
      <c r="Q4762" s="88" t="s">
        <v>6664</v>
      </c>
    </row>
    <row r="4763" spans="1:18" ht="12" customHeight="1">
      <c r="A4763" s="118" t="s">
        <v>8151</v>
      </c>
      <c r="B4763" s="166"/>
      <c r="C4763" s="118" t="s">
        <v>3817</v>
      </c>
      <c r="D4763" s="141"/>
      <c r="E4763" s="118"/>
      <c r="F4763" s="118"/>
      <c r="G4763" s="118" t="s">
        <v>6761</v>
      </c>
      <c r="H4763" s="118" t="s">
        <v>3538</v>
      </c>
      <c r="I4763" s="118" t="s">
        <v>5625</v>
      </c>
      <c r="J4763" s="118" t="s">
        <v>5610</v>
      </c>
      <c r="K4763" s="141"/>
      <c r="L4763" s="135" t="str">
        <f t="shared" si="266"/>
        <v>Mesoplodon bidens</v>
      </c>
      <c r="M4763" s="133">
        <f t="shared" si="267"/>
        <v>6.5314789170422554</v>
      </c>
      <c r="N4763" s="133">
        <f>3.4*1000*1000</f>
        <v>3400000</v>
      </c>
      <c r="O4763" s="179" t="s">
        <v>3356</v>
      </c>
      <c r="P4763" s="108">
        <v>134</v>
      </c>
      <c r="Q4763" s="88" t="s">
        <v>6884</v>
      </c>
      <c r="R4763" s="91"/>
    </row>
    <row r="4764" spans="1:18" ht="12" customHeight="1">
      <c r="A4764" s="118" t="s">
        <v>8151</v>
      </c>
      <c r="B4764" s="166"/>
      <c r="C4764" s="118" t="s">
        <v>3817</v>
      </c>
      <c r="D4764" s="141"/>
      <c r="E4764" s="118"/>
      <c r="F4764" s="118"/>
      <c r="G4764" s="118" t="s">
        <v>6761</v>
      </c>
      <c r="H4764" s="118" t="s">
        <v>3538</v>
      </c>
      <c r="I4764" s="118" t="s">
        <v>5625</v>
      </c>
      <c r="J4764" s="118" t="s">
        <v>5360</v>
      </c>
      <c r="K4764" s="141"/>
      <c r="L4764" s="135" t="str">
        <f t="shared" si="266"/>
        <v>Mesoplodon carlhubbsi</v>
      </c>
      <c r="M4764" s="133">
        <f t="shared" si="267"/>
        <v>6.5314789170422554</v>
      </c>
      <c r="N4764" s="142">
        <f>3.4*1000*1000</f>
        <v>3400000</v>
      </c>
      <c r="P4764" s="119">
        <v>141</v>
      </c>
      <c r="Q4764" s="88"/>
    </row>
    <row r="4765" spans="1:18" ht="12" customHeight="1">
      <c r="A4765" s="118" t="s">
        <v>8151</v>
      </c>
      <c r="B4765" s="166"/>
      <c r="C4765" s="118" t="s">
        <v>3817</v>
      </c>
      <c r="D4765" s="141"/>
      <c r="E4765" s="118"/>
      <c r="F4765" s="118"/>
      <c r="G4765" s="118" t="s">
        <v>6761</v>
      </c>
      <c r="H4765" s="118" t="s">
        <v>3538</v>
      </c>
      <c r="I4765" s="118" t="s">
        <v>5625</v>
      </c>
      <c r="J4765" s="118" t="s">
        <v>5413</v>
      </c>
      <c r="K4765" s="141"/>
      <c r="L4765" s="135" t="str">
        <f t="shared" si="266"/>
        <v>Mesoplodon stejnegeri</v>
      </c>
      <c r="M4765" s="133">
        <f t="shared" si="267"/>
        <v>6.6812412373755876</v>
      </c>
      <c r="N4765" s="133">
        <f>4.8*1000*1000</f>
        <v>4800000</v>
      </c>
      <c r="O4765" s="179" t="s">
        <v>6664</v>
      </c>
      <c r="P4765" s="108">
        <v>141</v>
      </c>
      <c r="Q4765" s="88"/>
    </row>
    <row r="4766" spans="1:18" ht="12" customHeight="1">
      <c r="A4766" s="118" t="s">
        <v>8151</v>
      </c>
      <c r="B4766" s="166"/>
      <c r="C4766" s="118" t="s">
        <v>3817</v>
      </c>
      <c r="D4766" s="141"/>
      <c r="E4766" s="118"/>
      <c r="F4766" s="118"/>
      <c r="G4766" s="118" t="s">
        <v>6761</v>
      </c>
      <c r="H4766" s="118" t="s">
        <v>3538</v>
      </c>
      <c r="I4766" s="118" t="s">
        <v>5625</v>
      </c>
      <c r="J4766" s="118" t="s">
        <v>8140</v>
      </c>
      <c r="K4766" s="141"/>
      <c r="L4766" s="135" t="str">
        <f t="shared" si="266"/>
        <v>Mesoplodon europaeus</v>
      </c>
      <c r="M4766" s="133">
        <f t="shared" si="267"/>
        <v>6.7481880270062007</v>
      </c>
      <c r="N4766" s="133">
        <f>5600*1000</f>
        <v>5600000</v>
      </c>
      <c r="O4766" s="179" t="s">
        <v>3356</v>
      </c>
      <c r="P4766" s="108">
        <v>134</v>
      </c>
      <c r="Q4766" s="88" t="s">
        <v>6661</v>
      </c>
      <c r="R4766" s="90"/>
    </row>
    <row r="4767" spans="1:18">
      <c r="A4767" s="118" t="s">
        <v>8151</v>
      </c>
      <c r="B4767" s="166"/>
      <c r="C4767" s="118" t="s">
        <v>3817</v>
      </c>
      <c r="D4767" s="141"/>
      <c r="E4767" s="118"/>
      <c r="F4767" s="118"/>
      <c r="G4767" s="118" t="s">
        <v>6761</v>
      </c>
      <c r="H4767" s="118" t="s">
        <v>3538</v>
      </c>
      <c r="I4767" s="118" t="s">
        <v>5414</v>
      </c>
      <c r="J4767" s="118" t="s">
        <v>5423</v>
      </c>
      <c r="K4767" s="141"/>
      <c r="L4767" s="135" t="str">
        <f t="shared" si="266"/>
        <v>Tasmacetus shepherdi</v>
      </c>
      <c r="M4767" s="133">
        <f t="shared" si="267"/>
        <v>6.3979400086720375</v>
      </c>
      <c r="N4767" s="133">
        <v>2500000</v>
      </c>
      <c r="O4767" s="179" t="s">
        <v>3356</v>
      </c>
      <c r="P4767" s="108">
        <v>137</v>
      </c>
      <c r="Q4767" s="80"/>
    </row>
    <row r="4768" spans="1:18" ht="45">
      <c r="A4768" s="118" t="s">
        <v>8151</v>
      </c>
      <c r="B4768" s="166"/>
      <c r="C4768" s="118" t="s">
        <v>3817</v>
      </c>
      <c r="D4768" s="141"/>
      <c r="E4768" s="118"/>
      <c r="F4768" s="118"/>
      <c r="G4768" s="118" t="s">
        <v>6761</v>
      </c>
      <c r="H4768" s="118" t="s">
        <v>3538</v>
      </c>
      <c r="I4768" s="118" t="s">
        <v>5490</v>
      </c>
      <c r="J4768" s="118" t="s">
        <v>5491</v>
      </c>
      <c r="K4768" s="141"/>
      <c r="L4768" s="135" t="str">
        <f t="shared" si="266"/>
        <v>Ziphius cavirostris</v>
      </c>
      <c r="M4768" s="133">
        <f t="shared" si="267"/>
        <v>6.6789733759197656</v>
      </c>
      <c r="N4768" s="133">
        <f>AVERAGE(3500000, 6050000)</f>
        <v>4775000</v>
      </c>
      <c r="O4768" s="179" t="s">
        <v>3356</v>
      </c>
      <c r="P4768" s="108" t="s">
        <v>6948</v>
      </c>
      <c r="Q4768" s="88" t="s">
        <v>6660</v>
      </c>
    </row>
    <row r="4769" spans="1:19" ht="15" customHeight="1">
      <c r="A4769" s="134" t="s">
        <v>7297</v>
      </c>
      <c r="B4769" s="290"/>
      <c r="C4769" s="136" t="s">
        <v>5092</v>
      </c>
      <c r="D4769" s="220"/>
      <c r="E4769" s="136"/>
      <c r="F4769" s="136"/>
      <c r="G4769" s="134" t="s">
        <v>3001</v>
      </c>
      <c r="H4769" s="134" t="s">
        <v>7465</v>
      </c>
      <c r="I4769" s="134" t="s">
        <v>2418</v>
      </c>
      <c r="J4769" s="134" t="s">
        <v>2419</v>
      </c>
      <c r="K4769" s="135"/>
      <c r="L4769" s="135" t="str">
        <f t="shared" si="266"/>
        <v>Eulamaops parallelus</v>
      </c>
      <c r="M4769" s="133">
        <f t="shared" si="267"/>
        <v>5.1760912590556813</v>
      </c>
      <c r="N4769" s="137">
        <v>150000</v>
      </c>
      <c r="O4769" s="180"/>
      <c r="P4769" s="110" t="s">
        <v>1869</v>
      </c>
      <c r="Q4769" s="91"/>
    </row>
    <row r="4770" spans="1:19" ht="15" customHeight="1">
      <c r="A4770" s="134" t="s">
        <v>7297</v>
      </c>
      <c r="B4770" s="290"/>
      <c r="C4770" s="136" t="s">
        <v>5092</v>
      </c>
      <c r="D4770" s="220"/>
      <c r="E4770" s="136"/>
      <c r="F4770" s="136"/>
      <c r="G4770" s="134" t="s">
        <v>3001</v>
      </c>
      <c r="H4770" s="134" t="s">
        <v>7465</v>
      </c>
      <c r="I4770" s="134" t="s">
        <v>4245</v>
      </c>
      <c r="J4770" s="134" t="s">
        <v>2420</v>
      </c>
      <c r="K4770" s="135"/>
      <c r="L4770" s="135" t="str">
        <f t="shared" si="266"/>
        <v>Hemiauchenia paradoxa</v>
      </c>
      <c r="M4770" s="133">
        <f t="shared" si="267"/>
        <v>6</v>
      </c>
      <c r="N4770" s="137">
        <v>1000000</v>
      </c>
      <c r="O4770" s="180"/>
      <c r="P4770" s="110" t="s">
        <v>1126</v>
      </c>
      <c r="Q4770" s="91"/>
    </row>
    <row r="4771" spans="1:19" ht="15" customHeight="1">
      <c r="A4771" s="134" t="s">
        <v>7297</v>
      </c>
      <c r="B4771" s="290"/>
      <c r="C4771" s="136" t="s">
        <v>5092</v>
      </c>
      <c r="D4771" s="220"/>
      <c r="E4771" s="136"/>
      <c r="F4771" s="136"/>
      <c r="G4771" s="134" t="s">
        <v>3001</v>
      </c>
      <c r="H4771" s="134" t="s">
        <v>7465</v>
      </c>
      <c r="I4771" s="134" t="s">
        <v>4271</v>
      </c>
      <c r="J4771" s="134" t="s">
        <v>7388</v>
      </c>
      <c r="K4771" s="135"/>
      <c r="L4771" s="135" t="str">
        <f t="shared" si="266"/>
        <v>Palaeolama spp.</v>
      </c>
      <c r="M4771" s="133">
        <f t="shared" si="267"/>
        <v>6</v>
      </c>
      <c r="N4771" s="137">
        <v>1000000</v>
      </c>
      <c r="O4771" s="180"/>
      <c r="P4771" s="110">
        <v>40</v>
      </c>
      <c r="Q4771" s="91"/>
    </row>
    <row r="4772" spans="1:19" ht="15" customHeight="1">
      <c r="A4772" s="134" t="s">
        <v>7297</v>
      </c>
      <c r="B4772" s="290"/>
      <c r="C4772" s="136" t="s">
        <v>5092</v>
      </c>
      <c r="D4772" s="220"/>
      <c r="E4772" s="136"/>
      <c r="F4772" s="136"/>
      <c r="G4772" s="134" t="s">
        <v>3001</v>
      </c>
      <c r="H4772" s="134" t="s">
        <v>3905</v>
      </c>
      <c r="I4772" s="134" t="s">
        <v>2421</v>
      </c>
      <c r="J4772" s="134" t="s">
        <v>7388</v>
      </c>
      <c r="K4772" s="135"/>
      <c r="L4772" s="135" t="str">
        <f t="shared" si="266"/>
        <v>Agalmaceros spp.</v>
      </c>
      <c r="M4772" s="133">
        <f t="shared" si="267"/>
        <v>4.7781512503836439</v>
      </c>
      <c r="N4772" s="137">
        <v>60000</v>
      </c>
      <c r="O4772" s="180"/>
      <c r="P4772" s="109" t="s">
        <v>1041</v>
      </c>
      <c r="Q4772" s="91"/>
    </row>
    <row r="4773" spans="1:19" ht="15" customHeight="1">
      <c r="A4773" s="134" t="s">
        <v>7297</v>
      </c>
      <c r="B4773" s="290"/>
      <c r="C4773" s="136" t="s">
        <v>5092</v>
      </c>
      <c r="D4773" s="220"/>
      <c r="E4773" s="136"/>
      <c r="F4773" s="136"/>
      <c r="G4773" s="134" t="s">
        <v>3001</v>
      </c>
      <c r="H4773" s="134" t="s">
        <v>3905</v>
      </c>
      <c r="I4773" s="134" t="s">
        <v>2422</v>
      </c>
      <c r="J4773" s="134" t="s">
        <v>7388</v>
      </c>
      <c r="K4773" s="135"/>
      <c r="L4773" s="135" t="str">
        <f t="shared" si="266"/>
        <v>Charitoceros spp.</v>
      </c>
      <c r="M4773" s="133">
        <f t="shared" si="267"/>
        <v>4.7781512503836439</v>
      </c>
      <c r="N4773" s="137">
        <v>60000</v>
      </c>
      <c r="O4773" s="180"/>
      <c r="P4773" s="110" t="s">
        <v>1041</v>
      </c>
      <c r="Q4773" s="91"/>
    </row>
    <row r="4774" spans="1:19" ht="15" customHeight="1">
      <c r="A4774" s="134" t="s">
        <v>7297</v>
      </c>
      <c r="B4774" s="290"/>
      <c r="C4774" s="136" t="s">
        <v>5092</v>
      </c>
      <c r="D4774" s="220"/>
      <c r="E4774" s="136"/>
      <c r="F4774" s="136"/>
      <c r="G4774" s="134" t="s">
        <v>3001</v>
      </c>
      <c r="H4774" s="134" t="s">
        <v>3905</v>
      </c>
      <c r="I4774" s="134" t="s">
        <v>2453</v>
      </c>
      <c r="J4774" s="134" t="s">
        <v>5961</v>
      </c>
      <c r="K4774" s="135"/>
      <c r="L4774" s="135" t="str">
        <f t="shared" si="266"/>
        <v>Morenelaphus axpeitianus</v>
      </c>
      <c r="M4774" s="133">
        <f t="shared" si="267"/>
        <v>4.6989700043360187</v>
      </c>
      <c r="N4774" s="137">
        <v>50000</v>
      </c>
      <c r="O4774" s="180"/>
      <c r="P4774" s="109" t="s">
        <v>1869</v>
      </c>
      <c r="Q4774" s="91"/>
    </row>
    <row r="4775" spans="1:19" ht="15" customHeight="1">
      <c r="A4775" s="134" t="s">
        <v>7297</v>
      </c>
      <c r="B4775" s="290"/>
      <c r="C4775" s="136" t="s">
        <v>5092</v>
      </c>
      <c r="D4775" s="220"/>
      <c r="E4775" s="136"/>
      <c r="F4775" s="136"/>
      <c r="G4775" s="134" t="s">
        <v>3001</v>
      </c>
      <c r="H4775" s="134" t="s">
        <v>3905</v>
      </c>
      <c r="I4775" s="134" t="s">
        <v>2453</v>
      </c>
      <c r="J4775" s="134" t="s">
        <v>2520</v>
      </c>
      <c r="K4775" s="135"/>
      <c r="L4775" s="135" t="str">
        <f t="shared" si="266"/>
        <v>Morenelaphus lujanensis</v>
      </c>
      <c r="M4775" s="133">
        <f t="shared" si="267"/>
        <v>4.6989700043360187</v>
      </c>
      <c r="N4775" s="137">
        <v>50000</v>
      </c>
      <c r="O4775" s="180"/>
      <c r="P4775" s="110">
        <v>39</v>
      </c>
      <c r="Q4775" s="91"/>
    </row>
    <row r="4776" spans="1:19" ht="15" customHeight="1">
      <c r="A4776" s="134" t="s">
        <v>7297</v>
      </c>
      <c r="B4776" s="290"/>
      <c r="C4776" s="136" t="s">
        <v>5092</v>
      </c>
      <c r="D4776" s="220"/>
      <c r="E4776" s="136"/>
      <c r="F4776" s="136"/>
      <c r="G4776" s="134" t="s">
        <v>3001</v>
      </c>
      <c r="H4776" s="134" t="s">
        <v>3905</v>
      </c>
      <c r="I4776" s="134" t="s">
        <v>2269</v>
      </c>
      <c r="J4776" s="134" t="s">
        <v>7388</v>
      </c>
      <c r="K4776" s="135"/>
      <c r="L4776" s="135" t="str">
        <f t="shared" si="266"/>
        <v>Paraceros spp.</v>
      </c>
      <c r="M4776" s="133">
        <f t="shared" si="267"/>
        <v>5.4771212547196626</v>
      </c>
      <c r="N4776" s="137">
        <v>300000</v>
      </c>
      <c r="O4776" s="180"/>
      <c r="P4776" s="110" t="s">
        <v>1041</v>
      </c>
      <c r="Q4776" s="91"/>
    </row>
    <row r="4777" spans="1:19" ht="15" customHeight="1">
      <c r="A4777" s="134" t="s">
        <v>7297</v>
      </c>
      <c r="B4777" s="290"/>
      <c r="C4777" s="136" t="s">
        <v>5092</v>
      </c>
      <c r="D4777" s="220"/>
      <c r="E4777" s="136"/>
      <c r="F4777" s="136"/>
      <c r="G4777" s="134" t="s">
        <v>3001</v>
      </c>
      <c r="H4777" s="134" t="s">
        <v>4561</v>
      </c>
      <c r="I4777" s="134" t="s">
        <v>7269</v>
      </c>
      <c r="J4777" s="134" t="s">
        <v>7388</v>
      </c>
      <c r="K4777" s="135"/>
      <c r="L4777" s="135" t="str">
        <f t="shared" si="266"/>
        <v>Platygonus spp.</v>
      </c>
      <c r="M4777" s="133">
        <f t="shared" si="267"/>
        <v>4.6989700043360187</v>
      </c>
      <c r="N4777" s="137">
        <v>50000</v>
      </c>
      <c r="O4777" s="180"/>
      <c r="P4777" s="109">
        <v>11</v>
      </c>
      <c r="Q4777" s="91"/>
      <c r="S4777" s="92"/>
    </row>
    <row r="4778" spans="1:19" ht="15" customHeight="1">
      <c r="A4778" s="121" t="s">
        <v>7297</v>
      </c>
      <c r="B4778" s="166"/>
      <c r="C4778" s="118" t="s">
        <v>3817</v>
      </c>
      <c r="D4778" s="141"/>
      <c r="E4778" s="118"/>
      <c r="F4778" s="118"/>
      <c r="G4778" s="118" t="s">
        <v>3001</v>
      </c>
      <c r="H4778" s="118" t="s">
        <v>7465</v>
      </c>
      <c r="I4778" s="118" t="s">
        <v>4164</v>
      </c>
      <c r="J4778" s="118" t="s">
        <v>5759</v>
      </c>
      <c r="K4778" s="141"/>
      <c r="L4778" s="135" t="str">
        <f t="shared" si="266"/>
        <v>Lama pacos</v>
      </c>
      <c r="M4778" s="133">
        <f t="shared" si="267"/>
        <v>4.7781512503836439</v>
      </c>
      <c r="N4778" s="133">
        <v>60000</v>
      </c>
      <c r="O4778" s="179" t="s">
        <v>6736</v>
      </c>
      <c r="P4778" s="111">
        <v>68</v>
      </c>
    </row>
    <row r="4779" spans="1:19" ht="15" customHeight="1">
      <c r="A4779" s="118" t="s">
        <v>7297</v>
      </c>
      <c r="B4779" s="166"/>
      <c r="C4779" s="118" t="s">
        <v>3817</v>
      </c>
      <c r="D4779" s="141"/>
      <c r="E4779" s="118"/>
      <c r="F4779" s="118"/>
      <c r="G4779" s="118" t="s">
        <v>3001</v>
      </c>
      <c r="H4779" s="118" t="s">
        <v>7465</v>
      </c>
      <c r="I4779" s="118" t="s">
        <v>4164</v>
      </c>
      <c r="J4779" s="118" t="s">
        <v>3869</v>
      </c>
      <c r="K4779" s="141"/>
      <c r="L4779" s="135" t="str">
        <f t="shared" si="266"/>
        <v>Lama guanicoe</v>
      </c>
      <c r="M4779" s="133">
        <f t="shared" si="267"/>
        <v>5.0791812460476251</v>
      </c>
      <c r="N4779" s="133">
        <v>120000</v>
      </c>
      <c r="O4779" s="179" t="s">
        <v>3356</v>
      </c>
      <c r="P4779" s="117">
        <v>61</v>
      </c>
      <c r="Q4779" s="91"/>
    </row>
    <row r="4780" spans="1:19" ht="15" customHeight="1">
      <c r="A4780" s="118" t="s">
        <v>7297</v>
      </c>
      <c r="B4780" s="166" t="s">
        <v>2599</v>
      </c>
      <c r="C4780" s="118" t="s">
        <v>3817</v>
      </c>
      <c r="D4780" s="141"/>
      <c r="E4780" s="118"/>
      <c r="F4780" s="118"/>
      <c r="G4780" s="118" t="s">
        <v>3001</v>
      </c>
      <c r="H4780" s="118" t="s">
        <v>7465</v>
      </c>
      <c r="I4780" s="118" t="s">
        <v>4164</v>
      </c>
      <c r="J4780" s="118" t="s">
        <v>8171</v>
      </c>
      <c r="K4780" s="141"/>
      <c r="L4780" s="135" t="str">
        <f t="shared" si="266"/>
        <v>Lama glama</v>
      </c>
      <c r="M4780" s="133">
        <f t="shared" si="267"/>
        <v>5.153814864344529</v>
      </c>
      <c r="N4780" s="133">
        <f>AVERAGE(130000, 155000)</f>
        <v>142500</v>
      </c>
      <c r="O4780" s="179" t="s">
        <v>1348</v>
      </c>
      <c r="P4780" s="108" t="s">
        <v>1421</v>
      </c>
      <c r="Q4780" s="80"/>
    </row>
    <row r="4781" spans="1:19" ht="15" customHeight="1">
      <c r="A4781" s="118" t="s">
        <v>7297</v>
      </c>
      <c r="B4781" s="166"/>
      <c r="C4781" s="118" t="s">
        <v>3817</v>
      </c>
      <c r="D4781" s="141"/>
      <c r="E4781" s="118"/>
      <c r="F4781" s="118"/>
      <c r="G4781" s="118" t="s">
        <v>3001</v>
      </c>
      <c r="H4781" s="118" t="s">
        <v>7465</v>
      </c>
      <c r="I4781" s="118" t="s">
        <v>3870</v>
      </c>
      <c r="J4781" s="118" t="s">
        <v>3868</v>
      </c>
      <c r="K4781" s="141"/>
      <c r="L4781" s="135" t="str">
        <f t="shared" si="266"/>
        <v>Vicugna vicugna</v>
      </c>
      <c r="M4781" s="133">
        <f t="shared" si="267"/>
        <v>4.6766899999999998</v>
      </c>
      <c r="N4781" s="133">
        <v>47499.605206891225</v>
      </c>
      <c r="O4781" s="179" t="s">
        <v>3356</v>
      </c>
      <c r="P4781" s="108">
        <v>60</v>
      </c>
      <c r="Q4781" s="90" t="s">
        <v>6642</v>
      </c>
    </row>
    <row r="4782" spans="1:19" ht="25.5">
      <c r="A4782" s="118" t="s">
        <v>7297</v>
      </c>
      <c r="B4782" s="166"/>
      <c r="C4782" s="118" t="s">
        <v>3817</v>
      </c>
      <c r="D4782" s="141"/>
      <c r="E4782" s="118"/>
      <c r="F4782" s="118"/>
      <c r="G4782" s="118" t="s">
        <v>3001</v>
      </c>
      <c r="H4782" s="118" t="s">
        <v>3905</v>
      </c>
      <c r="I4782" s="118" t="s">
        <v>3677</v>
      </c>
      <c r="J4782" s="118" t="s">
        <v>4388</v>
      </c>
      <c r="K4782" s="141"/>
      <c r="L4782" s="135" t="str">
        <f t="shared" si="266"/>
        <v>Blastocerus dichotomus</v>
      </c>
      <c r="M4782" s="133">
        <f t="shared" si="267"/>
        <v>4.937850000000001</v>
      </c>
      <c r="N4782" s="133">
        <v>86666.248943968283</v>
      </c>
      <c r="O4782" s="179" t="s">
        <v>6997</v>
      </c>
      <c r="P4782" s="108">
        <v>60</v>
      </c>
      <c r="Q4782" s="88" t="s">
        <v>6988</v>
      </c>
    </row>
    <row r="4783" spans="1:19" ht="38.25">
      <c r="A4783" s="118" t="s">
        <v>7297</v>
      </c>
      <c r="B4783" s="166"/>
      <c r="C4783" s="118" t="s">
        <v>3817</v>
      </c>
      <c r="D4783" s="141"/>
      <c r="E4783" s="118"/>
      <c r="F4783" s="118"/>
      <c r="G4783" s="118" t="s">
        <v>3001</v>
      </c>
      <c r="H4783" s="118" t="s">
        <v>3905</v>
      </c>
      <c r="I4783" s="118" t="s">
        <v>3680</v>
      </c>
      <c r="J4783" s="118" t="s">
        <v>4362</v>
      </c>
      <c r="K4783" s="141"/>
      <c r="L4783" s="135" t="str">
        <f t="shared" si="266"/>
        <v>Hippocamelus antisensis</v>
      </c>
      <c r="M4783" s="133">
        <f t="shared" si="267"/>
        <v>4.8363200000000006</v>
      </c>
      <c r="N4783" s="133">
        <v>68599.349897000575</v>
      </c>
      <c r="O4783" s="179" t="s">
        <v>8014</v>
      </c>
      <c r="P4783" s="117">
        <v>61</v>
      </c>
      <c r="Q4783" s="88" t="s">
        <v>6987</v>
      </c>
    </row>
    <row r="4784" spans="1:19" ht="15" customHeight="1">
      <c r="A4784" s="121" t="s">
        <v>7297</v>
      </c>
      <c r="B4784" s="166"/>
      <c r="C4784" s="118" t="s">
        <v>3817</v>
      </c>
      <c r="D4784" s="141"/>
      <c r="E4784" s="118"/>
      <c r="F4784" s="118"/>
      <c r="G4784" s="118" t="s">
        <v>3001</v>
      </c>
      <c r="H4784" s="118" t="s">
        <v>3905</v>
      </c>
      <c r="I4784" s="118" t="s">
        <v>3680</v>
      </c>
      <c r="J4784" s="118" t="s">
        <v>3679</v>
      </c>
      <c r="K4784" s="141"/>
      <c r="L4784" s="135" t="str">
        <f t="shared" si="266"/>
        <v>Hippocamelus bisulcus</v>
      </c>
      <c r="M4784" s="133">
        <f t="shared" si="267"/>
        <v>4.8451000000000004</v>
      </c>
      <c r="N4784" s="133">
        <v>70000.315913089813</v>
      </c>
      <c r="O4784" s="179" t="s">
        <v>8014</v>
      </c>
      <c r="P4784" s="117">
        <v>61</v>
      </c>
      <c r="Q4784" s="90" t="s">
        <v>6640</v>
      </c>
    </row>
    <row r="4785" spans="1:17" ht="30" customHeight="1">
      <c r="A4785" s="118" t="s">
        <v>7297</v>
      </c>
      <c r="B4785" s="166"/>
      <c r="C4785" s="118" t="s">
        <v>3817</v>
      </c>
      <c r="D4785" s="141"/>
      <c r="E4785" s="118"/>
      <c r="F4785" s="118"/>
      <c r="G4785" s="118" t="s">
        <v>3001</v>
      </c>
      <c r="H4785" s="118" t="s">
        <v>3905</v>
      </c>
      <c r="I4785" s="118" t="s">
        <v>4333</v>
      </c>
      <c r="J4785" s="118" t="s">
        <v>3503</v>
      </c>
      <c r="K4785" s="141"/>
      <c r="L4785" s="135" t="str">
        <f t="shared" si="266"/>
        <v>Mazama gouazoupira</v>
      </c>
      <c r="M4785" s="133">
        <f t="shared" si="267"/>
        <v>4.2121899999999997</v>
      </c>
      <c r="N4785" s="133">
        <v>16300.089912086862</v>
      </c>
      <c r="O4785" s="179" t="s">
        <v>3356</v>
      </c>
      <c r="P4785" s="117">
        <v>61</v>
      </c>
      <c r="Q4785" s="91" t="s">
        <v>6987</v>
      </c>
    </row>
    <row r="4786" spans="1:17" ht="15" customHeight="1">
      <c r="A4786" s="118" t="s">
        <v>7297</v>
      </c>
      <c r="B4786" s="166"/>
      <c r="C4786" s="118" t="s">
        <v>3817</v>
      </c>
      <c r="D4786" s="141"/>
      <c r="E4786" s="118"/>
      <c r="F4786" s="118"/>
      <c r="G4786" s="118" t="s">
        <v>3001</v>
      </c>
      <c r="H4786" s="118" t="s">
        <v>3905</v>
      </c>
      <c r="I4786" s="118" t="s">
        <v>4333</v>
      </c>
      <c r="J4786" s="118" t="s">
        <v>3923</v>
      </c>
      <c r="K4786" s="141"/>
      <c r="L4786" s="135" t="str">
        <f t="shared" si="266"/>
        <v>Mazama bricenii</v>
      </c>
      <c r="M4786" s="133">
        <f t="shared" si="267"/>
        <v>4.2174800000000001</v>
      </c>
      <c r="N4786" s="143">
        <v>16499.850149526093</v>
      </c>
      <c r="O4786" s="179" t="s">
        <v>3356</v>
      </c>
      <c r="P4786" s="117">
        <v>61</v>
      </c>
      <c r="Q4786" s="91"/>
    </row>
    <row r="4787" spans="1:17" ht="15" customHeight="1">
      <c r="A4787" s="118" t="s">
        <v>7297</v>
      </c>
      <c r="B4787" s="166"/>
      <c r="C4787" s="118" t="s">
        <v>3817</v>
      </c>
      <c r="D4787" s="141"/>
      <c r="E4787" s="118"/>
      <c r="F4787" s="118"/>
      <c r="G4787" s="118" t="s">
        <v>3001</v>
      </c>
      <c r="H4787" s="118" t="s">
        <v>3905</v>
      </c>
      <c r="I4787" s="118" t="s">
        <v>4333</v>
      </c>
      <c r="J4787" s="118" t="s">
        <v>3924</v>
      </c>
      <c r="K4787" s="141"/>
      <c r="L4787" s="135" t="str">
        <f t="shared" si="266"/>
        <v>Mazama chunyi</v>
      </c>
      <c r="M4787" s="133">
        <f t="shared" si="267"/>
        <v>4.2174800000000001</v>
      </c>
      <c r="N4787" s="133">
        <v>16499.850149526093</v>
      </c>
      <c r="O4787" s="179" t="s">
        <v>6773</v>
      </c>
      <c r="P4787" s="117">
        <v>61</v>
      </c>
      <c r="Q4787" s="90" t="s">
        <v>6987</v>
      </c>
    </row>
    <row r="4788" spans="1:17" ht="15" customHeight="1">
      <c r="A4788" s="121" t="s">
        <v>7297</v>
      </c>
      <c r="B4788" s="166"/>
      <c r="C4788" s="118" t="s">
        <v>3817</v>
      </c>
      <c r="D4788" s="141"/>
      <c r="E4788" s="118"/>
      <c r="F4788" s="118"/>
      <c r="G4788" s="118" t="s">
        <v>3001</v>
      </c>
      <c r="H4788" s="118" t="s">
        <v>3905</v>
      </c>
      <c r="I4788" s="118" t="s">
        <v>4333</v>
      </c>
      <c r="J4788" s="118" t="s">
        <v>3504</v>
      </c>
      <c r="K4788" s="141"/>
      <c r="L4788" s="135" t="str">
        <f t="shared" si="266"/>
        <v>Mazama nana</v>
      </c>
      <c r="M4788" s="133">
        <f t="shared" ref="M4788:M4819" si="268">LOG(N4788)</f>
        <v>4.2174800000000001</v>
      </c>
      <c r="N4788" s="133">
        <v>16499.850149526093</v>
      </c>
      <c r="O4788" s="179" t="s">
        <v>3356</v>
      </c>
      <c r="P4788" s="117">
        <v>61</v>
      </c>
      <c r="Q4788" s="91" t="s">
        <v>6987</v>
      </c>
    </row>
    <row r="4789" spans="1:17" ht="15" customHeight="1">
      <c r="A4789" s="118" t="s">
        <v>7297</v>
      </c>
      <c r="B4789" s="166"/>
      <c r="C4789" s="118" t="s">
        <v>3817</v>
      </c>
      <c r="D4789" s="141"/>
      <c r="E4789" s="118"/>
      <c r="F4789" s="118"/>
      <c r="G4789" s="118" t="s">
        <v>3001</v>
      </c>
      <c r="H4789" s="118" t="s">
        <v>3905</v>
      </c>
      <c r="I4789" s="118" t="s">
        <v>4333</v>
      </c>
      <c r="J4789" s="118" t="s">
        <v>3355</v>
      </c>
      <c r="K4789" s="141"/>
      <c r="L4789" s="135" t="str">
        <f t="shared" si="266"/>
        <v>Mazama americana</v>
      </c>
      <c r="M4789" s="133">
        <f t="shared" si="268"/>
        <v>4.3579300000000005</v>
      </c>
      <c r="N4789" s="133">
        <v>22799.7455390334</v>
      </c>
      <c r="O4789" s="179" t="s">
        <v>3356</v>
      </c>
      <c r="P4789" s="111">
        <v>60</v>
      </c>
      <c r="Q4789" s="91" t="s">
        <v>6987</v>
      </c>
    </row>
    <row r="4790" spans="1:17" ht="15" customHeight="1">
      <c r="A4790" s="118" t="s">
        <v>7297</v>
      </c>
      <c r="B4790" s="166"/>
      <c r="C4790" s="118" t="s">
        <v>3817</v>
      </c>
      <c r="D4790" s="141"/>
      <c r="E4790" s="118"/>
      <c r="F4790" s="118"/>
      <c r="G4790" s="118" t="s">
        <v>3001</v>
      </c>
      <c r="H4790" s="118" t="s">
        <v>3905</v>
      </c>
      <c r="I4790" s="118" t="s">
        <v>4333</v>
      </c>
      <c r="J4790" s="118" t="s">
        <v>3705</v>
      </c>
      <c r="K4790" s="141"/>
      <c r="L4790" s="135" t="str">
        <f t="shared" si="266"/>
        <v>Mazama rufina</v>
      </c>
      <c r="M4790" s="133">
        <f t="shared" si="268"/>
        <v>4.4149700000000003</v>
      </c>
      <c r="N4790" s="133">
        <v>25999.799567092476</v>
      </c>
      <c r="O4790" s="179" t="s">
        <v>3356</v>
      </c>
      <c r="P4790" s="108">
        <v>60</v>
      </c>
      <c r="Q4790" s="91" t="s">
        <v>6642</v>
      </c>
    </row>
    <row r="4791" spans="1:17" ht="15" customHeight="1">
      <c r="A4791" s="118" t="s">
        <v>7297</v>
      </c>
      <c r="B4791" s="166"/>
      <c r="C4791" s="118" t="s">
        <v>3817</v>
      </c>
      <c r="D4791" s="141"/>
      <c r="E4791" s="118"/>
      <c r="F4791" s="118"/>
      <c r="G4791" s="118" t="s">
        <v>3001</v>
      </c>
      <c r="H4791" s="118" t="s">
        <v>3905</v>
      </c>
      <c r="I4791" s="118" t="s">
        <v>4334</v>
      </c>
      <c r="J4791" s="118" t="s">
        <v>4114</v>
      </c>
      <c r="K4791" s="141"/>
      <c r="L4791" s="135" t="str">
        <f t="shared" si="266"/>
        <v>Odocoileus virginianus</v>
      </c>
      <c r="M4791" s="133">
        <f t="shared" si="268"/>
        <v>4.7443600000000012</v>
      </c>
      <c r="N4791" s="133">
        <v>55508.564980303127</v>
      </c>
      <c r="O4791" s="179" t="s">
        <v>3356</v>
      </c>
      <c r="P4791" s="108">
        <v>60</v>
      </c>
    </row>
    <row r="4792" spans="1:17" ht="15" customHeight="1">
      <c r="A4792" s="118" t="s">
        <v>7297</v>
      </c>
      <c r="B4792" s="166"/>
      <c r="C4792" s="118" t="s">
        <v>3817</v>
      </c>
      <c r="D4792" s="141"/>
      <c r="E4792" s="118"/>
      <c r="F4792" s="118"/>
      <c r="G4792" s="118" t="s">
        <v>3001</v>
      </c>
      <c r="H4792" s="118" t="s">
        <v>3905</v>
      </c>
      <c r="I4792" s="118" t="s">
        <v>3936</v>
      </c>
      <c r="J4792" s="118" t="s">
        <v>3937</v>
      </c>
      <c r="K4792" s="141"/>
      <c r="L4792" s="135" t="str">
        <f t="shared" si="266"/>
        <v>Ozotoceros bezoarticus</v>
      </c>
      <c r="M4792" s="133">
        <f t="shared" si="268"/>
        <v>4.6020599999999998</v>
      </c>
      <c r="N4792" s="133">
        <v>40000.000798724192</v>
      </c>
      <c r="O4792" s="179" t="s">
        <v>6989</v>
      </c>
      <c r="P4792" s="108">
        <v>60</v>
      </c>
      <c r="Q4792" s="90" t="s">
        <v>6985</v>
      </c>
    </row>
    <row r="4793" spans="1:17" ht="15" customHeight="1">
      <c r="A4793" s="118" t="s">
        <v>7297</v>
      </c>
      <c r="B4793" s="166"/>
      <c r="C4793" s="118" t="s">
        <v>3817</v>
      </c>
      <c r="D4793" s="141"/>
      <c r="E4793" s="118"/>
      <c r="F4793" s="118"/>
      <c r="G4793" s="118" t="s">
        <v>3001</v>
      </c>
      <c r="H4793" s="118" t="s">
        <v>3905</v>
      </c>
      <c r="I4793" s="118" t="s">
        <v>3510</v>
      </c>
      <c r="J4793" s="118" t="s">
        <v>3083</v>
      </c>
      <c r="K4793" s="141"/>
      <c r="L4793" s="135" t="str">
        <f t="shared" si="266"/>
        <v>Pudu mephistophiles</v>
      </c>
      <c r="M4793" s="133">
        <f t="shared" si="268"/>
        <v>3.9822700000000006</v>
      </c>
      <c r="N4793" s="133">
        <v>9599.9727439248272</v>
      </c>
      <c r="O4793" s="179" t="s">
        <v>6912</v>
      </c>
      <c r="P4793" s="117">
        <v>61</v>
      </c>
      <c r="Q4793" s="90" t="s">
        <v>6642</v>
      </c>
    </row>
    <row r="4794" spans="1:17" ht="15" customHeight="1">
      <c r="A4794" s="118" t="s">
        <v>7297</v>
      </c>
      <c r="B4794" s="166"/>
      <c r="C4794" s="118" t="s">
        <v>3817</v>
      </c>
      <c r="D4794" s="141"/>
      <c r="E4794" s="118"/>
      <c r="F4794" s="118"/>
      <c r="G4794" s="118" t="s">
        <v>3001</v>
      </c>
      <c r="H4794" s="118" t="s">
        <v>3905</v>
      </c>
      <c r="I4794" s="118" t="s">
        <v>3510</v>
      </c>
      <c r="J4794" s="118" t="s">
        <v>4372</v>
      </c>
      <c r="K4794" s="141"/>
      <c r="L4794" s="135" t="str">
        <f t="shared" si="266"/>
        <v>Pudu puda</v>
      </c>
      <c r="M4794" s="133">
        <f t="shared" si="268"/>
        <v>3.9890000000000003</v>
      </c>
      <c r="N4794" s="133">
        <v>9749.8963771738727</v>
      </c>
      <c r="O4794" s="179" t="s">
        <v>6924</v>
      </c>
      <c r="P4794" s="117">
        <v>61</v>
      </c>
      <c r="Q4794" s="90" t="s">
        <v>6988</v>
      </c>
    </row>
    <row r="4795" spans="1:17" ht="15" customHeight="1">
      <c r="A4795" s="118" t="s">
        <v>7297</v>
      </c>
      <c r="B4795" s="166"/>
      <c r="C4795" s="118" t="s">
        <v>3817</v>
      </c>
      <c r="D4795" s="141"/>
      <c r="E4795" s="118"/>
      <c r="F4795" s="118"/>
      <c r="G4795" s="118" t="s">
        <v>3001</v>
      </c>
      <c r="H4795" s="118" t="s">
        <v>4561</v>
      </c>
      <c r="I4795" s="118" t="s">
        <v>4396</v>
      </c>
      <c r="J4795" s="118" t="s">
        <v>4397</v>
      </c>
      <c r="K4795" s="141"/>
      <c r="L4795" s="135" t="str">
        <f t="shared" si="266"/>
        <v>Catagonus wagneri</v>
      </c>
      <c r="M4795" s="133">
        <f t="shared" si="268"/>
        <v>4.5510400000000004</v>
      </c>
      <c r="N4795" s="133">
        <v>35566.407493235864</v>
      </c>
      <c r="O4795" s="179" t="s">
        <v>6930</v>
      </c>
      <c r="P4795" s="111">
        <v>60</v>
      </c>
      <c r="Q4795" s="90" t="s">
        <v>6640</v>
      </c>
    </row>
    <row r="4796" spans="1:17" ht="15" customHeight="1">
      <c r="A4796" s="118" t="s">
        <v>7297</v>
      </c>
      <c r="B4796" s="166"/>
      <c r="C4796" s="118" t="s">
        <v>3817</v>
      </c>
      <c r="D4796" s="141"/>
      <c r="E4796" s="118"/>
      <c r="F4796" s="118"/>
      <c r="G4796" s="118" t="s">
        <v>3001</v>
      </c>
      <c r="H4796" s="118" t="s">
        <v>4561</v>
      </c>
      <c r="I4796" s="118" t="s">
        <v>3949</v>
      </c>
      <c r="J4796" s="118" t="s">
        <v>3950</v>
      </c>
      <c r="K4796" s="141"/>
      <c r="L4796" s="135" t="str">
        <f t="shared" si="266"/>
        <v>Pecari tajacu</v>
      </c>
      <c r="M4796" s="133">
        <f t="shared" si="268"/>
        <v>4.327700000000001</v>
      </c>
      <c r="N4796" s="133">
        <v>21266.694872358308</v>
      </c>
      <c r="O4796" s="179" t="s">
        <v>3356</v>
      </c>
      <c r="P4796" s="108">
        <v>60</v>
      </c>
    </row>
    <row r="4797" spans="1:17" ht="15" customHeight="1">
      <c r="A4797" s="118" t="s">
        <v>7297</v>
      </c>
      <c r="B4797" s="166"/>
      <c r="C4797" s="118" t="s">
        <v>3817</v>
      </c>
      <c r="D4797" s="141"/>
      <c r="E4797" s="118"/>
      <c r="F4797" s="118"/>
      <c r="G4797" s="118" t="s">
        <v>3001</v>
      </c>
      <c r="H4797" s="118" t="s">
        <v>4561</v>
      </c>
      <c r="I4797" s="118" t="s">
        <v>4562</v>
      </c>
      <c r="J4797" s="118" t="s">
        <v>4563</v>
      </c>
      <c r="K4797" s="141"/>
      <c r="L4797" s="135" t="str">
        <f t="shared" si="266"/>
        <v>Tayassu pecari</v>
      </c>
      <c r="M4797" s="133">
        <f t="shared" si="268"/>
        <v>4.5083100000000007</v>
      </c>
      <c r="N4797" s="133">
        <v>32233.688154104955</v>
      </c>
      <c r="O4797" s="179" t="s">
        <v>3356</v>
      </c>
      <c r="P4797" s="111">
        <v>60</v>
      </c>
    </row>
    <row r="4798" spans="1:17" ht="15" customHeight="1">
      <c r="A4798" s="134" t="s">
        <v>7297</v>
      </c>
      <c r="B4798" s="290"/>
      <c r="C4798" s="136" t="s">
        <v>5092</v>
      </c>
      <c r="D4798" s="220"/>
      <c r="E4798" s="136"/>
      <c r="F4798" s="136"/>
      <c r="G4798" s="134" t="s">
        <v>3954</v>
      </c>
      <c r="H4798" s="134" t="s">
        <v>3955</v>
      </c>
      <c r="I4798" s="134" t="s">
        <v>3956</v>
      </c>
      <c r="J4798" s="134" t="s">
        <v>4944</v>
      </c>
      <c r="K4798" s="135"/>
      <c r="L4798" s="135" t="str">
        <f t="shared" si="266"/>
        <v>Canis nehringi</v>
      </c>
      <c r="M4798" s="133">
        <f t="shared" si="268"/>
        <v>4.4771212547196626</v>
      </c>
      <c r="N4798" s="137">
        <v>30000</v>
      </c>
      <c r="O4798" s="180"/>
      <c r="P4798" s="109" t="s">
        <v>978</v>
      </c>
      <c r="Q4798" s="91"/>
    </row>
    <row r="4799" spans="1:17" ht="15" customHeight="1">
      <c r="A4799" s="134" t="s">
        <v>7297</v>
      </c>
      <c r="B4799" s="290"/>
      <c r="C4799" s="136" t="s">
        <v>5092</v>
      </c>
      <c r="D4799" s="220"/>
      <c r="E4799" s="136"/>
      <c r="F4799" s="136"/>
      <c r="G4799" s="134" t="s">
        <v>3954</v>
      </c>
      <c r="H4799" s="134" t="s">
        <v>3955</v>
      </c>
      <c r="I4799" s="134" t="s">
        <v>3956</v>
      </c>
      <c r="J4799" s="134" t="s">
        <v>7271</v>
      </c>
      <c r="K4799" s="135"/>
      <c r="L4799" s="135" t="str">
        <f t="shared" si="266"/>
        <v>Canis dirus</v>
      </c>
      <c r="M4799" s="133">
        <f t="shared" si="268"/>
        <v>4.6989700043360187</v>
      </c>
      <c r="N4799" s="137">
        <v>50000</v>
      </c>
      <c r="O4799" s="180"/>
      <c r="P4799" s="110" t="s">
        <v>977</v>
      </c>
      <c r="Q4799" s="91"/>
    </row>
    <row r="4800" spans="1:17" ht="15" customHeight="1">
      <c r="A4800" s="134" t="s">
        <v>7297</v>
      </c>
      <c r="B4800" s="290"/>
      <c r="C4800" s="136" t="s">
        <v>5092</v>
      </c>
      <c r="D4800" s="220"/>
      <c r="E4800" s="136"/>
      <c r="F4800" s="136"/>
      <c r="G4800" s="134" t="s">
        <v>3954</v>
      </c>
      <c r="H4800" s="134" t="s">
        <v>3955</v>
      </c>
      <c r="I4800" s="134" t="s">
        <v>3348</v>
      </c>
      <c r="J4800" s="134" t="s">
        <v>5056</v>
      </c>
      <c r="K4800" s="135"/>
      <c r="L4800" s="135" t="str">
        <f t="shared" si="266"/>
        <v>Dusicyon avus</v>
      </c>
      <c r="M4800" s="133">
        <f t="shared" si="268"/>
        <v>4.1139433523068369</v>
      </c>
      <c r="N4800" s="137">
        <v>13000</v>
      </c>
      <c r="O4800" s="180"/>
      <c r="P4800" s="109" t="s">
        <v>978</v>
      </c>
      <c r="Q4800" s="91"/>
    </row>
    <row r="4801" spans="1:19" ht="15" customHeight="1">
      <c r="A4801" s="134" t="s">
        <v>7297</v>
      </c>
      <c r="B4801" s="290"/>
      <c r="C4801" s="136" t="s">
        <v>5092</v>
      </c>
      <c r="D4801" s="220"/>
      <c r="E4801" s="136"/>
      <c r="F4801" s="136"/>
      <c r="G4801" s="134" t="s">
        <v>3954</v>
      </c>
      <c r="H4801" s="134" t="s">
        <v>3955</v>
      </c>
      <c r="I4801" s="134" t="s">
        <v>3842</v>
      </c>
      <c r="J4801" s="134" t="s">
        <v>6324</v>
      </c>
      <c r="K4801" s="135"/>
      <c r="L4801" s="135" t="str">
        <f t="shared" si="266"/>
        <v>Protocyon troglodytes</v>
      </c>
      <c r="M4801" s="133">
        <f t="shared" si="268"/>
        <v>4.204119982655925</v>
      </c>
      <c r="N4801" s="137">
        <v>16000</v>
      </c>
      <c r="O4801" s="180"/>
      <c r="P4801" s="109" t="s">
        <v>978</v>
      </c>
    </row>
    <row r="4802" spans="1:19" ht="15" customHeight="1">
      <c r="A4802" s="134" t="s">
        <v>7297</v>
      </c>
      <c r="B4802" s="290"/>
      <c r="C4802" s="136" t="s">
        <v>5092</v>
      </c>
      <c r="D4802" s="220"/>
      <c r="E4802" s="136"/>
      <c r="F4802" s="136"/>
      <c r="G4802" s="134" t="s">
        <v>3954</v>
      </c>
      <c r="H4802" s="134" t="s">
        <v>3955</v>
      </c>
      <c r="I4802" s="134" t="s">
        <v>3842</v>
      </c>
      <c r="J4802" s="134" t="s">
        <v>7475</v>
      </c>
      <c r="K4802" s="135"/>
      <c r="L4802" s="135" t="str">
        <f t="shared" si="266"/>
        <v>Protocyon orcesi</v>
      </c>
      <c r="M4802" s="133">
        <f t="shared" si="268"/>
        <v>4.3979400086720375</v>
      </c>
      <c r="N4802" s="137">
        <v>25000</v>
      </c>
      <c r="O4802" s="180"/>
      <c r="P4802" s="110" t="s">
        <v>978</v>
      </c>
      <c r="Q4802" s="91"/>
    </row>
    <row r="4803" spans="1:19" ht="15" customHeight="1">
      <c r="A4803" s="134" t="s">
        <v>7297</v>
      </c>
      <c r="B4803" s="290"/>
      <c r="C4803" s="136" t="s">
        <v>5092</v>
      </c>
      <c r="D4803" s="220"/>
      <c r="E4803" s="136"/>
      <c r="F4803" s="136"/>
      <c r="G4803" s="134" t="s">
        <v>3954</v>
      </c>
      <c r="H4803" s="134" t="s">
        <v>3955</v>
      </c>
      <c r="I4803" s="134" t="s">
        <v>2208</v>
      </c>
      <c r="J4803" s="134" t="s">
        <v>4382</v>
      </c>
      <c r="K4803" s="135"/>
      <c r="L4803" s="135" t="str">
        <f t="shared" si="266"/>
        <v>Pseudalopex peruanus</v>
      </c>
      <c r="M4803" s="133">
        <f t="shared" si="268"/>
        <v>3.8082109729242219</v>
      </c>
      <c r="N4803" s="137">
        <v>6430</v>
      </c>
      <c r="O4803" s="180"/>
      <c r="P4803" s="109" t="s">
        <v>978</v>
      </c>
    </row>
    <row r="4804" spans="1:19" ht="15" customHeight="1">
      <c r="A4804" s="134" t="s">
        <v>7297</v>
      </c>
      <c r="B4804" s="290"/>
      <c r="C4804" s="136" t="s">
        <v>5092</v>
      </c>
      <c r="D4804" s="220"/>
      <c r="E4804" s="136"/>
      <c r="F4804" s="136"/>
      <c r="G4804" s="134" t="s">
        <v>3954</v>
      </c>
      <c r="H4804" s="134" t="s">
        <v>3955</v>
      </c>
      <c r="I4804" s="134" t="s">
        <v>7319</v>
      </c>
      <c r="J4804" s="134" t="s">
        <v>7476</v>
      </c>
      <c r="K4804" s="135"/>
      <c r="L4804" s="135" t="str">
        <f t="shared" si="266"/>
        <v>Speothos pacivorus</v>
      </c>
      <c r="M4804" s="133">
        <f t="shared" si="268"/>
        <v>3.9542425094393248</v>
      </c>
      <c r="N4804" s="137">
        <v>9000</v>
      </c>
      <c r="O4804" s="180"/>
      <c r="P4804" s="110" t="s">
        <v>978</v>
      </c>
    </row>
    <row r="4805" spans="1:19" ht="15" customHeight="1">
      <c r="A4805" s="134" t="s">
        <v>7297</v>
      </c>
      <c r="B4805" s="290"/>
      <c r="C4805" s="136" t="s">
        <v>5092</v>
      </c>
      <c r="D4805" s="220"/>
      <c r="E4805" s="136"/>
      <c r="F4805" s="136"/>
      <c r="G4805" s="134" t="s">
        <v>3954</v>
      </c>
      <c r="H4805" s="134" t="s">
        <v>3955</v>
      </c>
      <c r="I4805" s="134" t="s">
        <v>4095</v>
      </c>
      <c r="J4805" s="134" t="s">
        <v>3840</v>
      </c>
      <c r="K4805" s="135"/>
      <c r="L4805" s="135" t="str">
        <f t="shared" ref="L4805:L4868" si="269">I4805&amp;" "&amp;J4805</f>
        <v>Theriodictis platensis</v>
      </c>
      <c r="M4805" s="133">
        <f t="shared" si="268"/>
        <v>4.4313637641589869</v>
      </c>
      <c r="N4805" s="137">
        <v>27000</v>
      </c>
      <c r="O4805" s="180"/>
      <c r="P4805" s="110" t="s">
        <v>978</v>
      </c>
    </row>
    <row r="4806" spans="1:19" ht="15" customHeight="1">
      <c r="A4806" s="134" t="s">
        <v>7297</v>
      </c>
      <c r="B4806" s="290"/>
      <c r="C4806" s="136" t="s">
        <v>5092</v>
      </c>
      <c r="D4806" s="220"/>
      <c r="E4806" s="136"/>
      <c r="F4806" s="136"/>
      <c r="G4806" s="134" t="s">
        <v>3954</v>
      </c>
      <c r="H4806" s="134" t="s">
        <v>3955</v>
      </c>
      <c r="I4806" s="134" t="s">
        <v>4095</v>
      </c>
      <c r="J4806" s="134" t="s">
        <v>3841</v>
      </c>
      <c r="K4806" s="135"/>
      <c r="L4806" s="135" t="str">
        <f t="shared" si="269"/>
        <v>Theriodictis tarijensis</v>
      </c>
      <c r="M4806" s="133">
        <f t="shared" si="268"/>
        <v>4.4313637641589869</v>
      </c>
      <c r="N4806" s="137">
        <v>27000</v>
      </c>
      <c r="O4806" s="180"/>
      <c r="P4806" s="110" t="s">
        <v>978</v>
      </c>
    </row>
    <row r="4807" spans="1:19" ht="30" customHeight="1">
      <c r="A4807" s="134" t="s">
        <v>7297</v>
      </c>
      <c r="B4807" s="290"/>
      <c r="C4807" s="136" t="s">
        <v>5092</v>
      </c>
      <c r="D4807" s="220"/>
      <c r="E4807" s="136"/>
      <c r="F4807" s="136"/>
      <c r="G4807" s="134" t="s">
        <v>3954</v>
      </c>
      <c r="H4807" s="134" t="s">
        <v>7321</v>
      </c>
      <c r="I4807" s="134" t="s">
        <v>4860</v>
      </c>
      <c r="J4807" s="134" t="s">
        <v>7060</v>
      </c>
      <c r="K4807" s="135"/>
      <c r="L4807" s="135" t="str">
        <f t="shared" si="269"/>
        <v>Panthera leo atrox</v>
      </c>
      <c r="M4807" s="133">
        <f t="shared" si="268"/>
        <v>5.6366884479532828</v>
      </c>
      <c r="N4807" s="137">
        <v>433200</v>
      </c>
      <c r="O4807" s="180"/>
      <c r="P4807" s="109">
        <v>31</v>
      </c>
      <c r="Q4807" s="91"/>
    </row>
    <row r="4808" spans="1:19">
      <c r="A4808" s="134" t="s">
        <v>7297</v>
      </c>
      <c r="B4808" s="290"/>
      <c r="C4808" s="136" t="s">
        <v>5092</v>
      </c>
      <c r="D4808" s="220"/>
      <c r="E4808" s="136"/>
      <c r="F4808" s="136"/>
      <c r="G4808" s="134" t="s">
        <v>3954</v>
      </c>
      <c r="H4808" s="134" t="s">
        <v>7321</v>
      </c>
      <c r="I4808" s="134" t="s">
        <v>7266</v>
      </c>
      <c r="J4808" s="134" t="s">
        <v>7257</v>
      </c>
      <c r="K4808" s="135"/>
      <c r="L4808" s="135" t="str">
        <f t="shared" si="269"/>
        <v>Smilodon fatalis</v>
      </c>
      <c r="M4808" s="133">
        <f t="shared" si="268"/>
        <v>5.6366884479532828</v>
      </c>
      <c r="N4808" s="137">
        <v>433200</v>
      </c>
      <c r="O4808" s="180"/>
      <c r="P4808" s="110" t="s">
        <v>923</v>
      </c>
    </row>
    <row r="4809" spans="1:19" ht="15" customHeight="1">
      <c r="A4809" s="134" t="s">
        <v>7297</v>
      </c>
      <c r="B4809" s="290"/>
      <c r="C4809" s="136" t="s">
        <v>5092</v>
      </c>
      <c r="D4809" s="220"/>
      <c r="E4809" s="136"/>
      <c r="F4809" s="136"/>
      <c r="G4809" s="134" t="s">
        <v>3954</v>
      </c>
      <c r="H4809" s="134" t="s">
        <v>7321</v>
      </c>
      <c r="I4809" s="134" t="s">
        <v>7266</v>
      </c>
      <c r="J4809" s="134" t="s">
        <v>7299</v>
      </c>
      <c r="K4809" s="135"/>
      <c r="L4809" s="135" t="str">
        <f t="shared" si="269"/>
        <v>Smilodon populator</v>
      </c>
      <c r="M4809" s="133">
        <f t="shared" si="268"/>
        <v>5.6454222693490923</v>
      </c>
      <c r="N4809" s="137">
        <v>442000</v>
      </c>
      <c r="O4809" s="180"/>
      <c r="P4809" s="110">
        <v>32</v>
      </c>
    </row>
    <row r="4810" spans="1:19" ht="15" customHeight="1">
      <c r="A4810" s="134" t="s">
        <v>7297</v>
      </c>
      <c r="B4810" s="290"/>
      <c r="C4810" s="136" t="s">
        <v>5092</v>
      </c>
      <c r="D4810" s="220"/>
      <c r="E4810" s="136"/>
      <c r="F4810" s="136"/>
      <c r="G4810" s="134" t="s">
        <v>3954</v>
      </c>
      <c r="H4810" s="134" t="s">
        <v>7434</v>
      </c>
      <c r="I4810" s="134" t="s">
        <v>7261</v>
      </c>
      <c r="J4810" s="134" t="s">
        <v>5254</v>
      </c>
      <c r="K4810" s="135"/>
      <c r="L4810" s="135" t="str">
        <f t="shared" si="269"/>
        <v>Arctodus bonariensis</v>
      </c>
      <c r="M4810" s="133">
        <f t="shared" si="268"/>
        <v>5.7781512503836439</v>
      </c>
      <c r="N4810" s="137">
        <v>600000</v>
      </c>
      <c r="O4810" s="180"/>
      <c r="P4810" s="110" t="s">
        <v>1043</v>
      </c>
      <c r="Q4810" s="91"/>
      <c r="S4810" s="92"/>
    </row>
    <row r="4811" spans="1:19" ht="15" customHeight="1">
      <c r="A4811" s="118" t="s">
        <v>7297</v>
      </c>
      <c r="B4811" s="166"/>
      <c r="C4811" s="118" t="s">
        <v>3817</v>
      </c>
      <c r="D4811" s="141"/>
      <c r="E4811" s="118"/>
      <c r="F4811" s="118"/>
      <c r="G4811" s="118" t="s">
        <v>3954</v>
      </c>
      <c r="H4811" s="118" t="s">
        <v>3955</v>
      </c>
      <c r="I4811" s="118" t="s">
        <v>2333</v>
      </c>
      <c r="J4811" s="118" t="s">
        <v>2311</v>
      </c>
      <c r="K4811" s="141"/>
      <c r="L4811" s="135" t="str">
        <f t="shared" si="269"/>
        <v>Atelocynus microtis</v>
      </c>
      <c r="M4811" s="133">
        <f t="shared" si="268"/>
        <v>3.8893000000000004</v>
      </c>
      <c r="N4811" s="133">
        <v>7749.9696187757672</v>
      </c>
      <c r="O4811" s="179" t="s">
        <v>3356</v>
      </c>
      <c r="P4811" s="108">
        <v>61</v>
      </c>
      <c r="Q4811" s="90" t="s">
        <v>6987</v>
      </c>
    </row>
    <row r="4812" spans="1:19" ht="15" customHeight="1">
      <c r="A4812" s="118" t="s">
        <v>7297</v>
      </c>
      <c r="B4812" s="166"/>
      <c r="C4812" s="118" t="s">
        <v>3817</v>
      </c>
      <c r="D4812" s="141"/>
      <c r="E4812" s="118"/>
      <c r="F4812" s="118"/>
      <c r="G4812" s="118" t="s">
        <v>3954</v>
      </c>
      <c r="H4812" s="118" t="s">
        <v>3955</v>
      </c>
      <c r="I4812" s="118" t="s">
        <v>2312</v>
      </c>
      <c r="J4812" s="118" t="s">
        <v>2313</v>
      </c>
      <c r="K4812" s="141"/>
      <c r="L4812" s="135" t="str">
        <f t="shared" si="269"/>
        <v>Cerdocyon thous</v>
      </c>
      <c r="M4812" s="133">
        <f t="shared" si="268"/>
        <v>3.7193300000000002</v>
      </c>
      <c r="N4812" s="133">
        <v>5239.9844718617996</v>
      </c>
      <c r="O4812" s="179" t="s">
        <v>3356</v>
      </c>
      <c r="P4812" s="108">
        <v>60</v>
      </c>
      <c r="Q4812" s="91"/>
    </row>
    <row r="4813" spans="1:19" ht="15" customHeight="1">
      <c r="A4813" s="118" t="s">
        <v>7297</v>
      </c>
      <c r="B4813" s="166"/>
      <c r="C4813" s="118" t="s">
        <v>3817</v>
      </c>
      <c r="D4813" s="141"/>
      <c r="E4813" s="118"/>
      <c r="F4813" s="118"/>
      <c r="G4813" s="118" t="s">
        <v>3954</v>
      </c>
      <c r="H4813" s="118" t="s">
        <v>3955</v>
      </c>
      <c r="I4813" s="118" t="s">
        <v>4669</v>
      </c>
      <c r="J4813" s="118" t="s">
        <v>2207</v>
      </c>
      <c r="K4813" s="141"/>
      <c r="L4813" s="135" t="str">
        <f t="shared" si="269"/>
        <v>Chrysocyon brachyurus</v>
      </c>
      <c r="M4813" s="133">
        <f t="shared" si="268"/>
        <v>4.3664199999999997</v>
      </c>
      <c r="N4813" s="133">
        <v>23249.841685140746</v>
      </c>
      <c r="O4813" s="179" t="s">
        <v>6881</v>
      </c>
      <c r="P4813" s="111">
        <v>60</v>
      </c>
      <c r="Q4813" s="91" t="s">
        <v>6642</v>
      </c>
    </row>
    <row r="4814" spans="1:19" ht="15" customHeight="1">
      <c r="A4814" s="118" t="s">
        <v>7297</v>
      </c>
      <c r="B4814" s="166"/>
      <c r="C4814" s="118" t="s">
        <v>3817</v>
      </c>
      <c r="D4814" s="141"/>
      <c r="E4814" s="118"/>
      <c r="F4814" s="118"/>
      <c r="G4814" s="118" t="s">
        <v>3954</v>
      </c>
      <c r="H4814" s="118" t="s">
        <v>3955</v>
      </c>
      <c r="I4814" s="118" t="s">
        <v>2208</v>
      </c>
      <c r="J4814" s="118" t="s">
        <v>7316</v>
      </c>
      <c r="K4814" s="141"/>
      <c r="L4814" s="135" t="str">
        <f t="shared" si="269"/>
        <v>Pseudalopex sechurae</v>
      </c>
      <c r="M4814" s="133">
        <f t="shared" si="268"/>
        <v>3.6020600000000003</v>
      </c>
      <c r="N4814" s="133">
        <v>4000.0000798724222</v>
      </c>
      <c r="O4814" s="179" t="s">
        <v>6882</v>
      </c>
      <c r="P4814" s="117">
        <v>61</v>
      </c>
      <c r="Q4814" s="90" t="s">
        <v>6987</v>
      </c>
    </row>
    <row r="4815" spans="1:19" ht="15" customHeight="1">
      <c r="A4815" s="118" t="s">
        <v>7297</v>
      </c>
      <c r="B4815" s="166"/>
      <c r="C4815" s="118" t="s">
        <v>3817</v>
      </c>
      <c r="D4815" s="141"/>
      <c r="E4815" s="118"/>
      <c r="F4815" s="118"/>
      <c r="G4815" s="118" t="s">
        <v>3954</v>
      </c>
      <c r="H4815" s="118" t="s">
        <v>3955</v>
      </c>
      <c r="I4815" s="118" t="s">
        <v>2208</v>
      </c>
      <c r="J4815" s="118" t="s">
        <v>7525</v>
      </c>
      <c r="K4815" s="141"/>
      <c r="L4815" s="135" t="str">
        <f t="shared" si="269"/>
        <v>Pseudalopex gymnocercus</v>
      </c>
      <c r="M4815" s="133">
        <f t="shared" si="268"/>
        <v>3.67117</v>
      </c>
      <c r="N4815" s="133">
        <v>4689.9693012675471</v>
      </c>
      <c r="O4815" s="179" t="s">
        <v>3356</v>
      </c>
      <c r="P4815" s="117">
        <v>61</v>
      </c>
    </row>
    <row r="4816" spans="1:19" ht="15" customHeight="1">
      <c r="A4816" s="121" t="s">
        <v>7297</v>
      </c>
      <c r="B4816" s="166"/>
      <c r="C4816" s="118" t="s">
        <v>3817</v>
      </c>
      <c r="D4816" s="141"/>
      <c r="E4816" s="118"/>
      <c r="F4816" s="118"/>
      <c r="G4816" s="118" t="s">
        <v>3954</v>
      </c>
      <c r="H4816" s="118" t="s">
        <v>3955</v>
      </c>
      <c r="I4816" s="118" t="s">
        <v>2208</v>
      </c>
      <c r="J4816" s="118" t="s">
        <v>7318</v>
      </c>
      <c r="K4816" s="141"/>
      <c r="L4816" s="135" t="str">
        <f t="shared" si="269"/>
        <v>Pseudalopex vetulus</v>
      </c>
      <c r="M4816" s="133">
        <f t="shared" si="268"/>
        <v>3.7283499999999998</v>
      </c>
      <c r="N4816" s="133">
        <v>5349.9534101253548</v>
      </c>
      <c r="O4816" s="179" t="s">
        <v>6641</v>
      </c>
      <c r="P4816" s="117">
        <v>61</v>
      </c>
      <c r="Q4816" s="90" t="s">
        <v>6987</v>
      </c>
    </row>
    <row r="4817" spans="1:17" ht="15" customHeight="1">
      <c r="A4817" s="118" t="s">
        <v>7297</v>
      </c>
      <c r="B4817" s="166"/>
      <c r="C4817" s="118" t="s">
        <v>3817</v>
      </c>
      <c r="D4817" s="141"/>
      <c r="E4817" s="118"/>
      <c r="F4817" s="118"/>
      <c r="G4817" s="118" t="s">
        <v>3954</v>
      </c>
      <c r="H4817" s="118" t="s">
        <v>3955</v>
      </c>
      <c r="I4817" s="118" t="s">
        <v>2208</v>
      </c>
      <c r="J4817" s="118" t="s">
        <v>2210</v>
      </c>
      <c r="K4817" s="141"/>
      <c r="L4817" s="135" t="str">
        <f t="shared" si="269"/>
        <v>Pseudalopex griseus</v>
      </c>
      <c r="M4817" s="133">
        <f t="shared" si="268"/>
        <v>3.9180300000000003</v>
      </c>
      <c r="N4817" s="133">
        <v>8279.9935790625059</v>
      </c>
      <c r="O4817" s="179" t="s">
        <v>3356</v>
      </c>
      <c r="P4817" s="108">
        <v>60</v>
      </c>
    </row>
    <row r="4818" spans="1:17" ht="15" customHeight="1">
      <c r="A4818" s="118" t="s">
        <v>7297</v>
      </c>
      <c r="B4818" s="166"/>
      <c r="C4818" s="118" t="s">
        <v>3817</v>
      </c>
      <c r="D4818" s="141"/>
      <c r="E4818" s="118"/>
      <c r="F4818" s="118"/>
      <c r="G4818" s="118" t="s">
        <v>3954</v>
      </c>
      <c r="H4818" s="118" t="s">
        <v>3955</v>
      </c>
      <c r="I4818" s="118" t="s">
        <v>2208</v>
      </c>
      <c r="J4818" s="118" t="s">
        <v>2209</v>
      </c>
      <c r="K4818" s="141"/>
      <c r="L4818" s="135" t="str">
        <f t="shared" si="269"/>
        <v>Pseudalopex culpaeus</v>
      </c>
      <c r="M4818" s="133">
        <f t="shared" si="268"/>
        <v>3.9926600000000003</v>
      </c>
      <c r="N4818" s="133">
        <v>9832.4104566919814</v>
      </c>
      <c r="O4818" s="179" t="s">
        <v>3356</v>
      </c>
      <c r="P4818" s="108">
        <v>60</v>
      </c>
    </row>
    <row r="4819" spans="1:17" ht="15" customHeight="1">
      <c r="A4819" s="118" t="s">
        <v>7297</v>
      </c>
      <c r="B4819" s="166"/>
      <c r="C4819" s="118" t="s">
        <v>3817</v>
      </c>
      <c r="D4819" s="141"/>
      <c r="E4819" s="118"/>
      <c r="F4819" s="118"/>
      <c r="G4819" s="118" t="s">
        <v>3954</v>
      </c>
      <c r="H4819" s="118" t="s">
        <v>3955</v>
      </c>
      <c r="I4819" s="118" t="s">
        <v>7319</v>
      </c>
      <c r="J4819" s="118" t="s">
        <v>7320</v>
      </c>
      <c r="K4819" s="141"/>
      <c r="L4819" s="135" t="str">
        <f t="shared" si="269"/>
        <v>Speothos venaticus</v>
      </c>
      <c r="M4819" s="133">
        <f t="shared" si="268"/>
        <v>3.7781500000000001</v>
      </c>
      <c r="N4819" s="133">
        <v>5999.9827253364419</v>
      </c>
      <c r="O4819" s="179" t="s">
        <v>6641</v>
      </c>
      <c r="P4819" s="117" t="s">
        <v>7568</v>
      </c>
      <c r="Q4819" s="90" t="s">
        <v>6988</v>
      </c>
    </row>
    <row r="4820" spans="1:17" ht="30" customHeight="1">
      <c r="A4820" s="118" t="s">
        <v>7297</v>
      </c>
      <c r="B4820" s="166"/>
      <c r="C4820" s="118" t="s">
        <v>3817</v>
      </c>
      <c r="D4820" s="141"/>
      <c r="E4820" s="118"/>
      <c r="F4820" s="118"/>
      <c r="G4820" s="118" t="s">
        <v>3954</v>
      </c>
      <c r="H4820" s="121" t="s">
        <v>3955</v>
      </c>
      <c r="I4820" s="118" t="s">
        <v>2330</v>
      </c>
      <c r="J4820" s="118" t="s">
        <v>2331</v>
      </c>
      <c r="K4820" s="141"/>
      <c r="L4820" s="135" t="str">
        <f t="shared" si="269"/>
        <v>Urocyon cinereoargenteus</v>
      </c>
      <c r="M4820" s="133">
        <f t="shared" ref="M4820:M4851" si="270">LOG(N4820)</f>
        <v>3.5836200000000002</v>
      </c>
      <c r="N4820" s="133">
        <v>3833.7165526970089</v>
      </c>
      <c r="O4820" s="179" t="s">
        <v>3356</v>
      </c>
      <c r="P4820" s="108">
        <v>60</v>
      </c>
    </row>
    <row r="4821" spans="1:17" ht="15" customHeight="1">
      <c r="A4821" s="118" t="s">
        <v>7297</v>
      </c>
      <c r="B4821" s="166"/>
      <c r="C4821" s="118" t="s">
        <v>3817</v>
      </c>
      <c r="D4821" s="141"/>
      <c r="E4821" s="118"/>
      <c r="F4821" s="118"/>
      <c r="G4821" s="118" t="s">
        <v>3954</v>
      </c>
      <c r="H4821" s="118" t="s">
        <v>7321</v>
      </c>
      <c r="I4821" s="118" t="s">
        <v>7324</v>
      </c>
      <c r="J4821" s="118" t="s">
        <v>7325</v>
      </c>
      <c r="K4821" s="141"/>
      <c r="L4821" s="135" t="str">
        <f t="shared" si="269"/>
        <v>Herpailurus yaguarondi</v>
      </c>
      <c r="M4821" s="133">
        <f t="shared" si="270"/>
        <v>3.8292999999999999</v>
      </c>
      <c r="N4821" s="133">
        <v>6749.9413612194912</v>
      </c>
      <c r="O4821" s="179" t="s">
        <v>3356</v>
      </c>
      <c r="P4821" s="117">
        <v>61</v>
      </c>
    </row>
    <row r="4822" spans="1:17" ht="24" customHeight="1">
      <c r="A4822" s="118" t="s">
        <v>7297</v>
      </c>
      <c r="B4822" s="166"/>
      <c r="C4822" s="118" t="s">
        <v>3817</v>
      </c>
      <c r="D4822" s="141"/>
      <c r="E4822" s="118"/>
      <c r="F4822" s="118"/>
      <c r="G4822" s="118" t="s">
        <v>3954</v>
      </c>
      <c r="H4822" s="118" t="s">
        <v>7321</v>
      </c>
      <c r="I4822" s="118" t="s">
        <v>7326</v>
      </c>
      <c r="J4822" s="118" t="s">
        <v>3570</v>
      </c>
      <c r="K4822" s="141"/>
      <c r="L4822" s="135" t="str">
        <f t="shared" si="269"/>
        <v>Leopardus tigrinus</v>
      </c>
      <c r="M4822" s="133">
        <f t="shared" si="270"/>
        <v>3.3521825181113627</v>
      </c>
      <c r="N4822" s="133">
        <v>2250</v>
      </c>
      <c r="O4822" s="179" t="s">
        <v>6773</v>
      </c>
      <c r="P4822" s="117">
        <v>61</v>
      </c>
      <c r="Q4822" s="90" t="s">
        <v>6985</v>
      </c>
    </row>
    <row r="4823" spans="1:17" ht="15" customHeight="1">
      <c r="A4823" s="121" t="s">
        <v>7297</v>
      </c>
      <c r="B4823" s="166"/>
      <c r="C4823" s="118" t="s">
        <v>3817</v>
      </c>
      <c r="D4823" s="141"/>
      <c r="E4823" s="118"/>
      <c r="F4823" s="118"/>
      <c r="G4823" s="118" t="s">
        <v>3954</v>
      </c>
      <c r="H4823" s="118" t="s">
        <v>7321</v>
      </c>
      <c r="I4823" s="118" t="s">
        <v>7326</v>
      </c>
      <c r="J4823" s="118" t="s">
        <v>7378</v>
      </c>
      <c r="K4823" s="141"/>
      <c r="L4823" s="135" t="str">
        <f t="shared" si="269"/>
        <v>Leopardus wiedii</v>
      </c>
      <c r="M4823" s="133">
        <f t="shared" si="270"/>
        <v>3.5118800000000006</v>
      </c>
      <c r="N4823" s="133">
        <v>3249.9748485428022</v>
      </c>
      <c r="O4823" s="179" t="s">
        <v>3356</v>
      </c>
      <c r="P4823" s="108">
        <v>60</v>
      </c>
    </row>
    <row r="4824" spans="1:17" ht="15" customHeight="1">
      <c r="A4824" s="118" t="s">
        <v>7297</v>
      </c>
      <c r="B4824" s="166"/>
      <c r="C4824" s="118" t="s">
        <v>3817</v>
      </c>
      <c r="D4824" s="141"/>
      <c r="E4824" s="118"/>
      <c r="F4824" s="118"/>
      <c r="G4824" s="118" t="s">
        <v>3954</v>
      </c>
      <c r="H4824" s="118" t="s">
        <v>7321</v>
      </c>
      <c r="I4824" s="118" t="s">
        <v>7326</v>
      </c>
      <c r="J4824" s="118" t="s">
        <v>7377</v>
      </c>
      <c r="K4824" s="141"/>
      <c r="L4824" s="135" t="str">
        <f t="shared" si="269"/>
        <v>Leopardus pardalis</v>
      </c>
      <c r="M4824" s="133">
        <f t="shared" si="270"/>
        <v>4.0755499999999998</v>
      </c>
      <c r="N4824" s="133">
        <v>11900.083260453186</v>
      </c>
      <c r="O4824" s="179" t="s">
        <v>3356</v>
      </c>
      <c r="P4824" s="108">
        <v>60</v>
      </c>
    </row>
    <row r="4825" spans="1:17" ht="15" customHeight="1">
      <c r="A4825" s="121" t="s">
        <v>7297</v>
      </c>
      <c r="B4825" s="166"/>
      <c r="C4825" s="121" t="s">
        <v>3817</v>
      </c>
      <c r="D4825" s="156"/>
      <c r="E4825" s="121"/>
      <c r="F4825" s="121"/>
      <c r="G4825" s="121" t="s">
        <v>3954</v>
      </c>
      <c r="H4825" s="121" t="s">
        <v>7321</v>
      </c>
      <c r="I4825" s="121" t="s">
        <v>3773</v>
      </c>
      <c r="J4825" s="121" t="s">
        <v>3778</v>
      </c>
      <c r="K4825" s="156"/>
      <c r="L4825" s="135" t="str">
        <f t="shared" si="269"/>
        <v>Oncifelis guigna</v>
      </c>
      <c r="M4825" s="133">
        <f t="shared" si="270"/>
        <v>3.3483000000000001</v>
      </c>
      <c r="N4825" s="143">
        <v>2229.9750295314971</v>
      </c>
      <c r="O4825" s="179" t="s">
        <v>6920</v>
      </c>
      <c r="P4825" s="117">
        <v>61</v>
      </c>
      <c r="Q4825" s="90" t="s">
        <v>6988</v>
      </c>
    </row>
    <row r="4826" spans="1:17" ht="15" customHeight="1">
      <c r="A4826" s="118" t="s">
        <v>7297</v>
      </c>
      <c r="B4826" s="166"/>
      <c r="C4826" s="118" t="s">
        <v>3817</v>
      </c>
      <c r="D4826" s="141"/>
      <c r="E4826" s="118"/>
      <c r="F4826" s="118"/>
      <c r="G4826" s="118" t="s">
        <v>3954</v>
      </c>
      <c r="H4826" s="118" t="s">
        <v>7321</v>
      </c>
      <c r="I4826" s="118" t="s">
        <v>3773</v>
      </c>
      <c r="J4826" s="118" t="s">
        <v>3777</v>
      </c>
      <c r="K4826" s="141"/>
      <c r="L4826" s="135" t="str">
        <f t="shared" si="269"/>
        <v>Oncifelis geoffroyi</v>
      </c>
      <c r="M4826" s="133">
        <f t="shared" si="270"/>
        <v>3.5550944485783194</v>
      </c>
      <c r="N4826" s="133">
        <v>3590</v>
      </c>
      <c r="O4826" s="179" t="s">
        <v>6931</v>
      </c>
      <c r="P4826" s="117">
        <v>61</v>
      </c>
      <c r="Q4826" s="90" t="s">
        <v>6985</v>
      </c>
    </row>
    <row r="4827" spans="1:17" ht="15" customHeight="1">
      <c r="A4827" s="121" t="s">
        <v>7297</v>
      </c>
      <c r="B4827" s="166"/>
      <c r="C4827" s="118" t="s">
        <v>3817</v>
      </c>
      <c r="D4827" s="141"/>
      <c r="E4827" s="118"/>
      <c r="F4827" s="118"/>
      <c r="G4827" s="118" t="s">
        <v>3954</v>
      </c>
      <c r="H4827" s="118" t="s">
        <v>7321</v>
      </c>
      <c r="I4827" s="118" t="s">
        <v>3773</v>
      </c>
      <c r="J4827" s="118" t="s">
        <v>3774</v>
      </c>
      <c r="K4827" s="141"/>
      <c r="L4827" s="135" t="str">
        <f t="shared" si="269"/>
        <v>Oncifelis colocolo</v>
      </c>
      <c r="M4827" s="133">
        <f t="shared" si="270"/>
        <v>3.5949400000000007</v>
      </c>
      <c r="N4827" s="133">
        <v>3934.9570825919182</v>
      </c>
      <c r="O4827" s="179" t="s">
        <v>6836</v>
      </c>
      <c r="P4827" s="117" t="s">
        <v>5302</v>
      </c>
      <c r="Q4827" s="90" t="s">
        <v>6985</v>
      </c>
    </row>
    <row r="4828" spans="1:17" ht="15" customHeight="1">
      <c r="A4828" s="118" t="s">
        <v>7297</v>
      </c>
      <c r="B4828" s="166"/>
      <c r="C4828" s="118" t="s">
        <v>3817</v>
      </c>
      <c r="D4828" s="141"/>
      <c r="E4828" s="118"/>
      <c r="F4828" s="118"/>
      <c r="G4828" s="118" t="s">
        <v>3954</v>
      </c>
      <c r="H4828" s="118" t="s">
        <v>7321</v>
      </c>
      <c r="I4828" s="118" t="s">
        <v>3771</v>
      </c>
      <c r="J4828" s="118" t="s">
        <v>4020</v>
      </c>
      <c r="K4828" s="141"/>
      <c r="L4828" s="135" t="str">
        <f t="shared" si="269"/>
        <v>Oreailurus jacobita</v>
      </c>
      <c r="M4828" s="133">
        <f t="shared" si="270"/>
        <v>3.9623699999999999</v>
      </c>
      <c r="N4828" s="133">
        <v>9170.0140271424589</v>
      </c>
      <c r="O4828" s="179" t="s">
        <v>6707</v>
      </c>
      <c r="P4828" s="108">
        <v>60</v>
      </c>
      <c r="Q4828" s="90" t="s">
        <v>6640</v>
      </c>
    </row>
    <row r="4829" spans="1:17" ht="15" customHeight="1">
      <c r="A4829" s="118" t="s">
        <v>7297</v>
      </c>
      <c r="B4829" s="166"/>
      <c r="C4829" s="118" t="s">
        <v>3817</v>
      </c>
      <c r="D4829" s="141"/>
      <c r="E4829" s="118"/>
      <c r="F4829" s="118"/>
      <c r="G4829" s="118" t="s">
        <v>3954</v>
      </c>
      <c r="H4829" s="118" t="s">
        <v>7321</v>
      </c>
      <c r="I4829" s="118" t="s">
        <v>4860</v>
      </c>
      <c r="J4829" s="118" t="s">
        <v>2466</v>
      </c>
      <c r="K4829" s="141"/>
      <c r="L4829" s="135" t="str">
        <f t="shared" si="269"/>
        <v>Panthera onca</v>
      </c>
      <c r="M4829" s="133">
        <f t="shared" si="270"/>
        <v>5</v>
      </c>
      <c r="N4829" s="133">
        <v>100000</v>
      </c>
      <c r="O4829" s="179" t="s">
        <v>6908</v>
      </c>
      <c r="P4829" s="117">
        <v>61</v>
      </c>
      <c r="Q4829" s="90" t="s">
        <v>6985</v>
      </c>
    </row>
    <row r="4830" spans="1:17" ht="15" customHeight="1">
      <c r="A4830" s="118" t="s">
        <v>7297</v>
      </c>
      <c r="B4830" s="166"/>
      <c r="C4830" s="118" t="s">
        <v>3817</v>
      </c>
      <c r="D4830" s="141"/>
      <c r="E4830" s="118"/>
      <c r="F4830" s="118"/>
      <c r="G4830" s="118" t="s">
        <v>3954</v>
      </c>
      <c r="H4830" s="118" t="s">
        <v>7321</v>
      </c>
      <c r="I4830" s="118" t="s">
        <v>2185</v>
      </c>
      <c r="J4830" s="118" t="s">
        <v>3569</v>
      </c>
      <c r="K4830" s="141"/>
      <c r="L4830" s="135" t="str">
        <f t="shared" si="269"/>
        <v>Puma concolor</v>
      </c>
      <c r="M4830" s="133">
        <f t="shared" si="270"/>
        <v>4.71265</v>
      </c>
      <c r="N4830" s="133">
        <v>51600.035450694937</v>
      </c>
      <c r="O4830" s="179" t="s">
        <v>6916</v>
      </c>
      <c r="P4830" s="111">
        <v>60</v>
      </c>
      <c r="Q4830" s="90" t="s">
        <v>6985</v>
      </c>
    </row>
    <row r="4831" spans="1:17" ht="15" customHeight="1">
      <c r="A4831" s="118" t="s">
        <v>7297</v>
      </c>
      <c r="B4831" s="166"/>
      <c r="C4831" s="118" t="s">
        <v>3817</v>
      </c>
      <c r="D4831" s="141"/>
      <c r="E4831" s="118"/>
      <c r="F4831" s="118"/>
      <c r="G4831" s="118" t="s">
        <v>3954</v>
      </c>
      <c r="H4831" s="118" t="s">
        <v>4257</v>
      </c>
      <c r="I4831" s="118" t="s">
        <v>4444</v>
      </c>
      <c r="J4831" s="118" t="s">
        <v>4297</v>
      </c>
      <c r="K4831" s="141"/>
      <c r="L4831" s="135" t="str">
        <f t="shared" si="269"/>
        <v>Conepatus humboldtii</v>
      </c>
      <c r="M4831" s="133">
        <f t="shared" si="270"/>
        <v>2.5158700000000001</v>
      </c>
      <c r="N4831" s="133">
        <v>327.99709705763223</v>
      </c>
      <c r="O4831" s="179" t="s">
        <v>3356</v>
      </c>
      <c r="P4831" s="117">
        <v>61</v>
      </c>
      <c r="Q4831" s="91"/>
    </row>
    <row r="4832" spans="1:17" ht="15" customHeight="1">
      <c r="A4832" s="118" t="s">
        <v>7297</v>
      </c>
      <c r="B4832" s="166"/>
      <c r="C4832" s="118" t="s">
        <v>3817</v>
      </c>
      <c r="D4832" s="141"/>
      <c r="E4832" s="118"/>
      <c r="F4832" s="118"/>
      <c r="G4832" s="118" t="s">
        <v>3954</v>
      </c>
      <c r="H4832" s="118" t="s">
        <v>4257</v>
      </c>
      <c r="I4832" s="118" t="s">
        <v>4444</v>
      </c>
      <c r="J4832" s="118" t="s">
        <v>4483</v>
      </c>
      <c r="K4832" s="141"/>
      <c r="L4832" s="135" t="str">
        <f t="shared" si="269"/>
        <v>Conepatus semistriatus</v>
      </c>
      <c r="M4832" s="133">
        <f t="shared" si="270"/>
        <v>3.0791800000000005</v>
      </c>
      <c r="N4832" s="133">
        <v>1199.9965570481172</v>
      </c>
      <c r="O4832" s="179" t="s">
        <v>3356</v>
      </c>
      <c r="P4832" s="117">
        <v>60</v>
      </c>
      <c r="Q4832" s="91"/>
    </row>
    <row r="4833" spans="1:19" ht="15" customHeight="1">
      <c r="A4833" s="118" t="s">
        <v>7297</v>
      </c>
      <c r="B4833" s="166"/>
      <c r="C4833" s="118" t="s">
        <v>3817</v>
      </c>
      <c r="D4833" s="141"/>
      <c r="E4833" s="118"/>
      <c r="F4833" s="118"/>
      <c r="G4833" s="118" t="s">
        <v>3954</v>
      </c>
      <c r="H4833" s="118" t="s">
        <v>4257</v>
      </c>
      <c r="I4833" s="118" t="s">
        <v>4444</v>
      </c>
      <c r="J4833" s="118" t="s">
        <v>4296</v>
      </c>
      <c r="K4833" s="141"/>
      <c r="L4833" s="135" t="str">
        <f t="shared" si="269"/>
        <v>Conepatus chinga</v>
      </c>
      <c r="M4833" s="133">
        <f t="shared" si="270"/>
        <v>3.2827400000000004</v>
      </c>
      <c r="N4833" s="133">
        <v>1917.5204309445273</v>
      </c>
      <c r="O4833" s="179" t="s">
        <v>3356</v>
      </c>
      <c r="P4833" s="108">
        <v>60</v>
      </c>
      <c r="Q4833" s="91"/>
    </row>
    <row r="4834" spans="1:19" ht="15" customHeight="1">
      <c r="A4834" s="118" t="s">
        <v>7297</v>
      </c>
      <c r="B4834" s="166"/>
      <c r="C4834" s="118" t="s">
        <v>3817</v>
      </c>
      <c r="D4834" s="141"/>
      <c r="E4834" s="118"/>
      <c r="F4834" s="118"/>
      <c r="G4834" s="118" t="s">
        <v>3954</v>
      </c>
      <c r="H4834" s="118" t="s">
        <v>4257</v>
      </c>
      <c r="I4834" s="118" t="s">
        <v>3819</v>
      </c>
      <c r="J4834" s="118" t="s">
        <v>3820</v>
      </c>
      <c r="K4834" s="141"/>
      <c r="L4834" s="135" t="str">
        <f t="shared" si="269"/>
        <v>Eira barbara</v>
      </c>
      <c r="M4834" s="133">
        <f t="shared" si="270"/>
        <v>3.5921800000000004</v>
      </c>
      <c r="N4834" s="133">
        <v>3910.0291936232725</v>
      </c>
      <c r="O4834" s="179" t="s">
        <v>3356</v>
      </c>
      <c r="P4834" s="108">
        <v>60</v>
      </c>
      <c r="Q4834" s="91"/>
    </row>
    <row r="4835" spans="1:19" ht="15" customHeight="1">
      <c r="A4835" s="118" t="s">
        <v>7297</v>
      </c>
      <c r="B4835" s="166"/>
      <c r="C4835" s="118" t="s">
        <v>3817</v>
      </c>
      <c r="D4835" s="141"/>
      <c r="E4835" s="118"/>
      <c r="F4835" s="118"/>
      <c r="G4835" s="118" t="s">
        <v>3954</v>
      </c>
      <c r="H4835" s="118" t="s">
        <v>4257</v>
      </c>
      <c r="I4835" s="118" t="s">
        <v>3821</v>
      </c>
      <c r="J4835" s="118" t="s">
        <v>4298</v>
      </c>
      <c r="K4835" s="141"/>
      <c r="L4835" s="135" t="str">
        <f t="shared" si="269"/>
        <v>Galictis cuja</v>
      </c>
      <c r="M4835" s="133">
        <f t="shared" si="270"/>
        <v>3</v>
      </c>
      <c r="N4835" s="133">
        <v>1000</v>
      </c>
      <c r="O4835" s="179" t="s">
        <v>3356</v>
      </c>
      <c r="P4835" s="108">
        <v>60</v>
      </c>
      <c r="Q4835" s="91"/>
    </row>
    <row r="4836" spans="1:19" ht="30" customHeight="1">
      <c r="A4836" s="118" t="s">
        <v>7297</v>
      </c>
      <c r="B4836" s="166"/>
      <c r="C4836" s="118" t="s">
        <v>3817</v>
      </c>
      <c r="D4836" s="141"/>
      <c r="E4836" s="118"/>
      <c r="F4836" s="118"/>
      <c r="G4836" s="118" t="s">
        <v>3954</v>
      </c>
      <c r="H4836" s="118" t="s">
        <v>4257</v>
      </c>
      <c r="I4836" s="118" t="s">
        <v>3821</v>
      </c>
      <c r="J4836" s="118" t="s">
        <v>3822</v>
      </c>
      <c r="K4836" s="141"/>
      <c r="L4836" s="135" t="str">
        <f t="shared" si="269"/>
        <v>Galictis vittata</v>
      </c>
      <c r="M4836" s="133">
        <f t="shared" si="270"/>
        <v>3.5051500000000004</v>
      </c>
      <c r="N4836" s="133">
        <v>3200.0001597448445</v>
      </c>
      <c r="O4836" s="179" t="s">
        <v>3356</v>
      </c>
      <c r="P4836" s="117">
        <v>61</v>
      </c>
      <c r="Q4836" s="91"/>
    </row>
    <row r="4837" spans="1:19" ht="30" customHeight="1">
      <c r="A4837" s="118" t="s">
        <v>7297</v>
      </c>
      <c r="B4837" s="166"/>
      <c r="C4837" s="118" t="s">
        <v>3817</v>
      </c>
      <c r="D4837" s="141"/>
      <c r="E4837" s="118"/>
      <c r="F4837" s="118"/>
      <c r="G4837" s="118" t="s">
        <v>3954</v>
      </c>
      <c r="H4837" s="118" t="s">
        <v>4257</v>
      </c>
      <c r="I4837" s="118" t="s">
        <v>4447</v>
      </c>
      <c r="J4837" s="118" t="s">
        <v>4456</v>
      </c>
      <c r="K4837" s="141"/>
      <c r="L4837" s="135" t="str">
        <f t="shared" si="269"/>
        <v>Lontra longicaudis</v>
      </c>
      <c r="M4837" s="133">
        <f t="shared" si="270"/>
        <v>3.8165700000000005</v>
      </c>
      <c r="N4837" s="133">
        <v>6554.9593078038397</v>
      </c>
      <c r="O4837" s="179" t="s">
        <v>6955</v>
      </c>
      <c r="P4837" s="108">
        <v>60</v>
      </c>
      <c r="Q4837" s="90" t="s">
        <v>6987</v>
      </c>
    </row>
    <row r="4838" spans="1:19" ht="15" customHeight="1">
      <c r="A4838" s="118" t="s">
        <v>7297</v>
      </c>
      <c r="B4838" s="166"/>
      <c r="C4838" s="118" t="s">
        <v>3817</v>
      </c>
      <c r="D4838" s="141"/>
      <c r="E4838" s="118"/>
      <c r="F4838" s="118"/>
      <c r="G4838" s="118" t="s">
        <v>3954</v>
      </c>
      <c r="H4838" s="118" t="s">
        <v>4257</v>
      </c>
      <c r="I4838" s="118" t="s">
        <v>4447</v>
      </c>
      <c r="J4838" s="118" t="s">
        <v>4049</v>
      </c>
      <c r="K4838" s="141"/>
      <c r="L4838" s="135" t="str">
        <f t="shared" si="269"/>
        <v>Lontra provocax</v>
      </c>
      <c r="M4838" s="133">
        <f t="shared" si="270"/>
        <v>3.8750599999999999</v>
      </c>
      <c r="N4838" s="133">
        <v>7499.9781820300241</v>
      </c>
      <c r="O4838" s="179" t="s">
        <v>7081</v>
      </c>
      <c r="P4838" s="108">
        <v>60</v>
      </c>
      <c r="Q4838" s="90" t="s">
        <v>6640</v>
      </c>
    </row>
    <row r="4839" spans="1:19" ht="30" customHeight="1">
      <c r="A4839" s="118" t="s">
        <v>7297</v>
      </c>
      <c r="B4839" s="166"/>
      <c r="C4839" s="118" t="s">
        <v>3817</v>
      </c>
      <c r="D4839" s="141"/>
      <c r="E4839" s="118"/>
      <c r="F4839" s="118"/>
      <c r="G4839" s="118" t="s">
        <v>3954</v>
      </c>
      <c r="H4839" s="118" t="s">
        <v>4257</v>
      </c>
      <c r="I4839" s="118" t="s">
        <v>4447</v>
      </c>
      <c r="J4839" s="118" t="s">
        <v>6669</v>
      </c>
      <c r="K4839" s="141"/>
      <c r="L4839" s="135" t="str">
        <f t="shared" si="269"/>
        <v>Lontra felina</v>
      </c>
      <c r="M4839" s="133">
        <f t="shared" si="270"/>
        <v>4.4857214264815797</v>
      </c>
      <c r="N4839" s="133">
        <f>AVERAGE(3200, 58000)</f>
        <v>30600</v>
      </c>
      <c r="O4839" s="179" t="s">
        <v>6955</v>
      </c>
      <c r="P4839" s="111">
        <v>96</v>
      </c>
      <c r="Q4839" s="90" t="s">
        <v>6640</v>
      </c>
    </row>
    <row r="4840" spans="1:19" ht="30" customHeight="1">
      <c r="A4840" s="118" t="s">
        <v>7297</v>
      </c>
      <c r="B4840" s="166"/>
      <c r="C4840" s="118" t="s">
        <v>3817</v>
      </c>
      <c r="D4840" s="141"/>
      <c r="E4840" s="118"/>
      <c r="F4840" s="118"/>
      <c r="G4840" s="118" t="s">
        <v>3954</v>
      </c>
      <c r="H4840" s="118" t="s">
        <v>4257</v>
      </c>
      <c r="I4840" s="118" t="s">
        <v>4050</v>
      </c>
      <c r="J4840" s="118" t="s">
        <v>4051</v>
      </c>
      <c r="K4840" s="141"/>
      <c r="L4840" s="135" t="str">
        <f t="shared" si="269"/>
        <v>Lyncodon patagonicus</v>
      </c>
      <c r="M4840" s="133">
        <f t="shared" si="270"/>
        <v>2.3521800000000006</v>
      </c>
      <c r="N4840" s="133">
        <v>224.9986954165031</v>
      </c>
      <c r="O4840" s="179" t="s">
        <v>3356</v>
      </c>
      <c r="P4840" s="117">
        <v>61</v>
      </c>
    </row>
    <row r="4841" spans="1:19" ht="15" customHeight="1">
      <c r="A4841" s="118" t="s">
        <v>7297</v>
      </c>
      <c r="B4841" s="166"/>
      <c r="C4841" s="118" t="s">
        <v>3817</v>
      </c>
      <c r="D4841" s="141"/>
      <c r="E4841" s="118"/>
      <c r="F4841" s="118"/>
      <c r="G4841" s="118" t="s">
        <v>3954</v>
      </c>
      <c r="H4841" s="118" t="s">
        <v>4257</v>
      </c>
      <c r="I4841" s="118" t="s">
        <v>4479</v>
      </c>
      <c r="J4841" s="118" t="s">
        <v>4488</v>
      </c>
      <c r="K4841" s="141"/>
      <c r="L4841" s="135" t="str">
        <f t="shared" si="269"/>
        <v>Mustela frenata</v>
      </c>
      <c r="M4841" s="133">
        <f t="shared" si="270"/>
        <v>2.1673200000000001</v>
      </c>
      <c r="N4841" s="133">
        <v>147.00090213722874</v>
      </c>
      <c r="O4841" s="179" t="s">
        <v>3356</v>
      </c>
      <c r="P4841" s="108">
        <v>60</v>
      </c>
    </row>
    <row r="4842" spans="1:19" ht="15" customHeight="1">
      <c r="A4842" s="121" t="s">
        <v>7297</v>
      </c>
      <c r="B4842" s="166"/>
      <c r="C4842" s="118" t="s">
        <v>3817</v>
      </c>
      <c r="D4842" s="141"/>
      <c r="E4842" s="118"/>
      <c r="F4842" s="118"/>
      <c r="G4842" s="118" t="s">
        <v>3954</v>
      </c>
      <c r="H4842" s="118" t="s">
        <v>4257</v>
      </c>
      <c r="I4842" s="118" t="s">
        <v>4479</v>
      </c>
      <c r="J4842" s="118" t="s">
        <v>3811</v>
      </c>
      <c r="K4842" s="141"/>
      <c r="L4842" s="135" t="str">
        <f t="shared" si="269"/>
        <v>Mustela felipei</v>
      </c>
      <c r="M4842" s="133">
        <f t="shared" si="270"/>
        <v>2.3249000000000004</v>
      </c>
      <c r="N4842" s="133">
        <v>211.30024470241329</v>
      </c>
      <c r="O4842" s="179" t="s">
        <v>7081</v>
      </c>
      <c r="P4842" s="117">
        <v>61</v>
      </c>
      <c r="Q4842" s="90" t="s">
        <v>6640</v>
      </c>
    </row>
    <row r="4843" spans="1:19" ht="30" customHeight="1">
      <c r="A4843" s="118" t="s">
        <v>7297</v>
      </c>
      <c r="B4843" s="166"/>
      <c r="C4843" s="121" t="s">
        <v>3817</v>
      </c>
      <c r="D4843" s="156"/>
      <c r="E4843" s="121"/>
      <c r="F4843" s="121"/>
      <c r="G4843" s="121" t="s">
        <v>3954</v>
      </c>
      <c r="H4843" s="118" t="s">
        <v>4257</v>
      </c>
      <c r="I4843" s="121" t="s">
        <v>4479</v>
      </c>
      <c r="J4843" s="121" t="s">
        <v>4052</v>
      </c>
      <c r="K4843" s="156"/>
      <c r="L4843" s="135" t="str">
        <f t="shared" si="269"/>
        <v>Mustela africana</v>
      </c>
      <c r="M4843" s="133">
        <f t="shared" si="270"/>
        <v>2.7299699999999998</v>
      </c>
      <c r="N4843" s="133">
        <v>536.99470080923902</v>
      </c>
      <c r="O4843" s="179" t="s">
        <v>7081</v>
      </c>
      <c r="P4843" s="117">
        <v>61</v>
      </c>
      <c r="Q4843" s="90" t="s">
        <v>6987</v>
      </c>
    </row>
    <row r="4844" spans="1:19" ht="38.25">
      <c r="A4844" s="118" t="s">
        <v>7297</v>
      </c>
      <c r="B4844" s="166"/>
      <c r="C4844" s="118" t="s">
        <v>3817</v>
      </c>
      <c r="D4844" s="141"/>
      <c r="E4844" s="118"/>
      <c r="F4844" s="118"/>
      <c r="G4844" s="118" t="s">
        <v>3954</v>
      </c>
      <c r="H4844" s="121" t="s">
        <v>4257</v>
      </c>
      <c r="I4844" s="118" t="s">
        <v>3812</v>
      </c>
      <c r="J4844" s="118" t="s">
        <v>4467</v>
      </c>
      <c r="K4844" s="141"/>
      <c r="L4844" s="135" t="str">
        <f t="shared" si="269"/>
        <v>Pteronura brasiliensis</v>
      </c>
      <c r="M4844" s="133">
        <f t="shared" si="270"/>
        <v>4.3802099999999999</v>
      </c>
      <c r="N4844" s="133">
        <v>23999.931380578884</v>
      </c>
      <c r="O4844" s="179" t="s">
        <v>6990</v>
      </c>
      <c r="P4844" s="117">
        <v>61</v>
      </c>
      <c r="Q4844" s="90" t="s">
        <v>6640</v>
      </c>
    </row>
    <row r="4845" spans="1:19" ht="45" customHeight="1">
      <c r="A4845" s="118" t="s">
        <v>7297</v>
      </c>
      <c r="B4845" s="166" t="s">
        <v>2161</v>
      </c>
      <c r="C4845" s="118" t="s">
        <v>3817</v>
      </c>
      <c r="D4845" s="141"/>
      <c r="E4845" s="118"/>
      <c r="F4845" s="118"/>
      <c r="G4845" s="118" t="s">
        <v>3954</v>
      </c>
      <c r="H4845" s="118" t="s">
        <v>4468</v>
      </c>
      <c r="I4845" s="118" t="s">
        <v>4080</v>
      </c>
      <c r="J4845" s="118" t="s">
        <v>6571</v>
      </c>
      <c r="K4845" s="141"/>
      <c r="L4845" s="135" t="str">
        <f t="shared" si="269"/>
        <v>Arctocephalus galapagoensis</v>
      </c>
      <c r="M4845" s="133">
        <f t="shared" si="270"/>
        <v>4.4313637641589869</v>
      </c>
      <c r="N4845" s="133">
        <v>27000</v>
      </c>
      <c r="O4845" s="179" t="s">
        <v>6995</v>
      </c>
      <c r="P4845" s="108">
        <v>68</v>
      </c>
      <c r="Q4845" s="90" t="s">
        <v>6988</v>
      </c>
    </row>
    <row r="4846" spans="1:19">
      <c r="A4846" s="118" t="s">
        <v>7297</v>
      </c>
      <c r="B4846" s="166"/>
      <c r="C4846" s="118" t="s">
        <v>3817</v>
      </c>
      <c r="D4846" s="141"/>
      <c r="E4846" s="118"/>
      <c r="F4846" s="118"/>
      <c r="G4846" s="118" t="s">
        <v>3954</v>
      </c>
      <c r="H4846" s="118" t="s">
        <v>4468</v>
      </c>
      <c r="I4846" s="118" t="s">
        <v>4080</v>
      </c>
      <c r="J4846" s="118" t="s">
        <v>3789</v>
      </c>
      <c r="K4846" s="141"/>
      <c r="L4846" s="135" t="str">
        <f t="shared" si="269"/>
        <v>Arctocephalus australis</v>
      </c>
      <c r="M4846" s="133">
        <f t="shared" si="270"/>
        <v>4.653212513775344</v>
      </c>
      <c r="N4846" s="133">
        <v>45000</v>
      </c>
      <c r="O4846" s="179" t="s">
        <v>6736</v>
      </c>
      <c r="P4846" s="111">
        <v>68</v>
      </c>
      <c r="S4846" s="92"/>
    </row>
    <row r="4847" spans="1:19" ht="25.5">
      <c r="A4847" s="118" t="s">
        <v>7297</v>
      </c>
      <c r="B4847" s="166" t="s">
        <v>2053</v>
      </c>
      <c r="C4847" s="118" t="s">
        <v>3817</v>
      </c>
      <c r="D4847" s="141"/>
      <c r="E4847" s="118"/>
      <c r="F4847" s="118"/>
      <c r="G4847" s="118" t="s">
        <v>3954</v>
      </c>
      <c r="H4847" s="118" t="s">
        <v>4468</v>
      </c>
      <c r="I4847" s="118" t="s">
        <v>4080</v>
      </c>
      <c r="J4847" s="118" t="s">
        <v>5159</v>
      </c>
      <c r="K4847" s="141"/>
      <c r="L4847" s="135" t="str">
        <f t="shared" si="269"/>
        <v>Arctocephalus philippii</v>
      </c>
      <c r="M4847" s="133">
        <f t="shared" si="270"/>
        <v>4.9777236052888476</v>
      </c>
      <c r="N4847" s="133">
        <f>AVERAGE(140000, 50000)</f>
        <v>95000</v>
      </c>
      <c r="O4847" s="179" t="s">
        <v>7080</v>
      </c>
      <c r="P4847" s="111">
        <v>137</v>
      </c>
      <c r="Q4847" s="80" t="s">
        <v>6988</v>
      </c>
    </row>
    <row r="4848" spans="1:19" ht="51">
      <c r="A4848" s="118" t="s">
        <v>7297</v>
      </c>
      <c r="B4848" s="166" t="s">
        <v>1986</v>
      </c>
      <c r="C4848" s="118" t="s">
        <v>3817</v>
      </c>
      <c r="D4848" s="141"/>
      <c r="E4848" s="118"/>
      <c r="F4848" s="118"/>
      <c r="G4848" s="118" t="s">
        <v>3954</v>
      </c>
      <c r="H4848" s="118" t="s">
        <v>4468</v>
      </c>
      <c r="I4848" s="118" t="s">
        <v>3697</v>
      </c>
      <c r="J4848" s="118" t="s">
        <v>3698</v>
      </c>
      <c r="K4848" s="141"/>
      <c r="L4848" s="135" t="str">
        <f t="shared" si="269"/>
        <v>Otaria byronia</v>
      </c>
      <c r="M4848" s="133">
        <f t="shared" si="270"/>
        <v>5.1461280356782382</v>
      </c>
      <c r="N4848" s="133">
        <v>140000</v>
      </c>
      <c r="O4848" s="179" t="s">
        <v>6736</v>
      </c>
      <c r="P4848" s="108">
        <v>68</v>
      </c>
    </row>
    <row r="4849" spans="1:19" ht="63.75">
      <c r="A4849" s="118" t="s">
        <v>7297</v>
      </c>
      <c r="B4849" s="166" t="s">
        <v>2436</v>
      </c>
      <c r="C4849" s="118" t="s">
        <v>3817</v>
      </c>
      <c r="D4849" s="141"/>
      <c r="E4849" s="118"/>
      <c r="F4849" s="118"/>
      <c r="G4849" s="118" t="s">
        <v>3954</v>
      </c>
      <c r="H4849" s="118" t="s">
        <v>4468</v>
      </c>
      <c r="I4849" s="118" t="s">
        <v>3242</v>
      </c>
      <c r="J4849" s="118" t="s">
        <v>6394</v>
      </c>
      <c r="K4849" s="141"/>
      <c r="L4849" s="135" t="str">
        <f t="shared" si="269"/>
        <v>Zalophus californianus</v>
      </c>
      <c r="M4849" s="133">
        <f t="shared" si="270"/>
        <v>4.9030899869919438</v>
      </c>
      <c r="N4849" s="133">
        <v>80000</v>
      </c>
      <c r="O4849" s="179" t="s">
        <v>6736</v>
      </c>
      <c r="P4849" s="108">
        <v>68</v>
      </c>
    </row>
    <row r="4850" spans="1:19" ht="24" customHeight="1">
      <c r="A4850" s="121" t="s">
        <v>7297</v>
      </c>
      <c r="B4850" s="166"/>
      <c r="C4850" s="118" t="s">
        <v>3817</v>
      </c>
      <c r="D4850" s="141"/>
      <c r="E4850" s="118"/>
      <c r="F4850" s="118"/>
      <c r="G4850" s="118" t="s">
        <v>3954</v>
      </c>
      <c r="H4850" s="118" t="s">
        <v>2127</v>
      </c>
      <c r="I4850" s="118" t="s">
        <v>4086</v>
      </c>
      <c r="J4850" s="118" t="s">
        <v>4087</v>
      </c>
      <c r="K4850" s="141"/>
      <c r="L4850" s="135" t="str">
        <f t="shared" si="269"/>
        <v>Bassaricyon alleni</v>
      </c>
      <c r="M4850" s="133">
        <f t="shared" si="270"/>
        <v>3.0916700000000006</v>
      </c>
      <c r="N4850" s="133">
        <v>1235.0086516929125</v>
      </c>
      <c r="O4850" s="179" t="s">
        <v>3356</v>
      </c>
      <c r="P4850" s="108">
        <v>61</v>
      </c>
    </row>
    <row r="4851" spans="1:19" ht="36" customHeight="1">
      <c r="A4851" s="121" t="s">
        <v>7297</v>
      </c>
      <c r="B4851" s="166"/>
      <c r="C4851" s="118" t="s">
        <v>3817</v>
      </c>
      <c r="D4851" s="141"/>
      <c r="E4851" s="118"/>
      <c r="F4851" s="118"/>
      <c r="G4851" s="118" t="s">
        <v>3954</v>
      </c>
      <c r="H4851" s="118" t="s">
        <v>2127</v>
      </c>
      <c r="I4851" s="118" t="s">
        <v>4086</v>
      </c>
      <c r="J4851" s="118" t="s">
        <v>3893</v>
      </c>
      <c r="K4851" s="141"/>
      <c r="L4851" s="135" t="str">
        <f t="shared" si="269"/>
        <v>Bassaricyon beddardi</v>
      </c>
      <c r="M4851" s="133">
        <f t="shared" si="270"/>
        <v>3.0916700000000006</v>
      </c>
      <c r="N4851" s="133">
        <v>1235.0086516929125</v>
      </c>
      <c r="O4851" s="179" t="s">
        <v>7081</v>
      </c>
      <c r="P4851" s="108">
        <v>61</v>
      </c>
      <c r="Q4851" s="90" t="s">
        <v>6642</v>
      </c>
    </row>
    <row r="4852" spans="1:19">
      <c r="A4852" s="118" t="s">
        <v>7297</v>
      </c>
      <c r="B4852" s="166"/>
      <c r="C4852" s="121" t="s">
        <v>3817</v>
      </c>
      <c r="D4852" s="156"/>
      <c r="E4852" s="121"/>
      <c r="F4852" s="121"/>
      <c r="G4852" s="121" t="s">
        <v>3954</v>
      </c>
      <c r="H4852" s="118" t="s">
        <v>2127</v>
      </c>
      <c r="I4852" s="121" t="s">
        <v>4086</v>
      </c>
      <c r="J4852" s="121" t="s">
        <v>4629</v>
      </c>
      <c r="K4852" s="156"/>
      <c r="L4852" s="135" t="str">
        <f t="shared" si="269"/>
        <v>Bassaricyon gabbii</v>
      </c>
      <c r="M4852" s="133">
        <f t="shared" ref="M4852:M4877" si="271">LOG(N4852)</f>
        <v>3.0969100000000003</v>
      </c>
      <c r="N4852" s="143">
        <v>1249.9999625598048</v>
      </c>
      <c r="O4852" s="179" t="s">
        <v>7081</v>
      </c>
      <c r="P4852" s="108">
        <v>61</v>
      </c>
      <c r="Q4852" s="91" t="s">
        <v>6642</v>
      </c>
    </row>
    <row r="4853" spans="1:19">
      <c r="A4853" s="118" t="s">
        <v>7297</v>
      </c>
      <c r="B4853" s="166"/>
      <c r="C4853" s="118" t="s">
        <v>3817</v>
      </c>
      <c r="D4853" s="141"/>
      <c r="E4853" s="118"/>
      <c r="F4853" s="118"/>
      <c r="G4853" s="118" t="s">
        <v>3954</v>
      </c>
      <c r="H4853" s="118" t="s">
        <v>2127</v>
      </c>
      <c r="I4853" s="118" t="s">
        <v>4750</v>
      </c>
      <c r="J4853" s="118" t="s">
        <v>7215</v>
      </c>
      <c r="K4853" s="141"/>
      <c r="L4853" s="135" t="str">
        <f t="shared" si="269"/>
        <v>Nasua nasua</v>
      </c>
      <c r="M4853" s="133">
        <f t="shared" si="271"/>
        <v>3.5790800000000003</v>
      </c>
      <c r="N4853" s="133">
        <v>3793.8486381195939</v>
      </c>
      <c r="O4853" s="179" t="s">
        <v>3356</v>
      </c>
      <c r="P4853" s="108">
        <v>60</v>
      </c>
    </row>
    <row r="4854" spans="1:19">
      <c r="A4854" s="118" t="s">
        <v>7297</v>
      </c>
      <c r="B4854" s="166"/>
      <c r="C4854" s="118" t="s">
        <v>3817</v>
      </c>
      <c r="D4854" s="141"/>
      <c r="E4854" s="118"/>
      <c r="F4854" s="118"/>
      <c r="G4854" s="118" t="s">
        <v>3954</v>
      </c>
      <c r="H4854" s="118" t="s">
        <v>2127</v>
      </c>
      <c r="I4854" s="118" t="s">
        <v>4750</v>
      </c>
      <c r="J4854" s="118" t="s">
        <v>4617</v>
      </c>
      <c r="K4854" s="141"/>
      <c r="L4854" s="135" t="str">
        <f t="shared" si="269"/>
        <v>Nasua narica</v>
      </c>
      <c r="M4854" s="133">
        <f t="shared" si="271"/>
        <v>3.6053100000000002</v>
      </c>
      <c r="N4854" s="133">
        <v>4030.0459691891647</v>
      </c>
      <c r="O4854" s="179" t="s">
        <v>3356</v>
      </c>
      <c r="P4854" s="108">
        <v>60</v>
      </c>
    </row>
    <row r="4855" spans="1:19" ht="25.5">
      <c r="A4855" s="118" t="s">
        <v>7297</v>
      </c>
      <c r="B4855" s="166"/>
      <c r="C4855" s="118" t="s">
        <v>3817</v>
      </c>
      <c r="D4855" s="141"/>
      <c r="E4855" s="118"/>
      <c r="F4855" s="118"/>
      <c r="G4855" s="118" t="s">
        <v>3954</v>
      </c>
      <c r="H4855" s="118" t="s">
        <v>2127</v>
      </c>
      <c r="I4855" s="118" t="s">
        <v>4618</v>
      </c>
      <c r="J4855" s="118" t="s">
        <v>4619</v>
      </c>
      <c r="K4855" s="141"/>
      <c r="L4855" s="135" t="str">
        <f t="shared" si="269"/>
        <v>Nasuella olivacea</v>
      </c>
      <c r="M4855" s="133">
        <f t="shared" si="271"/>
        <v>3.1271000000000004</v>
      </c>
      <c r="N4855" s="133">
        <v>1339.9851948997987</v>
      </c>
      <c r="O4855" s="179" t="s">
        <v>6633</v>
      </c>
      <c r="P4855" s="117">
        <v>61</v>
      </c>
      <c r="Q4855" s="90" t="s">
        <v>6987</v>
      </c>
    </row>
    <row r="4856" spans="1:19">
      <c r="A4856" s="118" t="s">
        <v>7297</v>
      </c>
      <c r="B4856" s="166"/>
      <c r="C4856" s="118" t="s">
        <v>3817</v>
      </c>
      <c r="D4856" s="141"/>
      <c r="E4856" s="118"/>
      <c r="F4856" s="118"/>
      <c r="G4856" s="118" t="s">
        <v>3954</v>
      </c>
      <c r="H4856" s="118" t="s">
        <v>2127</v>
      </c>
      <c r="I4856" s="118" t="s">
        <v>7216</v>
      </c>
      <c r="J4856" s="118" t="s">
        <v>7217</v>
      </c>
      <c r="K4856" s="141"/>
      <c r="L4856" s="135" t="str">
        <f t="shared" si="269"/>
        <v>Potos flavus</v>
      </c>
      <c r="M4856" s="133">
        <f t="shared" si="271"/>
        <v>3.4771212547196626</v>
      </c>
      <c r="N4856" s="133">
        <v>3000</v>
      </c>
      <c r="O4856" s="179" t="s">
        <v>3356</v>
      </c>
      <c r="P4856" s="108">
        <v>75</v>
      </c>
    </row>
    <row r="4857" spans="1:19">
      <c r="A4857" s="118" t="s">
        <v>7297</v>
      </c>
      <c r="B4857" s="166"/>
      <c r="C4857" s="118" t="s">
        <v>3817</v>
      </c>
      <c r="D4857" s="141"/>
      <c r="E4857" s="118"/>
      <c r="F4857" s="118"/>
      <c r="G4857" s="118" t="s">
        <v>3954</v>
      </c>
      <c r="H4857" s="118" t="s">
        <v>2127</v>
      </c>
      <c r="I4857" s="118" t="s">
        <v>7218</v>
      </c>
      <c r="J4857" s="118" t="s">
        <v>7689</v>
      </c>
      <c r="K4857" s="141"/>
      <c r="L4857" s="135" t="str">
        <f t="shared" si="269"/>
        <v>Procyon cancrivorus</v>
      </c>
      <c r="M4857" s="133">
        <f t="shared" si="271"/>
        <v>3.84198</v>
      </c>
      <c r="N4857" s="133">
        <v>6949.9231127311632</v>
      </c>
      <c r="O4857" s="179" t="s">
        <v>3356</v>
      </c>
      <c r="P4857" s="108">
        <v>60</v>
      </c>
      <c r="S4857" s="92"/>
    </row>
    <row r="4858" spans="1:19" ht="38.25">
      <c r="A4858" s="118" t="s">
        <v>7297</v>
      </c>
      <c r="B4858" s="166"/>
      <c r="C4858" s="118" t="s">
        <v>3817</v>
      </c>
      <c r="D4858" s="141"/>
      <c r="E4858" s="118"/>
      <c r="F4858" s="118"/>
      <c r="G4858" s="118" t="s">
        <v>3954</v>
      </c>
      <c r="H4858" s="118" t="s">
        <v>7434</v>
      </c>
      <c r="I4858" s="118" t="s">
        <v>4906</v>
      </c>
      <c r="J4858" s="118" t="s">
        <v>4907</v>
      </c>
      <c r="K4858" s="141"/>
      <c r="L4858" s="135" t="str">
        <f t="shared" si="269"/>
        <v>Tremarctos ornatus</v>
      </c>
      <c r="M4858" s="133">
        <f t="shared" si="271"/>
        <v>5.1461300000000012</v>
      </c>
      <c r="N4858" s="133">
        <v>140000.63322395334</v>
      </c>
      <c r="O4858" s="179" t="s">
        <v>6832</v>
      </c>
      <c r="P4858" s="108">
        <v>60</v>
      </c>
      <c r="Q4858" s="90" t="s">
        <v>6988</v>
      </c>
    </row>
    <row r="4859" spans="1:19">
      <c r="A4859" s="110" t="s">
        <v>7297</v>
      </c>
      <c r="B4859" s="165" t="s">
        <v>4936</v>
      </c>
      <c r="C4859" s="148" t="s">
        <v>3817</v>
      </c>
      <c r="D4859" s="223"/>
      <c r="E4859" s="148"/>
      <c r="F4859" s="148"/>
      <c r="G4859" s="109" t="s">
        <v>2663</v>
      </c>
      <c r="H4859" s="150" t="s">
        <v>2839</v>
      </c>
      <c r="I4859" s="148" t="s">
        <v>1408</v>
      </c>
      <c r="J4859" s="148" t="s">
        <v>4937</v>
      </c>
      <c r="K4859" s="223"/>
      <c r="L4859" s="135" t="str">
        <f t="shared" si="269"/>
        <v>Balantiopteryx infusca</v>
      </c>
      <c r="M4859" s="151">
        <f t="shared" si="271"/>
        <v>0.64097805735833202</v>
      </c>
      <c r="N4859" s="151">
        <f>AVERAGE(4.45, 4.3)</f>
        <v>4.375</v>
      </c>
      <c r="O4859" s="183"/>
      <c r="P4859" s="110">
        <v>247</v>
      </c>
      <c r="Q4859" s="91"/>
      <c r="R4859" s="92"/>
      <c r="S4859" s="82"/>
    </row>
    <row r="4860" spans="1:19" ht="38.25">
      <c r="A4860" s="110" t="s">
        <v>7297</v>
      </c>
      <c r="B4860" s="165" t="s">
        <v>4934</v>
      </c>
      <c r="C4860" s="150" t="s">
        <v>3817</v>
      </c>
      <c r="D4860" s="221"/>
      <c r="E4860" s="150"/>
      <c r="F4860" s="150"/>
      <c r="G4860" s="110" t="s">
        <v>2663</v>
      </c>
      <c r="H4860" s="150" t="s">
        <v>2839</v>
      </c>
      <c r="I4860" s="150" t="s">
        <v>1408</v>
      </c>
      <c r="J4860" s="150" t="s">
        <v>4935</v>
      </c>
      <c r="K4860" s="221"/>
      <c r="L4860" s="135" t="str">
        <f t="shared" si="269"/>
        <v>Balantiopteryx plicata</v>
      </c>
      <c r="M4860" s="133">
        <f t="shared" si="271"/>
        <v>0.80542533525031323</v>
      </c>
      <c r="N4860" s="152">
        <v>6.3888888888890003</v>
      </c>
      <c r="O4860" s="192"/>
      <c r="P4860" s="110">
        <v>153</v>
      </c>
      <c r="Q4860" s="91"/>
      <c r="R4860" s="92"/>
    </row>
    <row r="4861" spans="1:19" ht="25.5">
      <c r="A4861" s="110" t="s">
        <v>7297</v>
      </c>
      <c r="B4861" s="165" t="s">
        <v>4938</v>
      </c>
      <c r="C4861" s="150" t="s">
        <v>3817</v>
      </c>
      <c r="D4861" s="221"/>
      <c r="E4861" s="150"/>
      <c r="F4861" s="150"/>
      <c r="G4861" s="110" t="s">
        <v>2663</v>
      </c>
      <c r="H4861" s="150" t="s">
        <v>2839</v>
      </c>
      <c r="I4861" s="150" t="s">
        <v>4773</v>
      </c>
      <c r="J4861" s="150" t="s">
        <v>4933</v>
      </c>
      <c r="K4861" s="221"/>
      <c r="L4861" s="135" t="str">
        <f t="shared" si="269"/>
        <v>Centronycteris maximiliani</v>
      </c>
      <c r="M4861" s="133">
        <f t="shared" si="271"/>
        <v>0.69897000433601886</v>
      </c>
      <c r="N4861" s="151">
        <v>5</v>
      </c>
      <c r="O4861" s="183"/>
      <c r="P4861" s="110">
        <v>246</v>
      </c>
      <c r="Q4861" s="91"/>
      <c r="R4861" s="82"/>
      <c r="S4861" s="82"/>
    </row>
    <row r="4862" spans="1:19" ht="25.5">
      <c r="A4862" s="110" t="s">
        <v>7297</v>
      </c>
      <c r="B4862" s="165" t="s">
        <v>1637</v>
      </c>
      <c r="C4862" s="150" t="s">
        <v>3817</v>
      </c>
      <c r="D4862" s="221"/>
      <c r="E4862" s="150"/>
      <c r="F4862" s="150"/>
      <c r="G4862" s="110" t="s">
        <v>2663</v>
      </c>
      <c r="H4862" s="150" t="s">
        <v>2839</v>
      </c>
      <c r="I4862" s="150" t="s">
        <v>1638</v>
      </c>
      <c r="J4862" s="150" t="s">
        <v>5644</v>
      </c>
      <c r="K4862" s="221"/>
      <c r="L4862" s="135" t="str">
        <f t="shared" si="269"/>
        <v>Cormura brevirostris</v>
      </c>
      <c r="M4862" s="133">
        <f t="shared" si="271"/>
        <v>0.96260607292412703</v>
      </c>
      <c r="N4862" s="152">
        <v>9.1750000000000007</v>
      </c>
      <c r="O4862" s="192"/>
      <c r="P4862" s="110">
        <v>153</v>
      </c>
      <c r="Q4862" s="91"/>
      <c r="R4862" s="82"/>
    </row>
    <row r="4863" spans="1:19" ht="38.25">
      <c r="A4863" s="110" t="s">
        <v>7297</v>
      </c>
      <c r="B4863" s="165" t="s">
        <v>1291</v>
      </c>
      <c r="C4863" s="150" t="s">
        <v>3817</v>
      </c>
      <c r="D4863" s="221"/>
      <c r="E4863" s="150"/>
      <c r="F4863" s="150"/>
      <c r="G4863" s="110" t="s">
        <v>2663</v>
      </c>
      <c r="H4863" s="150" t="s">
        <v>2839</v>
      </c>
      <c r="I4863" s="150" t="s">
        <v>1292</v>
      </c>
      <c r="J4863" s="150" t="s">
        <v>6087</v>
      </c>
      <c r="K4863" s="221"/>
      <c r="L4863" s="135" t="str">
        <f t="shared" si="269"/>
        <v>Cyttarops alecto</v>
      </c>
      <c r="M4863" s="133">
        <f t="shared" si="271"/>
        <v>0.72427586960078905</v>
      </c>
      <c r="N4863" s="152">
        <v>5.3</v>
      </c>
      <c r="O4863" s="192"/>
      <c r="P4863" s="110">
        <v>153</v>
      </c>
      <c r="Q4863" s="91"/>
      <c r="R4863" s="82"/>
    </row>
    <row r="4864" spans="1:19" ht="38.25">
      <c r="A4864" s="110" t="s">
        <v>7297</v>
      </c>
      <c r="B4864" s="165" t="s">
        <v>1730</v>
      </c>
      <c r="C4864" s="150" t="s">
        <v>3817</v>
      </c>
      <c r="D4864" s="221"/>
      <c r="E4864" s="150"/>
      <c r="F4864" s="150"/>
      <c r="G4864" s="110" t="s">
        <v>2663</v>
      </c>
      <c r="H4864" s="150" t="s">
        <v>2839</v>
      </c>
      <c r="I4864" s="150" t="s">
        <v>1731</v>
      </c>
      <c r="J4864" s="150" t="s">
        <v>1732</v>
      </c>
      <c r="K4864" s="221"/>
      <c r="L4864" s="135" t="str">
        <f t="shared" si="269"/>
        <v>Diclidurus scutatus</v>
      </c>
      <c r="M4864" s="133">
        <f t="shared" si="271"/>
        <v>1.1222158782728267</v>
      </c>
      <c r="N4864" s="152">
        <v>13.25</v>
      </c>
      <c r="O4864" s="192"/>
      <c r="P4864" s="110">
        <v>153</v>
      </c>
      <c r="Q4864" s="91"/>
      <c r="R4864" s="82"/>
      <c r="S4864" s="82"/>
    </row>
    <row r="4865" spans="1:19">
      <c r="A4865" s="110" t="s">
        <v>7297</v>
      </c>
      <c r="B4865" s="165" t="s">
        <v>1508</v>
      </c>
      <c r="C4865" s="150" t="s">
        <v>3817</v>
      </c>
      <c r="D4865" s="221"/>
      <c r="E4865" s="150"/>
      <c r="F4865" s="150"/>
      <c r="G4865" s="110" t="s">
        <v>2663</v>
      </c>
      <c r="H4865" s="150" t="s">
        <v>2839</v>
      </c>
      <c r="I4865" s="150" t="s">
        <v>1731</v>
      </c>
      <c r="J4865" s="150" t="s">
        <v>1198</v>
      </c>
      <c r="K4865" s="221"/>
      <c r="L4865" s="135" t="str">
        <f t="shared" si="269"/>
        <v>Diclidurus isabellus</v>
      </c>
      <c r="M4865" s="133">
        <f t="shared" si="271"/>
        <v>1.146128035678238</v>
      </c>
      <c r="N4865" s="152">
        <v>14</v>
      </c>
      <c r="O4865" s="192"/>
      <c r="P4865" s="110">
        <v>153</v>
      </c>
      <c r="Q4865" s="91"/>
      <c r="R4865" s="82"/>
      <c r="S4865" s="82"/>
    </row>
    <row r="4866" spans="1:19" ht="25.5">
      <c r="A4866" s="110" t="s">
        <v>7297</v>
      </c>
      <c r="B4866" s="165" t="s">
        <v>1509</v>
      </c>
      <c r="C4866" s="150" t="s">
        <v>3817</v>
      </c>
      <c r="D4866" s="221"/>
      <c r="E4866" s="150"/>
      <c r="F4866" s="150"/>
      <c r="G4866" s="110" t="s">
        <v>2663</v>
      </c>
      <c r="H4866" s="148" t="s">
        <v>2839</v>
      </c>
      <c r="I4866" s="150" t="s">
        <v>1731</v>
      </c>
      <c r="J4866" s="150" t="s">
        <v>1192</v>
      </c>
      <c r="K4866" s="221"/>
      <c r="L4866" s="135" t="str">
        <f t="shared" si="269"/>
        <v>Diclidurus albus</v>
      </c>
      <c r="M4866" s="133">
        <f t="shared" si="271"/>
        <v>1.1931245983544616</v>
      </c>
      <c r="N4866" s="152">
        <v>15.6</v>
      </c>
      <c r="O4866" s="192"/>
      <c r="P4866" s="110">
        <v>153</v>
      </c>
      <c r="Q4866" s="91"/>
      <c r="R4866" s="82"/>
      <c r="S4866" s="92"/>
    </row>
    <row r="4867" spans="1:19" ht="25.5">
      <c r="A4867" s="110" t="s">
        <v>7297</v>
      </c>
      <c r="B4867" s="165" t="s">
        <v>1280</v>
      </c>
      <c r="C4867" s="150" t="s">
        <v>3817</v>
      </c>
      <c r="D4867" s="221"/>
      <c r="E4867" s="150"/>
      <c r="F4867" s="150"/>
      <c r="G4867" s="110" t="s">
        <v>2663</v>
      </c>
      <c r="H4867" s="150" t="s">
        <v>2839</v>
      </c>
      <c r="I4867" s="150" t="s">
        <v>1731</v>
      </c>
      <c r="J4867" s="150" t="s">
        <v>3159</v>
      </c>
      <c r="K4867" s="221"/>
      <c r="L4867" s="135" t="str">
        <f t="shared" si="269"/>
        <v>Diclidurus ingens</v>
      </c>
      <c r="M4867" s="133">
        <f t="shared" si="271"/>
        <v>2.0899051114393981</v>
      </c>
      <c r="N4867" s="146">
        <f>1000*0.123</f>
        <v>123</v>
      </c>
      <c r="O4867" s="183"/>
      <c r="P4867" s="110">
        <v>60</v>
      </c>
      <c r="Q4867" s="91"/>
      <c r="R4867" s="82"/>
    </row>
    <row r="4868" spans="1:19" ht="102">
      <c r="A4868" s="110" t="s">
        <v>7297</v>
      </c>
      <c r="B4868" s="165" t="s">
        <v>4533</v>
      </c>
      <c r="C4868" s="150" t="s">
        <v>3817</v>
      </c>
      <c r="D4868" s="221"/>
      <c r="E4868" s="150"/>
      <c r="F4868" s="150"/>
      <c r="G4868" s="110" t="s">
        <v>2663</v>
      </c>
      <c r="H4868" s="150" t="s">
        <v>2839</v>
      </c>
      <c r="I4868" s="150" t="s">
        <v>1452</v>
      </c>
      <c r="J4868" s="150" t="s">
        <v>4141</v>
      </c>
      <c r="K4868" s="221"/>
      <c r="L4868" s="135" t="str">
        <f t="shared" si="269"/>
        <v>Peropteryx macrotis</v>
      </c>
      <c r="M4868" s="133">
        <f t="shared" si="271"/>
        <v>0.73417731256336793</v>
      </c>
      <c r="N4868" s="152">
        <v>5.4222222222219996</v>
      </c>
      <c r="O4868" s="192"/>
      <c r="P4868" s="110">
        <v>153</v>
      </c>
      <c r="Q4868" s="91"/>
      <c r="S4868" s="92"/>
    </row>
    <row r="4869" spans="1:19" ht="51">
      <c r="A4869" s="110" t="s">
        <v>7297</v>
      </c>
      <c r="B4869" s="165" t="s">
        <v>1678</v>
      </c>
      <c r="C4869" s="150" t="s">
        <v>3817</v>
      </c>
      <c r="D4869" s="221"/>
      <c r="E4869" s="150"/>
      <c r="F4869" s="150"/>
      <c r="G4869" s="110" t="s">
        <v>2663</v>
      </c>
      <c r="H4869" s="150" t="s">
        <v>2839</v>
      </c>
      <c r="I4869" s="150" t="s">
        <v>1452</v>
      </c>
      <c r="J4869" s="150" t="s">
        <v>1443</v>
      </c>
      <c r="K4869" s="221"/>
      <c r="L4869" s="135" t="str">
        <f t="shared" ref="L4869:L4932" si="272">I4869&amp;" "&amp;J4869</f>
        <v>Peropteryx leucoptera</v>
      </c>
      <c r="M4869" s="151">
        <f t="shared" si="271"/>
        <v>0.77815125038364363</v>
      </c>
      <c r="N4869" s="146">
        <v>6</v>
      </c>
      <c r="O4869" s="183"/>
      <c r="P4869" s="110">
        <v>246</v>
      </c>
      <c r="Q4869" s="91"/>
    </row>
    <row r="4870" spans="1:19" ht="25.5">
      <c r="A4870" s="110" t="s">
        <v>7297</v>
      </c>
      <c r="B4870" s="165" t="s">
        <v>1793</v>
      </c>
      <c r="C4870" s="150" t="s">
        <v>3817</v>
      </c>
      <c r="D4870" s="221"/>
      <c r="E4870" s="150"/>
      <c r="F4870" s="150"/>
      <c r="G4870" s="110" t="s">
        <v>2663</v>
      </c>
      <c r="H4870" s="150" t="s">
        <v>2839</v>
      </c>
      <c r="I4870" s="150" t="s">
        <v>1452</v>
      </c>
      <c r="J4870" s="150" t="s">
        <v>6423</v>
      </c>
      <c r="K4870" s="221"/>
      <c r="L4870" s="135" t="str">
        <f t="shared" si="272"/>
        <v>Peropteryx kappleri</v>
      </c>
      <c r="M4870" s="133">
        <f t="shared" si="271"/>
        <v>0.97405090279287732</v>
      </c>
      <c r="N4870" s="152">
        <v>9.42</v>
      </c>
      <c r="O4870" s="192"/>
      <c r="P4870" s="110">
        <v>153</v>
      </c>
      <c r="Q4870" s="91"/>
      <c r="S4870" s="82"/>
    </row>
    <row r="4871" spans="1:19" ht="63.75">
      <c r="A4871" s="110" t="s">
        <v>7297</v>
      </c>
      <c r="B4871" s="165" t="s">
        <v>4534</v>
      </c>
      <c r="C4871" s="150" t="s">
        <v>3817</v>
      </c>
      <c r="D4871" s="221"/>
      <c r="E4871" s="150"/>
      <c r="F4871" s="150"/>
      <c r="G4871" s="110" t="s">
        <v>2663</v>
      </c>
      <c r="H4871" s="150" t="s">
        <v>2839</v>
      </c>
      <c r="I4871" s="150" t="s">
        <v>4535</v>
      </c>
      <c r="J4871" s="150" t="s">
        <v>7088</v>
      </c>
      <c r="K4871" s="221"/>
      <c r="L4871" s="135" t="str">
        <f t="shared" si="272"/>
        <v>Rhynchonycteris naso</v>
      </c>
      <c r="M4871" s="133">
        <f t="shared" si="271"/>
        <v>0.6239381001884875</v>
      </c>
      <c r="N4871" s="152">
        <v>4.2066666666670001</v>
      </c>
      <c r="O4871" s="192"/>
      <c r="P4871" s="110">
        <v>153</v>
      </c>
      <c r="Q4871" s="91"/>
    </row>
    <row r="4872" spans="1:19" ht="25.5">
      <c r="A4872" s="110" t="s">
        <v>7297</v>
      </c>
      <c r="B4872" s="165" t="s">
        <v>1366</v>
      </c>
      <c r="C4872" s="150" t="s">
        <v>3817</v>
      </c>
      <c r="D4872" s="221"/>
      <c r="E4872" s="150"/>
      <c r="F4872" s="150"/>
      <c r="G4872" s="110" t="s">
        <v>2663</v>
      </c>
      <c r="H4872" s="150" t="s">
        <v>2839</v>
      </c>
      <c r="I4872" s="150" t="s">
        <v>1131</v>
      </c>
      <c r="J4872" s="150" t="s">
        <v>6021</v>
      </c>
      <c r="K4872" s="221"/>
      <c r="L4872" s="135" t="str">
        <f t="shared" si="272"/>
        <v>Saccopteryx gymnura</v>
      </c>
      <c r="M4872" s="151">
        <f t="shared" si="271"/>
        <v>0.6020599913279624</v>
      </c>
      <c r="N4872" s="146">
        <v>4</v>
      </c>
      <c r="O4872" s="183"/>
      <c r="P4872" s="110">
        <v>281</v>
      </c>
      <c r="Q4872" s="82"/>
    </row>
    <row r="4873" spans="1:19" ht="25.5">
      <c r="A4873" s="110" t="s">
        <v>7297</v>
      </c>
      <c r="B4873" s="165" t="s">
        <v>4593</v>
      </c>
      <c r="C4873" s="150" t="s">
        <v>3817</v>
      </c>
      <c r="D4873" s="221"/>
      <c r="E4873" s="150"/>
      <c r="F4873" s="150"/>
      <c r="G4873" s="110" t="s">
        <v>2663</v>
      </c>
      <c r="H4873" s="150" t="s">
        <v>2839</v>
      </c>
      <c r="I4873" s="150" t="s">
        <v>1131</v>
      </c>
      <c r="J4873" s="150" t="s">
        <v>4374</v>
      </c>
      <c r="K4873" s="221"/>
      <c r="L4873" s="135" t="str">
        <f t="shared" si="272"/>
        <v>Saccopteryx canescens</v>
      </c>
      <c r="M4873" s="133">
        <f t="shared" si="271"/>
        <v>0.52827377716704371</v>
      </c>
      <c r="N4873" s="152">
        <v>3.375</v>
      </c>
      <c r="O4873" s="192">
        <f>AVERAGE(N4873, N4874, N4877)</f>
        <v>3.8205555555556665</v>
      </c>
      <c r="P4873" s="110">
        <v>153</v>
      </c>
      <c r="Q4873" s="82"/>
    </row>
    <row r="4874" spans="1:19" ht="63.75">
      <c r="A4874" s="109" t="s">
        <v>7297</v>
      </c>
      <c r="B4874" s="165" t="s">
        <v>1399</v>
      </c>
      <c r="C4874" s="150" t="s">
        <v>3817</v>
      </c>
      <c r="D4874" s="221"/>
      <c r="E4874" s="150"/>
      <c r="F4874" s="150"/>
      <c r="G4874" s="110" t="s">
        <v>2663</v>
      </c>
      <c r="H4874" s="150" t="s">
        <v>2839</v>
      </c>
      <c r="I4874" s="150" t="s">
        <v>1131</v>
      </c>
      <c r="J4874" s="150" t="s">
        <v>1400</v>
      </c>
      <c r="K4874" s="221"/>
      <c r="L4874" s="135" t="str">
        <f t="shared" si="272"/>
        <v>Saccopteryx leptura</v>
      </c>
      <c r="M4874" s="133">
        <f t="shared" si="271"/>
        <v>0.69108149212296843</v>
      </c>
      <c r="N4874" s="152">
        <v>4.91</v>
      </c>
      <c r="O4874" s="192"/>
      <c r="P4874" s="110">
        <v>153</v>
      </c>
      <c r="Q4874" s="82"/>
      <c r="S4874" s="82"/>
    </row>
    <row r="4875" spans="1:19" ht="63.75">
      <c r="A4875" s="110" t="s">
        <v>7297</v>
      </c>
      <c r="B4875" s="165" t="s">
        <v>1293</v>
      </c>
      <c r="C4875" s="150" t="s">
        <v>3817</v>
      </c>
      <c r="D4875" s="221"/>
      <c r="E4875" s="150"/>
      <c r="F4875" s="150"/>
      <c r="G4875" s="110" t="s">
        <v>2663</v>
      </c>
      <c r="H4875" s="150" t="s">
        <v>2839</v>
      </c>
      <c r="I4875" s="150" t="s">
        <v>1131</v>
      </c>
      <c r="J4875" s="150" t="s">
        <v>1243</v>
      </c>
      <c r="K4875" s="221"/>
      <c r="L4875" s="135" t="str">
        <f t="shared" si="272"/>
        <v>Saccopteryx bilineata</v>
      </c>
      <c r="M4875" s="133">
        <f t="shared" si="271"/>
        <v>0.90880029619332359</v>
      </c>
      <c r="N4875" s="152">
        <v>8.1058823529410002</v>
      </c>
      <c r="O4875" s="192"/>
      <c r="P4875" s="110">
        <v>153</v>
      </c>
      <c r="Q4875" s="82"/>
      <c r="S4875" s="82"/>
    </row>
    <row r="4876" spans="1:19" ht="25.5">
      <c r="A4876" s="110" t="s">
        <v>7297</v>
      </c>
      <c r="B4876" s="165" t="s">
        <v>1488</v>
      </c>
      <c r="C4876" s="150" t="s">
        <v>3817</v>
      </c>
      <c r="D4876" s="221"/>
      <c r="E4876" s="150"/>
      <c r="F4876" s="150"/>
      <c r="G4876" s="110" t="s">
        <v>2663</v>
      </c>
      <c r="H4876" s="150" t="s">
        <v>1398</v>
      </c>
      <c r="I4876" s="150" t="s">
        <v>4567</v>
      </c>
      <c r="J4876" s="150" t="s">
        <v>4568</v>
      </c>
      <c r="K4876" s="223"/>
      <c r="L4876" s="135" t="str">
        <f t="shared" si="272"/>
        <v>Amorphochilus schnablii</v>
      </c>
      <c r="M4876" s="151">
        <f t="shared" si="271"/>
        <v>0.51851393987788741</v>
      </c>
      <c r="N4876" s="146">
        <v>3.3</v>
      </c>
      <c r="O4876" s="183"/>
      <c r="P4876" s="110" t="s">
        <v>7821</v>
      </c>
      <c r="Q4876" s="91"/>
      <c r="R4876" s="92"/>
      <c r="S4876" s="92"/>
    </row>
    <row r="4877" spans="1:19" ht="25.5">
      <c r="A4877" s="110" t="s">
        <v>7297</v>
      </c>
      <c r="B4877" s="165" t="s">
        <v>4569</v>
      </c>
      <c r="C4877" s="150" t="s">
        <v>3817</v>
      </c>
      <c r="D4877" s="221"/>
      <c r="E4877" s="150"/>
      <c r="F4877" s="150"/>
      <c r="G4877" s="110" t="s">
        <v>2663</v>
      </c>
      <c r="H4877" s="150" t="s">
        <v>1398</v>
      </c>
      <c r="I4877" s="150" t="s">
        <v>4570</v>
      </c>
      <c r="J4877" s="150" t="s">
        <v>4413</v>
      </c>
      <c r="K4877" s="221"/>
      <c r="L4877" s="135" t="str">
        <f t="shared" si="272"/>
        <v>Furipterus horrens</v>
      </c>
      <c r="M4877" s="133">
        <f t="shared" si="271"/>
        <v>0.50197164591870946</v>
      </c>
      <c r="N4877" s="152">
        <v>3.1766666666669998</v>
      </c>
      <c r="O4877" s="192"/>
      <c r="P4877" s="110">
        <v>153</v>
      </c>
      <c r="Q4877" s="91"/>
      <c r="R4877" s="92"/>
    </row>
    <row r="4878" spans="1:19">
      <c r="A4878" s="109" t="s">
        <v>7297</v>
      </c>
      <c r="B4878" s="165" t="s">
        <v>1644</v>
      </c>
      <c r="C4878" s="150" t="s">
        <v>3817</v>
      </c>
      <c r="D4878" s="221"/>
      <c r="E4878" s="150"/>
      <c r="F4878" s="150"/>
      <c r="G4878" s="110" t="s">
        <v>2663</v>
      </c>
      <c r="H4878" s="150" t="s">
        <v>2533</v>
      </c>
      <c r="I4878" s="150" t="s">
        <v>4536</v>
      </c>
      <c r="J4878" s="150" t="s">
        <v>1645</v>
      </c>
      <c r="K4878" s="221"/>
      <c r="L4878" s="135" t="str">
        <f t="shared" si="272"/>
        <v>Eumops maurus</v>
      </c>
      <c r="M4878" s="151">
        <v>-999</v>
      </c>
      <c r="N4878" s="146">
        <v>-999</v>
      </c>
      <c r="O4878" s="183"/>
      <c r="P4878" s="110">
        <v>-999</v>
      </c>
    </row>
    <row r="4879" spans="1:19" ht="63.75">
      <c r="A4879" s="110" t="s">
        <v>7297</v>
      </c>
      <c r="B4879" s="165" t="s">
        <v>1449</v>
      </c>
      <c r="C4879" s="150" t="s">
        <v>3817</v>
      </c>
      <c r="D4879" s="221"/>
      <c r="E4879" s="150"/>
      <c r="F4879" s="150"/>
      <c r="G4879" s="110" t="s">
        <v>2663</v>
      </c>
      <c r="H4879" s="150" t="s">
        <v>2533</v>
      </c>
      <c r="I4879" s="150" t="s">
        <v>4536</v>
      </c>
      <c r="J4879" s="150" t="s">
        <v>5254</v>
      </c>
      <c r="K4879" s="223"/>
      <c r="L4879" s="135" t="str">
        <f t="shared" si="272"/>
        <v>Eumops bonariensis</v>
      </c>
      <c r="M4879" s="133">
        <f t="shared" ref="M4879:M4884" si="273">LOG(N4879)</f>
        <v>1.0755469613925308</v>
      </c>
      <c r="N4879" s="152">
        <v>11.9</v>
      </c>
      <c r="O4879" s="192"/>
      <c r="P4879" s="110">
        <v>153</v>
      </c>
    </row>
    <row r="4880" spans="1:19" ht="51">
      <c r="A4880" s="110" t="s">
        <v>7297</v>
      </c>
      <c r="B4880" s="165" t="s">
        <v>4537</v>
      </c>
      <c r="C4880" s="150" t="s">
        <v>3817</v>
      </c>
      <c r="D4880" s="221"/>
      <c r="E4880" s="150"/>
      <c r="F4880" s="150"/>
      <c r="G4880" s="110" t="s">
        <v>2663</v>
      </c>
      <c r="H4880" s="150" t="s">
        <v>2533</v>
      </c>
      <c r="I4880" s="150" t="s">
        <v>4536</v>
      </c>
      <c r="J4880" s="150" t="s">
        <v>4538</v>
      </c>
      <c r="K4880" s="221"/>
      <c r="L4880" s="135" t="str">
        <f t="shared" si="272"/>
        <v>Eumops hansae</v>
      </c>
      <c r="M4880" s="133">
        <f t="shared" si="273"/>
        <v>1.1775364999298621</v>
      </c>
      <c r="N4880" s="152">
        <v>15.05</v>
      </c>
      <c r="O4880" s="192"/>
      <c r="P4880" s="110">
        <v>153</v>
      </c>
    </row>
    <row r="4881" spans="1:16" ht="51">
      <c r="A4881" s="110" t="s">
        <v>7297</v>
      </c>
      <c r="B4881" s="165" t="s">
        <v>4539</v>
      </c>
      <c r="C4881" s="150" t="s">
        <v>3817</v>
      </c>
      <c r="D4881" s="221"/>
      <c r="E4881" s="150"/>
      <c r="F4881" s="150"/>
      <c r="G4881" s="110" t="s">
        <v>2663</v>
      </c>
      <c r="H4881" s="150" t="s">
        <v>2533</v>
      </c>
      <c r="I4881" s="150" t="s">
        <v>4536</v>
      </c>
      <c r="J4881" s="150" t="s">
        <v>4540</v>
      </c>
      <c r="K4881" s="221"/>
      <c r="L4881" s="135" t="str">
        <f t="shared" si="272"/>
        <v>Eumops auripendulus</v>
      </c>
      <c r="M4881" s="133">
        <f t="shared" si="273"/>
        <v>1.4540822707310899</v>
      </c>
      <c r="N4881" s="152">
        <v>28.45</v>
      </c>
      <c r="O4881" s="192"/>
      <c r="P4881" s="110">
        <v>153</v>
      </c>
    </row>
    <row r="4882" spans="1:16" ht="51">
      <c r="A4882" s="110" t="s">
        <v>7297</v>
      </c>
      <c r="B4882" s="165" t="s">
        <v>1794</v>
      </c>
      <c r="C4882" s="150" t="s">
        <v>3817</v>
      </c>
      <c r="D4882" s="221"/>
      <c r="E4882" s="150"/>
      <c r="F4882" s="150"/>
      <c r="G4882" s="110" t="s">
        <v>2663</v>
      </c>
      <c r="H4882" s="150" t="s">
        <v>2533</v>
      </c>
      <c r="I4882" s="150" t="s">
        <v>4536</v>
      </c>
      <c r="J4882" s="150" t="s">
        <v>1795</v>
      </c>
      <c r="K4882" s="223"/>
      <c r="L4882" s="135" t="str">
        <f t="shared" si="272"/>
        <v>Eumops glaucinus</v>
      </c>
      <c r="M4882" s="133">
        <f t="shared" si="273"/>
        <v>1.5487987437823512</v>
      </c>
      <c r="N4882" s="152">
        <v>35.383333333332999</v>
      </c>
      <c r="O4882" s="192"/>
      <c r="P4882" s="110">
        <v>153</v>
      </c>
    </row>
    <row r="4883" spans="1:16" ht="63.75">
      <c r="A4883" s="110" t="s">
        <v>7297</v>
      </c>
      <c r="B4883" s="165" t="s">
        <v>4873</v>
      </c>
      <c r="C4883" s="150" t="s">
        <v>3817</v>
      </c>
      <c r="D4883" s="221"/>
      <c r="E4883" s="150"/>
      <c r="F4883" s="150"/>
      <c r="G4883" s="110" t="s">
        <v>2663</v>
      </c>
      <c r="H4883" s="150" t="s">
        <v>2533</v>
      </c>
      <c r="I4883" s="150" t="s">
        <v>4536</v>
      </c>
      <c r="J4883" s="150" t="s">
        <v>1797</v>
      </c>
      <c r="K4883" s="221"/>
      <c r="L4883" s="135" t="str">
        <f t="shared" si="272"/>
        <v>Eumops perotis</v>
      </c>
      <c r="M4883" s="133">
        <f t="shared" si="273"/>
        <v>1.7086333210153981</v>
      </c>
      <c r="N4883" s="152">
        <v>51.125</v>
      </c>
      <c r="O4883" s="192"/>
      <c r="P4883" s="110">
        <v>153</v>
      </c>
    </row>
    <row r="4884" spans="1:16" ht="25.5">
      <c r="A4884" s="110" t="s">
        <v>7297</v>
      </c>
      <c r="B4884" s="165" t="s">
        <v>4689</v>
      </c>
      <c r="C4884" s="150" t="s">
        <v>3817</v>
      </c>
      <c r="D4884" s="221"/>
      <c r="E4884" s="150"/>
      <c r="F4884" s="150"/>
      <c r="G4884" s="110" t="s">
        <v>2663</v>
      </c>
      <c r="H4884" s="150" t="s">
        <v>2533</v>
      </c>
      <c r="I4884" s="150" t="s">
        <v>4536</v>
      </c>
      <c r="J4884" s="150" t="s">
        <v>1643</v>
      </c>
      <c r="K4884" s="221"/>
      <c r="L4884" s="135" t="str">
        <f t="shared" si="272"/>
        <v>Eumops dabbenei</v>
      </c>
      <c r="M4884" s="133">
        <f t="shared" si="273"/>
        <v>2.018492453401473</v>
      </c>
      <c r="N4884" s="152">
        <v>104.35</v>
      </c>
      <c r="O4884" s="192"/>
      <c r="P4884" s="110">
        <v>153</v>
      </c>
    </row>
    <row r="4885" spans="1:16">
      <c r="A4885" s="110" t="s">
        <v>7297</v>
      </c>
      <c r="B4885" s="165" t="s">
        <v>2032</v>
      </c>
      <c r="C4885" s="150" t="s">
        <v>3817</v>
      </c>
      <c r="D4885" s="221"/>
      <c r="E4885" s="150"/>
      <c r="F4885" s="150"/>
      <c r="G4885" s="110" t="s">
        <v>2663</v>
      </c>
      <c r="H4885" s="150" t="s">
        <v>2533</v>
      </c>
      <c r="I4885" s="150" t="s">
        <v>1601</v>
      </c>
      <c r="J4885" s="150" t="s">
        <v>1295</v>
      </c>
      <c r="K4885" s="221"/>
      <c r="L4885" s="135" t="str">
        <f t="shared" si="272"/>
        <v>Molossops aequatorianus</v>
      </c>
      <c r="M4885" s="151">
        <v>-999</v>
      </c>
      <c r="N4885" s="146">
        <v>-999</v>
      </c>
      <c r="O4885" s="183"/>
      <c r="P4885" s="110">
        <v>-999</v>
      </c>
    </row>
    <row r="4886" spans="1:16" ht="51">
      <c r="A4886" s="110" t="s">
        <v>7297</v>
      </c>
      <c r="B4886" s="165" t="s">
        <v>1600</v>
      </c>
      <c r="C4886" s="150" t="s">
        <v>3817</v>
      </c>
      <c r="D4886" s="221"/>
      <c r="E4886" s="150"/>
      <c r="F4886" s="150"/>
      <c r="G4886" s="110" t="s">
        <v>2663</v>
      </c>
      <c r="H4886" s="150" t="s">
        <v>2533</v>
      </c>
      <c r="I4886" s="150" t="s">
        <v>1601</v>
      </c>
      <c r="J4886" s="150" t="s">
        <v>2133</v>
      </c>
      <c r="K4886" s="221"/>
      <c r="L4886" s="135" t="str">
        <f t="shared" si="272"/>
        <v>Molossops temminckii</v>
      </c>
      <c r="M4886" s="133">
        <f t="shared" ref="M4886:M4896" si="274">LOG(N4886)</f>
        <v>0.77085201164214423</v>
      </c>
      <c r="N4886" s="152">
        <v>5.9</v>
      </c>
      <c r="O4886" s="192"/>
      <c r="P4886" s="110">
        <v>153</v>
      </c>
    </row>
    <row r="4887" spans="1:16" ht="25.5">
      <c r="A4887" s="110" t="s">
        <v>7297</v>
      </c>
      <c r="B4887" s="165" t="s">
        <v>1489</v>
      </c>
      <c r="C4887" s="150" t="s">
        <v>3817</v>
      </c>
      <c r="D4887" s="221"/>
      <c r="E4887" s="150"/>
      <c r="F4887" s="150"/>
      <c r="G4887" s="110" t="s">
        <v>2663</v>
      </c>
      <c r="H4887" s="150" t="s">
        <v>2533</v>
      </c>
      <c r="I4887" s="150" t="s">
        <v>1601</v>
      </c>
      <c r="J4887" s="150" t="s">
        <v>1490</v>
      </c>
      <c r="K4887" s="221"/>
      <c r="L4887" s="135" t="str">
        <f t="shared" si="272"/>
        <v>Molossops mattogrossensis</v>
      </c>
      <c r="M4887" s="133">
        <f t="shared" si="274"/>
        <v>0.83463260633607073</v>
      </c>
      <c r="N4887" s="152">
        <v>6.833333333333</v>
      </c>
      <c r="O4887" s="192"/>
      <c r="P4887" s="110">
        <v>153</v>
      </c>
    </row>
    <row r="4888" spans="1:16" ht="25.5">
      <c r="A4888" s="110" t="s">
        <v>7297</v>
      </c>
      <c r="B4888" s="165" t="s">
        <v>1296</v>
      </c>
      <c r="C4888" s="150" t="s">
        <v>3817</v>
      </c>
      <c r="D4888" s="221"/>
      <c r="E4888" s="150"/>
      <c r="F4888" s="150"/>
      <c r="G4888" s="110" t="s">
        <v>2663</v>
      </c>
      <c r="H4888" s="150" t="s">
        <v>2533</v>
      </c>
      <c r="I4888" s="150" t="s">
        <v>1601</v>
      </c>
      <c r="J4888" s="150" t="s">
        <v>6144</v>
      </c>
      <c r="K4888" s="221"/>
      <c r="L4888" s="135" t="str">
        <f t="shared" si="272"/>
        <v>Molossops neglectus</v>
      </c>
      <c r="M4888" s="151">
        <f t="shared" si="274"/>
        <v>1.0413926851582251</v>
      </c>
      <c r="N4888" s="146">
        <v>11</v>
      </c>
      <c r="O4888" s="183"/>
      <c r="P4888" s="110">
        <v>246</v>
      </c>
    </row>
    <row r="4889" spans="1:16" ht="38.25">
      <c r="A4889" s="109" t="s">
        <v>7297</v>
      </c>
      <c r="B4889" s="165" t="s">
        <v>1598</v>
      </c>
      <c r="C4889" s="150" t="s">
        <v>3817</v>
      </c>
      <c r="D4889" s="221"/>
      <c r="E4889" s="150"/>
      <c r="F4889" s="150"/>
      <c r="G4889" s="110" t="s">
        <v>2663</v>
      </c>
      <c r="H4889" s="150" t="s">
        <v>2533</v>
      </c>
      <c r="I4889" s="150" t="s">
        <v>1601</v>
      </c>
      <c r="J4889" s="150" t="s">
        <v>1491</v>
      </c>
      <c r="K4889" s="221"/>
      <c r="L4889" s="135" t="str">
        <f t="shared" si="272"/>
        <v>Molossops planirostris</v>
      </c>
      <c r="M4889" s="133">
        <f t="shared" si="274"/>
        <v>1.0941715463244894</v>
      </c>
      <c r="N4889" s="152">
        <v>12.421428571429001</v>
      </c>
      <c r="O4889" s="192"/>
      <c r="P4889" s="110">
        <v>153</v>
      </c>
    </row>
    <row r="4890" spans="1:16" ht="38.25">
      <c r="A4890" s="110" t="s">
        <v>7297</v>
      </c>
      <c r="B4890" s="165" t="s">
        <v>1705</v>
      </c>
      <c r="C4890" s="150" t="s">
        <v>3817</v>
      </c>
      <c r="D4890" s="221"/>
      <c r="E4890" s="150"/>
      <c r="F4890" s="150"/>
      <c r="G4890" s="110" t="s">
        <v>2663</v>
      </c>
      <c r="H4890" s="150" t="s">
        <v>2533</v>
      </c>
      <c r="I4890" s="150" t="s">
        <v>1601</v>
      </c>
      <c r="J4890" s="150" t="s">
        <v>1599</v>
      </c>
      <c r="K4890" s="221"/>
      <c r="L4890" s="135" t="str">
        <f t="shared" si="272"/>
        <v>Molossops greenhalli</v>
      </c>
      <c r="M4890" s="133">
        <f t="shared" si="274"/>
        <v>1.1751250862836704</v>
      </c>
      <c r="N4890" s="152">
        <v>14.966666666667001</v>
      </c>
      <c r="O4890" s="192"/>
      <c r="P4890" s="110">
        <v>153</v>
      </c>
    </row>
    <row r="4891" spans="1:16" ht="51">
      <c r="A4891" s="110" t="s">
        <v>7297</v>
      </c>
      <c r="B4891" s="165" t="s">
        <v>2030</v>
      </c>
      <c r="C4891" s="150" t="s">
        <v>3817</v>
      </c>
      <c r="D4891" s="221"/>
      <c r="E4891" s="150"/>
      <c r="F4891" s="150"/>
      <c r="G4891" s="110" t="s">
        <v>2663</v>
      </c>
      <c r="H4891" s="150" t="s">
        <v>2533</v>
      </c>
      <c r="I4891" s="150" t="s">
        <v>1601</v>
      </c>
      <c r="J4891" s="150" t="s">
        <v>2031</v>
      </c>
      <c r="K4891" s="221"/>
      <c r="L4891" s="135" t="str">
        <f t="shared" si="272"/>
        <v>Molossops abrasus</v>
      </c>
      <c r="M4891" s="133">
        <f t="shared" si="274"/>
        <v>1.6131367982116502</v>
      </c>
      <c r="N4891" s="152">
        <v>41.033333333332997</v>
      </c>
      <c r="O4891" s="192"/>
      <c r="P4891" s="110">
        <v>153</v>
      </c>
    </row>
    <row r="4892" spans="1:16" ht="114.75">
      <c r="A4892" s="110" t="s">
        <v>7297</v>
      </c>
      <c r="B4892" s="165" t="s">
        <v>1831</v>
      </c>
      <c r="C4892" s="150" t="s">
        <v>3817</v>
      </c>
      <c r="D4892" s="221"/>
      <c r="E4892" s="150"/>
      <c r="F4892" s="150"/>
      <c r="G4892" s="110" t="s">
        <v>2663</v>
      </c>
      <c r="H4892" s="150" t="s">
        <v>2533</v>
      </c>
      <c r="I4892" s="150" t="s">
        <v>1832</v>
      </c>
      <c r="J4892" s="150" t="s">
        <v>1833</v>
      </c>
      <c r="K4892" s="221"/>
      <c r="L4892" s="135" t="str">
        <f t="shared" si="272"/>
        <v>Molossus molossus</v>
      </c>
      <c r="M4892" s="133">
        <f t="shared" si="274"/>
        <v>1.1328606121183731</v>
      </c>
      <c r="N4892" s="152">
        <v>13.578775625</v>
      </c>
      <c r="O4892" s="192"/>
      <c r="P4892" s="110">
        <v>153</v>
      </c>
    </row>
    <row r="4893" spans="1:16" ht="38.25">
      <c r="A4893" s="110" t="s">
        <v>7297</v>
      </c>
      <c r="B4893" s="165" t="s">
        <v>1494</v>
      </c>
      <c r="C4893" s="150" t="s">
        <v>3817</v>
      </c>
      <c r="D4893" s="221"/>
      <c r="E4893" s="150"/>
      <c r="F4893" s="150"/>
      <c r="G4893" s="110" t="s">
        <v>2663</v>
      </c>
      <c r="H4893" s="150" t="s">
        <v>2533</v>
      </c>
      <c r="I4893" s="150" t="s">
        <v>1832</v>
      </c>
      <c r="J4893" s="150" t="s">
        <v>1495</v>
      </c>
      <c r="K4893" s="221"/>
      <c r="L4893" s="135" t="str">
        <f t="shared" si="272"/>
        <v>Molossus bondae</v>
      </c>
      <c r="M4893" s="133">
        <f t="shared" si="274"/>
        <v>1.2504200023088941</v>
      </c>
      <c r="N4893" s="152">
        <v>17.8</v>
      </c>
      <c r="O4893" s="192"/>
      <c r="P4893" s="110">
        <v>153</v>
      </c>
    </row>
    <row r="4894" spans="1:16" ht="38.25">
      <c r="A4894" s="110" t="s">
        <v>7297</v>
      </c>
      <c r="B4894" s="165" t="s">
        <v>1641</v>
      </c>
      <c r="C4894" s="150" t="s">
        <v>3817</v>
      </c>
      <c r="D4894" s="221"/>
      <c r="E4894" s="150"/>
      <c r="F4894" s="150"/>
      <c r="G4894" s="110" t="s">
        <v>2663</v>
      </c>
      <c r="H4894" s="150" t="s">
        <v>2533</v>
      </c>
      <c r="I4894" s="150" t="s">
        <v>1832</v>
      </c>
      <c r="J4894" s="150" t="s">
        <v>1401</v>
      </c>
      <c r="K4894" s="221"/>
      <c r="L4894" s="135" t="str">
        <f t="shared" si="272"/>
        <v>Molossus sinaloae</v>
      </c>
      <c r="M4894" s="133">
        <f t="shared" si="274"/>
        <v>1.3536277589855434</v>
      </c>
      <c r="N4894" s="152">
        <v>22.574999999999999</v>
      </c>
      <c r="O4894" s="192"/>
      <c r="P4894" s="110">
        <v>153</v>
      </c>
    </row>
    <row r="4895" spans="1:16" ht="51">
      <c r="A4895" s="110" t="s">
        <v>7297</v>
      </c>
      <c r="B4895" s="165" t="s">
        <v>464</v>
      </c>
      <c r="C4895" s="150" t="s">
        <v>3817</v>
      </c>
      <c r="D4895" s="221"/>
      <c r="E4895" s="150"/>
      <c r="F4895" s="150"/>
      <c r="G4895" s="110" t="s">
        <v>2663</v>
      </c>
      <c r="H4895" s="150" t="s">
        <v>2533</v>
      </c>
      <c r="I4895" s="150" t="s">
        <v>1832</v>
      </c>
      <c r="J4895" s="150" t="s">
        <v>465</v>
      </c>
      <c r="K4895" s="221"/>
      <c r="L4895" s="135" t="str">
        <f t="shared" si="272"/>
        <v>Molossus pretiosus</v>
      </c>
      <c r="M4895" s="151">
        <f t="shared" si="274"/>
        <v>1.4313637641589874</v>
      </c>
      <c r="N4895" s="146">
        <v>27</v>
      </c>
      <c r="O4895" s="183"/>
      <c r="P4895" s="110">
        <v>250</v>
      </c>
    </row>
    <row r="4896" spans="1:16" ht="51">
      <c r="A4896" s="110" t="s">
        <v>7297</v>
      </c>
      <c r="B4896" s="165" t="s">
        <v>4422</v>
      </c>
      <c r="C4896" s="150" t="s">
        <v>3817</v>
      </c>
      <c r="D4896" s="221"/>
      <c r="E4896" s="150"/>
      <c r="F4896" s="150"/>
      <c r="G4896" s="110" t="s">
        <v>2663</v>
      </c>
      <c r="H4896" s="150" t="s">
        <v>2533</v>
      </c>
      <c r="I4896" s="150" t="s">
        <v>1832</v>
      </c>
      <c r="J4896" s="150" t="s">
        <v>5946</v>
      </c>
      <c r="K4896" s="221"/>
      <c r="L4896" s="135" t="str">
        <f t="shared" si="272"/>
        <v>Molossus ater</v>
      </c>
      <c r="M4896" s="133">
        <f t="shared" si="274"/>
        <v>1.5004717160421372</v>
      </c>
      <c r="N4896" s="152">
        <v>31.657142857143</v>
      </c>
      <c r="O4896" s="192"/>
      <c r="P4896" s="110">
        <v>153</v>
      </c>
    </row>
    <row r="4897" spans="1:16">
      <c r="A4897" s="110" t="s">
        <v>7297</v>
      </c>
      <c r="B4897" s="165" t="s">
        <v>1980</v>
      </c>
      <c r="C4897" s="150" t="s">
        <v>3817</v>
      </c>
      <c r="D4897" s="221"/>
      <c r="E4897" s="150"/>
      <c r="F4897" s="150"/>
      <c r="G4897" s="110" t="s">
        <v>2663</v>
      </c>
      <c r="H4897" s="150" t="s">
        <v>2533</v>
      </c>
      <c r="I4897" s="150" t="s">
        <v>2496</v>
      </c>
      <c r="J4897" s="150" t="s">
        <v>2937</v>
      </c>
      <c r="K4897" s="221"/>
      <c r="L4897" s="135" t="str">
        <f t="shared" si="272"/>
        <v>Mormopterus kalinowskii</v>
      </c>
      <c r="M4897" s="151">
        <v>-999</v>
      </c>
      <c r="N4897" s="146">
        <v>-999</v>
      </c>
      <c r="O4897" s="183"/>
      <c r="P4897" s="110">
        <v>-999</v>
      </c>
    </row>
    <row r="4898" spans="1:16">
      <c r="A4898" s="110" t="s">
        <v>7297</v>
      </c>
      <c r="B4898" s="165" t="s">
        <v>1981</v>
      </c>
      <c r="C4898" s="150" t="s">
        <v>3817</v>
      </c>
      <c r="D4898" s="221"/>
      <c r="E4898" s="150"/>
      <c r="F4898" s="150"/>
      <c r="G4898" s="110" t="s">
        <v>2663</v>
      </c>
      <c r="H4898" s="150" t="s">
        <v>2533</v>
      </c>
      <c r="I4898" s="150" t="s">
        <v>2496</v>
      </c>
      <c r="J4898" s="150" t="s">
        <v>1977</v>
      </c>
      <c r="K4898" s="221"/>
      <c r="L4898" s="135" t="str">
        <f t="shared" si="272"/>
        <v>Mormopterus phrudus</v>
      </c>
      <c r="M4898" s="151">
        <v>-999</v>
      </c>
      <c r="N4898" s="146">
        <v>-999</v>
      </c>
      <c r="O4898" s="183"/>
      <c r="P4898" s="110">
        <v>-999</v>
      </c>
    </row>
    <row r="4899" spans="1:16" ht="51">
      <c r="A4899" s="110" t="s">
        <v>7297</v>
      </c>
      <c r="B4899" s="165" t="s">
        <v>1785</v>
      </c>
      <c r="C4899" s="150" t="s">
        <v>3817</v>
      </c>
      <c r="D4899" s="221"/>
      <c r="E4899" s="150"/>
      <c r="F4899" s="150"/>
      <c r="G4899" s="110" t="s">
        <v>2663</v>
      </c>
      <c r="H4899" s="150" t="s">
        <v>2533</v>
      </c>
      <c r="I4899" s="150" t="s">
        <v>4349</v>
      </c>
      <c r="J4899" s="150" t="s">
        <v>5515</v>
      </c>
      <c r="K4899" s="221"/>
      <c r="L4899" s="135" t="str">
        <f t="shared" si="272"/>
        <v>Nyctinomops laticaudatus</v>
      </c>
      <c r="M4899" s="133">
        <f>LOG(N4899)</f>
        <v>1.0869527242574961</v>
      </c>
      <c r="N4899" s="152">
        <v>12.216666666667001</v>
      </c>
      <c r="O4899" s="192"/>
      <c r="P4899" s="110">
        <v>153</v>
      </c>
    </row>
    <row r="4900" spans="1:16" ht="38.25">
      <c r="A4900" s="110" t="s">
        <v>7297</v>
      </c>
      <c r="B4900" s="165" t="s">
        <v>4526</v>
      </c>
      <c r="C4900" s="150" t="s">
        <v>3817</v>
      </c>
      <c r="D4900" s="221"/>
      <c r="E4900" s="150"/>
      <c r="F4900" s="150"/>
      <c r="G4900" s="110" t="s">
        <v>2663</v>
      </c>
      <c r="H4900" s="150" t="s">
        <v>2533</v>
      </c>
      <c r="I4900" s="150" t="s">
        <v>4349</v>
      </c>
      <c r="J4900" s="150" t="s">
        <v>4527</v>
      </c>
      <c r="K4900" s="221"/>
      <c r="L4900" s="135" t="str">
        <f t="shared" si="272"/>
        <v>Nyctinomops aurispinosus</v>
      </c>
      <c r="M4900" s="133">
        <f>LOG(N4900)</f>
        <v>1.2540644529143379</v>
      </c>
      <c r="N4900" s="152">
        <v>17.95</v>
      </c>
      <c r="O4900" s="192"/>
      <c r="P4900" s="110">
        <v>153</v>
      </c>
    </row>
    <row r="4901" spans="1:16" ht="51">
      <c r="A4901" s="110" t="s">
        <v>7297</v>
      </c>
      <c r="B4901" s="166" t="s">
        <v>2013</v>
      </c>
      <c r="C4901" s="155" t="s">
        <v>3817</v>
      </c>
      <c r="D4901" s="225"/>
      <c r="E4901" s="155"/>
      <c r="F4901" s="155"/>
      <c r="G4901" s="110" t="s">
        <v>2663</v>
      </c>
      <c r="H4901" s="155" t="s">
        <v>2533</v>
      </c>
      <c r="I4901" s="155" t="s">
        <v>4349</v>
      </c>
      <c r="J4901" s="155" t="s">
        <v>4141</v>
      </c>
      <c r="K4901" s="225"/>
      <c r="L4901" s="135" t="str">
        <f t="shared" si="272"/>
        <v>Nyctinomops macrotis</v>
      </c>
      <c r="M4901" s="133">
        <f>LOG(N4901)</f>
        <v>1.2648178230095364</v>
      </c>
      <c r="N4901" s="152">
        <v>18.399999999999999</v>
      </c>
      <c r="O4901" s="192"/>
      <c r="P4901" s="110">
        <v>153</v>
      </c>
    </row>
    <row r="4902" spans="1:16" ht="51">
      <c r="A4902" s="110" t="s">
        <v>7297</v>
      </c>
      <c r="B4902" s="165" t="s">
        <v>4531</v>
      </c>
      <c r="C4902" s="150" t="s">
        <v>3817</v>
      </c>
      <c r="D4902" s="221"/>
      <c r="E4902" s="150"/>
      <c r="F4902" s="150"/>
      <c r="G4902" s="110" t="s">
        <v>2663</v>
      </c>
      <c r="H4902" s="148" t="s">
        <v>2533</v>
      </c>
      <c r="I4902" s="150" t="s">
        <v>4532</v>
      </c>
      <c r="J4902" s="150" t="s">
        <v>4705</v>
      </c>
      <c r="K4902" s="221"/>
      <c r="L4902" s="135" t="str">
        <f t="shared" si="272"/>
        <v>Promops nasutus</v>
      </c>
      <c r="M4902" s="133">
        <f>LOG(N4902)</f>
        <v>1.1818435879447726</v>
      </c>
      <c r="N4902" s="152">
        <v>15.2</v>
      </c>
      <c r="O4902" s="191"/>
      <c r="P4902" s="109">
        <v>153</v>
      </c>
    </row>
    <row r="4903" spans="1:16" ht="51">
      <c r="A4903" s="110" t="s">
        <v>7297</v>
      </c>
      <c r="B4903" s="165" t="s">
        <v>1627</v>
      </c>
      <c r="C4903" s="150" t="s">
        <v>3817</v>
      </c>
      <c r="D4903" s="221"/>
      <c r="E4903" s="150"/>
      <c r="F4903" s="150"/>
      <c r="G4903" s="110" t="s">
        <v>2663</v>
      </c>
      <c r="H4903" s="150" t="s">
        <v>2533</v>
      </c>
      <c r="I4903" s="150" t="s">
        <v>4532</v>
      </c>
      <c r="J4903" s="150" t="s">
        <v>3499</v>
      </c>
      <c r="K4903" s="221"/>
      <c r="L4903" s="135" t="str">
        <f t="shared" si="272"/>
        <v>Promops centralis</v>
      </c>
      <c r="M4903" s="133">
        <f>LOG(N4903)</f>
        <v>1.4210552287780196</v>
      </c>
      <c r="N4903" s="152">
        <v>26.366666666667001</v>
      </c>
      <c r="O4903" s="192"/>
      <c r="P4903" s="110">
        <v>153</v>
      </c>
    </row>
    <row r="4904" spans="1:16">
      <c r="A4904" s="109" t="s">
        <v>7297</v>
      </c>
      <c r="B4904" s="165" t="s">
        <v>4691</v>
      </c>
      <c r="C4904" s="150" t="s">
        <v>3817</v>
      </c>
      <c r="D4904" s="221"/>
      <c r="E4904" s="150"/>
      <c r="F4904" s="150"/>
      <c r="G4904" s="110" t="s">
        <v>2663</v>
      </c>
      <c r="H4904" s="150" t="s">
        <v>2533</v>
      </c>
      <c r="I4904" s="150" t="s">
        <v>2501</v>
      </c>
      <c r="J4904" s="150" t="s">
        <v>4692</v>
      </c>
      <c r="K4904" s="223"/>
      <c r="L4904" s="135" t="str">
        <f t="shared" si="272"/>
        <v>Tadarida espiritosantensis</v>
      </c>
      <c r="M4904" s="151">
        <v>-999</v>
      </c>
      <c r="N4904" s="146">
        <v>-999</v>
      </c>
      <c r="O4904" s="183"/>
      <c r="P4904" s="110">
        <v>-999</v>
      </c>
    </row>
    <row r="4905" spans="1:16" ht="63.75">
      <c r="A4905" s="110" t="s">
        <v>7297</v>
      </c>
      <c r="B4905" s="165" t="s">
        <v>1788</v>
      </c>
      <c r="C4905" s="150" t="s">
        <v>3817</v>
      </c>
      <c r="D4905" s="221"/>
      <c r="E4905" s="150"/>
      <c r="F4905" s="150"/>
      <c r="G4905" s="110" t="s">
        <v>2663</v>
      </c>
      <c r="H4905" s="150" t="s">
        <v>2533</v>
      </c>
      <c r="I4905" s="150" t="s">
        <v>2501</v>
      </c>
      <c r="J4905" s="150" t="s">
        <v>4467</v>
      </c>
      <c r="K4905" s="223"/>
      <c r="L4905" s="135" t="str">
        <f t="shared" si="272"/>
        <v>Tadarida brasiliensis</v>
      </c>
      <c r="M4905" s="133">
        <f t="shared" ref="M4905:M4918" si="275">LOG(N4905)</f>
        <v>1.0965308268821932</v>
      </c>
      <c r="N4905" s="152">
        <v>12.489090909091001</v>
      </c>
      <c r="O4905" s="192"/>
      <c r="P4905" s="110">
        <v>153</v>
      </c>
    </row>
    <row r="4906" spans="1:16" ht="102">
      <c r="A4906" s="110" t="s">
        <v>7297</v>
      </c>
      <c r="B4906" s="165" t="s">
        <v>731</v>
      </c>
      <c r="C4906" s="150" t="s">
        <v>3817</v>
      </c>
      <c r="D4906" s="221"/>
      <c r="E4906" s="150"/>
      <c r="F4906" s="150"/>
      <c r="G4906" s="110" t="s">
        <v>2663</v>
      </c>
      <c r="H4906" s="150" t="s">
        <v>4686</v>
      </c>
      <c r="I4906" s="150" t="s">
        <v>4687</v>
      </c>
      <c r="J4906" s="150" t="s">
        <v>653</v>
      </c>
      <c r="K4906" s="223"/>
      <c r="L4906" s="135" t="str">
        <f t="shared" si="272"/>
        <v>Mormoops megalophylla</v>
      </c>
      <c r="M4906" s="133">
        <f t="shared" si="275"/>
        <v>1.2028957877797823</v>
      </c>
      <c r="N4906" s="152">
        <v>15.954962500000001</v>
      </c>
      <c r="O4906" s="192"/>
      <c r="P4906" s="110">
        <v>153</v>
      </c>
    </row>
    <row r="4907" spans="1:16" ht="51">
      <c r="A4907" s="110" t="s">
        <v>7297</v>
      </c>
      <c r="B4907" s="165" t="s">
        <v>1503</v>
      </c>
      <c r="C4907" s="150" t="s">
        <v>3817</v>
      </c>
      <c r="D4907" s="221"/>
      <c r="E4907" s="150"/>
      <c r="F4907" s="150"/>
      <c r="G4907" s="110" t="s">
        <v>2663</v>
      </c>
      <c r="H4907" s="150" t="s">
        <v>4686</v>
      </c>
      <c r="I4907" s="150" t="s">
        <v>869</v>
      </c>
      <c r="J4907" s="150" t="s">
        <v>3251</v>
      </c>
      <c r="K4907" s="221"/>
      <c r="L4907" s="135" t="str">
        <f t="shared" si="272"/>
        <v>Pteronotus personatus</v>
      </c>
      <c r="M4907" s="133">
        <f t="shared" si="275"/>
        <v>0.93993504439943132</v>
      </c>
      <c r="N4907" s="152">
        <v>8.708333333333</v>
      </c>
      <c r="O4907" s="192"/>
      <c r="P4907" s="110">
        <v>153</v>
      </c>
    </row>
    <row r="4908" spans="1:16" ht="63.75">
      <c r="A4908" s="110" t="s">
        <v>7297</v>
      </c>
      <c r="B4908" s="165" t="s">
        <v>4592</v>
      </c>
      <c r="C4908" s="150" t="s">
        <v>3817</v>
      </c>
      <c r="D4908" s="221"/>
      <c r="E4908" s="150"/>
      <c r="F4908" s="150"/>
      <c r="G4908" s="110" t="s">
        <v>2663</v>
      </c>
      <c r="H4908" s="150" t="s">
        <v>4686</v>
      </c>
      <c r="I4908" s="150" t="s">
        <v>869</v>
      </c>
      <c r="J4908" s="150" t="s">
        <v>4423</v>
      </c>
      <c r="K4908" s="221"/>
      <c r="L4908" s="135" t="str">
        <f t="shared" si="272"/>
        <v>Pteronotus davyi</v>
      </c>
      <c r="M4908" s="133">
        <f t="shared" si="275"/>
        <v>0.96438821479641434</v>
      </c>
      <c r="N4908" s="152">
        <v>9.2127272727269993</v>
      </c>
      <c r="O4908" s="192"/>
      <c r="P4908" s="110">
        <v>153</v>
      </c>
    </row>
    <row r="4909" spans="1:16" ht="38.25">
      <c r="A4909" s="110" t="s">
        <v>7297</v>
      </c>
      <c r="B4909" s="165" t="s">
        <v>2033</v>
      </c>
      <c r="C4909" s="150" t="s">
        <v>3817</v>
      </c>
      <c r="D4909" s="221"/>
      <c r="E4909" s="150"/>
      <c r="F4909" s="150"/>
      <c r="G4909" s="110" t="s">
        <v>2663</v>
      </c>
      <c r="H4909" s="150" t="s">
        <v>4686</v>
      </c>
      <c r="I4909" s="150" t="s">
        <v>869</v>
      </c>
      <c r="J4909" s="150" t="s">
        <v>4596</v>
      </c>
      <c r="K4909" s="221"/>
      <c r="L4909" s="135" t="str">
        <f t="shared" si="272"/>
        <v>Pteronotus gymnonotus</v>
      </c>
      <c r="M4909" s="133">
        <f t="shared" si="275"/>
        <v>1.1591158218277691</v>
      </c>
      <c r="N4909" s="152">
        <v>14.425000000000001</v>
      </c>
      <c r="O4909" s="192"/>
      <c r="P4909" s="110">
        <v>153</v>
      </c>
    </row>
    <row r="4910" spans="1:16" ht="102">
      <c r="A4910" s="110" t="s">
        <v>7297</v>
      </c>
      <c r="B4910" s="165" t="s">
        <v>458</v>
      </c>
      <c r="C4910" s="150" t="s">
        <v>3817</v>
      </c>
      <c r="D4910" s="221"/>
      <c r="E4910" s="150"/>
      <c r="F4910" s="150"/>
      <c r="G4910" s="110" t="s">
        <v>2663</v>
      </c>
      <c r="H4910" s="150" t="s">
        <v>4686</v>
      </c>
      <c r="I4910" s="150" t="s">
        <v>869</v>
      </c>
      <c r="J4910" s="150" t="s">
        <v>419</v>
      </c>
      <c r="K4910" s="221"/>
      <c r="L4910" s="135" t="str">
        <f t="shared" si="272"/>
        <v>Pteronotus parnellii</v>
      </c>
      <c r="M4910" s="133">
        <f t="shared" si="275"/>
        <v>1.2938359002426763</v>
      </c>
      <c r="N4910" s="152">
        <v>19.671428571429001</v>
      </c>
      <c r="O4910" s="192"/>
      <c r="P4910" s="110">
        <v>153</v>
      </c>
    </row>
    <row r="4911" spans="1:16" ht="63.75">
      <c r="A4911" s="110" t="s">
        <v>7297</v>
      </c>
      <c r="B4911" s="165" t="s">
        <v>2153</v>
      </c>
      <c r="C4911" s="150" t="s">
        <v>3817</v>
      </c>
      <c r="D4911" s="221"/>
      <c r="E4911" s="150"/>
      <c r="F4911" s="150"/>
      <c r="G4911" s="110" t="s">
        <v>2663</v>
      </c>
      <c r="H4911" s="150" t="s">
        <v>2039</v>
      </c>
      <c r="I4911" s="150" t="s">
        <v>2040</v>
      </c>
      <c r="J4911" s="150" t="s">
        <v>2154</v>
      </c>
      <c r="K4911" s="221"/>
      <c r="L4911" s="135" t="str">
        <f t="shared" si="272"/>
        <v>Natalus tumidirostris</v>
      </c>
      <c r="M4911" s="133">
        <f t="shared" si="275"/>
        <v>0.75587485567249146</v>
      </c>
      <c r="N4911" s="152">
        <v>5.7</v>
      </c>
      <c r="O4911" s="192"/>
      <c r="P4911" s="110">
        <v>153</v>
      </c>
    </row>
    <row r="4912" spans="1:16" ht="38.25">
      <c r="A4912" s="110" t="s">
        <v>7297</v>
      </c>
      <c r="B4912" s="165" t="s">
        <v>618</v>
      </c>
      <c r="C4912" s="150" t="s">
        <v>3817</v>
      </c>
      <c r="D4912" s="221"/>
      <c r="E4912" s="150"/>
      <c r="F4912" s="150"/>
      <c r="G4912" s="110" t="s">
        <v>2663</v>
      </c>
      <c r="H4912" s="150" t="s">
        <v>2141</v>
      </c>
      <c r="I4912" s="150" t="s">
        <v>4443</v>
      </c>
      <c r="J4912" s="150" t="s">
        <v>4379</v>
      </c>
      <c r="K4912" s="223"/>
      <c r="L4912" s="135" t="str">
        <f t="shared" si="272"/>
        <v>Noctilio albiventris</v>
      </c>
      <c r="M4912" s="133">
        <f t="shared" si="275"/>
        <v>1.4892263865098645</v>
      </c>
      <c r="N4912" s="152">
        <v>30.847955555555998</v>
      </c>
      <c r="O4912" s="192"/>
      <c r="P4912" s="110">
        <v>153</v>
      </c>
    </row>
    <row r="4913" spans="1:16" ht="76.5">
      <c r="A4913" s="110" t="s">
        <v>7297</v>
      </c>
      <c r="B4913" s="165" t="s">
        <v>4606</v>
      </c>
      <c r="C4913" s="150" t="s">
        <v>3817</v>
      </c>
      <c r="D4913" s="221"/>
      <c r="E4913" s="150"/>
      <c r="F4913" s="150"/>
      <c r="G4913" s="110" t="s">
        <v>2663</v>
      </c>
      <c r="H4913" s="150" t="s">
        <v>2141</v>
      </c>
      <c r="I4913" s="150" t="s">
        <v>4443</v>
      </c>
      <c r="J4913" s="150" t="s">
        <v>4597</v>
      </c>
      <c r="K4913" s="221"/>
      <c r="L4913" s="135" t="str">
        <f t="shared" si="272"/>
        <v>Noctilio leporinus</v>
      </c>
      <c r="M4913" s="133">
        <f t="shared" si="275"/>
        <v>1.7799930907873527</v>
      </c>
      <c r="N4913" s="152">
        <v>60.255000000000003</v>
      </c>
      <c r="O4913" s="192"/>
      <c r="P4913" s="110">
        <v>153</v>
      </c>
    </row>
    <row r="4914" spans="1:16" ht="63.75">
      <c r="A4914" s="109" t="s">
        <v>7297</v>
      </c>
      <c r="B4914" s="165" t="s">
        <v>511</v>
      </c>
      <c r="C4914" s="150" t="s">
        <v>3817</v>
      </c>
      <c r="D4914" s="221"/>
      <c r="E4914" s="150"/>
      <c r="F4914" s="150"/>
      <c r="G4914" s="110" t="s">
        <v>2663</v>
      </c>
      <c r="H4914" s="150" t="s">
        <v>512</v>
      </c>
      <c r="I4914" s="150" t="s">
        <v>513</v>
      </c>
      <c r="J4914" s="150" t="s">
        <v>582</v>
      </c>
      <c r="K4914" s="221"/>
      <c r="L4914" s="135" t="str">
        <f t="shared" si="272"/>
        <v>Ametrida centurio</v>
      </c>
      <c r="M4914" s="133">
        <f t="shared" si="275"/>
        <v>1.0138900603284386</v>
      </c>
      <c r="N4914" s="152">
        <v>10.324999999999999</v>
      </c>
      <c r="O4914" s="192"/>
      <c r="P4914" s="110">
        <v>153</v>
      </c>
    </row>
    <row r="4915" spans="1:16" ht="51">
      <c r="A4915" s="110" t="s">
        <v>7297</v>
      </c>
      <c r="B4915" s="165" t="s">
        <v>490</v>
      </c>
      <c r="C4915" s="150" t="s">
        <v>3817</v>
      </c>
      <c r="D4915" s="221"/>
      <c r="E4915" s="150"/>
      <c r="F4915" s="150"/>
      <c r="G4915" s="110" t="s">
        <v>2663</v>
      </c>
      <c r="H4915" s="150" t="s">
        <v>512</v>
      </c>
      <c r="I4915" s="150" t="s">
        <v>491</v>
      </c>
      <c r="J4915" s="150" t="s">
        <v>7835</v>
      </c>
      <c r="K4915" s="221"/>
      <c r="L4915" s="135" t="str">
        <f t="shared" si="272"/>
        <v>Anoura caudifera</v>
      </c>
      <c r="M4915" s="133">
        <f t="shared" si="275"/>
        <v>1.0273496077747566</v>
      </c>
      <c r="N4915" s="152">
        <v>10.65</v>
      </c>
      <c r="O4915" s="192"/>
      <c r="P4915" s="110">
        <v>153</v>
      </c>
    </row>
    <row r="4916" spans="1:16" ht="25.5">
      <c r="A4916" s="110" t="s">
        <v>7297</v>
      </c>
      <c r="B4916" s="165" t="s">
        <v>438</v>
      </c>
      <c r="C4916" s="150" t="s">
        <v>3817</v>
      </c>
      <c r="D4916" s="221"/>
      <c r="E4916" s="150"/>
      <c r="F4916" s="150"/>
      <c r="G4916" s="110" t="s">
        <v>2663</v>
      </c>
      <c r="H4916" s="148" t="s">
        <v>512</v>
      </c>
      <c r="I4916" s="150" t="s">
        <v>491</v>
      </c>
      <c r="J4916" s="150" t="s">
        <v>3075</v>
      </c>
      <c r="K4916" s="221"/>
      <c r="L4916" s="135" t="str">
        <f t="shared" si="272"/>
        <v>Anoura latidens</v>
      </c>
      <c r="M4916" s="133">
        <f t="shared" si="275"/>
        <v>1.1658376246901283</v>
      </c>
      <c r="N4916" s="152">
        <v>14.65</v>
      </c>
      <c r="O4916" s="191"/>
      <c r="P4916" s="109">
        <v>153</v>
      </c>
    </row>
    <row r="4917" spans="1:16" ht="76.5">
      <c r="A4917" s="110" t="s">
        <v>7297</v>
      </c>
      <c r="B4917" s="165" t="s">
        <v>2014</v>
      </c>
      <c r="C4917" s="255" t="s">
        <v>3817</v>
      </c>
      <c r="D4917" s="257"/>
      <c r="E4917" s="255"/>
      <c r="F4917" s="255"/>
      <c r="G4917" s="125" t="s">
        <v>2663</v>
      </c>
      <c r="H4917" s="150" t="s">
        <v>512</v>
      </c>
      <c r="I4917" s="255" t="s">
        <v>491</v>
      </c>
      <c r="J4917" s="255" t="s">
        <v>3777</v>
      </c>
      <c r="K4917" s="221"/>
      <c r="L4917" s="135" t="str">
        <f t="shared" si="272"/>
        <v>Anoura geoffroyi</v>
      </c>
      <c r="M4917" s="133">
        <f t="shared" si="275"/>
        <v>1.167317334748176</v>
      </c>
      <c r="N4917" s="259">
        <v>14.7</v>
      </c>
      <c r="O4917" s="192"/>
      <c r="P4917" s="110">
        <v>153</v>
      </c>
    </row>
    <row r="4918" spans="1:16" ht="38.25">
      <c r="A4918" s="110" t="s">
        <v>7297</v>
      </c>
      <c r="B4918" s="165" t="s">
        <v>2015</v>
      </c>
      <c r="C4918" s="255" t="s">
        <v>3817</v>
      </c>
      <c r="D4918" s="257"/>
      <c r="E4918" s="255"/>
      <c r="F4918" s="255"/>
      <c r="G4918" s="125" t="s">
        <v>2663</v>
      </c>
      <c r="H4918" s="150" t="s">
        <v>512</v>
      </c>
      <c r="I4918" s="255" t="s">
        <v>491</v>
      </c>
      <c r="J4918" s="255" t="s">
        <v>2012</v>
      </c>
      <c r="K4918" s="221"/>
      <c r="L4918" s="135" t="str">
        <f t="shared" si="272"/>
        <v>Anoura cultrata</v>
      </c>
      <c r="M4918" s="133">
        <f t="shared" si="275"/>
        <v>1.2265999052073575</v>
      </c>
      <c r="N4918" s="259">
        <v>16.850000000000001</v>
      </c>
      <c r="O4918" s="192"/>
      <c r="P4918" s="110">
        <v>153</v>
      </c>
    </row>
    <row r="4919" spans="1:16">
      <c r="A4919" s="110" t="s">
        <v>7297</v>
      </c>
      <c r="B4919" s="165" t="s">
        <v>7790</v>
      </c>
      <c r="C4919" s="255" t="s">
        <v>3817</v>
      </c>
      <c r="D4919" s="257"/>
      <c r="E4919" s="255"/>
      <c r="F4919" s="255"/>
      <c r="G4919" s="125" t="s">
        <v>2663</v>
      </c>
      <c r="H4919" s="150" t="s">
        <v>512</v>
      </c>
      <c r="I4919" s="255" t="s">
        <v>1885</v>
      </c>
      <c r="J4919" s="255" t="s">
        <v>5341</v>
      </c>
      <c r="K4919" s="221"/>
      <c r="L4919" s="135" t="str">
        <f t="shared" si="272"/>
        <v>Artibeus fraterculus</v>
      </c>
      <c r="M4919" s="151">
        <v>-999</v>
      </c>
      <c r="N4919" s="171">
        <v>-999</v>
      </c>
      <c r="O4919" s="183"/>
      <c r="P4919" s="110">
        <v>-999</v>
      </c>
    </row>
    <row r="4920" spans="1:16" ht="51">
      <c r="A4920" s="110" t="s">
        <v>7297</v>
      </c>
      <c r="B4920" s="165" t="s">
        <v>1884</v>
      </c>
      <c r="C4920" s="255" t="s">
        <v>3817</v>
      </c>
      <c r="D4920" s="257"/>
      <c r="E4920" s="255"/>
      <c r="F4920" s="255"/>
      <c r="G4920" s="125" t="s">
        <v>2663</v>
      </c>
      <c r="H4920" s="150" t="s">
        <v>512</v>
      </c>
      <c r="I4920" s="255" t="s">
        <v>1885</v>
      </c>
      <c r="J4920" s="255" t="s">
        <v>5787</v>
      </c>
      <c r="K4920" s="221"/>
      <c r="L4920" s="135" t="str">
        <f t="shared" si="272"/>
        <v>Artibeus glaucus</v>
      </c>
      <c r="M4920" s="133">
        <f t="shared" ref="M4920:M4940" si="276">LOG(N4920)</f>
        <v>1.0437551269686796</v>
      </c>
      <c r="N4920" s="259">
        <v>11.06</v>
      </c>
      <c r="O4920" s="192"/>
      <c r="P4920" s="110">
        <v>153</v>
      </c>
    </row>
    <row r="4921" spans="1:16" ht="38.25">
      <c r="A4921" s="110" t="s">
        <v>7297</v>
      </c>
      <c r="B4921" s="165" t="s">
        <v>579</v>
      </c>
      <c r="C4921" s="255" t="s">
        <v>3817</v>
      </c>
      <c r="D4921" s="257"/>
      <c r="E4921" s="255"/>
      <c r="F4921" s="255"/>
      <c r="G4921" s="125" t="s">
        <v>2663</v>
      </c>
      <c r="H4921" s="150" t="s">
        <v>512</v>
      </c>
      <c r="I4921" s="255" t="s">
        <v>1885</v>
      </c>
      <c r="J4921" s="255" t="s">
        <v>2049</v>
      </c>
      <c r="K4921" s="221"/>
      <c r="L4921" s="135" t="str">
        <f t="shared" si="272"/>
        <v>Artibeus phaeotis</v>
      </c>
      <c r="M4921" s="133">
        <f t="shared" si="276"/>
        <v>1.0639897471525535</v>
      </c>
      <c r="N4921" s="259">
        <v>11.5875</v>
      </c>
      <c r="O4921" s="192"/>
      <c r="P4921" s="110">
        <v>153</v>
      </c>
    </row>
    <row r="4922" spans="1:16" ht="25.5">
      <c r="A4922" s="110" t="s">
        <v>7297</v>
      </c>
      <c r="B4922" s="165" t="s">
        <v>1984</v>
      </c>
      <c r="C4922" s="255" t="s">
        <v>3817</v>
      </c>
      <c r="D4922" s="257"/>
      <c r="E4922" s="255"/>
      <c r="F4922" s="255"/>
      <c r="G4922" s="125" t="s">
        <v>2663</v>
      </c>
      <c r="H4922" s="150" t="s">
        <v>512</v>
      </c>
      <c r="I4922" s="255" t="s">
        <v>1885</v>
      </c>
      <c r="J4922" s="255" t="s">
        <v>4485</v>
      </c>
      <c r="K4922" s="221"/>
      <c r="L4922" s="135" t="str">
        <f t="shared" si="272"/>
        <v>Artibeus cinereus</v>
      </c>
      <c r="M4922" s="133">
        <f t="shared" si="276"/>
        <v>1.1012313867906991</v>
      </c>
      <c r="N4922" s="259">
        <v>12.625</v>
      </c>
      <c r="O4922" s="192"/>
      <c r="P4922" s="110">
        <v>153</v>
      </c>
    </row>
    <row r="4923" spans="1:16" ht="51">
      <c r="A4923" s="110" t="s">
        <v>7297</v>
      </c>
      <c r="B4923" s="165" t="s">
        <v>2061</v>
      </c>
      <c r="C4923" s="255" t="s">
        <v>3817</v>
      </c>
      <c r="D4923" s="257"/>
      <c r="E4923" s="255"/>
      <c r="F4923" s="255"/>
      <c r="G4923" s="125" t="s">
        <v>2663</v>
      </c>
      <c r="H4923" s="150" t="s">
        <v>512</v>
      </c>
      <c r="I4923" s="255" t="s">
        <v>1885</v>
      </c>
      <c r="J4923" s="255" t="s">
        <v>2062</v>
      </c>
      <c r="K4923" s="221"/>
      <c r="L4923" s="135" t="str">
        <f t="shared" si="272"/>
        <v>Artibeus hartii</v>
      </c>
      <c r="M4923" s="133">
        <f t="shared" si="276"/>
        <v>1.2030328870147107</v>
      </c>
      <c r="N4923" s="259">
        <v>15.96</v>
      </c>
      <c r="O4923" s="192"/>
      <c r="P4923" s="110">
        <v>153</v>
      </c>
    </row>
    <row r="4924" spans="1:16" ht="25.5">
      <c r="A4924" s="110" t="s">
        <v>7297</v>
      </c>
      <c r="B4924" s="165" t="s">
        <v>2105</v>
      </c>
      <c r="C4924" s="255" t="s">
        <v>3817</v>
      </c>
      <c r="D4924" s="257"/>
      <c r="E4924" s="255"/>
      <c r="F4924" s="255"/>
      <c r="G4924" s="125" t="s">
        <v>2663</v>
      </c>
      <c r="H4924" s="150" t="s">
        <v>512</v>
      </c>
      <c r="I4924" s="255" t="s">
        <v>1885</v>
      </c>
      <c r="J4924" s="255" t="s">
        <v>3569</v>
      </c>
      <c r="K4924" s="221"/>
      <c r="L4924" s="135" t="str">
        <f t="shared" si="272"/>
        <v>Artibeus concolor</v>
      </c>
      <c r="M4924" s="133">
        <f t="shared" si="276"/>
        <v>1.2867370761287185</v>
      </c>
      <c r="N4924" s="259">
        <v>19.352499999999999</v>
      </c>
      <c r="O4924" s="192"/>
      <c r="P4924" s="110">
        <v>153</v>
      </c>
    </row>
    <row r="4925" spans="1:16" ht="38.25">
      <c r="A4925" s="109" t="s">
        <v>7297</v>
      </c>
      <c r="B4925" s="165" t="s">
        <v>1492</v>
      </c>
      <c r="C4925" s="255" t="s">
        <v>3817</v>
      </c>
      <c r="D4925" s="257"/>
      <c r="E4925" s="255"/>
      <c r="F4925" s="255"/>
      <c r="G4925" s="125" t="s">
        <v>2663</v>
      </c>
      <c r="H4925" s="150" t="s">
        <v>512</v>
      </c>
      <c r="I4925" s="255" t="s">
        <v>1885</v>
      </c>
      <c r="J4925" s="255" t="s">
        <v>7543</v>
      </c>
      <c r="K4925" s="221"/>
      <c r="L4925" s="135" t="str">
        <f t="shared" si="272"/>
        <v>Artibeus obscurus</v>
      </c>
      <c r="M4925" s="133">
        <f t="shared" si="276"/>
        <v>1.546542663478131</v>
      </c>
      <c r="N4925" s="259">
        <v>35.200000000000003</v>
      </c>
      <c r="O4925" s="192"/>
      <c r="P4925" s="110" t="s">
        <v>1813</v>
      </c>
    </row>
    <row r="4926" spans="1:16" ht="127.5">
      <c r="A4926" s="110" t="s">
        <v>7297</v>
      </c>
      <c r="B4926" s="165" t="s">
        <v>562</v>
      </c>
      <c r="C4926" s="255" t="s">
        <v>3817</v>
      </c>
      <c r="D4926" s="257"/>
      <c r="E4926" s="255"/>
      <c r="F4926" s="255"/>
      <c r="G4926" s="125" t="s">
        <v>2663</v>
      </c>
      <c r="H4926" s="150" t="s">
        <v>512</v>
      </c>
      <c r="I4926" s="255" t="s">
        <v>1885</v>
      </c>
      <c r="J4926" s="255" t="s">
        <v>561</v>
      </c>
      <c r="K4926" s="221"/>
      <c r="L4926" s="135" t="str">
        <f t="shared" si="272"/>
        <v>Artibeus jamaicensis</v>
      </c>
      <c r="M4926" s="133">
        <f t="shared" si="276"/>
        <v>1.625046715930174</v>
      </c>
      <c r="N4926" s="259">
        <v>42.174186666666998</v>
      </c>
      <c r="O4926" s="192"/>
      <c r="P4926" s="110">
        <v>153</v>
      </c>
    </row>
    <row r="4927" spans="1:16" ht="38.25">
      <c r="A4927" s="110" t="s">
        <v>7297</v>
      </c>
      <c r="B4927" s="165" t="s">
        <v>1971</v>
      </c>
      <c r="C4927" s="255" t="s">
        <v>3817</v>
      </c>
      <c r="D4927" s="257"/>
      <c r="E4927" s="255"/>
      <c r="F4927" s="255"/>
      <c r="G4927" s="125" t="s">
        <v>2663</v>
      </c>
      <c r="H4927" s="150" t="s">
        <v>512</v>
      </c>
      <c r="I4927" s="255" t="s">
        <v>1885</v>
      </c>
      <c r="J4927" s="255" t="s">
        <v>1491</v>
      </c>
      <c r="K4927" s="221"/>
      <c r="L4927" s="135" t="str">
        <f t="shared" si="272"/>
        <v>Artibeus planirostris</v>
      </c>
      <c r="M4927" s="133">
        <f t="shared" si="276"/>
        <v>1.6720978579357175</v>
      </c>
      <c r="N4927" s="259">
        <v>47</v>
      </c>
      <c r="O4927" s="192"/>
      <c r="P4927" s="110">
        <v>153</v>
      </c>
    </row>
    <row r="4928" spans="1:16">
      <c r="A4928" s="110" t="s">
        <v>7297</v>
      </c>
      <c r="B4928" s="165" t="s">
        <v>4868</v>
      </c>
      <c r="C4928" s="255" t="s">
        <v>3817</v>
      </c>
      <c r="D4928" s="257"/>
      <c r="E4928" s="255"/>
      <c r="F4928" s="255"/>
      <c r="G4928" s="125" t="s">
        <v>2663</v>
      </c>
      <c r="H4928" s="150" t="s">
        <v>512</v>
      </c>
      <c r="I4928" s="255" t="s">
        <v>1885</v>
      </c>
      <c r="J4928" s="255" t="s">
        <v>8073</v>
      </c>
      <c r="K4928" s="223"/>
      <c r="L4928" s="135" t="str">
        <f t="shared" si="272"/>
        <v>Artibeus amplus</v>
      </c>
      <c r="M4928" s="133">
        <f t="shared" si="276"/>
        <v>1.7781512503836436</v>
      </c>
      <c r="N4928" s="259">
        <v>60</v>
      </c>
      <c r="O4928" s="192"/>
      <c r="P4928" s="110">
        <v>153</v>
      </c>
    </row>
    <row r="4929" spans="1:16" ht="76.5">
      <c r="A4929" s="110" t="s">
        <v>7297</v>
      </c>
      <c r="B4929" s="165" t="s">
        <v>474</v>
      </c>
      <c r="C4929" s="255" t="s">
        <v>3817</v>
      </c>
      <c r="D4929" s="257"/>
      <c r="E4929" s="255"/>
      <c r="F4929" s="255"/>
      <c r="G4929" s="125" t="s">
        <v>2663</v>
      </c>
      <c r="H4929" s="150" t="s">
        <v>512</v>
      </c>
      <c r="I4929" s="255" t="s">
        <v>1885</v>
      </c>
      <c r="J4929" s="255" t="s">
        <v>475</v>
      </c>
      <c r="K4929" s="221"/>
      <c r="L4929" s="135" t="str">
        <f t="shared" si="272"/>
        <v>Artibeus lituratus</v>
      </c>
      <c r="M4929" s="133">
        <f t="shared" si="276"/>
        <v>1.7805079175774432</v>
      </c>
      <c r="N4929" s="259">
        <v>60.326470588234997</v>
      </c>
      <c r="O4929" s="192"/>
      <c r="P4929" s="110">
        <v>153</v>
      </c>
    </row>
    <row r="4930" spans="1:16">
      <c r="A4930" s="110" t="s">
        <v>7297</v>
      </c>
      <c r="B4930" s="165" t="s">
        <v>427</v>
      </c>
      <c r="C4930" s="255" t="s">
        <v>3817</v>
      </c>
      <c r="D4930" s="257"/>
      <c r="E4930" s="255"/>
      <c r="F4930" s="255"/>
      <c r="G4930" s="125" t="s">
        <v>2663</v>
      </c>
      <c r="H4930" s="150" t="s">
        <v>512</v>
      </c>
      <c r="I4930" s="255" t="s">
        <v>1885</v>
      </c>
      <c r="J4930" s="255" t="s">
        <v>6430</v>
      </c>
      <c r="K4930" s="223"/>
      <c r="L4930" s="135" t="str">
        <f t="shared" si="272"/>
        <v>Artibeus fimbriatus</v>
      </c>
      <c r="M4930" s="133">
        <f t="shared" si="276"/>
        <v>1.8055008581584002</v>
      </c>
      <c r="N4930" s="259">
        <v>63.9</v>
      </c>
      <c r="O4930" s="192"/>
      <c r="P4930" s="110">
        <v>153</v>
      </c>
    </row>
    <row r="4931" spans="1:16" ht="25.5">
      <c r="A4931" s="110" t="s">
        <v>7297</v>
      </c>
      <c r="B4931" s="165" t="s">
        <v>428</v>
      </c>
      <c r="C4931" s="255" t="s">
        <v>3817</v>
      </c>
      <c r="D4931" s="257"/>
      <c r="E4931" s="255"/>
      <c r="F4931" s="255"/>
      <c r="G4931" s="125" t="s">
        <v>2663</v>
      </c>
      <c r="H4931" s="150" t="s">
        <v>512</v>
      </c>
      <c r="I4931" s="255" t="s">
        <v>1885</v>
      </c>
      <c r="J4931" s="255" t="s">
        <v>429</v>
      </c>
      <c r="K4931" s="221"/>
      <c r="L4931" s="135" t="str">
        <f t="shared" si="272"/>
        <v>Artibeus anderseni</v>
      </c>
      <c r="M4931" s="133">
        <f t="shared" si="276"/>
        <v>2.1398790864012365</v>
      </c>
      <c r="N4931" s="259">
        <v>138</v>
      </c>
      <c r="O4931" s="192"/>
      <c r="P4931" s="110">
        <v>153</v>
      </c>
    </row>
    <row r="4932" spans="1:16" ht="25.5">
      <c r="A4932" s="110" t="s">
        <v>7297</v>
      </c>
      <c r="B4932" s="165" t="s">
        <v>393</v>
      </c>
      <c r="C4932" s="255" t="s">
        <v>3817</v>
      </c>
      <c r="D4932" s="257"/>
      <c r="E4932" s="255"/>
      <c r="F4932" s="255"/>
      <c r="G4932" s="125" t="s">
        <v>2663</v>
      </c>
      <c r="H4932" s="150" t="s">
        <v>512</v>
      </c>
      <c r="I4932" s="255" t="s">
        <v>394</v>
      </c>
      <c r="J4932" s="255" t="s">
        <v>395</v>
      </c>
      <c r="K4932" s="221"/>
      <c r="L4932" s="135" t="str">
        <f t="shared" si="272"/>
        <v>Carollia castanea</v>
      </c>
      <c r="M4932" s="133">
        <f t="shared" si="276"/>
        <v>1.1227618173540364</v>
      </c>
      <c r="N4932" s="259">
        <v>13.266666666667</v>
      </c>
      <c r="O4932" s="192"/>
      <c r="P4932" s="110">
        <v>153</v>
      </c>
    </row>
    <row r="4933" spans="1:16" ht="38.25">
      <c r="A4933" s="110" t="s">
        <v>7297</v>
      </c>
      <c r="B4933" s="165" t="s">
        <v>391</v>
      </c>
      <c r="C4933" s="255" t="s">
        <v>3817</v>
      </c>
      <c r="D4933" s="257"/>
      <c r="E4933" s="255"/>
      <c r="F4933" s="255"/>
      <c r="G4933" s="125" t="s">
        <v>2663</v>
      </c>
      <c r="H4933" s="150" t="s">
        <v>512</v>
      </c>
      <c r="I4933" s="255" t="s">
        <v>394</v>
      </c>
      <c r="J4933" s="255" t="s">
        <v>7354</v>
      </c>
      <c r="K4933" s="221"/>
      <c r="L4933" s="135" t="str">
        <f t="shared" ref="L4933:L4996" si="277">I4933&amp;" "&amp;J4933</f>
        <v>Carollia brevicauda</v>
      </c>
      <c r="M4933" s="133">
        <f t="shared" si="276"/>
        <v>1.1583624920952498</v>
      </c>
      <c r="N4933" s="259">
        <v>14.4</v>
      </c>
      <c r="O4933" s="192"/>
      <c r="P4933" s="110">
        <v>153</v>
      </c>
    </row>
    <row r="4934" spans="1:16" ht="25.5">
      <c r="A4934" s="110" t="s">
        <v>7297</v>
      </c>
      <c r="B4934" s="165" t="s">
        <v>4594</v>
      </c>
      <c r="C4934" s="255" t="s">
        <v>3817</v>
      </c>
      <c r="D4934" s="257"/>
      <c r="E4934" s="255"/>
      <c r="F4934" s="255"/>
      <c r="G4934" s="125" t="s">
        <v>2663</v>
      </c>
      <c r="H4934" s="150" t="s">
        <v>512</v>
      </c>
      <c r="I4934" s="255" t="s">
        <v>394</v>
      </c>
      <c r="J4934" s="255" t="s">
        <v>4595</v>
      </c>
      <c r="K4934" s="221"/>
      <c r="L4934" s="135" t="str">
        <f t="shared" si="277"/>
        <v>Carollia subrufa</v>
      </c>
      <c r="M4934" s="133">
        <f t="shared" si="276"/>
        <v>1.1928461151888416</v>
      </c>
      <c r="N4934" s="259">
        <v>15.59</v>
      </c>
      <c r="O4934" s="192"/>
      <c r="P4934" s="110">
        <v>153</v>
      </c>
    </row>
    <row r="4935" spans="1:16" ht="114.75">
      <c r="A4935" s="110" t="s">
        <v>7297</v>
      </c>
      <c r="B4935" s="165" t="s">
        <v>628</v>
      </c>
      <c r="C4935" s="255" t="s">
        <v>3817</v>
      </c>
      <c r="D4935" s="257"/>
      <c r="E4935" s="255"/>
      <c r="F4935" s="255"/>
      <c r="G4935" s="125" t="s">
        <v>2663</v>
      </c>
      <c r="H4935" s="150" t="s">
        <v>512</v>
      </c>
      <c r="I4935" s="255" t="s">
        <v>394</v>
      </c>
      <c r="J4935" s="255" t="s">
        <v>5370</v>
      </c>
      <c r="K4935" s="221"/>
      <c r="L4935" s="135" t="str">
        <f t="shared" si="277"/>
        <v>Carollia perspicillata</v>
      </c>
      <c r="M4935" s="133">
        <f t="shared" si="276"/>
        <v>1.2762175884913591</v>
      </c>
      <c r="N4935" s="259">
        <v>18.889375000000001</v>
      </c>
      <c r="O4935" s="192"/>
      <c r="P4935" s="110">
        <v>153</v>
      </c>
    </row>
    <row r="4936" spans="1:16" ht="38.25">
      <c r="A4936" s="109" t="s">
        <v>7297</v>
      </c>
      <c r="B4936" s="165" t="s">
        <v>2035</v>
      </c>
      <c r="C4936" s="255" t="s">
        <v>3817</v>
      </c>
      <c r="D4936" s="257"/>
      <c r="E4936" s="255"/>
      <c r="F4936" s="255"/>
      <c r="G4936" s="125" t="s">
        <v>2663</v>
      </c>
      <c r="H4936" s="150" t="s">
        <v>512</v>
      </c>
      <c r="I4936" s="255" t="s">
        <v>2036</v>
      </c>
      <c r="J4936" s="255" t="s">
        <v>6403</v>
      </c>
      <c r="K4936" s="221"/>
      <c r="L4936" s="135" t="str">
        <f t="shared" si="277"/>
        <v>Centurio senex</v>
      </c>
      <c r="M4936" s="133">
        <f t="shared" si="276"/>
        <v>1.3288890398395605</v>
      </c>
      <c r="N4936" s="259">
        <v>21.324999999999999</v>
      </c>
      <c r="O4936" s="192"/>
      <c r="P4936" s="110">
        <v>153</v>
      </c>
    </row>
    <row r="4937" spans="1:16" ht="38.25">
      <c r="A4937" s="110" t="s">
        <v>7297</v>
      </c>
      <c r="B4937" s="165" t="s">
        <v>2149</v>
      </c>
      <c r="C4937" s="255" t="s">
        <v>3817</v>
      </c>
      <c r="D4937" s="257"/>
      <c r="E4937" s="255"/>
      <c r="F4937" s="255"/>
      <c r="G4937" s="125" t="s">
        <v>2663</v>
      </c>
      <c r="H4937" s="150" t="s">
        <v>512</v>
      </c>
      <c r="I4937" s="255" t="s">
        <v>399</v>
      </c>
      <c r="J4937" s="255" t="s">
        <v>480</v>
      </c>
      <c r="K4937" s="221"/>
      <c r="L4937" s="135" t="str">
        <f t="shared" si="277"/>
        <v>Chiroderma trinitatum</v>
      </c>
      <c r="M4937" s="133">
        <f t="shared" si="276"/>
        <v>1.1359273350054684</v>
      </c>
      <c r="N4937" s="259">
        <v>13.675000000000001</v>
      </c>
      <c r="O4937" s="192"/>
      <c r="P4937" s="110">
        <v>153</v>
      </c>
    </row>
    <row r="4938" spans="1:16">
      <c r="A4938" s="110" t="s">
        <v>7297</v>
      </c>
      <c r="B4938" s="165" t="s">
        <v>2172</v>
      </c>
      <c r="C4938" s="255" t="s">
        <v>3817</v>
      </c>
      <c r="D4938" s="257"/>
      <c r="E4938" s="255"/>
      <c r="F4938" s="255"/>
      <c r="G4938" s="125" t="s">
        <v>2663</v>
      </c>
      <c r="H4938" s="150" t="s">
        <v>512</v>
      </c>
      <c r="I4938" s="255" t="s">
        <v>399</v>
      </c>
      <c r="J4938" s="255" t="s">
        <v>5401</v>
      </c>
      <c r="K4938" s="221"/>
      <c r="L4938" s="135" t="str">
        <f t="shared" si="277"/>
        <v>Chiroderma doriae</v>
      </c>
      <c r="M4938" s="133">
        <f t="shared" si="276"/>
        <v>1.2988530764097066</v>
      </c>
      <c r="N4938" s="259">
        <v>19.899999999999999</v>
      </c>
      <c r="O4938" s="192"/>
      <c r="P4938" s="110">
        <v>153</v>
      </c>
    </row>
    <row r="4939" spans="1:16" ht="38.25">
      <c r="A4939" s="110" t="s">
        <v>7297</v>
      </c>
      <c r="B4939" s="165" t="s">
        <v>536</v>
      </c>
      <c r="C4939" s="255" t="s">
        <v>3817</v>
      </c>
      <c r="D4939" s="257"/>
      <c r="E4939" s="255"/>
      <c r="F4939" s="255"/>
      <c r="G4939" s="125" t="s">
        <v>2663</v>
      </c>
      <c r="H4939" s="148" t="s">
        <v>512</v>
      </c>
      <c r="I4939" s="255" t="s">
        <v>399</v>
      </c>
      <c r="J4939" s="255" t="s">
        <v>2028</v>
      </c>
      <c r="K4939" s="221"/>
      <c r="L4939" s="135" t="str">
        <f t="shared" si="277"/>
        <v>Chiroderma villosum</v>
      </c>
      <c r="M4939" s="133">
        <f t="shared" si="276"/>
        <v>1.3639878297484915</v>
      </c>
      <c r="N4939" s="259">
        <v>23.12</v>
      </c>
      <c r="O4939" s="192"/>
      <c r="P4939" s="110">
        <v>153</v>
      </c>
    </row>
    <row r="4940" spans="1:16" ht="38.25">
      <c r="A4940" s="110" t="s">
        <v>7297</v>
      </c>
      <c r="B4940" s="165" t="s">
        <v>2034</v>
      </c>
      <c r="C4940" s="255" t="s">
        <v>3817</v>
      </c>
      <c r="D4940" s="257"/>
      <c r="E4940" s="255"/>
      <c r="F4940" s="255"/>
      <c r="G4940" s="125" t="s">
        <v>2663</v>
      </c>
      <c r="H4940" s="150" t="s">
        <v>512</v>
      </c>
      <c r="I4940" s="255" t="s">
        <v>399</v>
      </c>
      <c r="J4940" s="255" t="s">
        <v>8076</v>
      </c>
      <c r="K4940" s="221"/>
      <c r="L4940" s="135" t="str">
        <f t="shared" si="277"/>
        <v>Chiroderma salvini</v>
      </c>
      <c r="M4940" s="133">
        <f t="shared" si="276"/>
        <v>1.406823940314623</v>
      </c>
      <c r="N4940" s="259">
        <v>25.516666666667</v>
      </c>
      <c r="O4940" s="192"/>
      <c r="P4940" s="110">
        <v>153</v>
      </c>
    </row>
    <row r="4941" spans="1:16">
      <c r="A4941" s="110" t="s">
        <v>7297</v>
      </c>
      <c r="B4941" s="165" t="s">
        <v>5070</v>
      </c>
      <c r="C4941" s="255" t="s">
        <v>3817</v>
      </c>
      <c r="D4941" s="257"/>
      <c r="E4941" s="255"/>
      <c r="F4941" s="255"/>
      <c r="G4941" s="125" t="s">
        <v>2663</v>
      </c>
      <c r="H4941" s="148" t="s">
        <v>512</v>
      </c>
      <c r="I4941" s="255" t="s">
        <v>2146</v>
      </c>
      <c r="J4941" s="255" t="s">
        <v>5071</v>
      </c>
      <c r="K4941" s="223"/>
      <c r="L4941" s="135" t="str">
        <f t="shared" si="277"/>
        <v>Choeroniscus periosus</v>
      </c>
      <c r="M4941" s="151">
        <v>-999</v>
      </c>
      <c r="N4941" s="171">
        <v>-999</v>
      </c>
      <c r="O4941" s="189"/>
      <c r="P4941" s="109">
        <v>-999</v>
      </c>
    </row>
    <row r="4942" spans="1:16" ht="25.5">
      <c r="A4942" s="110" t="s">
        <v>7297</v>
      </c>
      <c r="B4942" s="165" t="s">
        <v>2145</v>
      </c>
      <c r="C4942" s="255" t="s">
        <v>3817</v>
      </c>
      <c r="D4942" s="257"/>
      <c r="E4942" s="255"/>
      <c r="F4942" s="255"/>
      <c r="G4942" s="125" t="s">
        <v>2663</v>
      </c>
      <c r="H4942" s="150" t="s">
        <v>512</v>
      </c>
      <c r="I4942" s="255" t="s">
        <v>2146</v>
      </c>
      <c r="J4942" s="255" t="s">
        <v>3587</v>
      </c>
      <c r="K4942" s="221"/>
      <c r="L4942" s="135" t="str">
        <f t="shared" si="277"/>
        <v>Choeroniscus intermedius</v>
      </c>
      <c r="M4942" s="133">
        <f t="shared" ref="M4942:M4955" si="278">LOG(N4942)</f>
        <v>0.76591679396660717</v>
      </c>
      <c r="N4942" s="259">
        <v>5.833333333333</v>
      </c>
      <c r="O4942" s="192"/>
      <c r="P4942" s="110">
        <v>153</v>
      </c>
    </row>
    <row r="4943" spans="1:16" ht="38.25">
      <c r="A4943" s="110" t="s">
        <v>7297</v>
      </c>
      <c r="B4943" s="165" t="s">
        <v>1649</v>
      </c>
      <c r="C4943" s="255" t="s">
        <v>3817</v>
      </c>
      <c r="D4943" s="257"/>
      <c r="E4943" s="255"/>
      <c r="F4943" s="255"/>
      <c r="G4943" s="125" t="s">
        <v>2663</v>
      </c>
      <c r="H4943" s="150" t="s">
        <v>512</v>
      </c>
      <c r="I4943" s="255" t="s">
        <v>2146</v>
      </c>
      <c r="J4943" s="255" t="s">
        <v>4329</v>
      </c>
      <c r="K4943" s="221"/>
      <c r="L4943" s="135" t="str">
        <f t="shared" si="277"/>
        <v>Choeroniscus godmani</v>
      </c>
      <c r="M4943" s="133">
        <f t="shared" si="278"/>
        <v>0.89762709129044149</v>
      </c>
      <c r="N4943" s="259">
        <v>7.9</v>
      </c>
      <c r="O4943" s="192"/>
      <c r="P4943" s="110">
        <v>153</v>
      </c>
    </row>
    <row r="4944" spans="1:16" ht="38.25">
      <c r="A4944" s="110" t="s">
        <v>7297</v>
      </c>
      <c r="B4944" s="165" t="s">
        <v>2026</v>
      </c>
      <c r="C4944" s="255" t="s">
        <v>3817</v>
      </c>
      <c r="D4944" s="257"/>
      <c r="E4944" s="255"/>
      <c r="F4944" s="255"/>
      <c r="G4944" s="125" t="s">
        <v>2663</v>
      </c>
      <c r="H4944" s="148" t="s">
        <v>512</v>
      </c>
      <c r="I4944" s="255" t="s">
        <v>2146</v>
      </c>
      <c r="J4944" s="255" t="s">
        <v>3078</v>
      </c>
      <c r="K4944" s="221"/>
      <c r="L4944" s="135" t="str">
        <f t="shared" si="277"/>
        <v>Choeroniscus minor</v>
      </c>
      <c r="M4944" s="133">
        <f t="shared" si="278"/>
        <v>0.94076543563121751</v>
      </c>
      <c r="N4944" s="259">
        <v>8.7249999999999996</v>
      </c>
      <c r="O4944" s="191"/>
      <c r="P4944" s="109">
        <v>153</v>
      </c>
    </row>
    <row r="4945" spans="1:16" ht="38.25">
      <c r="A4945" s="109" t="s">
        <v>7297</v>
      </c>
      <c r="B4945" s="165" t="s">
        <v>510</v>
      </c>
      <c r="C4945" s="255" t="s">
        <v>3817</v>
      </c>
      <c r="D4945" s="257"/>
      <c r="E4945" s="255"/>
      <c r="F4945" s="255"/>
      <c r="G4945" s="125" t="s">
        <v>2663</v>
      </c>
      <c r="H4945" s="150" t="s">
        <v>512</v>
      </c>
      <c r="I4945" s="255" t="s">
        <v>602</v>
      </c>
      <c r="J4945" s="255" t="s">
        <v>7385</v>
      </c>
      <c r="K4945" s="221"/>
      <c r="L4945" s="135" t="str">
        <f t="shared" si="277"/>
        <v>Chrotopterus auritus</v>
      </c>
      <c r="M4945" s="133">
        <f t="shared" si="278"/>
        <v>1.8913283438821973</v>
      </c>
      <c r="N4945" s="259">
        <v>77.862499999999997</v>
      </c>
      <c r="O4945" s="192"/>
      <c r="P4945" s="110">
        <v>153</v>
      </c>
    </row>
    <row r="4946" spans="1:16" ht="63.75">
      <c r="A4946" s="110" t="s">
        <v>7297</v>
      </c>
      <c r="B4946" s="165" t="s">
        <v>598</v>
      </c>
      <c r="C4946" s="255" t="s">
        <v>3817</v>
      </c>
      <c r="D4946" s="257"/>
      <c r="E4946" s="255"/>
      <c r="F4946" s="255"/>
      <c r="G4946" s="125" t="s">
        <v>2663</v>
      </c>
      <c r="H4946" s="150" t="s">
        <v>512</v>
      </c>
      <c r="I4946" s="255" t="s">
        <v>599</v>
      </c>
      <c r="J4946" s="255" t="s">
        <v>600</v>
      </c>
      <c r="K4946" s="221"/>
      <c r="L4946" s="135" t="str">
        <f t="shared" si="277"/>
        <v>Desmodus rotundus</v>
      </c>
      <c r="M4946" s="133">
        <f t="shared" si="278"/>
        <v>1.5212773372466584</v>
      </c>
      <c r="N4946" s="259">
        <v>33.210647058824001</v>
      </c>
      <c r="O4946" s="192"/>
      <c r="P4946" s="110">
        <v>153</v>
      </c>
    </row>
    <row r="4947" spans="1:16" ht="51">
      <c r="A4947" s="110" t="s">
        <v>7297</v>
      </c>
      <c r="B4947" s="165" t="s">
        <v>684</v>
      </c>
      <c r="C4947" s="255" t="s">
        <v>3817</v>
      </c>
      <c r="D4947" s="257"/>
      <c r="E4947" s="255"/>
      <c r="F4947" s="255"/>
      <c r="G4947" s="125" t="s">
        <v>2663</v>
      </c>
      <c r="H4947" s="150" t="s">
        <v>512</v>
      </c>
      <c r="I4947" s="255" t="s">
        <v>685</v>
      </c>
      <c r="J4947" s="255" t="s">
        <v>609</v>
      </c>
      <c r="K4947" s="221"/>
      <c r="L4947" s="135" t="str">
        <f t="shared" si="277"/>
        <v>Diaemus youngi</v>
      </c>
      <c r="M4947" s="133">
        <f t="shared" si="278"/>
        <v>1.5569721916970685</v>
      </c>
      <c r="N4947" s="259">
        <v>36.055555555555998</v>
      </c>
      <c r="O4947" s="192"/>
      <c r="P4947" s="110">
        <v>153</v>
      </c>
    </row>
    <row r="4948" spans="1:16" ht="38.25">
      <c r="A4948" s="110" t="s">
        <v>7297</v>
      </c>
      <c r="B4948" s="165" t="s">
        <v>4756</v>
      </c>
      <c r="C4948" s="255" t="s">
        <v>3817</v>
      </c>
      <c r="D4948" s="257"/>
      <c r="E4948" s="255"/>
      <c r="F4948" s="255"/>
      <c r="G4948" s="125" t="s">
        <v>2663</v>
      </c>
      <c r="H4948" s="150" t="s">
        <v>512</v>
      </c>
      <c r="I4948" s="255" t="s">
        <v>4757</v>
      </c>
      <c r="J4948" s="255" t="s">
        <v>4758</v>
      </c>
      <c r="K4948" s="221"/>
      <c r="L4948" s="135" t="str">
        <f t="shared" si="277"/>
        <v>Diphylla ecaudata</v>
      </c>
      <c r="M4948" s="133">
        <f t="shared" si="278"/>
        <v>1.4668676203541096</v>
      </c>
      <c r="N4948" s="259">
        <v>29.3</v>
      </c>
      <c r="O4948" s="192"/>
      <c r="P4948" s="110">
        <v>153</v>
      </c>
    </row>
    <row r="4949" spans="1:16" ht="38.25">
      <c r="A4949" s="110" t="s">
        <v>7297</v>
      </c>
      <c r="B4949" s="165" t="s">
        <v>611</v>
      </c>
      <c r="C4949" s="255" t="s">
        <v>3817</v>
      </c>
      <c r="D4949" s="257"/>
      <c r="E4949" s="255"/>
      <c r="F4949" s="255"/>
      <c r="G4949" s="125" t="s">
        <v>2663</v>
      </c>
      <c r="H4949" s="150" t="s">
        <v>512</v>
      </c>
      <c r="I4949" s="255" t="s">
        <v>612</v>
      </c>
      <c r="J4949" s="255" t="s">
        <v>520</v>
      </c>
      <c r="K4949" s="221"/>
      <c r="L4949" s="135" t="str">
        <f t="shared" si="277"/>
        <v>Ectophylla alba</v>
      </c>
      <c r="M4949" s="133">
        <f t="shared" si="278"/>
        <v>0.76004532796581059</v>
      </c>
      <c r="N4949" s="259">
        <v>5.7549999999999999</v>
      </c>
      <c r="O4949" s="192"/>
      <c r="P4949" s="110">
        <v>153</v>
      </c>
    </row>
    <row r="4950" spans="1:16" ht="51">
      <c r="A4950" s="110" t="s">
        <v>7297</v>
      </c>
      <c r="B4950" s="165" t="s">
        <v>863</v>
      </c>
      <c r="C4950" s="255" t="s">
        <v>3817</v>
      </c>
      <c r="D4950" s="257"/>
      <c r="E4950" s="255"/>
      <c r="F4950" s="255"/>
      <c r="G4950" s="125" t="s">
        <v>2663</v>
      </c>
      <c r="H4950" s="150" t="s">
        <v>512</v>
      </c>
      <c r="I4950" s="255" t="s">
        <v>440</v>
      </c>
      <c r="J4950" s="255" t="s">
        <v>853</v>
      </c>
      <c r="K4950" s="221"/>
      <c r="L4950" s="135" t="str">
        <f t="shared" si="277"/>
        <v>Glossophaga commissarisi</v>
      </c>
      <c r="M4950" s="133">
        <f t="shared" si="278"/>
        <v>0.9493900066449128</v>
      </c>
      <c r="N4950" s="259">
        <v>8.9</v>
      </c>
      <c r="O4950" s="192"/>
      <c r="P4950" s="110">
        <v>153</v>
      </c>
    </row>
    <row r="4951" spans="1:16" ht="102">
      <c r="A4951" s="110" t="s">
        <v>7297</v>
      </c>
      <c r="B4951" s="165" t="s">
        <v>764</v>
      </c>
      <c r="C4951" s="255" t="s">
        <v>3817</v>
      </c>
      <c r="D4951" s="257"/>
      <c r="E4951" s="255"/>
      <c r="F4951" s="255"/>
      <c r="G4951" s="125" t="s">
        <v>2663</v>
      </c>
      <c r="H4951" s="150" t="s">
        <v>512</v>
      </c>
      <c r="I4951" s="255" t="s">
        <v>440</v>
      </c>
      <c r="J4951" s="255" t="s">
        <v>851</v>
      </c>
      <c r="K4951" s="221"/>
      <c r="L4951" s="135" t="str">
        <f t="shared" si="277"/>
        <v>Glossophaga soricina</v>
      </c>
      <c r="M4951" s="133">
        <f t="shared" si="278"/>
        <v>1.0017120840591813</v>
      </c>
      <c r="N4951" s="259">
        <v>10.0395</v>
      </c>
      <c r="O4951" s="192"/>
      <c r="P4951" s="110">
        <v>153</v>
      </c>
    </row>
    <row r="4952" spans="1:16" ht="102">
      <c r="A4952" s="110" t="s">
        <v>7297</v>
      </c>
      <c r="B4952" s="165" t="s">
        <v>409</v>
      </c>
      <c r="C4952" s="255" t="s">
        <v>3817</v>
      </c>
      <c r="D4952" s="257"/>
      <c r="E4952" s="255"/>
      <c r="F4952" s="255"/>
      <c r="G4952" s="125" t="s">
        <v>2663</v>
      </c>
      <c r="H4952" s="150" t="s">
        <v>512</v>
      </c>
      <c r="I4952" s="255" t="s">
        <v>440</v>
      </c>
      <c r="J4952" s="255" t="s">
        <v>2428</v>
      </c>
      <c r="K4952" s="221"/>
      <c r="L4952" s="135" t="str">
        <f t="shared" si="277"/>
        <v>Glossophaga longirostris</v>
      </c>
      <c r="M4952" s="133">
        <f t="shared" si="278"/>
        <v>1.0932215033279089</v>
      </c>
      <c r="N4952" s="259">
        <v>12.394285714285999</v>
      </c>
      <c r="O4952" s="192"/>
      <c r="P4952" s="110">
        <v>153</v>
      </c>
    </row>
    <row r="4953" spans="1:16" ht="76.5">
      <c r="A4953" s="110" t="s">
        <v>7297</v>
      </c>
      <c r="B4953" s="165" t="s">
        <v>2063</v>
      </c>
      <c r="C4953" s="255" t="s">
        <v>3817</v>
      </c>
      <c r="D4953" s="257"/>
      <c r="E4953" s="255"/>
      <c r="F4953" s="255"/>
      <c r="G4953" s="125" t="s">
        <v>2663</v>
      </c>
      <c r="H4953" s="150" t="s">
        <v>512</v>
      </c>
      <c r="I4953" s="255" t="s">
        <v>2064</v>
      </c>
      <c r="J4953" s="255" t="s">
        <v>1985</v>
      </c>
      <c r="K4953" s="221"/>
      <c r="L4953" s="135" t="str">
        <f t="shared" si="277"/>
        <v>Leptonycteris curasoae</v>
      </c>
      <c r="M4953" s="133">
        <f t="shared" si="278"/>
        <v>1.3695531735295527</v>
      </c>
      <c r="N4953" s="259">
        <v>23.418181818181999</v>
      </c>
      <c r="O4953" s="192"/>
      <c r="P4953" s="110">
        <v>153</v>
      </c>
    </row>
    <row r="4954" spans="1:16" ht="38.25">
      <c r="A4954" s="110" t="s">
        <v>7297</v>
      </c>
      <c r="B4954" s="165" t="s">
        <v>1882</v>
      </c>
      <c r="C4954" s="255" t="s">
        <v>3817</v>
      </c>
      <c r="D4954" s="257"/>
      <c r="E4954" s="255"/>
      <c r="F4954" s="255"/>
      <c r="G4954" s="125" t="s">
        <v>2663</v>
      </c>
      <c r="H4954" s="150" t="s">
        <v>512</v>
      </c>
      <c r="I4954" s="255" t="s">
        <v>577</v>
      </c>
      <c r="J4954" s="255" t="s">
        <v>578</v>
      </c>
      <c r="K4954" s="221"/>
      <c r="L4954" s="135" t="str">
        <f t="shared" si="277"/>
        <v>Lichonycteris obscura</v>
      </c>
      <c r="M4954" s="133">
        <f t="shared" si="278"/>
        <v>0.74818802700620035</v>
      </c>
      <c r="N4954" s="259">
        <v>5.6</v>
      </c>
      <c r="O4954" s="192"/>
      <c r="P4954" s="110">
        <v>153</v>
      </c>
    </row>
    <row r="4955" spans="1:16" ht="51">
      <c r="A4955" s="110" t="s">
        <v>7297</v>
      </c>
      <c r="B4955" s="165" t="s">
        <v>1886</v>
      </c>
      <c r="C4955" s="255" t="s">
        <v>3817</v>
      </c>
      <c r="D4955" s="257"/>
      <c r="E4955" s="255"/>
      <c r="F4955" s="255"/>
      <c r="G4955" s="125" t="s">
        <v>2663</v>
      </c>
      <c r="H4955" s="150" t="s">
        <v>512</v>
      </c>
      <c r="I4955" s="255" t="s">
        <v>1887</v>
      </c>
      <c r="J4955" s="255" t="s">
        <v>4759</v>
      </c>
      <c r="K4955" s="221"/>
      <c r="L4955" s="135" t="str">
        <f t="shared" si="277"/>
        <v>Lionycteris spurrelli</v>
      </c>
      <c r="M4955" s="133">
        <f t="shared" si="278"/>
        <v>0.92341673467226648</v>
      </c>
      <c r="N4955" s="259">
        <v>8.3833333333330007</v>
      </c>
      <c r="O4955" s="192"/>
      <c r="P4955" s="110">
        <v>153</v>
      </c>
    </row>
    <row r="4956" spans="1:16" ht="38.25">
      <c r="A4956" s="110" t="s">
        <v>7297</v>
      </c>
      <c r="B4956" s="165" t="s">
        <v>1966</v>
      </c>
      <c r="C4956" s="255" t="s">
        <v>3817</v>
      </c>
      <c r="D4956" s="257"/>
      <c r="E4956" s="255"/>
      <c r="F4956" s="255"/>
      <c r="G4956" s="125" t="s">
        <v>2663</v>
      </c>
      <c r="H4956" s="150" t="s">
        <v>512</v>
      </c>
      <c r="I4956" s="255" t="s">
        <v>2067</v>
      </c>
      <c r="J4956" s="255" t="s">
        <v>1967</v>
      </c>
      <c r="K4956" s="221"/>
      <c r="L4956" s="135" t="str">
        <f t="shared" si="277"/>
        <v>Lonchophylla bokermanni</v>
      </c>
      <c r="M4956" s="151">
        <v>-999</v>
      </c>
      <c r="N4956" s="171">
        <v>-999</v>
      </c>
      <c r="O4956" s="183"/>
      <c r="P4956" s="110">
        <v>-999</v>
      </c>
    </row>
    <row r="4957" spans="1:16">
      <c r="A4957" s="110" t="s">
        <v>7297</v>
      </c>
      <c r="B4957" s="165" t="s">
        <v>1968</v>
      </c>
      <c r="C4957" s="255" t="s">
        <v>3817</v>
      </c>
      <c r="D4957" s="257"/>
      <c r="E4957" s="255"/>
      <c r="F4957" s="255"/>
      <c r="G4957" s="125" t="s">
        <v>2663</v>
      </c>
      <c r="H4957" s="150" t="s">
        <v>512</v>
      </c>
      <c r="I4957" s="255" t="s">
        <v>2067</v>
      </c>
      <c r="J4957" s="255" t="s">
        <v>1969</v>
      </c>
      <c r="K4957" s="221"/>
      <c r="L4957" s="135" t="str">
        <f t="shared" si="277"/>
        <v>Lonchophylla dekeyseri</v>
      </c>
      <c r="M4957" s="151">
        <v>-999</v>
      </c>
      <c r="N4957" s="171">
        <v>-999</v>
      </c>
      <c r="O4957" s="183"/>
      <c r="P4957" s="110">
        <v>-999</v>
      </c>
    </row>
    <row r="4958" spans="1:16">
      <c r="A4958" s="110" t="s">
        <v>7297</v>
      </c>
      <c r="B4958" s="165" t="s">
        <v>785</v>
      </c>
      <c r="C4958" s="255" t="s">
        <v>3817</v>
      </c>
      <c r="D4958" s="257"/>
      <c r="E4958" s="255"/>
      <c r="F4958" s="255"/>
      <c r="G4958" s="125" t="s">
        <v>2663</v>
      </c>
      <c r="H4958" s="148" t="s">
        <v>512</v>
      </c>
      <c r="I4958" s="255" t="s">
        <v>2067</v>
      </c>
      <c r="J4958" s="255" t="s">
        <v>786</v>
      </c>
      <c r="K4958" s="221"/>
      <c r="L4958" s="135" t="str">
        <f t="shared" si="277"/>
        <v>Lonchophylla hesperia</v>
      </c>
      <c r="M4958" s="151">
        <v>-999</v>
      </c>
      <c r="N4958" s="171">
        <v>-999</v>
      </c>
      <c r="O4958" s="183"/>
      <c r="P4958" s="110">
        <v>-999</v>
      </c>
    </row>
    <row r="4959" spans="1:16" ht="51">
      <c r="A4959" s="110" t="s">
        <v>7297</v>
      </c>
      <c r="B4959" s="165" t="s">
        <v>2066</v>
      </c>
      <c r="C4959" s="255" t="s">
        <v>3817</v>
      </c>
      <c r="D4959" s="257"/>
      <c r="E4959" s="255"/>
      <c r="F4959" s="255"/>
      <c r="G4959" s="125" t="s">
        <v>2663</v>
      </c>
      <c r="H4959" s="150" t="s">
        <v>512</v>
      </c>
      <c r="I4959" s="255" t="s">
        <v>2067</v>
      </c>
      <c r="J4959" s="255" t="s">
        <v>4852</v>
      </c>
      <c r="K4959" s="221"/>
      <c r="L4959" s="135" t="str">
        <f t="shared" si="277"/>
        <v>Lonchophylla thomasi</v>
      </c>
      <c r="M4959" s="133">
        <f>LOG(N4959)</f>
        <v>0.83569057149242554</v>
      </c>
      <c r="N4959" s="259">
        <v>6.85</v>
      </c>
      <c r="O4959" s="192"/>
      <c r="P4959" s="110">
        <v>153</v>
      </c>
    </row>
    <row r="4960" spans="1:16" ht="38.25">
      <c r="A4960" s="109" t="s">
        <v>7297</v>
      </c>
      <c r="B4960" s="165" t="s">
        <v>2069</v>
      </c>
      <c r="C4960" s="255" t="s">
        <v>3817</v>
      </c>
      <c r="D4960" s="257"/>
      <c r="E4960" s="255"/>
      <c r="F4960" s="255"/>
      <c r="G4960" s="125" t="s">
        <v>2663</v>
      </c>
      <c r="H4960" s="150" t="s">
        <v>512</v>
      </c>
      <c r="I4960" s="255" t="s">
        <v>2067</v>
      </c>
      <c r="J4960" s="255" t="s">
        <v>6743</v>
      </c>
      <c r="K4960" s="221"/>
      <c r="L4960" s="135" t="str">
        <f t="shared" si="277"/>
        <v>Lonchophylla mordax</v>
      </c>
      <c r="M4960" s="133">
        <f>LOG(N4960)</f>
        <v>1.0293837776852097</v>
      </c>
      <c r="N4960" s="259">
        <v>10.7</v>
      </c>
      <c r="O4960" s="192"/>
      <c r="P4960" s="110">
        <v>153</v>
      </c>
    </row>
    <row r="4961" spans="1:16" ht="25.5">
      <c r="A4961" s="110" t="s">
        <v>7297</v>
      </c>
      <c r="B4961" s="165" t="s">
        <v>2070</v>
      </c>
      <c r="C4961" s="255" t="s">
        <v>3817</v>
      </c>
      <c r="D4961" s="257"/>
      <c r="E4961" s="255"/>
      <c r="F4961" s="255"/>
      <c r="G4961" s="125" t="s">
        <v>2663</v>
      </c>
      <c r="H4961" s="150" t="s">
        <v>512</v>
      </c>
      <c r="I4961" s="255" t="s">
        <v>2067</v>
      </c>
      <c r="J4961" s="255" t="s">
        <v>4701</v>
      </c>
      <c r="K4961" s="221"/>
      <c r="L4961" s="135" t="str">
        <f t="shared" si="277"/>
        <v>Lonchophylla robusta</v>
      </c>
      <c r="M4961" s="133">
        <f>LOG(N4961)</f>
        <v>1.1139433523068367</v>
      </c>
      <c r="N4961" s="259">
        <v>13</v>
      </c>
      <c r="O4961" s="192"/>
      <c r="P4961" s="110">
        <v>153</v>
      </c>
    </row>
    <row r="4962" spans="1:16" ht="25.5">
      <c r="A4962" s="110" t="s">
        <v>7297</v>
      </c>
      <c r="B4962" s="165" t="s">
        <v>4866</v>
      </c>
      <c r="C4962" s="255" t="s">
        <v>3817</v>
      </c>
      <c r="D4962" s="257"/>
      <c r="E4962" s="255"/>
      <c r="F4962" s="255"/>
      <c r="G4962" s="125" t="s">
        <v>2663</v>
      </c>
      <c r="H4962" s="150" t="s">
        <v>512</v>
      </c>
      <c r="I4962" s="255" t="s">
        <v>2067</v>
      </c>
      <c r="J4962" s="255" t="s">
        <v>5001</v>
      </c>
      <c r="K4962" s="221"/>
      <c r="L4962" s="135" t="str">
        <f t="shared" si="277"/>
        <v>Lonchophylla handleyi</v>
      </c>
      <c r="M4962" s="151">
        <f>LOG(N4962)</f>
        <v>1.2671717284030137</v>
      </c>
      <c r="N4962" s="171">
        <f>AVERAGE(16, 21)</f>
        <v>18.5</v>
      </c>
      <c r="O4962" s="183"/>
      <c r="P4962" s="110">
        <v>248</v>
      </c>
    </row>
    <row r="4963" spans="1:16" ht="25.5">
      <c r="A4963" s="110" t="s">
        <v>7297</v>
      </c>
      <c r="B4963" s="165" t="s">
        <v>557</v>
      </c>
      <c r="C4963" s="255" t="s">
        <v>3817</v>
      </c>
      <c r="D4963" s="257"/>
      <c r="E4963" s="255"/>
      <c r="F4963" s="255"/>
      <c r="G4963" s="125" t="s">
        <v>2663</v>
      </c>
      <c r="H4963" s="150" t="s">
        <v>512</v>
      </c>
      <c r="I4963" s="255" t="s">
        <v>472</v>
      </c>
      <c r="J4963" s="255" t="s">
        <v>558</v>
      </c>
      <c r="K4963" s="221"/>
      <c r="L4963" s="135" t="str">
        <f t="shared" si="277"/>
        <v>Lonchorhina fernandezi</v>
      </c>
      <c r="M4963" s="151">
        <v>-999</v>
      </c>
      <c r="N4963" s="171">
        <v>-999</v>
      </c>
      <c r="O4963" s="183"/>
      <c r="P4963" s="110">
        <v>-999</v>
      </c>
    </row>
    <row r="4964" spans="1:16">
      <c r="A4964" s="110" t="s">
        <v>7297</v>
      </c>
      <c r="B4964" s="165" t="s">
        <v>471</v>
      </c>
      <c r="C4964" s="255" t="s">
        <v>3817</v>
      </c>
      <c r="D4964" s="257"/>
      <c r="E4964" s="255"/>
      <c r="F4964" s="255"/>
      <c r="G4964" s="125" t="s">
        <v>2663</v>
      </c>
      <c r="H4964" s="150" t="s">
        <v>512</v>
      </c>
      <c r="I4964" s="255" t="s">
        <v>472</v>
      </c>
      <c r="J4964" s="255" t="s">
        <v>696</v>
      </c>
      <c r="K4964" s="221"/>
      <c r="L4964" s="135" t="str">
        <f t="shared" si="277"/>
        <v>Lonchorhina orinocensis</v>
      </c>
      <c r="M4964" s="133">
        <f>LOG(N4964)</f>
        <v>0.94448267215016868</v>
      </c>
      <c r="N4964" s="259">
        <v>8.8000000000000007</v>
      </c>
      <c r="O4964" s="192"/>
      <c r="P4964" s="110">
        <v>153</v>
      </c>
    </row>
    <row r="4965" spans="1:16" ht="63.75">
      <c r="A4965" s="110" t="s">
        <v>7297</v>
      </c>
      <c r="B4965" s="166" t="s">
        <v>463</v>
      </c>
      <c r="C4965" s="256" t="s">
        <v>3817</v>
      </c>
      <c r="D4965" s="258"/>
      <c r="E4965" s="256"/>
      <c r="F4965" s="256"/>
      <c r="G4965" s="125" t="s">
        <v>2663</v>
      </c>
      <c r="H4965" s="155" t="s">
        <v>512</v>
      </c>
      <c r="I4965" s="256" t="s">
        <v>472</v>
      </c>
      <c r="J4965" s="256" t="s">
        <v>4380</v>
      </c>
      <c r="K4965" s="225"/>
      <c r="L4965" s="135" t="str">
        <f t="shared" si="277"/>
        <v>Lonchorhina aurita</v>
      </c>
      <c r="M4965" s="133">
        <f>LOG(N4965)</f>
        <v>1.1958996524092338</v>
      </c>
      <c r="N4965" s="259">
        <v>15.7</v>
      </c>
      <c r="O4965" s="192"/>
      <c r="P4965" s="110">
        <v>153</v>
      </c>
    </row>
    <row r="4966" spans="1:16" ht="25.5">
      <c r="A4966" s="110" t="s">
        <v>7297</v>
      </c>
      <c r="B4966" s="165" t="s">
        <v>555</v>
      </c>
      <c r="C4966" s="255" t="s">
        <v>3817</v>
      </c>
      <c r="D4966" s="257"/>
      <c r="E4966" s="255"/>
      <c r="F4966" s="255"/>
      <c r="G4966" s="125" t="s">
        <v>2663</v>
      </c>
      <c r="H4966" s="150" t="s">
        <v>512</v>
      </c>
      <c r="I4966" s="255" t="s">
        <v>472</v>
      </c>
      <c r="J4966" s="255" t="s">
        <v>556</v>
      </c>
      <c r="K4966" s="221"/>
      <c r="L4966" s="135" t="str">
        <f t="shared" si="277"/>
        <v>Lonchorhina marinkellei</v>
      </c>
      <c r="M4966" s="133">
        <f>LOG(N4966)</f>
        <v>1.2304489213782739</v>
      </c>
      <c r="N4966" s="259">
        <v>17</v>
      </c>
      <c r="O4966" s="192"/>
      <c r="P4966" s="110">
        <v>153</v>
      </c>
    </row>
    <row r="4967" spans="1:16" ht="38.25">
      <c r="A4967" s="109" t="s">
        <v>7297</v>
      </c>
      <c r="B4967" s="165" t="s">
        <v>818</v>
      </c>
      <c r="C4967" s="255" t="s">
        <v>3817</v>
      </c>
      <c r="D4967" s="257"/>
      <c r="E4967" s="255"/>
      <c r="F4967" s="255"/>
      <c r="G4967" s="125" t="s">
        <v>2663</v>
      </c>
      <c r="H4967" s="150" t="s">
        <v>512</v>
      </c>
      <c r="I4967" s="255" t="s">
        <v>819</v>
      </c>
      <c r="J4967" s="255" t="s">
        <v>484</v>
      </c>
      <c r="K4967" s="221"/>
      <c r="L4967" s="135" t="str">
        <f t="shared" si="277"/>
        <v>Macrophyllum macrophyllum</v>
      </c>
      <c r="M4967" s="133">
        <f>LOG(N4967)</f>
        <v>0.90848501887864974</v>
      </c>
      <c r="N4967" s="259">
        <v>8.1</v>
      </c>
      <c r="O4967" s="192"/>
      <c r="P4967" s="110">
        <v>153</v>
      </c>
    </row>
    <row r="4968" spans="1:16" ht="38.25">
      <c r="A4968" s="109" t="s">
        <v>7297</v>
      </c>
      <c r="B4968" s="166" t="s">
        <v>896</v>
      </c>
      <c r="C4968" s="256" t="s">
        <v>3817</v>
      </c>
      <c r="D4968" s="258"/>
      <c r="E4968" s="256"/>
      <c r="F4968" s="256"/>
      <c r="G4968" s="125" t="s">
        <v>2663</v>
      </c>
      <c r="H4968" s="155" t="s">
        <v>512</v>
      </c>
      <c r="I4968" s="256" t="s">
        <v>817</v>
      </c>
      <c r="J4968" s="256" t="s">
        <v>4025</v>
      </c>
      <c r="K4968" s="225"/>
      <c r="L4968" s="135" t="str">
        <f t="shared" si="277"/>
        <v>Mesophylla macconnelli</v>
      </c>
      <c r="M4968" s="133">
        <f>LOG(N4968)</f>
        <v>0.84010609445675777</v>
      </c>
      <c r="N4968" s="259">
        <v>6.92</v>
      </c>
      <c r="O4968" s="192"/>
      <c r="P4968" s="110">
        <v>153</v>
      </c>
    </row>
    <row r="4969" spans="1:16">
      <c r="A4969" s="110" t="s">
        <v>7297</v>
      </c>
      <c r="B4969" s="165" t="s">
        <v>2025</v>
      </c>
      <c r="C4969" s="255" t="s">
        <v>3817</v>
      </c>
      <c r="D4969" s="257"/>
      <c r="E4969" s="255"/>
      <c r="F4969" s="255"/>
      <c r="G4969" s="125" t="s">
        <v>2663</v>
      </c>
      <c r="H4969" s="150" t="s">
        <v>512</v>
      </c>
      <c r="I4969" s="255" t="s">
        <v>900</v>
      </c>
      <c r="J4969" s="255" t="s">
        <v>534</v>
      </c>
      <c r="K4969" s="221"/>
      <c r="L4969" s="135" t="str">
        <f t="shared" si="277"/>
        <v>Micronycteris behnii</v>
      </c>
      <c r="M4969" s="151">
        <v>-999</v>
      </c>
      <c r="N4969" s="171">
        <v>-999</v>
      </c>
      <c r="O4969" s="183"/>
      <c r="P4969" s="110">
        <v>-999</v>
      </c>
    </row>
    <row r="4970" spans="1:16">
      <c r="A4970" s="110" t="s">
        <v>7297</v>
      </c>
      <c r="B4970" s="165" t="s">
        <v>535</v>
      </c>
      <c r="C4970" s="255" t="s">
        <v>3817</v>
      </c>
      <c r="D4970" s="257"/>
      <c r="E4970" s="255"/>
      <c r="F4970" s="255"/>
      <c r="G4970" s="125" t="s">
        <v>2663</v>
      </c>
      <c r="H4970" s="150" t="s">
        <v>512</v>
      </c>
      <c r="I4970" s="255" t="s">
        <v>900</v>
      </c>
      <c r="J4970" s="255" t="s">
        <v>7423</v>
      </c>
      <c r="K4970" s="221"/>
      <c r="L4970" s="135" t="str">
        <f t="shared" si="277"/>
        <v>Micronycteris pusilla</v>
      </c>
      <c r="M4970" s="151">
        <v>-999</v>
      </c>
      <c r="N4970" s="171">
        <v>-999</v>
      </c>
      <c r="O4970" s="183"/>
      <c r="P4970" s="110">
        <v>-999</v>
      </c>
    </row>
    <row r="4971" spans="1:16" ht="63.75">
      <c r="A4971" s="109" t="s">
        <v>7297</v>
      </c>
      <c r="B4971" s="165" t="s">
        <v>899</v>
      </c>
      <c r="C4971" s="255" t="s">
        <v>3817</v>
      </c>
      <c r="D4971" s="257"/>
      <c r="E4971" s="255"/>
      <c r="F4971" s="255"/>
      <c r="G4971" s="125" t="s">
        <v>2663</v>
      </c>
      <c r="H4971" s="150" t="s">
        <v>512</v>
      </c>
      <c r="I4971" s="255" t="s">
        <v>900</v>
      </c>
      <c r="J4971" s="255" t="s">
        <v>2000</v>
      </c>
      <c r="K4971" s="221"/>
      <c r="L4971" s="135" t="str">
        <f t="shared" si="277"/>
        <v>Micronycteris megalotis</v>
      </c>
      <c r="M4971" s="133">
        <f t="shared" ref="M4971:M4985" si="279">LOG(N4971)</f>
        <v>0.80106052984785558</v>
      </c>
      <c r="N4971" s="259">
        <v>6.3250000000000002</v>
      </c>
      <c r="O4971" s="192"/>
      <c r="P4971" s="110">
        <v>153</v>
      </c>
    </row>
    <row r="4972" spans="1:16" ht="38.25">
      <c r="A4972" s="110" t="s">
        <v>7297</v>
      </c>
      <c r="B4972" s="165" t="s">
        <v>1053</v>
      </c>
      <c r="C4972" s="255" t="s">
        <v>3817</v>
      </c>
      <c r="D4972" s="257"/>
      <c r="E4972" s="255"/>
      <c r="F4972" s="255"/>
      <c r="G4972" s="125" t="s">
        <v>2663</v>
      </c>
      <c r="H4972" s="150" t="s">
        <v>512</v>
      </c>
      <c r="I4972" s="255" t="s">
        <v>900</v>
      </c>
      <c r="J4972" s="255" t="s">
        <v>5124</v>
      </c>
      <c r="K4972" s="221"/>
      <c r="L4972" s="135" t="str">
        <f t="shared" si="277"/>
        <v>Micronycteris minuta</v>
      </c>
      <c r="M4972" s="133">
        <f t="shared" si="279"/>
        <v>0.81291335664285558</v>
      </c>
      <c r="N4972" s="259">
        <v>6.5</v>
      </c>
      <c r="O4972" s="192"/>
      <c r="P4972" s="110">
        <v>153</v>
      </c>
    </row>
    <row r="4973" spans="1:16" ht="25.5">
      <c r="A4973" s="110" t="s">
        <v>7297</v>
      </c>
      <c r="B4973" s="165" t="s">
        <v>656</v>
      </c>
      <c r="C4973" s="255" t="s">
        <v>3817</v>
      </c>
      <c r="D4973" s="257"/>
      <c r="E4973" s="255"/>
      <c r="F4973" s="255"/>
      <c r="G4973" s="125" t="s">
        <v>2663</v>
      </c>
      <c r="H4973" s="150" t="s">
        <v>512</v>
      </c>
      <c r="I4973" s="255" t="s">
        <v>900</v>
      </c>
      <c r="J4973" s="255" t="s">
        <v>730</v>
      </c>
      <c r="K4973" s="221"/>
      <c r="L4973" s="135" t="str">
        <f t="shared" si="277"/>
        <v>Micronycteris schmidtorum</v>
      </c>
      <c r="M4973" s="133">
        <f t="shared" si="279"/>
        <v>0.87698718442771928</v>
      </c>
      <c r="N4973" s="259">
        <v>7.5333333333330001</v>
      </c>
      <c r="O4973" s="192"/>
      <c r="P4973" s="110">
        <v>153</v>
      </c>
    </row>
    <row r="4974" spans="1:16" ht="51">
      <c r="A4974" s="110" t="s">
        <v>7297</v>
      </c>
      <c r="B4974" s="165" t="s">
        <v>655</v>
      </c>
      <c r="C4974" s="255" t="s">
        <v>3817</v>
      </c>
      <c r="D4974" s="257"/>
      <c r="E4974" s="255"/>
      <c r="F4974" s="255"/>
      <c r="G4974" s="125" t="s">
        <v>2663</v>
      </c>
      <c r="H4974" s="150" t="s">
        <v>512</v>
      </c>
      <c r="I4974" s="255" t="s">
        <v>900</v>
      </c>
      <c r="J4974" s="255" t="s">
        <v>565</v>
      </c>
      <c r="K4974" s="221"/>
      <c r="L4974" s="135" t="str">
        <f t="shared" si="277"/>
        <v>Micronycteris nicefori</v>
      </c>
      <c r="M4974" s="133">
        <f t="shared" si="279"/>
        <v>0.91513590662201194</v>
      </c>
      <c r="N4974" s="259">
        <v>8.2249999999999996</v>
      </c>
      <c r="O4974" s="192"/>
      <c r="P4974" s="110">
        <v>153</v>
      </c>
    </row>
    <row r="4975" spans="1:16" ht="38.25">
      <c r="A4975" s="109" t="s">
        <v>7297</v>
      </c>
      <c r="B4975" s="165" t="s">
        <v>657</v>
      </c>
      <c r="C4975" s="255" t="s">
        <v>3817</v>
      </c>
      <c r="D4975" s="257"/>
      <c r="E4975" s="255"/>
      <c r="F4975" s="255"/>
      <c r="G4975" s="125" t="s">
        <v>2663</v>
      </c>
      <c r="H4975" s="150" t="s">
        <v>512</v>
      </c>
      <c r="I4975" s="255" t="s">
        <v>900</v>
      </c>
      <c r="J4975" s="255" t="s">
        <v>8312</v>
      </c>
      <c r="K4975" s="221"/>
      <c r="L4975" s="135" t="str">
        <f t="shared" si="277"/>
        <v>Micronycteris sylvestris</v>
      </c>
      <c r="M4975" s="133">
        <f t="shared" si="279"/>
        <v>0.94448267215016868</v>
      </c>
      <c r="N4975" s="259">
        <v>8.8000000000000007</v>
      </c>
      <c r="O4975" s="192"/>
      <c r="P4975" s="110">
        <v>153</v>
      </c>
    </row>
    <row r="4976" spans="1:16" ht="38.25">
      <c r="A4976" s="110" t="s">
        <v>7297</v>
      </c>
      <c r="B4976" s="166" t="s">
        <v>566</v>
      </c>
      <c r="C4976" s="256" t="s">
        <v>3817</v>
      </c>
      <c r="D4976" s="258"/>
      <c r="E4976" s="256"/>
      <c r="F4976" s="256"/>
      <c r="G4976" s="125" t="s">
        <v>2663</v>
      </c>
      <c r="H4976" s="155" t="s">
        <v>512</v>
      </c>
      <c r="I4976" s="256" t="s">
        <v>900</v>
      </c>
      <c r="J4976" s="256" t="s">
        <v>7539</v>
      </c>
      <c r="K4976" s="225"/>
      <c r="L4976" s="135" t="str">
        <f t="shared" si="277"/>
        <v>Micronycteris brachyotis</v>
      </c>
      <c r="M4976" s="133">
        <f t="shared" si="279"/>
        <v>1.0211892990699381</v>
      </c>
      <c r="N4976" s="259">
        <v>10.5</v>
      </c>
      <c r="O4976" s="192"/>
      <c r="P4976" s="110">
        <v>153</v>
      </c>
    </row>
    <row r="4977" spans="1:16" ht="51">
      <c r="A4977" s="110" t="s">
        <v>7297</v>
      </c>
      <c r="B4977" s="165" t="s">
        <v>473</v>
      </c>
      <c r="C4977" s="255" t="s">
        <v>3817</v>
      </c>
      <c r="D4977" s="257"/>
      <c r="E4977" s="255"/>
      <c r="F4977" s="255"/>
      <c r="G4977" s="125" t="s">
        <v>2663</v>
      </c>
      <c r="H4977" s="150" t="s">
        <v>512</v>
      </c>
      <c r="I4977" s="255" t="s">
        <v>900</v>
      </c>
      <c r="J4977" s="255" t="s">
        <v>620</v>
      </c>
      <c r="K4977" s="221"/>
      <c r="L4977" s="135" t="str">
        <f t="shared" si="277"/>
        <v>Micronycteris hirsuta</v>
      </c>
      <c r="M4977" s="133">
        <f t="shared" si="279"/>
        <v>1.0941215958405615</v>
      </c>
      <c r="N4977" s="259">
        <v>12.42</v>
      </c>
      <c r="O4977" s="192"/>
      <c r="P4977" s="110">
        <v>153</v>
      </c>
    </row>
    <row r="4978" spans="1:16" ht="25.5">
      <c r="A4978" s="110" t="s">
        <v>7297</v>
      </c>
      <c r="B4978" s="165" t="s">
        <v>621</v>
      </c>
      <c r="C4978" s="255" t="s">
        <v>3817</v>
      </c>
      <c r="D4978" s="257"/>
      <c r="E4978" s="255"/>
      <c r="F4978" s="255"/>
      <c r="G4978" s="125" t="s">
        <v>2663</v>
      </c>
      <c r="H4978" s="150" t="s">
        <v>512</v>
      </c>
      <c r="I4978" s="255" t="s">
        <v>900</v>
      </c>
      <c r="J4978" s="255" t="s">
        <v>532</v>
      </c>
      <c r="K4978" s="221"/>
      <c r="L4978" s="135" t="str">
        <f t="shared" si="277"/>
        <v>Micronycteris daviesi</v>
      </c>
      <c r="M4978" s="133">
        <f t="shared" si="279"/>
        <v>1.2624510897304295</v>
      </c>
      <c r="N4978" s="259">
        <v>18.3</v>
      </c>
      <c r="O4978" s="192"/>
      <c r="P4978" s="110">
        <v>153</v>
      </c>
    </row>
    <row r="4979" spans="1:16" ht="51">
      <c r="A4979" s="110" t="s">
        <v>7297</v>
      </c>
      <c r="B4979" s="165" t="s">
        <v>2148</v>
      </c>
      <c r="C4979" s="255" t="s">
        <v>3817</v>
      </c>
      <c r="D4979" s="257"/>
      <c r="E4979" s="255"/>
      <c r="F4979" s="255"/>
      <c r="G4979" s="125" t="s">
        <v>2663</v>
      </c>
      <c r="H4979" s="150" t="s">
        <v>512</v>
      </c>
      <c r="I4979" s="255" t="s">
        <v>4517</v>
      </c>
      <c r="J4979" s="255" t="s">
        <v>2029</v>
      </c>
      <c r="K4979" s="221"/>
      <c r="L4979" s="135" t="str">
        <f t="shared" si="277"/>
        <v>Mimon crenulatum</v>
      </c>
      <c r="M4979" s="133">
        <f t="shared" si="279"/>
        <v>1.1383026981662814</v>
      </c>
      <c r="N4979" s="259">
        <v>13.75</v>
      </c>
      <c r="O4979" s="192"/>
      <c r="P4979" s="110">
        <v>153</v>
      </c>
    </row>
    <row r="4980" spans="1:16" ht="25.5">
      <c r="A4980" s="110" t="s">
        <v>7297</v>
      </c>
      <c r="B4980" s="165" t="s">
        <v>619</v>
      </c>
      <c r="C4980" s="255" t="s">
        <v>3817</v>
      </c>
      <c r="D4980" s="257"/>
      <c r="E4980" s="255"/>
      <c r="F4980" s="255"/>
      <c r="G4980" s="125" t="s">
        <v>2663</v>
      </c>
      <c r="H4980" s="150" t="s">
        <v>512</v>
      </c>
      <c r="I4980" s="255" t="s">
        <v>4517</v>
      </c>
      <c r="J4980" s="255" t="s">
        <v>5734</v>
      </c>
      <c r="K4980" s="221"/>
      <c r="L4980" s="135" t="str">
        <f t="shared" si="277"/>
        <v>Mimon bennettii</v>
      </c>
      <c r="M4980" s="133">
        <f t="shared" si="279"/>
        <v>1.4014005407815442</v>
      </c>
      <c r="N4980" s="171">
        <v>25.2</v>
      </c>
      <c r="O4980" s="183"/>
      <c r="P4980" s="109">
        <v>249</v>
      </c>
    </row>
    <row r="4981" spans="1:16" ht="25.5">
      <c r="A4981" s="110" t="s">
        <v>7297</v>
      </c>
      <c r="B4981" s="165" t="s">
        <v>2147</v>
      </c>
      <c r="C4981" s="255" t="s">
        <v>3817</v>
      </c>
      <c r="D4981" s="257"/>
      <c r="E4981" s="255"/>
      <c r="F4981" s="255"/>
      <c r="G4981" s="125" t="s">
        <v>2663</v>
      </c>
      <c r="H4981" s="150" t="s">
        <v>512</v>
      </c>
      <c r="I4981" s="255" t="s">
        <v>5069</v>
      </c>
      <c r="J4981" s="255" t="s">
        <v>4505</v>
      </c>
      <c r="K4981" s="221"/>
      <c r="L4981" s="135" t="str">
        <f t="shared" si="277"/>
        <v>Phylloderma stenops</v>
      </c>
      <c r="M4981" s="133">
        <f t="shared" si="279"/>
        <v>1.7297720531082863</v>
      </c>
      <c r="N4981" s="259">
        <v>53.674999999999997</v>
      </c>
      <c r="O4981" s="192"/>
      <c r="P4981" s="110">
        <v>153</v>
      </c>
    </row>
    <row r="4982" spans="1:16" ht="76.5">
      <c r="A4982" s="110" t="s">
        <v>7297</v>
      </c>
      <c r="B4982" s="165" t="s">
        <v>507</v>
      </c>
      <c r="C4982" s="255" t="s">
        <v>3817</v>
      </c>
      <c r="D4982" s="257"/>
      <c r="E4982" s="255"/>
      <c r="F4982" s="255"/>
      <c r="G4982" s="125" t="s">
        <v>2663</v>
      </c>
      <c r="H4982" s="150" t="s">
        <v>512</v>
      </c>
      <c r="I4982" s="255" t="s">
        <v>1957</v>
      </c>
      <c r="J4982" s="255" t="s">
        <v>4347</v>
      </c>
      <c r="K4982" s="221"/>
      <c r="L4982" s="135" t="str">
        <f t="shared" si="277"/>
        <v>Phyllostomus discolor</v>
      </c>
      <c r="M4982" s="133">
        <f t="shared" si="279"/>
        <v>1.5703882241039915</v>
      </c>
      <c r="N4982" s="259">
        <v>37.186750000000004</v>
      </c>
      <c r="O4982" s="192"/>
      <c r="P4982" s="110">
        <v>153</v>
      </c>
    </row>
    <row r="4983" spans="1:16" ht="38.25">
      <c r="A4983" s="110" t="s">
        <v>7297</v>
      </c>
      <c r="B4983" s="165" t="s">
        <v>2019</v>
      </c>
      <c r="C4983" s="255" t="s">
        <v>3817</v>
      </c>
      <c r="D4983" s="257"/>
      <c r="E4983" s="255"/>
      <c r="F4983" s="255"/>
      <c r="G4983" s="125" t="s">
        <v>2663</v>
      </c>
      <c r="H4983" s="150" t="s">
        <v>512</v>
      </c>
      <c r="I4983" s="255" t="s">
        <v>1957</v>
      </c>
      <c r="J4983" s="255" t="s">
        <v>826</v>
      </c>
      <c r="K4983" s="221"/>
      <c r="L4983" s="135" t="str">
        <f t="shared" si="277"/>
        <v>Phyllostomus elongatus</v>
      </c>
      <c r="M4983" s="133">
        <f t="shared" si="279"/>
        <v>1.6066500285784386</v>
      </c>
      <c r="N4983" s="259">
        <v>40.424999999999997</v>
      </c>
      <c r="O4983" s="192"/>
      <c r="P4983" s="110">
        <v>153</v>
      </c>
    </row>
    <row r="4984" spans="1:16" ht="76.5">
      <c r="A4984" s="110" t="s">
        <v>7297</v>
      </c>
      <c r="B4984" s="165" t="s">
        <v>601</v>
      </c>
      <c r="C4984" s="255" t="s">
        <v>3817</v>
      </c>
      <c r="D4984" s="257"/>
      <c r="E4984" s="255"/>
      <c r="F4984" s="255"/>
      <c r="G4984" s="125" t="s">
        <v>2663</v>
      </c>
      <c r="H4984" s="150" t="s">
        <v>512</v>
      </c>
      <c r="I4984" s="255" t="s">
        <v>1957</v>
      </c>
      <c r="J4984" s="255" t="s">
        <v>610</v>
      </c>
      <c r="K4984" s="221"/>
      <c r="L4984" s="135" t="str">
        <f t="shared" si="277"/>
        <v>Phyllostomus hastatus</v>
      </c>
      <c r="M4984" s="133">
        <f t="shared" si="279"/>
        <v>1.9660588705614197</v>
      </c>
      <c r="N4984" s="259">
        <v>92.482352941176003</v>
      </c>
      <c r="O4984" s="192"/>
      <c r="P4984" s="110">
        <v>153</v>
      </c>
    </row>
    <row r="4985" spans="1:16">
      <c r="A4985" s="110" t="s">
        <v>7297</v>
      </c>
      <c r="B4985" s="165" t="s">
        <v>686</v>
      </c>
      <c r="C4985" s="255" t="s">
        <v>3817</v>
      </c>
      <c r="D4985" s="257"/>
      <c r="E4985" s="255"/>
      <c r="F4985" s="255"/>
      <c r="G4985" s="125" t="s">
        <v>2663</v>
      </c>
      <c r="H4985" s="150" t="s">
        <v>512</v>
      </c>
      <c r="I4985" s="255" t="s">
        <v>1957</v>
      </c>
      <c r="J4985" s="255" t="s">
        <v>605</v>
      </c>
      <c r="K4985" s="221"/>
      <c r="L4985" s="135" t="str">
        <f t="shared" si="277"/>
        <v>Phyllostomus latifolius</v>
      </c>
      <c r="M4985" s="133">
        <f t="shared" si="279"/>
        <v>2.1271047983648077</v>
      </c>
      <c r="N4985" s="171">
        <v>134</v>
      </c>
      <c r="O4985" s="183"/>
      <c r="P4985" s="110">
        <v>60</v>
      </c>
    </row>
    <row r="4986" spans="1:16">
      <c r="A4986" s="110" t="s">
        <v>7297</v>
      </c>
      <c r="B4986" s="165" t="s">
        <v>1981</v>
      </c>
      <c r="C4986" s="255" t="s">
        <v>3817</v>
      </c>
      <c r="D4986" s="257"/>
      <c r="E4986" s="255"/>
      <c r="F4986" s="255"/>
      <c r="G4986" s="125" t="s">
        <v>2663</v>
      </c>
      <c r="H4986" s="148" t="s">
        <v>512</v>
      </c>
      <c r="I4986" s="255" t="s">
        <v>606</v>
      </c>
      <c r="J4986" s="255" t="s">
        <v>607</v>
      </c>
      <c r="K4986" s="221"/>
      <c r="L4986" s="135" t="str">
        <f t="shared" si="277"/>
        <v>Platalina genovensium</v>
      </c>
      <c r="M4986" s="151">
        <v>-999</v>
      </c>
      <c r="N4986" s="171">
        <v>-999</v>
      </c>
      <c r="O4986" s="183"/>
      <c r="P4986" s="110">
        <v>-999</v>
      </c>
    </row>
    <row r="4987" spans="1:16" ht="51">
      <c r="A4987" s="110" t="s">
        <v>7297</v>
      </c>
      <c r="B4987" s="165" t="s">
        <v>941</v>
      </c>
      <c r="C4987" s="255" t="s">
        <v>3817</v>
      </c>
      <c r="D4987" s="257"/>
      <c r="E4987" s="255"/>
      <c r="F4987" s="255"/>
      <c r="G4987" s="125" t="s">
        <v>2663</v>
      </c>
      <c r="H4987" s="150" t="s">
        <v>512</v>
      </c>
      <c r="I4987" s="255" t="s">
        <v>854</v>
      </c>
      <c r="J4987" s="255" t="s">
        <v>942</v>
      </c>
      <c r="K4987" s="221"/>
      <c r="L4987" s="135" t="str">
        <f t="shared" si="277"/>
        <v>Platyrrhinus chocoensis</v>
      </c>
      <c r="M4987" s="151">
        <v>-999</v>
      </c>
      <c r="N4987" s="171">
        <v>-999</v>
      </c>
      <c r="O4987" s="183"/>
      <c r="P4987" s="110">
        <v>-999</v>
      </c>
    </row>
    <row r="4988" spans="1:16" ht="25.5">
      <c r="A4988" s="110" t="s">
        <v>7297</v>
      </c>
      <c r="B4988" s="165" t="s">
        <v>1933</v>
      </c>
      <c r="C4988" s="255" t="s">
        <v>3817</v>
      </c>
      <c r="D4988" s="257"/>
      <c r="E4988" s="255"/>
      <c r="F4988" s="255"/>
      <c r="G4988" s="125" t="s">
        <v>2663</v>
      </c>
      <c r="H4988" s="150" t="s">
        <v>512</v>
      </c>
      <c r="I4988" s="255" t="s">
        <v>854</v>
      </c>
      <c r="J4988" s="255" t="s">
        <v>616</v>
      </c>
      <c r="K4988" s="221"/>
      <c r="L4988" s="135" t="str">
        <f t="shared" si="277"/>
        <v>Platyrrhinus recifinus</v>
      </c>
      <c r="M4988" s="151">
        <v>-999</v>
      </c>
      <c r="N4988" s="171">
        <v>-999</v>
      </c>
      <c r="O4988" s="183"/>
      <c r="P4988" s="110">
        <v>-999</v>
      </c>
    </row>
    <row r="4989" spans="1:16" ht="63.75">
      <c r="A4989" s="110" t="s">
        <v>7297</v>
      </c>
      <c r="B4989" s="165" t="s">
        <v>862</v>
      </c>
      <c r="C4989" s="255" t="s">
        <v>3817</v>
      </c>
      <c r="D4989" s="257"/>
      <c r="E4989" s="255"/>
      <c r="F4989" s="255"/>
      <c r="G4989" s="125" t="s">
        <v>2663</v>
      </c>
      <c r="H4989" s="150" t="s">
        <v>512</v>
      </c>
      <c r="I4989" s="255" t="s">
        <v>854</v>
      </c>
      <c r="J4989" s="255" t="s">
        <v>855</v>
      </c>
      <c r="K4989" s="221"/>
      <c r="L4989" s="135" t="str">
        <f t="shared" si="277"/>
        <v>Platyrrhinus helleri</v>
      </c>
      <c r="M4989" s="133">
        <f t="shared" ref="M4989:M4997" si="280">LOG(N4989)</f>
        <v>1.1303337684950061</v>
      </c>
      <c r="N4989" s="259">
        <v>13.5</v>
      </c>
      <c r="O4989" s="192"/>
      <c r="P4989" s="110">
        <v>153</v>
      </c>
    </row>
    <row r="4990" spans="1:16" ht="38.25">
      <c r="A4990" s="110" t="s">
        <v>7297</v>
      </c>
      <c r="B4990" s="165" t="s">
        <v>689</v>
      </c>
      <c r="C4990" s="255" t="s">
        <v>3817</v>
      </c>
      <c r="D4990" s="257"/>
      <c r="E4990" s="255"/>
      <c r="F4990" s="255"/>
      <c r="G4990" s="125" t="s">
        <v>2663</v>
      </c>
      <c r="H4990" s="148" t="s">
        <v>512</v>
      </c>
      <c r="I4990" s="255" t="s">
        <v>854</v>
      </c>
      <c r="J4990" s="255" t="s">
        <v>690</v>
      </c>
      <c r="K4990" s="221"/>
      <c r="L4990" s="135" t="str">
        <f t="shared" si="277"/>
        <v>Platyrrhinus brachycephalus</v>
      </c>
      <c r="M4990" s="133">
        <f t="shared" si="280"/>
        <v>1.1492191126553799</v>
      </c>
      <c r="N4990" s="259">
        <v>14.1</v>
      </c>
      <c r="O4990" s="192"/>
      <c r="P4990" s="110">
        <v>153</v>
      </c>
    </row>
    <row r="4991" spans="1:16" ht="51">
      <c r="A4991" s="110" t="s">
        <v>7297</v>
      </c>
      <c r="B4991" s="165" t="s">
        <v>2928</v>
      </c>
      <c r="C4991" s="255" t="s">
        <v>3817</v>
      </c>
      <c r="D4991" s="257"/>
      <c r="E4991" s="255"/>
      <c r="F4991" s="255"/>
      <c r="G4991" s="125" t="s">
        <v>2663</v>
      </c>
      <c r="H4991" s="150" t="s">
        <v>512</v>
      </c>
      <c r="I4991" s="255" t="s">
        <v>854</v>
      </c>
      <c r="J4991" s="255" t="s">
        <v>3385</v>
      </c>
      <c r="K4991" s="221"/>
      <c r="L4991" s="135" t="str">
        <f t="shared" si="277"/>
        <v>Platyrrhinus lineatus</v>
      </c>
      <c r="M4991" s="133">
        <f t="shared" si="280"/>
        <v>1.3867485908293837</v>
      </c>
      <c r="N4991" s="259">
        <v>24.364000000000001</v>
      </c>
      <c r="O4991" s="192"/>
      <c r="P4991" s="110">
        <v>153</v>
      </c>
    </row>
    <row r="4992" spans="1:16" ht="25.5">
      <c r="A4992" s="110" t="s">
        <v>7297</v>
      </c>
      <c r="B4992" s="165" t="s">
        <v>2845</v>
      </c>
      <c r="C4992" s="255" t="s">
        <v>3817</v>
      </c>
      <c r="D4992" s="257"/>
      <c r="E4992" s="255"/>
      <c r="F4992" s="255"/>
      <c r="G4992" s="125" t="s">
        <v>2663</v>
      </c>
      <c r="H4992" s="150" t="s">
        <v>512</v>
      </c>
      <c r="I4992" s="255" t="s">
        <v>854</v>
      </c>
      <c r="J4992" s="255" t="s">
        <v>698</v>
      </c>
      <c r="K4992" s="223"/>
      <c r="L4992" s="135" t="str">
        <f t="shared" si="277"/>
        <v>Platyrrhinus umbratus</v>
      </c>
      <c r="M4992" s="133">
        <f t="shared" si="280"/>
        <v>1.3891660843645324</v>
      </c>
      <c r="N4992" s="259">
        <v>24.5</v>
      </c>
      <c r="O4992" s="192"/>
      <c r="P4992" s="110">
        <v>153</v>
      </c>
    </row>
    <row r="4993" spans="1:16" ht="25.5">
      <c r="A4993" s="110" t="s">
        <v>7297</v>
      </c>
      <c r="B4993" s="165" t="s">
        <v>693</v>
      </c>
      <c r="C4993" s="255" t="s">
        <v>3817</v>
      </c>
      <c r="D4993" s="257"/>
      <c r="E4993" s="255"/>
      <c r="F4993" s="255"/>
      <c r="G4993" s="125" t="s">
        <v>2663</v>
      </c>
      <c r="H4993" s="148" t="s">
        <v>512</v>
      </c>
      <c r="I4993" s="255" t="s">
        <v>854</v>
      </c>
      <c r="J4993" s="255" t="s">
        <v>3630</v>
      </c>
      <c r="K4993" s="221"/>
      <c r="L4993" s="135" t="str">
        <f t="shared" si="277"/>
        <v>Platyrrhinus dorsalis</v>
      </c>
      <c r="M4993" s="133">
        <f t="shared" si="280"/>
        <v>1.414973347970818</v>
      </c>
      <c r="N4993" s="259">
        <v>26</v>
      </c>
      <c r="O4993" s="192"/>
      <c r="P4993" s="110">
        <v>153</v>
      </c>
    </row>
    <row r="4994" spans="1:16" ht="25.5">
      <c r="A4994" s="110" t="s">
        <v>7297</v>
      </c>
      <c r="B4994" s="165" t="s">
        <v>687</v>
      </c>
      <c r="C4994" s="255" t="s">
        <v>3817</v>
      </c>
      <c r="D4994" s="257"/>
      <c r="E4994" s="255"/>
      <c r="F4994" s="255"/>
      <c r="G4994" s="125" t="s">
        <v>2663</v>
      </c>
      <c r="H4994" s="150" t="s">
        <v>512</v>
      </c>
      <c r="I4994" s="255" t="s">
        <v>854</v>
      </c>
      <c r="J4994" s="255" t="s">
        <v>688</v>
      </c>
      <c r="K4994" s="221"/>
      <c r="L4994" s="135" t="str">
        <f t="shared" si="277"/>
        <v>Platyrrhinus aurarius</v>
      </c>
      <c r="M4994" s="133">
        <f t="shared" si="280"/>
        <v>1.5333907080175513</v>
      </c>
      <c r="N4994" s="259">
        <v>34.15</v>
      </c>
      <c r="O4994" s="192"/>
      <c r="P4994" s="110">
        <v>153</v>
      </c>
    </row>
    <row r="4995" spans="1:16" ht="25.5">
      <c r="A4995" s="110" t="s">
        <v>7297</v>
      </c>
      <c r="B4995" s="165" t="s">
        <v>691</v>
      </c>
      <c r="C4995" s="255" t="s">
        <v>3817</v>
      </c>
      <c r="D4995" s="257"/>
      <c r="E4995" s="255"/>
      <c r="F4995" s="255"/>
      <c r="G4995" s="125" t="s">
        <v>2663</v>
      </c>
      <c r="H4995" s="150" t="s">
        <v>512</v>
      </c>
      <c r="I4995" s="255" t="s">
        <v>854</v>
      </c>
      <c r="J4995" s="255" t="s">
        <v>857</v>
      </c>
      <c r="K4995" s="221"/>
      <c r="L4995" s="135" t="str">
        <f t="shared" si="277"/>
        <v>Platyrrhinus vittatus</v>
      </c>
      <c r="M4995" s="133">
        <f t="shared" si="280"/>
        <v>1.6170003411208989</v>
      </c>
      <c r="N4995" s="259">
        <v>41.4</v>
      </c>
      <c r="O4995" s="192"/>
      <c r="P4995" s="110">
        <v>153</v>
      </c>
    </row>
    <row r="4996" spans="1:16" ht="25.5">
      <c r="A4996" s="110" t="s">
        <v>7297</v>
      </c>
      <c r="B4996" s="165" t="s">
        <v>692</v>
      </c>
      <c r="C4996" s="255" t="s">
        <v>3817</v>
      </c>
      <c r="D4996" s="257"/>
      <c r="E4996" s="255"/>
      <c r="F4996" s="255"/>
      <c r="G4996" s="125" t="s">
        <v>2663</v>
      </c>
      <c r="H4996" s="150" t="s">
        <v>512</v>
      </c>
      <c r="I4996" s="255" t="s">
        <v>854</v>
      </c>
      <c r="J4996" s="255" t="s">
        <v>767</v>
      </c>
      <c r="K4996" s="221"/>
      <c r="L4996" s="135" t="str">
        <f t="shared" si="277"/>
        <v>Platyrrhinus infuscus</v>
      </c>
      <c r="M4996" s="133">
        <f t="shared" si="280"/>
        <v>1.7007037171450194</v>
      </c>
      <c r="N4996" s="259">
        <v>50.2</v>
      </c>
      <c r="O4996" s="192"/>
      <c r="P4996" s="109">
        <v>153</v>
      </c>
    </row>
    <row r="4997" spans="1:16" ht="51">
      <c r="A4997" s="110" t="s">
        <v>7297</v>
      </c>
      <c r="B4997" s="165" t="s">
        <v>697</v>
      </c>
      <c r="C4997" s="255" t="s">
        <v>3817</v>
      </c>
      <c r="D4997" s="257"/>
      <c r="E4997" s="255"/>
      <c r="F4997" s="255"/>
      <c r="G4997" s="125" t="s">
        <v>2663</v>
      </c>
      <c r="H4997" s="150" t="s">
        <v>512</v>
      </c>
      <c r="I4997" s="255" t="s">
        <v>4579</v>
      </c>
      <c r="J4997" s="255" t="s">
        <v>4580</v>
      </c>
      <c r="K4997" s="221"/>
      <c r="L4997" s="135" t="str">
        <f t="shared" ref="L4997:L5060" si="281">I4997&amp;" "&amp;J4997</f>
        <v>Pygoderma bilabiatum</v>
      </c>
      <c r="M4997" s="133">
        <f t="shared" si="280"/>
        <v>1.2671717284030137</v>
      </c>
      <c r="N4997" s="259">
        <v>18.5</v>
      </c>
      <c r="O4997" s="192"/>
      <c r="P4997" s="110">
        <v>153</v>
      </c>
    </row>
    <row r="4998" spans="1:16">
      <c r="A4998" s="109" t="s">
        <v>7297</v>
      </c>
      <c r="B4998" s="165" t="s">
        <v>2010</v>
      </c>
      <c r="C4998" s="255" t="s">
        <v>3817</v>
      </c>
      <c r="D4998" s="257"/>
      <c r="E4998" s="255"/>
      <c r="F4998" s="255"/>
      <c r="G4998" s="125" t="s">
        <v>2663</v>
      </c>
      <c r="H4998" s="150" t="s">
        <v>512</v>
      </c>
      <c r="I4998" s="255" t="s">
        <v>2009</v>
      </c>
      <c r="J4998" s="255" t="s">
        <v>2011</v>
      </c>
      <c r="K4998" s="221"/>
      <c r="L4998" s="135" t="str">
        <f t="shared" si="281"/>
        <v>Rhinophylla alethina</v>
      </c>
      <c r="M4998" s="151">
        <v>-999</v>
      </c>
      <c r="N4998" s="171">
        <v>-999</v>
      </c>
      <c r="O4998" s="183"/>
      <c r="P4998" s="110">
        <v>-999</v>
      </c>
    </row>
    <row r="4999" spans="1:16" ht="38.25">
      <c r="A4999" s="110" t="s">
        <v>7297</v>
      </c>
      <c r="B4999" s="165" t="s">
        <v>1975</v>
      </c>
      <c r="C4999" s="255" t="s">
        <v>3817</v>
      </c>
      <c r="D4999" s="257"/>
      <c r="E4999" s="255"/>
      <c r="F4999" s="255"/>
      <c r="G4999" s="125" t="s">
        <v>2663</v>
      </c>
      <c r="H4999" s="150" t="s">
        <v>512</v>
      </c>
      <c r="I4999" s="255" t="s">
        <v>2009</v>
      </c>
      <c r="J4999" s="255" t="s">
        <v>1883</v>
      </c>
      <c r="K4999" s="221"/>
      <c r="L4999" s="135" t="str">
        <f t="shared" si="281"/>
        <v>Rhinophylla fischerae</v>
      </c>
      <c r="M4999" s="151">
        <v>-999</v>
      </c>
      <c r="N4999" s="171">
        <v>-999</v>
      </c>
      <c r="O4999" s="183"/>
      <c r="P4999" s="110">
        <v>-999</v>
      </c>
    </row>
    <row r="5000" spans="1:16" ht="38.25">
      <c r="A5000" s="110" t="s">
        <v>7297</v>
      </c>
      <c r="B5000" s="165" t="s">
        <v>2008</v>
      </c>
      <c r="C5000" s="255" t="s">
        <v>3817</v>
      </c>
      <c r="D5000" s="257"/>
      <c r="E5000" s="255"/>
      <c r="F5000" s="255"/>
      <c r="G5000" s="125" t="s">
        <v>2663</v>
      </c>
      <c r="H5000" s="148" t="s">
        <v>512</v>
      </c>
      <c r="I5000" s="255" t="s">
        <v>2009</v>
      </c>
      <c r="J5000" s="255" t="s">
        <v>3514</v>
      </c>
      <c r="K5000" s="221"/>
      <c r="L5000" s="135" t="str">
        <f t="shared" si="281"/>
        <v>Rhinophylla pumilio</v>
      </c>
      <c r="M5000" s="133">
        <f>LOG(N5000)</f>
        <v>0.9800033715837464</v>
      </c>
      <c r="N5000" s="259">
        <v>9.5500000000000007</v>
      </c>
      <c r="O5000" s="192"/>
      <c r="P5000" s="110">
        <v>153</v>
      </c>
    </row>
    <row r="5001" spans="1:16" ht="25.5">
      <c r="A5001" s="110" t="s">
        <v>7297</v>
      </c>
      <c r="B5001" s="165" t="s">
        <v>5015</v>
      </c>
      <c r="C5001" s="255" t="s">
        <v>3817</v>
      </c>
      <c r="D5001" s="257"/>
      <c r="E5001" s="255"/>
      <c r="F5001" s="255"/>
      <c r="G5001" s="125" t="s">
        <v>2663</v>
      </c>
      <c r="H5001" s="150" t="s">
        <v>512</v>
      </c>
      <c r="I5001" s="255" t="s">
        <v>4876</v>
      </c>
      <c r="J5001" s="255" t="s">
        <v>4877</v>
      </c>
      <c r="K5001" s="221"/>
      <c r="L5001" s="135" t="str">
        <f t="shared" si="281"/>
        <v>Scleronycteris ega</v>
      </c>
      <c r="M5001" s="133">
        <f>LOG(N5001)</f>
        <v>1.6901960800285136</v>
      </c>
      <c r="N5001" s="171">
        <v>49</v>
      </c>
      <c r="O5001" s="183"/>
      <c r="P5001" s="110">
        <v>60</v>
      </c>
    </row>
    <row r="5002" spans="1:16" ht="38.25">
      <c r="A5002" s="110" t="s">
        <v>7297</v>
      </c>
      <c r="B5002" s="165" t="s">
        <v>4576</v>
      </c>
      <c r="C5002" s="255" t="s">
        <v>3817</v>
      </c>
      <c r="D5002" s="257"/>
      <c r="E5002" s="255"/>
      <c r="F5002" s="255"/>
      <c r="G5002" s="125" t="s">
        <v>2663</v>
      </c>
      <c r="H5002" s="150" t="s">
        <v>512</v>
      </c>
      <c r="I5002" s="255" t="s">
        <v>4577</v>
      </c>
      <c r="J5002" s="255" t="s">
        <v>4578</v>
      </c>
      <c r="K5002" s="221"/>
      <c r="L5002" s="135" t="str">
        <f t="shared" si="281"/>
        <v>Sphaeronycteris toxophyllum</v>
      </c>
      <c r="M5002" s="133">
        <f>LOG(N5002)</f>
        <v>1.2088442893407381</v>
      </c>
      <c r="N5002" s="259">
        <v>16.175000000000001</v>
      </c>
      <c r="O5002" s="192"/>
      <c r="P5002" s="110">
        <v>153</v>
      </c>
    </row>
    <row r="5003" spans="1:16" ht="25.5">
      <c r="A5003" s="110" t="s">
        <v>7297</v>
      </c>
      <c r="B5003" s="165" t="s">
        <v>866</v>
      </c>
      <c r="C5003" s="255" t="s">
        <v>3817</v>
      </c>
      <c r="D5003" s="257"/>
      <c r="E5003" s="255"/>
      <c r="F5003" s="255"/>
      <c r="G5003" s="125" t="s">
        <v>2663</v>
      </c>
      <c r="H5003" s="150" t="s">
        <v>512</v>
      </c>
      <c r="I5003" s="255" t="s">
        <v>1973</v>
      </c>
      <c r="J5003" s="255" t="s">
        <v>867</v>
      </c>
      <c r="K5003" s="221"/>
      <c r="L5003" s="135" t="str">
        <f t="shared" si="281"/>
        <v>Sturnira luisi</v>
      </c>
      <c r="M5003" s="151">
        <v>-999</v>
      </c>
      <c r="N5003" s="171">
        <v>-999</v>
      </c>
      <c r="O5003" s="183"/>
      <c r="P5003" s="110">
        <v>-999</v>
      </c>
    </row>
    <row r="5004" spans="1:16" ht="25.5">
      <c r="A5004" s="110" t="s">
        <v>7297</v>
      </c>
      <c r="B5004" s="165" t="s">
        <v>627</v>
      </c>
      <c r="C5004" s="255" t="s">
        <v>3817</v>
      </c>
      <c r="D5004" s="257"/>
      <c r="E5004" s="255"/>
      <c r="F5004" s="255"/>
      <c r="G5004" s="125" t="s">
        <v>2663</v>
      </c>
      <c r="H5004" s="150" t="s">
        <v>512</v>
      </c>
      <c r="I5004" s="255" t="s">
        <v>1973</v>
      </c>
      <c r="J5004" s="255" t="s">
        <v>7357</v>
      </c>
      <c r="K5004" s="221"/>
      <c r="L5004" s="135" t="str">
        <f t="shared" si="281"/>
        <v>Sturnira magna</v>
      </c>
      <c r="M5004" s="151">
        <v>-999</v>
      </c>
      <c r="N5004" s="171">
        <v>-999</v>
      </c>
      <c r="O5004" s="183"/>
      <c r="P5004" s="110">
        <v>-999</v>
      </c>
    </row>
    <row r="5005" spans="1:16">
      <c r="A5005" s="110" t="s">
        <v>7297</v>
      </c>
      <c r="B5005" s="165" t="s">
        <v>783</v>
      </c>
      <c r="C5005" s="255" t="s">
        <v>3817</v>
      </c>
      <c r="D5005" s="257"/>
      <c r="E5005" s="255"/>
      <c r="F5005" s="255"/>
      <c r="G5005" s="125" t="s">
        <v>2663</v>
      </c>
      <c r="H5005" s="150" t="s">
        <v>512</v>
      </c>
      <c r="I5005" s="255" t="s">
        <v>1973</v>
      </c>
      <c r="J5005" s="255" t="s">
        <v>3504</v>
      </c>
      <c r="K5005" s="221"/>
      <c r="L5005" s="135" t="str">
        <f t="shared" si="281"/>
        <v>Sturnira nana</v>
      </c>
      <c r="M5005" s="151">
        <v>-999</v>
      </c>
      <c r="N5005" s="171">
        <v>-999</v>
      </c>
      <c r="O5005" s="183"/>
      <c r="P5005" s="110">
        <v>-999</v>
      </c>
    </row>
    <row r="5006" spans="1:16">
      <c r="A5006" s="110" t="s">
        <v>7297</v>
      </c>
      <c r="B5006" s="165" t="s">
        <v>1972</v>
      </c>
      <c r="C5006" s="255" t="s">
        <v>3817</v>
      </c>
      <c r="D5006" s="257"/>
      <c r="E5006" s="255"/>
      <c r="F5006" s="255"/>
      <c r="G5006" s="125" t="s">
        <v>2663</v>
      </c>
      <c r="H5006" s="150" t="s">
        <v>512</v>
      </c>
      <c r="I5006" s="255" t="s">
        <v>1973</v>
      </c>
      <c r="J5006" s="255" t="s">
        <v>1974</v>
      </c>
      <c r="K5006" s="221"/>
      <c r="L5006" s="135" t="str">
        <f t="shared" si="281"/>
        <v>Sturnira erythromos</v>
      </c>
      <c r="M5006" s="133">
        <f t="shared" ref="M5006:M5030" si="282">LOG(N5006)</f>
        <v>1.1789769472931695</v>
      </c>
      <c r="N5006" s="259">
        <v>15.1</v>
      </c>
      <c r="O5006" s="192"/>
      <c r="P5006" s="110">
        <v>153</v>
      </c>
    </row>
    <row r="5007" spans="1:16" ht="38.25">
      <c r="A5007" s="110" t="s">
        <v>7297</v>
      </c>
      <c r="B5007" s="165" t="s">
        <v>2068</v>
      </c>
      <c r="C5007" s="255" t="s">
        <v>3817</v>
      </c>
      <c r="D5007" s="257"/>
      <c r="E5007" s="255"/>
      <c r="F5007" s="255"/>
      <c r="G5007" s="125" t="s">
        <v>2663</v>
      </c>
      <c r="H5007" s="150" t="s">
        <v>512</v>
      </c>
      <c r="I5007" s="255" t="s">
        <v>1973</v>
      </c>
      <c r="J5007" s="255" t="s">
        <v>5610</v>
      </c>
      <c r="K5007" s="221"/>
      <c r="L5007" s="135" t="str">
        <f t="shared" si="281"/>
        <v>Sturnira bidens</v>
      </c>
      <c r="M5007" s="133">
        <f t="shared" si="282"/>
        <v>1.2442771208018428</v>
      </c>
      <c r="N5007" s="259">
        <v>17.55</v>
      </c>
      <c r="O5007" s="192"/>
      <c r="P5007" s="110">
        <v>153</v>
      </c>
    </row>
    <row r="5008" spans="1:16" ht="63.75">
      <c r="A5008" s="110" t="s">
        <v>7297</v>
      </c>
      <c r="B5008" s="165" t="s">
        <v>4874</v>
      </c>
      <c r="C5008" s="255" t="s">
        <v>3817</v>
      </c>
      <c r="D5008" s="257"/>
      <c r="E5008" s="255"/>
      <c r="F5008" s="255"/>
      <c r="G5008" s="125" t="s">
        <v>2663</v>
      </c>
      <c r="H5008" s="150" t="s">
        <v>512</v>
      </c>
      <c r="I5008" s="255" t="s">
        <v>1973</v>
      </c>
      <c r="J5008" s="255" t="s">
        <v>4875</v>
      </c>
      <c r="K5008" s="221"/>
      <c r="L5008" s="135" t="str">
        <f t="shared" si="281"/>
        <v>Sturnira lilium</v>
      </c>
      <c r="M5008" s="133">
        <f t="shared" si="282"/>
        <v>1.2810191558083406</v>
      </c>
      <c r="N5008" s="259">
        <v>19.099374999999998</v>
      </c>
      <c r="O5008" s="192"/>
      <c r="P5008" s="110">
        <v>153</v>
      </c>
    </row>
    <row r="5009" spans="1:16" ht="38.25">
      <c r="A5009" s="110" t="s">
        <v>7297</v>
      </c>
      <c r="B5009" s="165" t="s">
        <v>4566</v>
      </c>
      <c r="C5009" s="255" t="s">
        <v>3817</v>
      </c>
      <c r="D5009" s="257"/>
      <c r="E5009" s="255"/>
      <c r="F5009" s="255"/>
      <c r="G5009" s="125" t="s">
        <v>2663</v>
      </c>
      <c r="H5009" s="150" t="s">
        <v>512</v>
      </c>
      <c r="I5009" s="255" t="s">
        <v>1973</v>
      </c>
      <c r="J5009" s="255" t="s">
        <v>4304</v>
      </c>
      <c r="K5009" s="221"/>
      <c r="L5009" s="135" t="str">
        <f t="shared" si="281"/>
        <v>Sturnira bogotensis</v>
      </c>
      <c r="M5009" s="133">
        <f t="shared" si="282"/>
        <v>1.3180633349627615</v>
      </c>
      <c r="N5009" s="259">
        <v>20.8</v>
      </c>
      <c r="O5009" s="192"/>
      <c r="P5009" s="110">
        <v>153</v>
      </c>
    </row>
    <row r="5010" spans="1:16" ht="38.25">
      <c r="A5010" s="109" t="s">
        <v>7297</v>
      </c>
      <c r="B5010" s="165" t="s">
        <v>4414</v>
      </c>
      <c r="C5010" s="255" t="s">
        <v>3817</v>
      </c>
      <c r="D5010" s="257"/>
      <c r="E5010" s="255"/>
      <c r="F5010" s="255"/>
      <c r="G5010" s="125" t="s">
        <v>2663</v>
      </c>
      <c r="H5010" s="150" t="s">
        <v>512</v>
      </c>
      <c r="I5010" s="255" t="s">
        <v>1973</v>
      </c>
      <c r="J5010" s="255" t="s">
        <v>4871</v>
      </c>
      <c r="K5010" s="221"/>
      <c r="L5010" s="135" t="str">
        <f t="shared" si="281"/>
        <v>Sturnira ludovici</v>
      </c>
      <c r="M5010" s="133">
        <f t="shared" si="282"/>
        <v>1.3226774749122494</v>
      </c>
      <c r="N5010" s="259">
        <v>21.022166666667001</v>
      </c>
      <c r="O5010" s="192"/>
      <c r="P5010" s="110">
        <v>153</v>
      </c>
    </row>
    <row r="5011" spans="1:16" ht="51">
      <c r="A5011" s="110" t="s">
        <v>7297</v>
      </c>
      <c r="B5011" s="165" t="s">
        <v>4869</v>
      </c>
      <c r="C5011" s="255" t="s">
        <v>3817</v>
      </c>
      <c r="D5011" s="257"/>
      <c r="E5011" s="255"/>
      <c r="F5011" s="255"/>
      <c r="G5011" s="125" t="s">
        <v>2663</v>
      </c>
      <c r="H5011" s="150" t="s">
        <v>512</v>
      </c>
      <c r="I5011" s="255" t="s">
        <v>1973</v>
      </c>
      <c r="J5011" s="255" t="s">
        <v>868</v>
      </c>
      <c r="K5011" s="221"/>
      <c r="L5011" s="135" t="str">
        <f t="shared" si="281"/>
        <v>Sturnira tildae</v>
      </c>
      <c r="M5011" s="133">
        <f t="shared" si="282"/>
        <v>1.3809344633307019</v>
      </c>
      <c r="N5011" s="259">
        <v>24.04</v>
      </c>
      <c r="O5011" s="192"/>
      <c r="P5011" s="110">
        <v>153</v>
      </c>
    </row>
    <row r="5012" spans="1:16" ht="25.5">
      <c r="A5012" s="110" t="s">
        <v>7297</v>
      </c>
      <c r="B5012" s="165" t="s">
        <v>784</v>
      </c>
      <c r="C5012" s="255" t="s">
        <v>3817</v>
      </c>
      <c r="D5012" s="257"/>
      <c r="E5012" s="255"/>
      <c r="F5012" s="255"/>
      <c r="G5012" s="125" t="s">
        <v>2663</v>
      </c>
      <c r="H5012" s="150" t="s">
        <v>512</v>
      </c>
      <c r="I5012" s="255" t="s">
        <v>1973</v>
      </c>
      <c r="J5012" s="255" t="s">
        <v>623</v>
      </c>
      <c r="K5012" s="221"/>
      <c r="L5012" s="135" t="str">
        <f t="shared" si="281"/>
        <v>Sturnira aratathomasi</v>
      </c>
      <c r="M5012" s="133">
        <f t="shared" si="282"/>
        <v>1.6869011939670617</v>
      </c>
      <c r="N5012" s="259">
        <v>48.629655611666998</v>
      </c>
      <c r="O5012" s="192"/>
      <c r="P5012" s="110">
        <v>153</v>
      </c>
    </row>
    <row r="5013" spans="1:16" ht="38.25">
      <c r="A5013" s="110" t="s">
        <v>7297</v>
      </c>
      <c r="B5013" s="165" t="s">
        <v>481</v>
      </c>
      <c r="C5013" s="255" t="s">
        <v>3817</v>
      </c>
      <c r="D5013" s="257"/>
      <c r="E5013" s="255"/>
      <c r="F5013" s="255"/>
      <c r="G5013" s="125" t="s">
        <v>2663</v>
      </c>
      <c r="H5013" s="150" t="s">
        <v>512</v>
      </c>
      <c r="I5013" s="255" t="s">
        <v>482</v>
      </c>
      <c r="J5013" s="255" t="s">
        <v>483</v>
      </c>
      <c r="K5013" s="221"/>
      <c r="L5013" s="135" t="str">
        <f t="shared" si="281"/>
        <v>Tonatia brasiliense</v>
      </c>
      <c r="M5013" s="133">
        <f t="shared" si="282"/>
        <v>0.97197127639975645</v>
      </c>
      <c r="N5013" s="259">
        <v>9.375</v>
      </c>
      <c r="O5013" s="192"/>
      <c r="P5013" s="110">
        <v>153</v>
      </c>
    </row>
    <row r="5014" spans="1:16">
      <c r="A5014" s="110" t="s">
        <v>7297</v>
      </c>
      <c r="B5014" s="165" t="s">
        <v>643</v>
      </c>
      <c r="C5014" s="255" t="s">
        <v>3817</v>
      </c>
      <c r="D5014" s="257"/>
      <c r="E5014" s="255"/>
      <c r="F5014" s="255"/>
      <c r="G5014" s="125" t="s">
        <v>2663</v>
      </c>
      <c r="H5014" s="150" t="s">
        <v>512</v>
      </c>
      <c r="I5014" s="255" t="s">
        <v>482</v>
      </c>
      <c r="J5014" s="255" t="s">
        <v>727</v>
      </c>
      <c r="K5014" s="221"/>
      <c r="L5014" s="135" t="str">
        <f t="shared" si="281"/>
        <v>Tonatia schulzi</v>
      </c>
      <c r="M5014" s="133">
        <f t="shared" si="282"/>
        <v>1.2588766293721312</v>
      </c>
      <c r="N5014" s="259">
        <v>18.149999999999999</v>
      </c>
      <c r="O5014" s="192"/>
      <c r="P5014" s="110">
        <v>153</v>
      </c>
    </row>
    <row r="5015" spans="1:16" ht="25.5">
      <c r="A5015" s="110" t="s">
        <v>7297</v>
      </c>
      <c r="B5015" s="165" t="s">
        <v>894</v>
      </c>
      <c r="C5015" s="255" t="s">
        <v>3817</v>
      </c>
      <c r="D5015" s="257"/>
      <c r="E5015" s="255"/>
      <c r="F5015" s="255"/>
      <c r="G5015" s="125" t="s">
        <v>2663</v>
      </c>
      <c r="H5015" s="150" t="s">
        <v>512</v>
      </c>
      <c r="I5015" s="255" t="s">
        <v>482</v>
      </c>
      <c r="J5015" s="255" t="s">
        <v>647</v>
      </c>
      <c r="K5015" s="221"/>
      <c r="L5015" s="135" t="str">
        <f t="shared" si="281"/>
        <v>Tonatia carrikeri</v>
      </c>
      <c r="M5015" s="133">
        <f t="shared" si="282"/>
        <v>1.3210458049962699</v>
      </c>
      <c r="N5015" s="259">
        <v>20.943333333333001</v>
      </c>
      <c r="O5015" s="192"/>
      <c r="P5015" s="110">
        <v>153</v>
      </c>
    </row>
    <row r="5016" spans="1:16" ht="51">
      <c r="A5016" s="110" t="s">
        <v>7297</v>
      </c>
      <c r="B5016" s="165" t="s">
        <v>2789</v>
      </c>
      <c r="C5016" s="255" t="s">
        <v>3817</v>
      </c>
      <c r="D5016" s="257"/>
      <c r="E5016" s="255"/>
      <c r="F5016" s="255"/>
      <c r="G5016" s="125" t="s">
        <v>2663</v>
      </c>
      <c r="H5016" s="150" t="s">
        <v>512</v>
      </c>
      <c r="I5016" s="255" t="s">
        <v>482</v>
      </c>
      <c r="J5016" s="255" t="s">
        <v>5610</v>
      </c>
      <c r="K5016" s="221"/>
      <c r="L5016" s="135" t="str">
        <f t="shared" si="281"/>
        <v>Tonatia bidens</v>
      </c>
      <c r="M5016" s="133">
        <f t="shared" si="282"/>
        <v>1.4445132063340429</v>
      </c>
      <c r="N5016" s="259">
        <v>27.83</v>
      </c>
      <c r="O5016" s="192"/>
      <c r="P5016" s="110">
        <v>153</v>
      </c>
    </row>
    <row r="5017" spans="1:16">
      <c r="A5017" s="110" t="s">
        <v>7297</v>
      </c>
      <c r="B5017" s="165" t="s">
        <v>2790</v>
      </c>
      <c r="C5017" s="255" t="s">
        <v>3817</v>
      </c>
      <c r="D5017" s="257"/>
      <c r="E5017" s="255"/>
      <c r="F5017" s="255"/>
      <c r="G5017" s="125" t="s">
        <v>2663</v>
      </c>
      <c r="H5017" s="150" t="s">
        <v>512</v>
      </c>
      <c r="I5017" s="255" t="s">
        <v>482</v>
      </c>
      <c r="J5017" s="255" t="s">
        <v>2779</v>
      </c>
      <c r="K5017" s="223"/>
      <c r="L5017" s="135" t="str">
        <f t="shared" si="281"/>
        <v>Tonatia silvicola</v>
      </c>
      <c r="M5017" s="133">
        <f t="shared" si="282"/>
        <v>1.4727564493172123</v>
      </c>
      <c r="N5017" s="259">
        <v>29.7</v>
      </c>
      <c r="O5017" s="192"/>
      <c r="P5017" s="110">
        <v>153</v>
      </c>
    </row>
    <row r="5018" spans="1:16" ht="51">
      <c r="A5018" s="110" t="s">
        <v>7297</v>
      </c>
      <c r="B5018" s="165" t="s">
        <v>2953</v>
      </c>
      <c r="C5018" s="255" t="s">
        <v>3817</v>
      </c>
      <c r="D5018" s="257"/>
      <c r="E5018" s="255"/>
      <c r="F5018" s="255"/>
      <c r="G5018" s="125" t="s">
        <v>2663</v>
      </c>
      <c r="H5018" s="150" t="s">
        <v>512</v>
      </c>
      <c r="I5018" s="255" t="s">
        <v>652</v>
      </c>
      <c r="J5018" s="255" t="s">
        <v>479</v>
      </c>
      <c r="K5018" s="221"/>
      <c r="L5018" s="135" t="str">
        <f t="shared" si="281"/>
        <v>Trachops cirrhosus</v>
      </c>
      <c r="M5018" s="133">
        <f t="shared" si="282"/>
        <v>1.5759571887637611</v>
      </c>
      <c r="N5018" s="259">
        <v>37.666666666666998</v>
      </c>
      <c r="O5018" s="192"/>
      <c r="P5018" s="110">
        <v>153</v>
      </c>
    </row>
    <row r="5019" spans="1:16" ht="38.25">
      <c r="A5019" s="110" t="s">
        <v>7297</v>
      </c>
      <c r="B5019" s="165" t="s">
        <v>719</v>
      </c>
      <c r="C5019" s="255" t="s">
        <v>3817</v>
      </c>
      <c r="D5019" s="257"/>
      <c r="E5019" s="255"/>
      <c r="F5019" s="255"/>
      <c r="G5019" s="125" t="s">
        <v>2663</v>
      </c>
      <c r="H5019" s="150" t="s">
        <v>512</v>
      </c>
      <c r="I5019" s="255" t="s">
        <v>568</v>
      </c>
      <c r="J5019" s="255" t="s">
        <v>567</v>
      </c>
      <c r="K5019" s="221"/>
      <c r="L5019" s="135" t="str">
        <f t="shared" si="281"/>
        <v>Uroderma bilobatum</v>
      </c>
      <c r="M5019" s="133">
        <f t="shared" si="282"/>
        <v>1.2195263136973309</v>
      </c>
      <c r="N5019" s="259">
        <v>16.577777777778</v>
      </c>
      <c r="O5019" s="192"/>
      <c r="P5019" s="110">
        <v>153</v>
      </c>
    </row>
    <row r="5020" spans="1:16" ht="38.25">
      <c r="A5020" s="110" t="s">
        <v>7297</v>
      </c>
      <c r="B5020" s="165" t="s">
        <v>646</v>
      </c>
      <c r="C5020" s="255" t="s">
        <v>3817</v>
      </c>
      <c r="D5020" s="257"/>
      <c r="E5020" s="255"/>
      <c r="F5020" s="255"/>
      <c r="G5020" s="125" t="s">
        <v>2663</v>
      </c>
      <c r="H5020" s="150" t="s">
        <v>512</v>
      </c>
      <c r="I5020" s="255" t="s">
        <v>568</v>
      </c>
      <c r="J5020" s="255" t="s">
        <v>476</v>
      </c>
      <c r="K5020" s="221"/>
      <c r="L5020" s="135" t="str">
        <f t="shared" si="281"/>
        <v>Uroderma magnirostrum</v>
      </c>
      <c r="M5020" s="133">
        <f t="shared" si="282"/>
        <v>1.2265999052073575</v>
      </c>
      <c r="N5020" s="259">
        <v>16.850000000000001</v>
      </c>
      <c r="O5020" s="192"/>
      <c r="P5020" s="110">
        <v>153</v>
      </c>
    </row>
    <row r="5021" spans="1:16" ht="51">
      <c r="A5021" s="110" t="s">
        <v>7297</v>
      </c>
      <c r="B5021" s="165" t="s">
        <v>2780</v>
      </c>
      <c r="C5021" s="255" t="s">
        <v>3817</v>
      </c>
      <c r="D5021" s="257"/>
      <c r="E5021" s="255"/>
      <c r="F5021" s="255"/>
      <c r="G5021" s="125" t="s">
        <v>2663</v>
      </c>
      <c r="H5021" s="150" t="s">
        <v>512</v>
      </c>
      <c r="I5021" s="255" t="s">
        <v>2633</v>
      </c>
      <c r="J5021" s="255" t="s">
        <v>7423</v>
      </c>
      <c r="K5021" s="221"/>
      <c r="L5021" s="135" t="str">
        <f t="shared" si="281"/>
        <v>Vampyressa pusilla</v>
      </c>
      <c r="M5021" s="133">
        <f t="shared" si="282"/>
        <v>0.93593889860685342</v>
      </c>
      <c r="N5021" s="259">
        <v>8.628571428571</v>
      </c>
      <c r="O5021" s="192"/>
      <c r="P5021" s="110">
        <v>153</v>
      </c>
    </row>
    <row r="5022" spans="1:16" ht="38.25">
      <c r="A5022" s="109" t="s">
        <v>7297</v>
      </c>
      <c r="B5022" s="165" t="s">
        <v>537</v>
      </c>
      <c r="C5022" s="255" t="s">
        <v>3817</v>
      </c>
      <c r="D5022" s="257"/>
      <c r="E5022" s="255"/>
      <c r="F5022" s="255"/>
      <c r="G5022" s="125" t="s">
        <v>2663</v>
      </c>
      <c r="H5022" s="150" t="s">
        <v>512</v>
      </c>
      <c r="I5022" s="255" t="s">
        <v>2633</v>
      </c>
      <c r="J5022" s="255" t="s">
        <v>538</v>
      </c>
      <c r="K5022" s="221"/>
      <c r="L5022" s="135" t="str">
        <f t="shared" si="281"/>
        <v>Vampyressa brocki</v>
      </c>
      <c r="M5022" s="133">
        <f t="shared" si="282"/>
        <v>1</v>
      </c>
      <c r="N5022" s="171">
        <v>10</v>
      </c>
      <c r="O5022" s="183"/>
      <c r="P5022" s="110">
        <v>246</v>
      </c>
    </row>
    <row r="5023" spans="1:16" ht="38.25">
      <c r="A5023" s="110" t="s">
        <v>7297</v>
      </c>
      <c r="B5023" s="165" t="s">
        <v>2634</v>
      </c>
      <c r="C5023" s="255" t="s">
        <v>3817</v>
      </c>
      <c r="D5023" s="257"/>
      <c r="E5023" s="255"/>
      <c r="F5023" s="255"/>
      <c r="G5023" s="125" t="s">
        <v>2663</v>
      </c>
      <c r="H5023" s="150" t="s">
        <v>512</v>
      </c>
      <c r="I5023" s="255" t="s">
        <v>2633</v>
      </c>
      <c r="J5023" s="255" t="s">
        <v>5610</v>
      </c>
      <c r="K5023" s="221"/>
      <c r="L5023" s="135" t="str">
        <f t="shared" si="281"/>
        <v>Vampyressa bidens</v>
      </c>
      <c r="M5023" s="133">
        <f t="shared" si="282"/>
        <v>1.0644579892269184</v>
      </c>
      <c r="N5023" s="259">
        <v>11.6</v>
      </c>
      <c r="O5023" s="192"/>
      <c r="P5023" s="110">
        <v>153</v>
      </c>
    </row>
    <row r="5024" spans="1:16">
      <c r="A5024" s="110" t="s">
        <v>7297</v>
      </c>
      <c r="B5024" s="165" t="s">
        <v>539</v>
      </c>
      <c r="C5024" s="255" t="s">
        <v>3817</v>
      </c>
      <c r="D5024" s="257"/>
      <c r="E5024" s="255"/>
      <c r="F5024" s="255"/>
      <c r="G5024" s="125" t="s">
        <v>2663</v>
      </c>
      <c r="H5024" s="150" t="s">
        <v>512</v>
      </c>
      <c r="I5024" s="255" t="s">
        <v>2633</v>
      </c>
      <c r="J5024" s="255" t="s">
        <v>398</v>
      </c>
      <c r="K5024" s="221"/>
      <c r="L5024" s="135" t="str">
        <f t="shared" si="281"/>
        <v>Vampyressa nymphaea</v>
      </c>
      <c r="M5024" s="133">
        <f t="shared" si="282"/>
        <v>1.0718820073061255</v>
      </c>
      <c r="N5024" s="171">
        <v>11.8</v>
      </c>
      <c r="O5024" s="183"/>
      <c r="P5024" s="110">
        <v>252</v>
      </c>
    </row>
    <row r="5025" spans="1:16" ht="25.5">
      <c r="A5025" s="110" t="s">
        <v>7297</v>
      </c>
      <c r="B5025" s="165" t="s">
        <v>396</v>
      </c>
      <c r="C5025" s="255" t="s">
        <v>3817</v>
      </c>
      <c r="D5025" s="257"/>
      <c r="E5025" s="255"/>
      <c r="F5025" s="255"/>
      <c r="G5025" s="125" t="s">
        <v>2663</v>
      </c>
      <c r="H5025" s="150" t="s">
        <v>512</v>
      </c>
      <c r="I5025" s="255" t="s">
        <v>2633</v>
      </c>
      <c r="J5025" s="255" t="s">
        <v>397</v>
      </c>
      <c r="K5025" s="221"/>
      <c r="L5025" s="135" t="str">
        <f t="shared" si="281"/>
        <v>Vampyressa melissa</v>
      </c>
      <c r="M5025" s="133">
        <f t="shared" si="282"/>
        <v>1.2121876044039579</v>
      </c>
      <c r="N5025" s="259">
        <v>16.3</v>
      </c>
      <c r="O5025" s="192"/>
      <c r="P5025" s="110">
        <v>153</v>
      </c>
    </row>
    <row r="5026" spans="1:16" ht="38.25">
      <c r="A5026" s="110" t="s">
        <v>7297</v>
      </c>
      <c r="B5026" s="165" t="s">
        <v>4940</v>
      </c>
      <c r="C5026" s="255" t="s">
        <v>3817</v>
      </c>
      <c r="D5026" s="257"/>
      <c r="E5026" s="255"/>
      <c r="F5026" s="255"/>
      <c r="G5026" s="125" t="s">
        <v>2663</v>
      </c>
      <c r="H5026" s="150" t="s">
        <v>512</v>
      </c>
      <c r="I5026" s="255" t="s">
        <v>392</v>
      </c>
      <c r="J5026" s="255" t="s">
        <v>533</v>
      </c>
      <c r="K5026" s="221"/>
      <c r="L5026" s="135" t="str">
        <f t="shared" si="281"/>
        <v>Vampyrodes caraccioli</v>
      </c>
      <c r="M5026" s="133">
        <f t="shared" si="282"/>
        <v>1.5403294747908738</v>
      </c>
      <c r="N5026" s="259">
        <v>34.700000000000003</v>
      </c>
      <c r="O5026" s="192"/>
      <c r="P5026" s="110">
        <v>153</v>
      </c>
    </row>
    <row r="5027" spans="1:16" ht="51">
      <c r="A5027" s="110" t="s">
        <v>7297</v>
      </c>
      <c r="B5027" s="165" t="s">
        <v>4651</v>
      </c>
      <c r="C5027" s="255" t="s">
        <v>3817</v>
      </c>
      <c r="D5027" s="257"/>
      <c r="E5027" s="255"/>
      <c r="F5027" s="255"/>
      <c r="G5027" s="125" t="s">
        <v>2663</v>
      </c>
      <c r="H5027" s="148" t="s">
        <v>512</v>
      </c>
      <c r="I5027" s="255" t="s">
        <v>2150</v>
      </c>
      <c r="J5027" s="255" t="s">
        <v>5777</v>
      </c>
      <c r="K5027" s="221"/>
      <c r="L5027" s="135" t="str">
        <f t="shared" si="281"/>
        <v>Vampyrum spectrum</v>
      </c>
      <c r="M5027" s="133">
        <f t="shared" si="282"/>
        <v>2.2288667903683783</v>
      </c>
      <c r="N5027" s="259">
        <v>169.38181818180999</v>
      </c>
      <c r="O5027" s="192"/>
      <c r="P5027" s="110">
        <v>153</v>
      </c>
    </row>
    <row r="5028" spans="1:16" ht="51">
      <c r="A5028" s="110" t="s">
        <v>7297</v>
      </c>
      <c r="B5028" s="165" t="s">
        <v>546</v>
      </c>
      <c r="C5028" s="255" t="s">
        <v>3817</v>
      </c>
      <c r="D5028" s="257"/>
      <c r="E5028" s="255"/>
      <c r="F5028" s="255"/>
      <c r="G5028" s="125" t="s">
        <v>2663</v>
      </c>
      <c r="H5028" s="150" t="s">
        <v>547</v>
      </c>
      <c r="I5028" s="255" t="s">
        <v>548</v>
      </c>
      <c r="J5028" s="255" t="s">
        <v>872</v>
      </c>
      <c r="K5028" s="221"/>
      <c r="L5028" s="135" t="str">
        <f t="shared" si="281"/>
        <v>Thyroptera discifera</v>
      </c>
      <c r="M5028" s="133">
        <f t="shared" si="282"/>
        <v>0.49136169383427269</v>
      </c>
      <c r="N5028" s="259">
        <v>3.1</v>
      </c>
      <c r="O5028" s="192"/>
      <c r="P5028" s="110">
        <v>153</v>
      </c>
    </row>
    <row r="5029" spans="1:16" ht="38.25">
      <c r="A5029" s="110" t="s">
        <v>7297</v>
      </c>
      <c r="B5029" s="165" t="s">
        <v>1173</v>
      </c>
      <c r="C5029" s="255" t="s">
        <v>3817</v>
      </c>
      <c r="D5029" s="257"/>
      <c r="E5029" s="255"/>
      <c r="F5029" s="255"/>
      <c r="G5029" s="125" t="s">
        <v>2663</v>
      </c>
      <c r="H5029" s="150" t="s">
        <v>547</v>
      </c>
      <c r="I5029" s="255" t="s">
        <v>548</v>
      </c>
      <c r="J5029" s="255" t="s">
        <v>839</v>
      </c>
      <c r="K5029" s="221"/>
      <c r="L5029" s="135" t="str">
        <f t="shared" si="281"/>
        <v>Thyroptera tricolor</v>
      </c>
      <c r="M5029" s="133">
        <f t="shared" si="282"/>
        <v>0.63911279544208466</v>
      </c>
      <c r="N5029" s="259">
        <v>4.3562500000000002</v>
      </c>
      <c r="O5029" s="192"/>
      <c r="P5029" s="110">
        <v>153</v>
      </c>
    </row>
    <row r="5030" spans="1:16" ht="51">
      <c r="A5030" s="110" t="s">
        <v>7297</v>
      </c>
      <c r="B5030" s="165" t="s">
        <v>2850</v>
      </c>
      <c r="C5030" s="255" t="s">
        <v>3817</v>
      </c>
      <c r="D5030" s="257"/>
      <c r="E5030" s="255"/>
      <c r="F5030" s="255"/>
      <c r="G5030" s="125" t="s">
        <v>2663</v>
      </c>
      <c r="H5030" s="150" t="s">
        <v>6205</v>
      </c>
      <c r="I5030" s="255" t="s">
        <v>2853</v>
      </c>
      <c r="J5030" s="255" t="s">
        <v>835</v>
      </c>
      <c r="K5030" s="221"/>
      <c r="L5030" s="135" t="str">
        <f t="shared" si="281"/>
        <v>Antrozous dubiaquercus</v>
      </c>
      <c r="M5030" s="133">
        <f t="shared" si="282"/>
        <v>1.3603093443420586</v>
      </c>
      <c r="N5030" s="259">
        <v>22.925000000000001</v>
      </c>
      <c r="O5030" s="192"/>
      <c r="P5030" s="110">
        <v>153</v>
      </c>
    </row>
    <row r="5031" spans="1:16" ht="25.5">
      <c r="A5031" s="110" t="s">
        <v>7297</v>
      </c>
      <c r="B5031" s="165" t="s">
        <v>859</v>
      </c>
      <c r="C5031" s="255" t="s">
        <v>3817</v>
      </c>
      <c r="D5031" s="257"/>
      <c r="E5031" s="255"/>
      <c r="F5031" s="255"/>
      <c r="G5031" s="125" t="s">
        <v>2663</v>
      </c>
      <c r="H5031" s="150" t="s">
        <v>6205</v>
      </c>
      <c r="I5031" s="255" t="s">
        <v>6273</v>
      </c>
      <c r="J5031" s="255" t="s">
        <v>775</v>
      </c>
      <c r="K5031" s="221"/>
      <c r="L5031" s="135" t="str">
        <f t="shared" si="281"/>
        <v>Eptesicus innoxius</v>
      </c>
      <c r="M5031" s="146">
        <v>-999</v>
      </c>
      <c r="N5031" s="171">
        <v>-999</v>
      </c>
      <c r="O5031" s="183"/>
      <c r="P5031" s="110">
        <v>-999</v>
      </c>
    </row>
    <row r="5032" spans="1:16" ht="38.25">
      <c r="A5032" s="110" t="s">
        <v>7297</v>
      </c>
      <c r="B5032" s="165" t="s">
        <v>495</v>
      </c>
      <c r="C5032" s="255" t="s">
        <v>3817</v>
      </c>
      <c r="D5032" s="257"/>
      <c r="E5032" s="255"/>
      <c r="F5032" s="255"/>
      <c r="G5032" s="125" t="s">
        <v>2663</v>
      </c>
      <c r="H5032" s="150" t="s">
        <v>6205</v>
      </c>
      <c r="I5032" s="255" t="s">
        <v>6273</v>
      </c>
      <c r="J5032" s="255" t="s">
        <v>8207</v>
      </c>
      <c r="K5032" s="221"/>
      <c r="L5032" s="135" t="str">
        <f t="shared" si="281"/>
        <v>Eptesicus diminutus</v>
      </c>
      <c r="M5032" s="133">
        <f>LOG(N5032)</f>
        <v>0.77815125038364363</v>
      </c>
      <c r="N5032" s="259">
        <v>6</v>
      </c>
      <c r="O5032" s="192"/>
      <c r="P5032" s="110">
        <v>153</v>
      </c>
    </row>
    <row r="5033" spans="1:16" ht="38.25">
      <c r="A5033" s="110" t="s">
        <v>7297</v>
      </c>
      <c r="B5033" s="165" t="s">
        <v>878</v>
      </c>
      <c r="C5033" s="255" t="s">
        <v>3817</v>
      </c>
      <c r="D5033" s="257"/>
      <c r="E5033" s="255"/>
      <c r="F5033" s="255"/>
      <c r="G5033" s="125" t="s">
        <v>2663</v>
      </c>
      <c r="H5033" s="150" t="s">
        <v>6205</v>
      </c>
      <c r="I5033" s="255" t="s">
        <v>6273</v>
      </c>
      <c r="J5033" s="255" t="s">
        <v>879</v>
      </c>
      <c r="K5033" s="221"/>
      <c r="L5033" s="135" t="str">
        <f t="shared" si="281"/>
        <v>Eptesicus furinalis</v>
      </c>
      <c r="M5033" s="133">
        <f>LOG(N5033)</f>
        <v>0.88855388573627403</v>
      </c>
      <c r="N5033" s="259">
        <v>7.7366666666670003</v>
      </c>
      <c r="O5033" s="192"/>
      <c r="P5033" s="110">
        <v>153</v>
      </c>
    </row>
    <row r="5034" spans="1:16" ht="51">
      <c r="A5034" s="110" t="s">
        <v>7297</v>
      </c>
      <c r="B5034" s="165" t="s">
        <v>994</v>
      </c>
      <c r="C5034" s="255" t="s">
        <v>3817</v>
      </c>
      <c r="D5034" s="257"/>
      <c r="E5034" s="255"/>
      <c r="F5034" s="255"/>
      <c r="G5034" s="125" t="s">
        <v>2663</v>
      </c>
      <c r="H5034" s="150" t="s">
        <v>6205</v>
      </c>
      <c r="I5034" s="255" t="s">
        <v>6273</v>
      </c>
      <c r="J5034" s="255" t="s">
        <v>4467</v>
      </c>
      <c r="K5034" s="221"/>
      <c r="L5034" s="135" t="str">
        <f t="shared" si="281"/>
        <v>Eptesicus brasiliensis</v>
      </c>
      <c r="M5034" s="133">
        <f>LOG(N5034)</f>
        <v>0.97619708532739058</v>
      </c>
      <c r="N5034" s="259">
        <v>9.4666666666670007</v>
      </c>
      <c r="O5034" s="192"/>
      <c r="P5034" s="110">
        <v>153</v>
      </c>
    </row>
    <row r="5035" spans="1:16" ht="76.5">
      <c r="A5035" s="110" t="s">
        <v>7297</v>
      </c>
      <c r="B5035" s="165" t="s">
        <v>993</v>
      </c>
      <c r="C5035" s="255" t="s">
        <v>3817</v>
      </c>
      <c r="D5035" s="257"/>
      <c r="E5035" s="255"/>
      <c r="F5035" s="255"/>
      <c r="G5035" s="125" t="s">
        <v>2663</v>
      </c>
      <c r="H5035" s="150" t="s">
        <v>6205</v>
      </c>
      <c r="I5035" s="255" t="s">
        <v>6273</v>
      </c>
      <c r="J5035" s="255" t="s">
        <v>4847</v>
      </c>
      <c r="K5035" s="221"/>
      <c r="L5035" s="135" t="str">
        <f t="shared" si="281"/>
        <v>Eptesicus fuscus</v>
      </c>
      <c r="M5035" s="133">
        <f>LOG(N5035)</f>
        <v>1.2164423949044796</v>
      </c>
      <c r="N5035" s="259">
        <v>16.460476190476001</v>
      </c>
      <c r="O5035" s="192"/>
      <c r="P5035" s="110">
        <v>153</v>
      </c>
    </row>
    <row r="5036" spans="1:16">
      <c r="A5036" s="110" t="s">
        <v>7297</v>
      </c>
      <c r="B5036" s="165" t="s">
        <v>1068</v>
      </c>
      <c r="C5036" s="255" t="s">
        <v>3817</v>
      </c>
      <c r="D5036" s="257"/>
      <c r="E5036" s="255"/>
      <c r="F5036" s="255"/>
      <c r="G5036" s="125" t="s">
        <v>2663</v>
      </c>
      <c r="H5036" s="150" t="s">
        <v>6205</v>
      </c>
      <c r="I5036" s="255" t="s">
        <v>1064</v>
      </c>
      <c r="J5036" s="255" t="s">
        <v>1069</v>
      </c>
      <c r="K5036" s="221"/>
      <c r="L5036" s="135" t="str">
        <f t="shared" si="281"/>
        <v>Histiotus alienus</v>
      </c>
      <c r="M5036" s="146">
        <v>-999</v>
      </c>
      <c r="N5036" s="171">
        <v>-999</v>
      </c>
      <c r="O5036" s="183"/>
      <c r="P5036" s="110">
        <v>-999</v>
      </c>
    </row>
    <row r="5037" spans="1:16" ht="63.75">
      <c r="A5037" s="109" t="s">
        <v>7297</v>
      </c>
      <c r="B5037" s="165" t="s">
        <v>833</v>
      </c>
      <c r="C5037" s="255" t="s">
        <v>3817</v>
      </c>
      <c r="D5037" s="257"/>
      <c r="E5037" s="255"/>
      <c r="F5037" s="255"/>
      <c r="G5037" s="125" t="s">
        <v>2663</v>
      </c>
      <c r="H5037" s="150" t="s">
        <v>6205</v>
      </c>
      <c r="I5037" s="255" t="s">
        <v>1064</v>
      </c>
      <c r="J5037" s="255" t="s">
        <v>3985</v>
      </c>
      <c r="K5037" s="221"/>
      <c r="L5037" s="135" t="str">
        <f t="shared" si="281"/>
        <v>Histiotus montanus</v>
      </c>
      <c r="M5037" s="146">
        <v>-999</v>
      </c>
      <c r="N5037" s="171">
        <v>-999</v>
      </c>
      <c r="O5037" s="183"/>
      <c r="P5037" s="110">
        <v>-999</v>
      </c>
    </row>
    <row r="5038" spans="1:16" ht="25.5">
      <c r="A5038" s="110" t="s">
        <v>7297</v>
      </c>
      <c r="B5038" s="165" t="s">
        <v>1063</v>
      </c>
      <c r="C5038" s="255" t="s">
        <v>3817</v>
      </c>
      <c r="D5038" s="257"/>
      <c r="E5038" s="255"/>
      <c r="F5038" s="255"/>
      <c r="G5038" s="125" t="s">
        <v>2663</v>
      </c>
      <c r="H5038" s="150" t="s">
        <v>6205</v>
      </c>
      <c r="I5038" s="255" t="s">
        <v>1064</v>
      </c>
      <c r="J5038" s="255" t="s">
        <v>1065</v>
      </c>
      <c r="K5038" s="221"/>
      <c r="L5038" s="135" t="str">
        <f t="shared" si="281"/>
        <v>Histiotus macrotus</v>
      </c>
      <c r="M5038" s="133">
        <f>LOG(N5038)</f>
        <v>1.0413926851582251</v>
      </c>
      <c r="N5038" s="259">
        <v>11</v>
      </c>
      <c r="O5038" s="192"/>
      <c r="P5038" s="110">
        <v>153</v>
      </c>
    </row>
    <row r="5039" spans="1:16">
      <c r="A5039" s="110" t="s">
        <v>7297</v>
      </c>
      <c r="B5039" s="165" t="s">
        <v>1066</v>
      </c>
      <c r="C5039" s="255" t="s">
        <v>3817</v>
      </c>
      <c r="D5039" s="257"/>
      <c r="E5039" s="255"/>
      <c r="F5039" s="255"/>
      <c r="G5039" s="125" t="s">
        <v>2663</v>
      </c>
      <c r="H5039" s="150" t="s">
        <v>6205</v>
      </c>
      <c r="I5039" s="255" t="s">
        <v>1064</v>
      </c>
      <c r="J5039" s="255" t="s">
        <v>1067</v>
      </c>
      <c r="K5039" s="221"/>
      <c r="L5039" s="135" t="str">
        <f t="shared" si="281"/>
        <v>Histiotus velatus</v>
      </c>
      <c r="M5039" s="133">
        <f>LOG(N5039)</f>
        <v>1.0492180226701815</v>
      </c>
      <c r="N5039" s="259">
        <v>11.2</v>
      </c>
      <c r="O5039" s="192"/>
      <c r="P5039" s="110">
        <v>153</v>
      </c>
    </row>
    <row r="5040" spans="1:16" ht="25.5">
      <c r="A5040" s="110" t="s">
        <v>7297</v>
      </c>
      <c r="B5040" s="165" t="s">
        <v>2772</v>
      </c>
      <c r="C5040" s="255" t="s">
        <v>3817</v>
      </c>
      <c r="D5040" s="257"/>
      <c r="E5040" s="255"/>
      <c r="F5040" s="255"/>
      <c r="G5040" s="125" t="s">
        <v>2663</v>
      </c>
      <c r="H5040" s="150" t="s">
        <v>6205</v>
      </c>
      <c r="I5040" s="255" t="s">
        <v>1018</v>
      </c>
      <c r="J5040" s="255" t="s">
        <v>2773</v>
      </c>
      <c r="K5040" s="221"/>
      <c r="L5040" s="135" t="str">
        <f t="shared" si="281"/>
        <v>Lasiurus egregius</v>
      </c>
      <c r="M5040" s="146">
        <v>-999</v>
      </c>
      <c r="N5040" s="171">
        <v>-999</v>
      </c>
      <c r="O5040" s="183"/>
      <c r="P5040" s="110">
        <v>-999</v>
      </c>
    </row>
    <row r="5041" spans="1:20" ht="89.25">
      <c r="A5041" s="110" t="s">
        <v>7297</v>
      </c>
      <c r="B5041" s="165" t="s">
        <v>1115</v>
      </c>
      <c r="C5041" s="255" t="s">
        <v>3817</v>
      </c>
      <c r="D5041" s="257"/>
      <c r="E5041" s="255"/>
      <c r="F5041" s="255"/>
      <c r="G5041" s="125" t="s">
        <v>2663</v>
      </c>
      <c r="H5041" s="150" t="s">
        <v>6205</v>
      </c>
      <c r="I5041" s="255" t="s">
        <v>1018</v>
      </c>
      <c r="J5041" s="255" t="s">
        <v>4627</v>
      </c>
      <c r="K5041" s="221"/>
      <c r="L5041" s="135" t="str">
        <f t="shared" si="281"/>
        <v>Lasiurus borealis</v>
      </c>
      <c r="M5041" s="133">
        <f>LOG(N5041)</f>
        <v>1.0309031768392987</v>
      </c>
      <c r="N5041" s="259">
        <v>10.737500000000001</v>
      </c>
      <c r="O5041" s="192"/>
      <c r="P5041" s="110">
        <v>153</v>
      </c>
    </row>
    <row r="5042" spans="1:20" ht="51">
      <c r="A5042" s="110" t="s">
        <v>7297</v>
      </c>
      <c r="B5042" s="165" t="s">
        <v>891</v>
      </c>
      <c r="C5042" s="255" t="s">
        <v>3817</v>
      </c>
      <c r="D5042" s="257"/>
      <c r="E5042" s="255"/>
      <c r="F5042" s="255"/>
      <c r="G5042" s="125" t="s">
        <v>2663</v>
      </c>
      <c r="H5042" s="150" t="s">
        <v>6205</v>
      </c>
      <c r="I5042" s="255" t="s">
        <v>1018</v>
      </c>
      <c r="J5042" s="255" t="s">
        <v>4877</v>
      </c>
      <c r="K5042" s="221"/>
      <c r="L5042" s="135" t="str">
        <f t="shared" si="281"/>
        <v>Lasiurus ega</v>
      </c>
      <c r="M5042" s="133">
        <f>LOG(N5042)</f>
        <v>1.1205739312058498</v>
      </c>
      <c r="N5042" s="259">
        <v>13.2</v>
      </c>
      <c r="O5042" s="192"/>
      <c r="P5042" s="110">
        <v>153</v>
      </c>
    </row>
    <row r="5043" spans="1:20" ht="127.5">
      <c r="A5043" s="109" t="s">
        <v>7297</v>
      </c>
      <c r="B5043" s="165" t="s">
        <v>957</v>
      </c>
      <c r="C5043" s="255" t="s">
        <v>3817</v>
      </c>
      <c r="D5043" s="257"/>
      <c r="E5043" s="255"/>
      <c r="F5043" s="255"/>
      <c r="G5043" s="125" t="s">
        <v>2663</v>
      </c>
      <c r="H5043" s="150" t="s">
        <v>6205</v>
      </c>
      <c r="I5043" s="255" t="s">
        <v>1018</v>
      </c>
      <c r="J5043" s="255" t="s">
        <v>4485</v>
      </c>
      <c r="K5043" s="221"/>
      <c r="L5043" s="135" t="str">
        <f t="shared" si="281"/>
        <v>Lasiurus cinereus</v>
      </c>
      <c r="M5043" s="133">
        <f>LOG(N5043)</f>
        <v>1.4027456770809181</v>
      </c>
      <c r="N5043" s="259">
        <v>25.278172727272999</v>
      </c>
      <c r="O5043" s="192"/>
      <c r="P5043" s="110">
        <v>153</v>
      </c>
    </row>
    <row r="5044" spans="1:20">
      <c r="A5044" s="110" t="s">
        <v>7297</v>
      </c>
      <c r="B5044" s="165" t="s">
        <v>1179</v>
      </c>
      <c r="C5044" s="255" t="s">
        <v>3817</v>
      </c>
      <c r="D5044" s="257"/>
      <c r="E5044" s="255"/>
      <c r="F5044" s="255"/>
      <c r="G5044" s="125" t="s">
        <v>2663</v>
      </c>
      <c r="H5044" s="150" t="s">
        <v>6205</v>
      </c>
      <c r="I5044" s="255" t="s">
        <v>6206</v>
      </c>
      <c r="J5044" s="255" t="s">
        <v>1180</v>
      </c>
      <c r="K5044" s="221"/>
      <c r="L5044" s="135" t="str">
        <f t="shared" si="281"/>
        <v>Myotis aelleni</v>
      </c>
      <c r="M5044" s="146">
        <v>-999</v>
      </c>
      <c r="N5044" s="171">
        <v>-999</v>
      </c>
      <c r="O5044" s="183"/>
      <c r="P5044" s="110">
        <v>-999</v>
      </c>
    </row>
    <row r="5045" spans="1:20">
      <c r="A5045" s="110" t="s">
        <v>7297</v>
      </c>
      <c r="B5045" s="165" t="s">
        <v>1181</v>
      </c>
      <c r="C5045" s="255" t="s">
        <v>3817</v>
      </c>
      <c r="D5045" s="257"/>
      <c r="E5045" s="255"/>
      <c r="F5045" s="255"/>
      <c r="G5045" s="125" t="s">
        <v>2663</v>
      </c>
      <c r="H5045" s="150" t="s">
        <v>6205</v>
      </c>
      <c r="I5045" s="255" t="s">
        <v>6206</v>
      </c>
      <c r="J5045" s="255" t="s">
        <v>2946</v>
      </c>
      <c r="K5045" s="223"/>
      <c r="L5045" s="135" t="str">
        <f t="shared" si="281"/>
        <v>Myotis atacamensis</v>
      </c>
      <c r="M5045" s="146">
        <v>-999</v>
      </c>
      <c r="N5045" s="171">
        <v>-999</v>
      </c>
      <c r="O5045" s="183"/>
      <c r="P5045" s="110">
        <v>-999</v>
      </c>
    </row>
    <row r="5046" spans="1:20" ht="38.25">
      <c r="A5046" s="110" t="s">
        <v>7297</v>
      </c>
      <c r="B5046" s="165" t="s">
        <v>3057</v>
      </c>
      <c r="C5046" s="255" t="s">
        <v>3817</v>
      </c>
      <c r="D5046" s="257"/>
      <c r="E5046" s="255"/>
      <c r="F5046" s="255"/>
      <c r="G5046" s="125" t="s">
        <v>2663</v>
      </c>
      <c r="H5046" s="150" t="s">
        <v>6205</v>
      </c>
      <c r="I5046" s="255" t="s">
        <v>6206</v>
      </c>
      <c r="J5046" s="255" t="s">
        <v>3058</v>
      </c>
      <c r="K5046" s="221"/>
      <c r="L5046" s="135" t="str">
        <f t="shared" si="281"/>
        <v>Myotis nesopolus</v>
      </c>
      <c r="M5046" s="133">
        <f t="shared" ref="M5046:M5052" si="283">LOG(N5046)</f>
        <v>0.54406804435027567</v>
      </c>
      <c r="N5046" s="259">
        <v>3.5</v>
      </c>
      <c r="O5046" s="192"/>
      <c r="P5046" s="110">
        <v>153</v>
      </c>
    </row>
    <row r="5047" spans="1:20" ht="63.75">
      <c r="A5047" s="110" t="s">
        <v>7297</v>
      </c>
      <c r="B5047" s="165" t="s">
        <v>1136</v>
      </c>
      <c r="C5047" s="255" t="s">
        <v>3817</v>
      </c>
      <c r="D5047" s="257"/>
      <c r="E5047" s="255"/>
      <c r="F5047" s="255"/>
      <c r="G5047" s="125" t="s">
        <v>2663</v>
      </c>
      <c r="H5047" s="150" t="s">
        <v>6205</v>
      </c>
      <c r="I5047" s="255" t="s">
        <v>6206</v>
      </c>
      <c r="J5047" s="255" t="s">
        <v>4128</v>
      </c>
      <c r="K5047" s="221"/>
      <c r="L5047" s="135" t="str">
        <f t="shared" si="281"/>
        <v>Myotis nigricans</v>
      </c>
      <c r="M5047" s="133">
        <f t="shared" si="283"/>
        <v>0.6273658565927327</v>
      </c>
      <c r="N5047" s="259">
        <v>4.24</v>
      </c>
      <c r="O5047" s="192"/>
      <c r="P5047" s="110">
        <v>153</v>
      </c>
    </row>
    <row r="5048" spans="1:20" ht="25.5">
      <c r="A5048" s="110" t="s">
        <v>7297</v>
      </c>
      <c r="B5048" s="165" t="s">
        <v>898</v>
      </c>
      <c r="C5048" s="255" t="s">
        <v>3817</v>
      </c>
      <c r="D5048" s="257"/>
      <c r="E5048" s="255"/>
      <c r="F5048" s="255"/>
      <c r="G5048" s="125" t="s">
        <v>2663</v>
      </c>
      <c r="H5048" s="150" t="s">
        <v>6205</v>
      </c>
      <c r="I5048" s="255" t="s">
        <v>6206</v>
      </c>
      <c r="J5048" s="255" t="s">
        <v>2958</v>
      </c>
      <c r="K5048" s="221"/>
      <c r="L5048" s="135" t="str">
        <f t="shared" si="281"/>
        <v>Myotis ruber</v>
      </c>
      <c r="M5048" s="133">
        <f t="shared" si="283"/>
        <v>0.69897000433601886</v>
      </c>
      <c r="N5048" s="259">
        <v>5</v>
      </c>
      <c r="O5048" s="192"/>
      <c r="P5048" s="110">
        <v>153</v>
      </c>
    </row>
    <row r="5049" spans="1:20" ht="25.5">
      <c r="A5049" s="110" t="s">
        <v>7297</v>
      </c>
      <c r="B5049" s="165" t="s">
        <v>777</v>
      </c>
      <c r="C5049" s="255" t="s">
        <v>3817</v>
      </c>
      <c r="D5049" s="257"/>
      <c r="E5049" s="255"/>
      <c r="F5049" s="255"/>
      <c r="G5049" s="125" t="s">
        <v>2663</v>
      </c>
      <c r="H5049" s="150" t="s">
        <v>6205</v>
      </c>
      <c r="I5049" s="255" t="s">
        <v>6206</v>
      </c>
      <c r="J5049" s="255" t="s">
        <v>6520</v>
      </c>
      <c r="K5049" s="221"/>
      <c r="L5049" s="135" t="str">
        <f t="shared" si="281"/>
        <v>Myotis albescens</v>
      </c>
      <c r="M5049" s="133">
        <f t="shared" si="283"/>
        <v>0.72427586960078905</v>
      </c>
      <c r="N5049" s="259">
        <v>5.3</v>
      </c>
      <c r="O5049" s="192"/>
      <c r="P5049" s="110">
        <v>153</v>
      </c>
    </row>
    <row r="5050" spans="1:20" ht="38.25">
      <c r="A5050" s="110" t="s">
        <v>7297</v>
      </c>
      <c r="B5050" s="165" t="s">
        <v>269</v>
      </c>
      <c r="C5050" s="255" t="s">
        <v>3817</v>
      </c>
      <c r="D5050" s="257"/>
      <c r="E5050" s="255"/>
      <c r="F5050" s="255"/>
      <c r="G5050" s="125" t="s">
        <v>2663</v>
      </c>
      <c r="H5050" s="150" t="s">
        <v>6205</v>
      </c>
      <c r="I5050" s="255" t="s">
        <v>6206</v>
      </c>
      <c r="J5050" s="255" t="s">
        <v>3744</v>
      </c>
      <c r="K5050" s="221"/>
      <c r="L5050" s="135" t="str">
        <f t="shared" si="281"/>
        <v>Myotis keaysi</v>
      </c>
      <c r="M5050" s="133">
        <f t="shared" si="283"/>
        <v>0.72427586960078905</v>
      </c>
      <c r="N5050" s="259">
        <v>5.3</v>
      </c>
      <c r="O5050" s="192"/>
      <c r="P5050" s="110">
        <v>153</v>
      </c>
    </row>
    <row r="5051" spans="1:20" ht="25.5">
      <c r="A5051" s="110" t="s">
        <v>7297</v>
      </c>
      <c r="B5051" s="165" t="s">
        <v>1109</v>
      </c>
      <c r="C5051" s="255" t="s">
        <v>3817</v>
      </c>
      <c r="D5051" s="257"/>
      <c r="E5051" s="255"/>
      <c r="F5051" s="255"/>
      <c r="G5051" s="125" t="s">
        <v>2663</v>
      </c>
      <c r="H5051" s="150" t="s">
        <v>6205</v>
      </c>
      <c r="I5051" s="255" t="s">
        <v>6206</v>
      </c>
      <c r="J5051" s="255" t="s">
        <v>1110</v>
      </c>
      <c r="K5051" s="221"/>
      <c r="L5051" s="135" t="str">
        <f t="shared" si="281"/>
        <v>Myotis levis</v>
      </c>
      <c r="M5051" s="133">
        <f t="shared" si="283"/>
        <v>0.74036268949424389</v>
      </c>
      <c r="N5051" s="259">
        <v>5.5</v>
      </c>
      <c r="O5051" s="192"/>
      <c r="P5051" s="110">
        <v>153</v>
      </c>
    </row>
    <row r="5052" spans="1:20" ht="25.5">
      <c r="A5052" s="110" t="s">
        <v>7297</v>
      </c>
      <c r="B5052" s="165" t="s">
        <v>1106</v>
      </c>
      <c r="C5052" s="255" t="s">
        <v>3817</v>
      </c>
      <c r="D5052" s="257"/>
      <c r="E5052" s="255"/>
      <c r="F5052" s="255"/>
      <c r="G5052" s="125" t="s">
        <v>2663</v>
      </c>
      <c r="H5052" s="150" t="s">
        <v>6205</v>
      </c>
      <c r="I5052" s="255" t="s">
        <v>6206</v>
      </c>
      <c r="J5052" s="255" t="s">
        <v>963</v>
      </c>
      <c r="K5052" s="221"/>
      <c r="L5052" s="135" t="str">
        <f t="shared" si="281"/>
        <v>Myotis oxyotus</v>
      </c>
      <c r="M5052" s="133">
        <f t="shared" si="283"/>
        <v>0.74036268949424389</v>
      </c>
      <c r="N5052" s="259">
        <v>5.5</v>
      </c>
      <c r="O5052" s="192"/>
      <c r="P5052" s="110">
        <v>153</v>
      </c>
    </row>
    <row r="5053" spans="1:20" ht="25.5">
      <c r="A5053" s="110" t="s">
        <v>7297</v>
      </c>
      <c r="B5053" s="167" t="s">
        <v>964</v>
      </c>
      <c r="C5053" s="256" t="s">
        <v>3817</v>
      </c>
      <c r="D5053" s="258"/>
      <c r="E5053" s="256"/>
      <c r="F5053" s="256"/>
      <c r="G5053" s="125" t="s">
        <v>2663</v>
      </c>
      <c r="H5053" s="155" t="s">
        <v>6205</v>
      </c>
      <c r="I5053" s="256" t="s">
        <v>6206</v>
      </c>
      <c r="J5053" s="256" t="s">
        <v>1025</v>
      </c>
      <c r="K5053" s="225"/>
      <c r="L5053" s="135" t="str">
        <f t="shared" si="281"/>
        <v>Myotis riparius</v>
      </c>
      <c r="M5053" s="151">
        <v>0.744292983122676</v>
      </c>
      <c r="N5053" s="259">
        <v>5.55</v>
      </c>
      <c r="O5053" s="191"/>
      <c r="P5053" s="109">
        <v>153</v>
      </c>
      <c r="Q5053" s="82"/>
      <c r="R5053" s="82"/>
      <c r="S5053" s="82"/>
      <c r="T5053" s="82"/>
    </row>
    <row r="5054" spans="1:20">
      <c r="A5054" s="110" t="s">
        <v>7297</v>
      </c>
      <c r="B5054" s="165" t="s">
        <v>797</v>
      </c>
      <c r="C5054" s="255" t="s">
        <v>3817</v>
      </c>
      <c r="D5054" s="257"/>
      <c r="E5054" s="255"/>
      <c r="F5054" s="255"/>
      <c r="G5054" s="125" t="s">
        <v>2663</v>
      </c>
      <c r="H5054" s="150" t="s">
        <v>6205</v>
      </c>
      <c r="I5054" s="255" t="s">
        <v>6206</v>
      </c>
      <c r="J5054" s="255" t="s">
        <v>1085</v>
      </c>
      <c r="K5054" s="221"/>
      <c r="L5054" s="135" t="str">
        <f t="shared" si="281"/>
        <v>Myotis chiloensis</v>
      </c>
      <c r="M5054" s="146">
        <f>LOG(N5054)</f>
        <v>0.82930377283102497</v>
      </c>
      <c r="N5054" s="171">
        <v>6.75</v>
      </c>
      <c r="O5054" s="183"/>
      <c r="P5054" s="110">
        <v>251</v>
      </c>
    </row>
    <row r="5055" spans="1:20" ht="38.25">
      <c r="A5055" s="110" t="s">
        <v>7297</v>
      </c>
      <c r="B5055" s="165" t="s">
        <v>1034</v>
      </c>
      <c r="C5055" s="255" t="s">
        <v>3817</v>
      </c>
      <c r="D5055" s="257"/>
      <c r="E5055" s="255"/>
      <c r="F5055" s="255"/>
      <c r="G5055" s="125" t="s">
        <v>2663</v>
      </c>
      <c r="H5055" s="150" t="s">
        <v>6205</v>
      </c>
      <c r="I5055" s="255" t="s">
        <v>6206</v>
      </c>
      <c r="J5055" s="255" t="s">
        <v>8213</v>
      </c>
      <c r="K5055" s="221"/>
      <c r="L5055" s="135" t="str">
        <f t="shared" si="281"/>
        <v>Myotis simus</v>
      </c>
      <c r="M5055" s="146">
        <f>LOG(N5055)</f>
        <v>0.91381385238371671</v>
      </c>
      <c r="N5055" s="171">
        <v>8.1999999999999993</v>
      </c>
      <c r="O5055" s="183"/>
      <c r="P5055" s="110">
        <v>-999</v>
      </c>
    </row>
    <row r="5056" spans="1:20" ht="25.5">
      <c r="A5056" s="110" t="s">
        <v>7297</v>
      </c>
      <c r="B5056" s="165" t="s">
        <v>216</v>
      </c>
      <c r="C5056" s="255" t="s">
        <v>3817</v>
      </c>
      <c r="D5056" s="257"/>
      <c r="E5056" s="255"/>
      <c r="F5056" s="255"/>
      <c r="G5056" s="125" t="s">
        <v>2663</v>
      </c>
      <c r="H5056" s="150" t="s">
        <v>6205</v>
      </c>
      <c r="I5056" s="255" t="s">
        <v>1074</v>
      </c>
      <c r="J5056" s="255" t="s">
        <v>1075</v>
      </c>
      <c r="K5056" s="221"/>
      <c r="L5056" s="135" t="str">
        <f t="shared" si="281"/>
        <v>Rhogeesa minutilla</v>
      </c>
      <c r="M5056" s="133">
        <f>LOG(N5056)</f>
        <v>0.56229286445647475</v>
      </c>
      <c r="N5056" s="259">
        <v>3.65</v>
      </c>
      <c r="O5056" s="192"/>
      <c r="P5056" s="110">
        <v>153</v>
      </c>
    </row>
    <row r="5057" spans="1:19" ht="38.25">
      <c r="A5057" s="110" t="s">
        <v>7297</v>
      </c>
      <c r="B5057" s="165" t="s">
        <v>215</v>
      </c>
      <c r="C5057" s="255" t="s">
        <v>3817</v>
      </c>
      <c r="D5057" s="257"/>
      <c r="E5057" s="255"/>
      <c r="F5057" s="255"/>
      <c r="G5057" s="125" t="s">
        <v>2663</v>
      </c>
      <c r="H5057" s="150" t="s">
        <v>6205</v>
      </c>
      <c r="I5057" s="255" t="s">
        <v>1074</v>
      </c>
      <c r="J5057" s="255" t="s">
        <v>1091</v>
      </c>
      <c r="K5057" s="221"/>
      <c r="L5057" s="135" t="str">
        <f t="shared" si="281"/>
        <v>Rhogeesa tumida</v>
      </c>
      <c r="M5057" s="133">
        <f>LOG(N5057)</f>
        <v>0.64836001098093166</v>
      </c>
      <c r="N5057" s="259">
        <v>4.45</v>
      </c>
      <c r="O5057" s="192"/>
      <c r="P5057" s="110">
        <v>153</v>
      </c>
    </row>
    <row r="5058" spans="1:19">
      <c r="A5058" s="110" t="s">
        <v>7297</v>
      </c>
      <c r="B5058" s="165" t="s">
        <v>153</v>
      </c>
      <c r="C5058" s="255" t="s">
        <v>3817</v>
      </c>
      <c r="D5058" s="257"/>
      <c r="E5058" s="255"/>
      <c r="F5058" s="255"/>
      <c r="G5058" s="125" t="s">
        <v>2663</v>
      </c>
      <c r="H5058" s="150" t="s">
        <v>6205</v>
      </c>
      <c r="I5058" s="255" t="s">
        <v>154</v>
      </c>
      <c r="J5058" s="255" t="s">
        <v>155</v>
      </c>
      <c r="K5058" s="221"/>
      <c r="L5058" s="135" t="str">
        <f t="shared" si="281"/>
        <v>Tomopeas ravus</v>
      </c>
      <c r="M5058" s="146">
        <v>-999</v>
      </c>
      <c r="N5058" s="171">
        <v>-999</v>
      </c>
      <c r="O5058" s="183"/>
      <c r="P5058" s="110">
        <v>-999</v>
      </c>
    </row>
    <row r="5059" spans="1:19">
      <c r="A5059" s="118" t="s">
        <v>7297</v>
      </c>
      <c r="B5059" s="166"/>
      <c r="C5059" s="169" t="s">
        <v>3817</v>
      </c>
      <c r="D5059" s="165"/>
      <c r="E5059" s="169"/>
      <c r="F5059" s="169"/>
      <c r="G5059" s="169" t="s">
        <v>4370</v>
      </c>
      <c r="H5059" s="118" t="s">
        <v>4371</v>
      </c>
      <c r="I5059" s="169" t="s">
        <v>4365</v>
      </c>
      <c r="J5059" s="169" t="s">
        <v>7190</v>
      </c>
      <c r="K5059" s="141"/>
      <c r="L5059" s="135" t="str">
        <f t="shared" si="281"/>
        <v>Caluromys philander</v>
      </c>
      <c r="M5059" s="133">
        <f t="shared" ref="M5059:M5090" si="284">LOG(N5059)</f>
        <v>2.3603100000000006</v>
      </c>
      <c r="N5059" s="170">
        <v>229.25034610086669</v>
      </c>
      <c r="O5059" s="179" t="s">
        <v>6641</v>
      </c>
      <c r="P5059" s="108">
        <v>60</v>
      </c>
      <c r="Q5059" s="90" t="s">
        <v>6642</v>
      </c>
    </row>
    <row r="5060" spans="1:19">
      <c r="A5060" s="118" t="s">
        <v>7297</v>
      </c>
      <c r="B5060" s="166"/>
      <c r="C5060" s="169" t="s">
        <v>3817</v>
      </c>
      <c r="D5060" s="165"/>
      <c r="E5060" s="169"/>
      <c r="F5060" s="169"/>
      <c r="G5060" s="169" t="s">
        <v>4370</v>
      </c>
      <c r="H5060" s="118" t="s">
        <v>4371</v>
      </c>
      <c r="I5060" s="169" t="s">
        <v>4365</v>
      </c>
      <c r="J5060" s="169" t="s">
        <v>3062</v>
      </c>
      <c r="K5060" s="141"/>
      <c r="L5060" s="135" t="str">
        <f t="shared" si="281"/>
        <v>Caluromys derbianus</v>
      </c>
      <c r="M5060" s="133">
        <f t="shared" si="284"/>
        <v>2.4727600000000001</v>
      </c>
      <c r="N5060" s="170">
        <v>297.00242820745564</v>
      </c>
      <c r="O5060" s="179" t="s">
        <v>6641</v>
      </c>
      <c r="P5060" s="108">
        <v>60</v>
      </c>
      <c r="Q5060" s="90" t="s">
        <v>6988</v>
      </c>
    </row>
    <row r="5061" spans="1:19">
      <c r="A5061" s="118" t="s">
        <v>7297</v>
      </c>
      <c r="B5061" s="166"/>
      <c r="C5061" s="169" t="s">
        <v>3817</v>
      </c>
      <c r="D5061" s="165"/>
      <c r="E5061" s="169"/>
      <c r="F5061" s="169"/>
      <c r="G5061" s="169" t="s">
        <v>4370</v>
      </c>
      <c r="H5061" s="118" t="s">
        <v>4371</v>
      </c>
      <c r="I5061" s="169" t="s">
        <v>4365</v>
      </c>
      <c r="J5061" s="169" t="s">
        <v>4378</v>
      </c>
      <c r="K5061" s="141"/>
      <c r="L5061" s="135" t="str">
        <f t="shared" ref="L5061:L5124" si="285">I5061&amp;" "&amp;J5061</f>
        <v>Caluromys lanatus</v>
      </c>
      <c r="M5061" s="133">
        <f t="shared" si="284"/>
        <v>2.5118800000000001</v>
      </c>
      <c r="N5061" s="170">
        <v>324.99748485427989</v>
      </c>
      <c r="O5061" s="179" t="s">
        <v>6641</v>
      </c>
      <c r="P5061" s="108">
        <v>60</v>
      </c>
      <c r="Q5061" s="90" t="s">
        <v>6642</v>
      </c>
    </row>
    <row r="5062" spans="1:19">
      <c r="A5062" s="118" t="s">
        <v>7297</v>
      </c>
      <c r="B5062" s="166"/>
      <c r="C5062" s="169" t="s">
        <v>3817</v>
      </c>
      <c r="D5062" s="165"/>
      <c r="E5062" s="169"/>
      <c r="F5062" s="169"/>
      <c r="G5062" s="169" t="s">
        <v>4370</v>
      </c>
      <c r="H5062" s="118" t="s">
        <v>4371</v>
      </c>
      <c r="I5062" s="169" t="s">
        <v>3477</v>
      </c>
      <c r="J5062" s="169" t="s">
        <v>3478</v>
      </c>
      <c r="K5062" s="141"/>
      <c r="L5062" s="135" t="str">
        <f t="shared" si="285"/>
        <v>Caluromysiops irrupta</v>
      </c>
      <c r="M5062" s="133">
        <f t="shared" si="284"/>
        <v>2.3979400000000002</v>
      </c>
      <c r="N5062" s="170">
        <v>249.99999500797404</v>
      </c>
      <c r="O5062" s="179" t="s">
        <v>6641</v>
      </c>
      <c r="P5062" s="108">
        <v>61</v>
      </c>
      <c r="Q5062" s="90" t="s">
        <v>6988</v>
      </c>
    </row>
    <row r="5063" spans="1:19">
      <c r="A5063" s="118" t="s">
        <v>7297</v>
      </c>
      <c r="B5063" s="166"/>
      <c r="C5063" s="169" t="s">
        <v>3817</v>
      </c>
      <c r="D5063" s="165"/>
      <c r="E5063" s="169"/>
      <c r="F5063" s="169"/>
      <c r="G5063" s="169" t="s">
        <v>4370</v>
      </c>
      <c r="H5063" s="118" t="s">
        <v>4371</v>
      </c>
      <c r="I5063" s="169" t="s">
        <v>3063</v>
      </c>
      <c r="J5063" s="169" t="s">
        <v>4171</v>
      </c>
      <c r="K5063" s="141"/>
      <c r="L5063" s="135" t="str">
        <f t="shared" si="285"/>
        <v>Chironectes minimus</v>
      </c>
      <c r="M5063" s="133">
        <f t="shared" si="284"/>
        <v>2.9758900000000001</v>
      </c>
      <c r="N5063" s="170">
        <v>945.99752464115022</v>
      </c>
      <c r="O5063" s="179" t="s">
        <v>3356</v>
      </c>
      <c r="P5063" s="108">
        <v>60</v>
      </c>
      <c r="Q5063" s="91"/>
    </row>
    <row r="5064" spans="1:19">
      <c r="A5064" s="121" t="s">
        <v>7297</v>
      </c>
      <c r="B5064" s="166"/>
      <c r="C5064" s="169" t="s">
        <v>3817</v>
      </c>
      <c r="D5064" s="165"/>
      <c r="E5064" s="169"/>
      <c r="F5064" s="169"/>
      <c r="G5064" s="169" t="s">
        <v>4370</v>
      </c>
      <c r="H5064" s="118" t="s">
        <v>4371</v>
      </c>
      <c r="I5064" s="169" t="s">
        <v>7179</v>
      </c>
      <c r="J5064" s="169" t="s">
        <v>4379</v>
      </c>
      <c r="K5064" s="141"/>
      <c r="L5064" s="135" t="str">
        <f t="shared" si="285"/>
        <v>Didelphis albiventris</v>
      </c>
      <c r="M5064" s="133">
        <f t="shared" si="284"/>
        <v>2.9561700000000006</v>
      </c>
      <c r="N5064" s="170">
        <v>904.00326702938889</v>
      </c>
      <c r="O5064" s="179" t="s">
        <v>3356</v>
      </c>
      <c r="P5064" s="108">
        <v>60</v>
      </c>
      <c r="Q5064" s="91"/>
    </row>
    <row r="5065" spans="1:19">
      <c r="A5065" s="118" t="s">
        <v>7297</v>
      </c>
      <c r="B5065" s="166"/>
      <c r="C5065" s="169" t="s">
        <v>3817</v>
      </c>
      <c r="D5065" s="165"/>
      <c r="E5065" s="169"/>
      <c r="F5065" s="169"/>
      <c r="G5065" s="169" t="s">
        <v>4370</v>
      </c>
      <c r="H5065" s="118" t="s">
        <v>4371</v>
      </c>
      <c r="I5065" s="169" t="s">
        <v>7179</v>
      </c>
      <c r="J5065" s="169" t="s">
        <v>3170</v>
      </c>
      <c r="K5065" s="141"/>
      <c r="L5065" s="135" t="str">
        <f t="shared" si="285"/>
        <v>Didelphis marsupialis</v>
      </c>
      <c r="M5065" s="133">
        <f t="shared" si="284"/>
        <v>3.0378900000000004</v>
      </c>
      <c r="N5065" s="170">
        <v>1091.1639266880236</v>
      </c>
      <c r="O5065" s="179" t="s">
        <v>3356</v>
      </c>
      <c r="P5065" s="108">
        <v>60</v>
      </c>
      <c r="Q5065" s="91"/>
    </row>
    <row r="5066" spans="1:19">
      <c r="A5066" s="118" t="s">
        <v>7297</v>
      </c>
      <c r="B5066" s="166"/>
      <c r="C5066" s="169" t="s">
        <v>3817</v>
      </c>
      <c r="D5066" s="165"/>
      <c r="E5066" s="169"/>
      <c r="F5066" s="169"/>
      <c r="G5066" s="169" t="s">
        <v>4370</v>
      </c>
      <c r="H5066" s="118" t="s">
        <v>4371</v>
      </c>
      <c r="I5066" s="169" t="s">
        <v>7179</v>
      </c>
      <c r="J5066" s="169" t="s">
        <v>4380</v>
      </c>
      <c r="K5066" s="141"/>
      <c r="L5066" s="135" t="str">
        <f t="shared" si="285"/>
        <v>Didelphis aurita</v>
      </c>
      <c r="M5066" s="133">
        <f t="shared" si="284"/>
        <v>3.0659500000000004</v>
      </c>
      <c r="N5066" s="170">
        <v>1163.9920121632088</v>
      </c>
      <c r="O5066" s="179" t="s">
        <v>3356</v>
      </c>
      <c r="P5066" s="117">
        <v>61</v>
      </c>
      <c r="Q5066" s="91"/>
    </row>
    <row r="5067" spans="1:19">
      <c r="A5067" s="118" t="s">
        <v>7297</v>
      </c>
      <c r="B5067" s="166"/>
      <c r="C5067" s="169" t="s">
        <v>3817</v>
      </c>
      <c r="D5067" s="165"/>
      <c r="E5067" s="169"/>
      <c r="F5067" s="169"/>
      <c r="G5067" s="169" t="s">
        <v>4370</v>
      </c>
      <c r="H5067" s="118" t="s">
        <v>4371</v>
      </c>
      <c r="I5067" s="169" t="s">
        <v>4548</v>
      </c>
      <c r="J5067" s="169" t="s">
        <v>4549</v>
      </c>
      <c r="K5067" s="141"/>
      <c r="L5067" s="135" t="str">
        <f t="shared" si="285"/>
        <v>Glironia venusta</v>
      </c>
      <c r="M5067" s="133">
        <f t="shared" si="284"/>
        <v>2.0569000000000006</v>
      </c>
      <c r="N5067" s="170">
        <v>113.99872655699784</v>
      </c>
      <c r="O5067" s="179" t="s">
        <v>6641</v>
      </c>
      <c r="P5067" s="117">
        <v>61</v>
      </c>
      <c r="Q5067" s="91" t="s">
        <v>6988</v>
      </c>
    </row>
    <row r="5068" spans="1:19">
      <c r="A5068" s="118" t="s">
        <v>7297</v>
      </c>
      <c r="B5068" s="166"/>
      <c r="C5068" s="169" t="s">
        <v>3817</v>
      </c>
      <c r="D5068" s="165"/>
      <c r="E5068" s="169"/>
      <c r="F5068" s="169"/>
      <c r="G5068" s="169" t="s">
        <v>4370</v>
      </c>
      <c r="H5068" s="118" t="s">
        <v>4371</v>
      </c>
      <c r="I5068" s="169" t="s">
        <v>4550</v>
      </c>
      <c r="J5068" s="169" t="s">
        <v>7400</v>
      </c>
      <c r="K5068" s="141"/>
      <c r="L5068" s="135" t="str">
        <f t="shared" si="285"/>
        <v>Gracilinanus emiliae</v>
      </c>
      <c r="M5068" s="133">
        <f t="shared" si="284"/>
        <v>0.88081000000000009</v>
      </c>
      <c r="N5068" s="170">
        <v>7.5999371366152699</v>
      </c>
      <c r="O5068" s="179" t="s">
        <v>6641</v>
      </c>
      <c r="P5068" s="117">
        <v>61</v>
      </c>
      <c r="Q5068" s="91" t="s">
        <v>6988</v>
      </c>
    </row>
    <row r="5069" spans="1:19">
      <c r="A5069" s="118" t="s">
        <v>7297</v>
      </c>
      <c r="B5069" s="166"/>
      <c r="C5069" s="169" t="s">
        <v>3817</v>
      </c>
      <c r="D5069" s="165"/>
      <c r="E5069" s="169"/>
      <c r="F5069" s="169"/>
      <c r="G5069" s="169" t="s">
        <v>4370</v>
      </c>
      <c r="H5069" s="118" t="s">
        <v>4371</v>
      </c>
      <c r="I5069" s="169" t="s">
        <v>4550</v>
      </c>
      <c r="J5069" s="169" t="s">
        <v>4400</v>
      </c>
      <c r="K5069" s="141"/>
      <c r="L5069" s="135" t="str">
        <f t="shared" si="285"/>
        <v>Gracilinanus dryas</v>
      </c>
      <c r="M5069" s="133">
        <f t="shared" si="284"/>
        <v>1.2552700000000003</v>
      </c>
      <c r="N5069" s="170">
        <v>17.999896172455941</v>
      </c>
      <c r="O5069" s="179" t="s">
        <v>6641</v>
      </c>
      <c r="P5069" s="117">
        <v>61</v>
      </c>
      <c r="Q5069" s="91" t="s">
        <v>6988</v>
      </c>
    </row>
    <row r="5070" spans="1:19">
      <c r="A5070" s="118" t="s">
        <v>7297</v>
      </c>
      <c r="B5070" s="166"/>
      <c r="C5070" s="169" t="s">
        <v>3817</v>
      </c>
      <c r="D5070" s="165"/>
      <c r="E5070" s="169"/>
      <c r="F5070" s="169"/>
      <c r="G5070" s="169" t="s">
        <v>4370</v>
      </c>
      <c r="H5070" s="118" t="s">
        <v>4371</v>
      </c>
      <c r="I5070" s="169" t="s">
        <v>4550</v>
      </c>
      <c r="J5070" s="169" t="s">
        <v>4555</v>
      </c>
      <c r="K5070" s="141"/>
      <c r="L5070" s="135" t="str">
        <f t="shared" si="285"/>
        <v>Gracilinanus aceramarcae</v>
      </c>
      <c r="M5070" s="133">
        <f t="shared" si="284"/>
        <v>1.3117500000000002</v>
      </c>
      <c r="N5070" s="170">
        <v>20.499817747416984</v>
      </c>
      <c r="O5070" s="179" t="s">
        <v>6641</v>
      </c>
      <c r="P5070" s="117">
        <v>61</v>
      </c>
      <c r="Q5070" s="91" t="s">
        <v>7071</v>
      </c>
      <c r="S5070" s="92"/>
    </row>
    <row r="5071" spans="1:19">
      <c r="A5071" s="118" t="s">
        <v>7297</v>
      </c>
      <c r="B5071" s="166"/>
      <c r="C5071" s="169" t="s">
        <v>3817</v>
      </c>
      <c r="D5071" s="165"/>
      <c r="E5071" s="169"/>
      <c r="F5071" s="169"/>
      <c r="G5071" s="169" t="s">
        <v>4370</v>
      </c>
      <c r="H5071" s="118" t="s">
        <v>4371</v>
      </c>
      <c r="I5071" s="169" t="s">
        <v>4550</v>
      </c>
      <c r="J5071" s="169" t="s">
        <v>4399</v>
      </c>
      <c r="K5071" s="141"/>
      <c r="L5071" s="135" t="str">
        <f t="shared" si="285"/>
        <v>Gracilinanus agilis</v>
      </c>
      <c r="M5071" s="133">
        <f t="shared" si="284"/>
        <v>1.3424199999999999</v>
      </c>
      <c r="N5071" s="170">
        <v>21.999864198351659</v>
      </c>
      <c r="O5071" s="179" t="s">
        <v>6641</v>
      </c>
      <c r="P5071" s="117">
        <v>61</v>
      </c>
      <c r="Q5071" s="91" t="s">
        <v>6642</v>
      </c>
    </row>
    <row r="5072" spans="1:19">
      <c r="A5072" s="118" t="s">
        <v>7297</v>
      </c>
      <c r="B5072" s="166"/>
      <c r="C5072" s="169" t="s">
        <v>3817</v>
      </c>
      <c r="D5072" s="165"/>
      <c r="E5072" s="169"/>
      <c r="F5072" s="169"/>
      <c r="G5072" s="169" t="s">
        <v>4370</v>
      </c>
      <c r="H5072" s="118" t="s">
        <v>4371</v>
      </c>
      <c r="I5072" s="169" t="s">
        <v>4550</v>
      </c>
      <c r="J5072" s="169" t="s">
        <v>7401</v>
      </c>
      <c r="K5072" s="141"/>
      <c r="L5072" s="135" t="str">
        <f t="shared" si="285"/>
        <v>Gracilinanus marica</v>
      </c>
      <c r="M5072" s="133">
        <f t="shared" si="284"/>
        <v>1.3765799999999999</v>
      </c>
      <c r="N5072" s="170">
        <v>23.800166758528491</v>
      </c>
      <c r="O5072" s="179" t="s">
        <v>6882</v>
      </c>
      <c r="P5072" s="117">
        <v>61</v>
      </c>
      <c r="Q5072" s="91" t="s">
        <v>6642</v>
      </c>
    </row>
    <row r="5073" spans="1:19">
      <c r="A5073" s="118" t="s">
        <v>7297</v>
      </c>
      <c r="B5073" s="166"/>
      <c r="C5073" s="169" t="s">
        <v>3817</v>
      </c>
      <c r="D5073" s="165"/>
      <c r="E5073" s="169"/>
      <c r="F5073" s="169"/>
      <c r="G5073" s="169" t="s">
        <v>4370</v>
      </c>
      <c r="H5073" s="118" t="s">
        <v>4371</v>
      </c>
      <c r="I5073" s="169" t="s">
        <v>4550</v>
      </c>
      <c r="J5073" s="169" t="s">
        <v>7402</v>
      </c>
      <c r="K5073" s="141"/>
      <c r="L5073" s="135" t="str">
        <f t="shared" si="285"/>
        <v>Gracilinanus microtarsus</v>
      </c>
      <c r="M5073" s="133">
        <f t="shared" si="284"/>
        <v>1.4913600000000002</v>
      </c>
      <c r="N5073" s="170">
        <v>30.999879094111858</v>
      </c>
      <c r="O5073" s="179" t="s">
        <v>6882</v>
      </c>
      <c r="P5073" s="117">
        <v>61</v>
      </c>
      <c r="Q5073" s="91" t="s">
        <v>6642</v>
      </c>
      <c r="R5073" s="82"/>
    </row>
    <row r="5074" spans="1:19" ht="25.5">
      <c r="A5074" s="118" t="s">
        <v>7297</v>
      </c>
      <c r="B5074" s="166"/>
      <c r="C5074" s="169" t="s">
        <v>3817</v>
      </c>
      <c r="D5074" s="165"/>
      <c r="E5074" s="169"/>
      <c r="F5074" s="169"/>
      <c r="G5074" s="169" t="s">
        <v>4370</v>
      </c>
      <c r="H5074" s="118" t="s">
        <v>4371</v>
      </c>
      <c r="I5074" s="169" t="s">
        <v>7403</v>
      </c>
      <c r="J5074" s="169" t="s">
        <v>7404</v>
      </c>
      <c r="K5074" s="141"/>
      <c r="L5074" s="135" t="str">
        <f t="shared" si="285"/>
        <v>Lestodelphys halli</v>
      </c>
      <c r="M5074" s="133">
        <f t="shared" si="284"/>
        <v>1.8808100000000001</v>
      </c>
      <c r="N5074" s="170">
        <v>75.999371366152715</v>
      </c>
      <c r="O5074" s="179" t="s">
        <v>8149</v>
      </c>
      <c r="P5074" s="117">
        <v>61</v>
      </c>
      <c r="Q5074" s="91" t="s">
        <v>6988</v>
      </c>
    </row>
    <row r="5075" spans="1:19">
      <c r="A5075" s="118" t="s">
        <v>7297</v>
      </c>
      <c r="B5075" s="166"/>
      <c r="C5075" s="169" t="s">
        <v>3817</v>
      </c>
      <c r="D5075" s="165"/>
      <c r="E5075" s="169"/>
      <c r="F5075" s="169"/>
      <c r="G5075" s="169" t="s">
        <v>4370</v>
      </c>
      <c r="H5075" s="118" t="s">
        <v>4371</v>
      </c>
      <c r="I5075" s="169" t="s">
        <v>4401</v>
      </c>
      <c r="J5075" s="169" t="s">
        <v>4503</v>
      </c>
      <c r="K5075" s="156"/>
      <c r="L5075" s="135" t="str">
        <f t="shared" si="285"/>
        <v>Lutreolina crassicaudata</v>
      </c>
      <c r="M5075" s="133">
        <f t="shared" si="284"/>
        <v>2.7302200000000005</v>
      </c>
      <c r="N5075" s="170">
        <v>537.30390879618881</v>
      </c>
      <c r="O5075" s="179" t="s">
        <v>3356</v>
      </c>
      <c r="P5075" s="117">
        <v>61</v>
      </c>
      <c r="Q5075" s="91"/>
    </row>
    <row r="5076" spans="1:19">
      <c r="A5076" s="118" t="s">
        <v>7297</v>
      </c>
      <c r="B5076" s="166"/>
      <c r="C5076" s="169" t="s">
        <v>3817</v>
      </c>
      <c r="D5076" s="165"/>
      <c r="E5076" s="169"/>
      <c r="F5076" s="169"/>
      <c r="G5076" s="169" t="s">
        <v>4370</v>
      </c>
      <c r="H5076" s="118" t="s">
        <v>4371</v>
      </c>
      <c r="I5076" s="169" t="s">
        <v>4373</v>
      </c>
      <c r="J5076" s="169" t="s">
        <v>4403</v>
      </c>
      <c r="K5076" s="141"/>
      <c r="L5076" s="135" t="str">
        <f t="shared" si="285"/>
        <v>Marmosa lepida</v>
      </c>
      <c r="M5076" s="133">
        <f t="shared" si="284"/>
        <v>1.1461300000000003</v>
      </c>
      <c r="N5076" s="170">
        <v>14.000063322395309</v>
      </c>
      <c r="O5076" s="179" t="s">
        <v>6882</v>
      </c>
      <c r="P5076" s="108">
        <v>60</v>
      </c>
      <c r="Q5076" s="91" t="s">
        <v>6642</v>
      </c>
      <c r="S5076" s="92"/>
    </row>
    <row r="5077" spans="1:19" ht="36" customHeight="1">
      <c r="A5077" s="118" t="s">
        <v>7297</v>
      </c>
      <c r="B5077" s="166"/>
      <c r="C5077" s="169" t="s">
        <v>3817</v>
      </c>
      <c r="D5077" s="165"/>
      <c r="E5077" s="169"/>
      <c r="F5077" s="169"/>
      <c r="G5077" s="169" t="s">
        <v>4370</v>
      </c>
      <c r="H5077" s="118" t="s">
        <v>4371</v>
      </c>
      <c r="I5077" s="169" t="s">
        <v>4373</v>
      </c>
      <c r="J5077" s="169" t="s">
        <v>4306</v>
      </c>
      <c r="K5077" s="141"/>
      <c r="L5077" s="135" t="str">
        <f t="shared" si="285"/>
        <v>Marmosa murina</v>
      </c>
      <c r="M5077" s="133">
        <f t="shared" si="284"/>
        <v>1.414973347970818</v>
      </c>
      <c r="N5077" s="170">
        <v>26</v>
      </c>
      <c r="O5077" s="179" t="s">
        <v>3356</v>
      </c>
      <c r="P5077" s="117">
        <v>61</v>
      </c>
      <c r="Q5077" s="91"/>
      <c r="R5077" s="89"/>
      <c r="S5077" s="92"/>
    </row>
    <row r="5078" spans="1:19">
      <c r="A5078" s="118" t="s">
        <v>7297</v>
      </c>
      <c r="B5078" s="166"/>
      <c r="C5078" s="169" t="s">
        <v>3817</v>
      </c>
      <c r="D5078" s="165"/>
      <c r="E5078" s="169"/>
      <c r="F5078" s="169"/>
      <c r="G5078" s="169" t="s">
        <v>4370</v>
      </c>
      <c r="H5078" s="118" t="s">
        <v>4371</v>
      </c>
      <c r="I5078" s="169" t="s">
        <v>4373</v>
      </c>
      <c r="J5078" s="169" t="s">
        <v>7202</v>
      </c>
      <c r="K5078" s="141"/>
      <c r="L5078" s="135" t="str">
        <f t="shared" si="285"/>
        <v>Marmosa tyleriana</v>
      </c>
      <c r="M5078" s="133">
        <f t="shared" si="284"/>
        <v>1.5105500000000003</v>
      </c>
      <c r="N5078" s="170">
        <v>32.400372259471993</v>
      </c>
      <c r="O5078" s="179" t="s">
        <v>6882</v>
      </c>
      <c r="P5078" s="117">
        <v>61</v>
      </c>
      <c r="Q5078" s="91" t="s">
        <v>6987</v>
      </c>
    </row>
    <row r="5079" spans="1:19">
      <c r="A5079" s="118" t="s">
        <v>7297</v>
      </c>
      <c r="B5079" s="166"/>
      <c r="C5079" s="169" t="s">
        <v>3817</v>
      </c>
      <c r="D5079" s="165"/>
      <c r="E5079" s="169"/>
      <c r="F5079" s="169"/>
      <c r="G5079" s="169" t="s">
        <v>4370</v>
      </c>
      <c r="H5079" s="118" t="s">
        <v>4371</v>
      </c>
      <c r="I5079" s="169" t="s">
        <v>4373</v>
      </c>
      <c r="J5079" s="169" t="s">
        <v>7203</v>
      </c>
      <c r="K5079" s="141"/>
      <c r="L5079" s="135" t="str">
        <f t="shared" si="285"/>
        <v>Marmosa xerophila</v>
      </c>
      <c r="M5079" s="133">
        <f t="shared" si="284"/>
        <v>1.6646400000000001</v>
      </c>
      <c r="N5079" s="170">
        <v>46.199789841940884</v>
      </c>
      <c r="O5079" s="179" t="s">
        <v>7080</v>
      </c>
      <c r="P5079" s="117">
        <v>61</v>
      </c>
      <c r="Q5079" s="91" t="s">
        <v>6640</v>
      </c>
    </row>
    <row r="5080" spans="1:19">
      <c r="A5080" s="118" t="s">
        <v>7297</v>
      </c>
      <c r="B5080" s="166"/>
      <c r="C5080" s="169" t="s">
        <v>3817</v>
      </c>
      <c r="D5080" s="165"/>
      <c r="E5080" s="169"/>
      <c r="F5080" s="169"/>
      <c r="G5080" s="169" t="s">
        <v>4370</v>
      </c>
      <c r="H5080" s="118" t="s">
        <v>4371</v>
      </c>
      <c r="I5080" s="169" t="s">
        <v>4373</v>
      </c>
      <c r="J5080" s="169" t="s">
        <v>4402</v>
      </c>
      <c r="K5080" s="141"/>
      <c r="L5080" s="135" t="str">
        <f t="shared" si="285"/>
        <v>Marmosa andersoni</v>
      </c>
      <c r="M5080" s="133">
        <f t="shared" si="284"/>
        <v>1.6757800000000003</v>
      </c>
      <c r="N5080" s="170">
        <v>47.400180994237154</v>
      </c>
      <c r="O5080" s="179" t="s">
        <v>7080</v>
      </c>
      <c r="P5080" s="117">
        <v>61</v>
      </c>
      <c r="Q5080" s="91" t="s">
        <v>7071</v>
      </c>
    </row>
    <row r="5081" spans="1:19" ht="36" customHeight="1">
      <c r="A5081" s="121" t="s">
        <v>7297</v>
      </c>
      <c r="B5081" s="166"/>
      <c r="C5081" s="169" t="s">
        <v>3817</v>
      </c>
      <c r="D5081" s="165"/>
      <c r="E5081" s="169"/>
      <c r="F5081" s="169"/>
      <c r="G5081" s="169" t="s">
        <v>4370</v>
      </c>
      <c r="H5081" s="118" t="s">
        <v>4371</v>
      </c>
      <c r="I5081" s="169" t="s">
        <v>4373</v>
      </c>
      <c r="J5081" s="169" t="s">
        <v>4375</v>
      </c>
      <c r="K5081" s="141"/>
      <c r="L5081" s="135" t="str">
        <f t="shared" si="285"/>
        <v>Marmosa mexicana</v>
      </c>
      <c r="M5081" s="133">
        <f t="shared" si="284"/>
        <v>1.69417</v>
      </c>
      <c r="N5081" s="170">
        <v>49.450421757337679</v>
      </c>
      <c r="O5081" s="179" t="s">
        <v>3356</v>
      </c>
      <c r="P5081" s="108">
        <v>60</v>
      </c>
      <c r="Q5081" s="91"/>
      <c r="R5081" s="89"/>
    </row>
    <row r="5082" spans="1:19">
      <c r="A5082" s="118" t="s">
        <v>7297</v>
      </c>
      <c r="B5082" s="166"/>
      <c r="C5082" s="169" t="s">
        <v>3817</v>
      </c>
      <c r="D5082" s="165"/>
      <c r="E5082" s="169"/>
      <c r="F5082" s="169"/>
      <c r="G5082" s="169" t="s">
        <v>4370</v>
      </c>
      <c r="H5082" s="118" t="s">
        <v>4371</v>
      </c>
      <c r="I5082" s="169" t="s">
        <v>4373</v>
      </c>
      <c r="J5082" s="169" t="s">
        <v>4542</v>
      </c>
      <c r="K5082" s="141"/>
      <c r="L5082" s="135" t="str">
        <f t="shared" si="285"/>
        <v>Marmosa robinsoni</v>
      </c>
      <c r="M5082" s="133">
        <f t="shared" si="284"/>
        <v>1.7533300000000003</v>
      </c>
      <c r="N5082" s="170">
        <v>56.666971121453471</v>
      </c>
      <c r="O5082" s="179" t="s">
        <v>3356</v>
      </c>
      <c r="P5082" s="108">
        <v>60</v>
      </c>
      <c r="Q5082" s="91"/>
    </row>
    <row r="5083" spans="1:19">
      <c r="A5083" s="118" t="s">
        <v>7297</v>
      </c>
      <c r="B5083" s="166"/>
      <c r="C5083" s="169" t="s">
        <v>3817</v>
      </c>
      <c r="D5083" s="165"/>
      <c r="E5083" s="169"/>
      <c r="F5083" s="169"/>
      <c r="G5083" s="169" t="s">
        <v>4370</v>
      </c>
      <c r="H5083" s="169" t="s">
        <v>4371</v>
      </c>
      <c r="I5083" s="169" t="s">
        <v>4373</v>
      </c>
      <c r="J5083" s="169" t="s">
        <v>4543</v>
      </c>
      <c r="K5083" s="141"/>
      <c r="L5083" s="135" t="str">
        <f t="shared" si="285"/>
        <v>Marmosa rubra</v>
      </c>
      <c r="M5083" s="133">
        <f t="shared" si="284"/>
        <v>1.7993399999999999</v>
      </c>
      <c r="N5083" s="170">
        <v>62.999920294741955</v>
      </c>
      <c r="O5083" s="179" t="s">
        <v>3356</v>
      </c>
      <c r="P5083" s="117">
        <v>61</v>
      </c>
      <c r="Q5083" s="91"/>
    </row>
    <row r="5084" spans="1:19">
      <c r="A5084" s="118" t="s">
        <v>7297</v>
      </c>
      <c r="B5084" s="166"/>
      <c r="C5084" s="169" t="s">
        <v>3817</v>
      </c>
      <c r="D5084" s="165"/>
      <c r="E5084" s="169"/>
      <c r="F5084" s="169"/>
      <c r="G5084" s="169" t="s">
        <v>4370</v>
      </c>
      <c r="H5084" s="169" t="s">
        <v>4371</v>
      </c>
      <c r="I5084" s="169" t="s">
        <v>7204</v>
      </c>
      <c r="J5084" s="169" t="s">
        <v>2490</v>
      </c>
      <c r="K5084" s="141"/>
      <c r="L5084" s="135" t="str">
        <f t="shared" si="285"/>
        <v>Marmosops parvidens</v>
      </c>
      <c r="M5084" s="133">
        <f t="shared" si="284"/>
        <v>1.1760900000000003</v>
      </c>
      <c r="N5084" s="170">
        <v>14.999956513820401</v>
      </c>
      <c r="O5084" s="179" t="s">
        <v>6641</v>
      </c>
      <c r="P5084" s="108">
        <v>60</v>
      </c>
      <c r="Q5084" s="91" t="s">
        <v>6642</v>
      </c>
    </row>
    <row r="5085" spans="1:19">
      <c r="A5085" s="118" t="s">
        <v>7297</v>
      </c>
      <c r="B5085" s="166"/>
      <c r="C5085" s="169" t="s">
        <v>3817</v>
      </c>
      <c r="D5085" s="165"/>
      <c r="E5085" s="169"/>
      <c r="F5085" s="169"/>
      <c r="G5085" s="169" t="s">
        <v>4370</v>
      </c>
      <c r="H5085" s="169" t="s">
        <v>4371</v>
      </c>
      <c r="I5085" s="169" t="s">
        <v>7204</v>
      </c>
      <c r="J5085" s="169" t="s">
        <v>2489</v>
      </c>
      <c r="K5085" s="141"/>
      <c r="L5085" s="135" t="str">
        <f t="shared" si="285"/>
        <v>Marmosops noctivagus</v>
      </c>
      <c r="M5085" s="133">
        <f t="shared" si="284"/>
        <v>1.32222</v>
      </c>
      <c r="N5085" s="170">
        <v>21.000034102666138</v>
      </c>
      <c r="O5085" s="179" t="s">
        <v>3356</v>
      </c>
      <c r="P5085" s="117">
        <v>61</v>
      </c>
    </row>
    <row r="5086" spans="1:19" ht="24" customHeight="1">
      <c r="A5086" s="121" t="s">
        <v>7297</v>
      </c>
      <c r="B5086" s="166"/>
      <c r="C5086" s="169" t="s">
        <v>3817</v>
      </c>
      <c r="D5086" s="165"/>
      <c r="E5086" s="169"/>
      <c r="F5086" s="169"/>
      <c r="G5086" s="169" t="s">
        <v>4370</v>
      </c>
      <c r="H5086" s="169" t="s">
        <v>4371</v>
      </c>
      <c r="I5086" s="169" t="s">
        <v>7204</v>
      </c>
      <c r="J5086" s="169" t="s">
        <v>4672</v>
      </c>
      <c r="K5086" s="141"/>
      <c r="L5086" s="135" t="str">
        <f t="shared" si="285"/>
        <v>Marmosops cracens</v>
      </c>
      <c r="M5086" s="133">
        <f t="shared" si="284"/>
        <v>1.4065400000000001</v>
      </c>
      <c r="N5086" s="170">
        <v>25.499989405656549</v>
      </c>
      <c r="O5086" s="179" t="s">
        <v>8149</v>
      </c>
      <c r="P5086" s="117">
        <v>61</v>
      </c>
      <c r="Q5086" s="91" t="s">
        <v>6640</v>
      </c>
      <c r="R5086" s="89"/>
    </row>
    <row r="5087" spans="1:19">
      <c r="A5087" s="118" t="s">
        <v>7297</v>
      </c>
      <c r="B5087" s="166"/>
      <c r="C5087" s="169" t="s">
        <v>3817</v>
      </c>
      <c r="D5087" s="165"/>
      <c r="E5087" s="169"/>
      <c r="F5087" s="169"/>
      <c r="G5087" s="169" t="s">
        <v>4370</v>
      </c>
      <c r="H5087" s="169" t="s">
        <v>4371</v>
      </c>
      <c r="I5087" s="169" t="s">
        <v>7204</v>
      </c>
      <c r="J5087" s="169" t="s">
        <v>5003</v>
      </c>
      <c r="K5087" s="141"/>
      <c r="L5087" s="135" t="str">
        <f t="shared" si="285"/>
        <v>Marmosops invictus</v>
      </c>
      <c r="M5087" s="133">
        <f t="shared" si="284"/>
        <v>1.4653799999999999</v>
      </c>
      <c r="N5087" s="170">
        <v>29.199808282112837</v>
      </c>
      <c r="O5087" s="179" t="s">
        <v>3356</v>
      </c>
      <c r="P5087" s="117">
        <v>61</v>
      </c>
    </row>
    <row r="5088" spans="1:19">
      <c r="A5088" s="118" t="s">
        <v>7297</v>
      </c>
      <c r="B5088" s="166"/>
      <c r="C5088" s="169" t="s">
        <v>3817</v>
      </c>
      <c r="D5088" s="165"/>
      <c r="E5088" s="169"/>
      <c r="F5088" s="169"/>
      <c r="G5088" s="169" t="s">
        <v>4370</v>
      </c>
      <c r="H5088" s="169" t="s">
        <v>4371</v>
      </c>
      <c r="I5088" s="169" t="s">
        <v>7204</v>
      </c>
      <c r="J5088" s="169" t="s">
        <v>5001</v>
      </c>
      <c r="K5088" s="141"/>
      <c r="L5088" s="135" t="str">
        <f t="shared" si="285"/>
        <v>Marmosops handleyi</v>
      </c>
      <c r="M5088" s="133">
        <f t="shared" si="284"/>
        <v>1.4871400000000001</v>
      </c>
      <c r="N5088" s="170">
        <v>30.700114836696603</v>
      </c>
      <c r="O5088" s="179" t="s">
        <v>7080</v>
      </c>
      <c r="P5088" s="117">
        <v>61</v>
      </c>
      <c r="Q5088" s="91" t="s">
        <v>7071</v>
      </c>
    </row>
    <row r="5089" spans="1:19">
      <c r="A5089" s="118" t="s">
        <v>7297</v>
      </c>
      <c r="B5089" s="166"/>
      <c r="C5089" s="169" t="s">
        <v>3817</v>
      </c>
      <c r="D5089" s="165"/>
      <c r="E5089" s="169"/>
      <c r="F5089" s="169"/>
      <c r="G5089" s="169" t="s">
        <v>4370</v>
      </c>
      <c r="H5089" s="169" t="s">
        <v>4371</v>
      </c>
      <c r="I5089" s="169" t="s">
        <v>7204</v>
      </c>
      <c r="J5089" s="169" t="s">
        <v>4673</v>
      </c>
      <c r="K5089" s="141"/>
      <c r="L5089" s="135" t="str">
        <f t="shared" si="285"/>
        <v>Marmosops dorothea</v>
      </c>
      <c r="M5089" s="133">
        <f t="shared" si="284"/>
        <v>1.57403</v>
      </c>
      <c r="N5089" s="170">
        <v>37.499890535749245</v>
      </c>
      <c r="O5089" s="179" t="s">
        <v>6641</v>
      </c>
      <c r="P5089" s="117">
        <v>61</v>
      </c>
      <c r="Q5089" s="91" t="s">
        <v>6988</v>
      </c>
    </row>
    <row r="5090" spans="1:19">
      <c r="A5090" s="118" t="s">
        <v>7297</v>
      </c>
      <c r="B5090" s="166"/>
      <c r="C5090" s="169" t="s">
        <v>3817</v>
      </c>
      <c r="D5090" s="165"/>
      <c r="E5090" s="169"/>
      <c r="F5090" s="169"/>
      <c r="G5090" s="169" t="s">
        <v>4370</v>
      </c>
      <c r="H5090" s="169" t="s">
        <v>4371</v>
      </c>
      <c r="I5090" s="169" t="s">
        <v>7204</v>
      </c>
      <c r="J5090" s="169" t="s">
        <v>5002</v>
      </c>
      <c r="K5090" s="141"/>
      <c r="L5090" s="135" t="str">
        <f t="shared" si="285"/>
        <v>Marmosops impavidus</v>
      </c>
      <c r="M5090" s="133">
        <f t="shared" si="284"/>
        <v>1.6074550232146685</v>
      </c>
      <c r="N5090" s="170">
        <v>40.5</v>
      </c>
      <c r="O5090" s="179" t="s">
        <v>6641</v>
      </c>
      <c r="P5090" s="117">
        <v>61</v>
      </c>
      <c r="Q5090" s="91" t="s">
        <v>6642</v>
      </c>
      <c r="S5090" s="92"/>
    </row>
    <row r="5091" spans="1:19">
      <c r="A5091" s="121" t="s">
        <v>7297</v>
      </c>
      <c r="B5091" s="166"/>
      <c r="C5091" s="169" t="s">
        <v>3817</v>
      </c>
      <c r="D5091" s="165"/>
      <c r="E5091" s="169"/>
      <c r="F5091" s="169"/>
      <c r="G5091" s="169" t="s">
        <v>4370</v>
      </c>
      <c r="H5091" s="169" t="s">
        <v>4371</v>
      </c>
      <c r="I5091" s="169" t="s">
        <v>7204</v>
      </c>
      <c r="J5091" s="169" t="s">
        <v>5000</v>
      </c>
      <c r="K5091" s="141"/>
      <c r="L5091" s="135" t="str">
        <f t="shared" si="285"/>
        <v>Marmosops fuscatus</v>
      </c>
      <c r="M5091" s="133">
        <f t="shared" ref="M5091:M5122" si="286">LOG(N5091)</f>
        <v>1.7781500000000001</v>
      </c>
      <c r="N5091" s="170">
        <v>59.999827253364401</v>
      </c>
      <c r="O5091" s="179" t="s">
        <v>6641</v>
      </c>
      <c r="P5091" s="108">
        <v>60</v>
      </c>
      <c r="Q5091" s="91" t="s">
        <v>6642</v>
      </c>
    </row>
    <row r="5092" spans="1:19">
      <c r="A5092" s="118" t="s">
        <v>7297</v>
      </c>
      <c r="B5092" s="166"/>
      <c r="C5092" s="169" t="s">
        <v>3817</v>
      </c>
      <c r="D5092" s="165"/>
      <c r="E5092" s="169"/>
      <c r="F5092" s="169"/>
      <c r="G5092" s="169" t="s">
        <v>4370</v>
      </c>
      <c r="H5092" s="169" t="s">
        <v>4371</v>
      </c>
      <c r="I5092" s="169" t="s">
        <v>7204</v>
      </c>
      <c r="J5092" s="169" t="s">
        <v>2189</v>
      </c>
      <c r="K5092" s="141"/>
      <c r="L5092" s="135" t="str">
        <f t="shared" si="285"/>
        <v>Marmosops incanus</v>
      </c>
      <c r="M5092" s="133">
        <f t="shared" si="286"/>
        <v>1.7944900000000001</v>
      </c>
      <c r="N5092" s="170">
        <v>62.300280209425821</v>
      </c>
      <c r="O5092" s="179" t="s">
        <v>6641</v>
      </c>
      <c r="P5092" s="108">
        <v>60</v>
      </c>
      <c r="Q5092" s="91" t="s">
        <v>6642</v>
      </c>
    </row>
    <row r="5093" spans="1:19">
      <c r="A5093" s="118" t="s">
        <v>7297</v>
      </c>
      <c r="B5093" s="166"/>
      <c r="C5093" s="169" t="s">
        <v>3817</v>
      </c>
      <c r="D5093" s="165"/>
      <c r="E5093" s="169"/>
      <c r="F5093" s="169"/>
      <c r="G5093" s="169" t="s">
        <v>4370</v>
      </c>
      <c r="H5093" s="169" t="s">
        <v>4371</v>
      </c>
      <c r="I5093" s="169" t="s">
        <v>2491</v>
      </c>
      <c r="J5093" s="169" t="s">
        <v>2492</v>
      </c>
      <c r="K5093" s="141"/>
      <c r="L5093" s="135" t="str">
        <f t="shared" si="285"/>
        <v>Metachirus nudicaudatus</v>
      </c>
      <c r="M5093" s="133">
        <f t="shared" si="286"/>
        <v>2.5740312677277188</v>
      </c>
      <c r="N5093" s="170">
        <v>375</v>
      </c>
      <c r="O5093" s="179" t="s">
        <v>3356</v>
      </c>
      <c r="P5093" s="117">
        <v>61</v>
      </c>
    </row>
    <row r="5094" spans="1:19">
      <c r="A5094" s="121" t="s">
        <v>7297</v>
      </c>
      <c r="B5094" s="166"/>
      <c r="C5094" s="169" t="s">
        <v>3817</v>
      </c>
      <c r="D5094" s="165"/>
      <c r="E5094" s="169"/>
      <c r="F5094" s="169"/>
      <c r="G5094" s="169" t="s">
        <v>4370</v>
      </c>
      <c r="H5094" s="169" t="s">
        <v>4371</v>
      </c>
      <c r="I5094" s="169" t="s">
        <v>2327</v>
      </c>
      <c r="J5094" s="169" t="s">
        <v>4670</v>
      </c>
      <c r="K5094" s="141"/>
      <c r="L5094" s="135" t="str">
        <f t="shared" si="285"/>
        <v>Micoureus demerarae</v>
      </c>
      <c r="M5094" s="133">
        <f t="shared" si="286"/>
        <v>1.8793826371743427</v>
      </c>
      <c r="N5094" s="170">
        <v>75.75</v>
      </c>
      <c r="O5094" s="179" t="s">
        <v>3356</v>
      </c>
      <c r="P5094" s="117">
        <v>61</v>
      </c>
    </row>
    <row r="5095" spans="1:19">
      <c r="A5095" s="118" t="s">
        <v>7297</v>
      </c>
      <c r="B5095" s="166"/>
      <c r="C5095" s="169" t="s">
        <v>3817</v>
      </c>
      <c r="D5095" s="165"/>
      <c r="E5095" s="169"/>
      <c r="F5095" s="169"/>
      <c r="G5095" s="169" t="s">
        <v>4370</v>
      </c>
      <c r="H5095" s="169" t="s">
        <v>4371</v>
      </c>
      <c r="I5095" s="169" t="s">
        <v>2327</v>
      </c>
      <c r="J5095" s="169" t="s">
        <v>2476</v>
      </c>
      <c r="K5095" s="141"/>
      <c r="L5095" s="135" t="str">
        <f t="shared" si="285"/>
        <v>Micoureus constantiae</v>
      </c>
      <c r="M5095" s="133">
        <f t="shared" si="286"/>
        <v>1.9542400000000002</v>
      </c>
      <c r="N5095" s="170">
        <v>89.999479963720162</v>
      </c>
      <c r="O5095" s="179" t="s">
        <v>6882</v>
      </c>
      <c r="P5095" s="117">
        <v>61</v>
      </c>
      <c r="Q5095" s="90" t="s">
        <v>6642</v>
      </c>
    </row>
    <row r="5096" spans="1:19">
      <c r="A5096" s="118" t="s">
        <v>7297</v>
      </c>
      <c r="B5096" s="166"/>
      <c r="C5096" s="169" t="s">
        <v>3817</v>
      </c>
      <c r="D5096" s="165"/>
      <c r="E5096" s="169"/>
      <c r="F5096" s="169"/>
      <c r="G5096" s="169" t="s">
        <v>4370</v>
      </c>
      <c r="H5096" s="169" t="s">
        <v>4371</v>
      </c>
      <c r="I5096" s="169" t="s">
        <v>2327</v>
      </c>
      <c r="J5096" s="169" t="s">
        <v>2056</v>
      </c>
      <c r="K5096" s="141"/>
      <c r="L5096" s="135" t="str">
        <f t="shared" si="285"/>
        <v>Micoureus regina</v>
      </c>
      <c r="M5096" s="133">
        <f t="shared" si="286"/>
        <v>2.0740799999999999</v>
      </c>
      <c r="N5096" s="170">
        <v>118.59871949616971</v>
      </c>
      <c r="O5096" s="179" t="s">
        <v>3356</v>
      </c>
      <c r="P5096" s="117">
        <v>61</v>
      </c>
    </row>
    <row r="5097" spans="1:19">
      <c r="A5097" s="118" t="s">
        <v>7297</v>
      </c>
      <c r="B5097" s="166"/>
      <c r="C5097" s="169" t="s">
        <v>3817</v>
      </c>
      <c r="D5097" s="165"/>
      <c r="E5097" s="169"/>
      <c r="F5097" s="169"/>
      <c r="G5097" s="169" t="s">
        <v>4370</v>
      </c>
      <c r="H5097" s="169" t="s">
        <v>4371</v>
      </c>
      <c r="I5097" s="169" t="s">
        <v>2327</v>
      </c>
      <c r="J5097" s="169" t="s">
        <v>2328</v>
      </c>
      <c r="K5097" s="141"/>
      <c r="L5097" s="135" t="str">
        <f t="shared" si="285"/>
        <v>Micoureus alstoni</v>
      </c>
      <c r="M5097" s="133">
        <f t="shared" si="286"/>
        <v>2.1215600000000001</v>
      </c>
      <c r="N5097" s="170">
        <v>132.30004746548298</v>
      </c>
      <c r="O5097" s="179" t="s">
        <v>3356</v>
      </c>
      <c r="P5097" s="117">
        <v>61</v>
      </c>
      <c r="Q5097" s="90" t="s">
        <v>6642</v>
      </c>
    </row>
    <row r="5098" spans="1:19">
      <c r="A5098" s="121" t="s">
        <v>7297</v>
      </c>
      <c r="B5098" s="166"/>
      <c r="C5098" s="169" t="s">
        <v>3817</v>
      </c>
      <c r="D5098" s="165"/>
      <c r="E5098" s="169"/>
      <c r="F5098" s="169"/>
      <c r="G5098" s="169" t="s">
        <v>4370</v>
      </c>
      <c r="H5098" s="169" t="s">
        <v>4371</v>
      </c>
      <c r="I5098" s="169" t="s">
        <v>2211</v>
      </c>
      <c r="J5098" s="169" t="s">
        <v>4682</v>
      </c>
      <c r="K5098" s="141"/>
      <c r="L5098" s="135" t="str">
        <f t="shared" si="285"/>
        <v>Monodelphis kunsi</v>
      </c>
      <c r="M5098" s="133">
        <f t="shared" si="286"/>
        <v>1.05308</v>
      </c>
      <c r="N5098" s="170">
        <v>11.300040499406762</v>
      </c>
      <c r="O5098" s="179" t="s">
        <v>6641</v>
      </c>
      <c r="P5098" s="117">
        <v>61</v>
      </c>
      <c r="Q5098" s="90" t="s">
        <v>6640</v>
      </c>
    </row>
    <row r="5099" spans="1:19">
      <c r="A5099" s="118" t="s">
        <v>7297</v>
      </c>
      <c r="B5099" s="166"/>
      <c r="C5099" s="169" t="s">
        <v>3817</v>
      </c>
      <c r="D5099" s="165"/>
      <c r="E5099" s="169"/>
      <c r="F5099" s="169"/>
      <c r="G5099" s="169" t="s">
        <v>4370</v>
      </c>
      <c r="H5099" s="169" t="s">
        <v>4371</v>
      </c>
      <c r="I5099" s="169" t="s">
        <v>2211</v>
      </c>
      <c r="J5099" s="169" t="s">
        <v>3355</v>
      </c>
      <c r="K5099" s="141"/>
      <c r="L5099" s="135" t="str">
        <f t="shared" si="285"/>
        <v>Monodelphis americana</v>
      </c>
      <c r="M5099" s="133">
        <f t="shared" si="286"/>
        <v>1.29003</v>
      </c>
      <c r="N5099" s="170">
        <v>19.499792949034692</v>
      </c>
      <c r="O5099" s="179" t="s">
        <v>6641</v>
      </c>
      <c r="P5099" s="108">
        <v>60</v>
      </c>
      <c r="Q5099" s="90" t="s">
        <v>6642</v>
      </c>
    </row>
    <row r="5100" spans="1:19">
      <c r="A5100" s="118" t="s">
        <v>7297</v>
      </c>
      <c r="B5100" s="166"/>
      <c r="C5100" s="169" t="s">
        <v>3817</v>
      </c>
      <c r="D5100" s="165"/>
      <c r="E5100" s="169"/>
      <c r="F5100" s="169"/>
      <c r="G5100" s="169" t="s">
        <v>4370</v>
      </c>
      <c r="H5100" s="169" t="s">
        <v>4371</v>
      </c>
      <c r="I5100" s="169" t="s">
        <v>2211</v>
      </c>
      <c r="J5100" s="169" t="s">
        <v>7366</v>
      </c>
      <c r="K5100" s="141"/>
      <c r="L5100" s="135" t="str">
        <f t="shared" si="285"/>
        <v>Monodelphis adusta</v>
      </c>
      <c r="M5100" s="133">
        <f t="shared" si="286"/>
        <v>1.5440700000000003</v>
      </c>
      <c r="N5100" s="170">
        <v>35.000157607101464</v>
      </c>
      <c r="O5100" s="179" t="s">
        <v>3356</v>
      </c>
      <c r="P5100" s="117">
        <v>61</v>
      </c>
    </row>
    <row r="5101" spans="1:19">
      <c r="A5101" s="118" t="s">
        <v>7297</v>
      </c>
      <c r="B5101" s="166"/>
      <c r="C5101" s="169" t="s">
        <v>3817</v>
      </c>
      <c r="D5101" s="165"/>
      <c r="E5101" s="169"/>
      <c r="F5101" s="169"/>
      <c r="G5101" s="169" t="s">
        <v>4370</v>
      </c>
      <c r="H5101" s="169" t="s">
        <v>4371</v>
      </c>
      <c r="I5101" s="169" t="s">
        <v>2211</v>
      </c>
      <c r="J5101" s="169" t="s">
        <v>7400</v>
      </c>
      <c r="K5101" s="141"/>
      <c r="L5101" s="135" t="str">
        <f t="shared" si="285"/>
        <v>Monodelphis emiliae</v>
      </c>
      <c r="M5101" s="133">
        <f t="shared" si="286"/>
        <v>1.60206</v>
      </c>
      <c r="N5101" s="170">
        <v>40.000000798724201</v>
      </c>
      <c r="O5101" s="179" t="s">
        <v>6641</v>
      </c>
      <c r="P5101" s="108">
        <v>60</v>
      </c>
      <c r="Q5101" s="90" t="s">
        <v>6988</v>
      </c>
    </row>
    <row r="5102" spans="1:19">
      <c r="A5102" s="118" t="s">
        <v>7297</v>
      </c>
      <c r="B5102" s="166"/>
      <c r="C5102" s="169" t="s">
        <v>3817</v>
      </c>
      <c r="D5102" s="165"/>
      <c r="E5102" s="169"/>
      <c r="F5102" s="169"/>
      <c r="G5102" s="169" t="s">
        <v>4370</v>
      </c>
      <c r="H5102" s="169" t="s">
        <v>4371</v>
      </c>
      <c r="I5102" s="169" t="s">
        <v>2211</v>
      </c>
      <c r="J5102" s="169" t="s">
        <v>4853</v>
      </c>
      <c r="K5102" s="141"/>
      <c r="L5102" s="135" t="str">
        <f t="shared" si="285"/>
        <v>Monodelphis rubida</v>
      </c>
      <c r="M5102" s="133">
        <f t="shared" si="286"/>
        <v>1.6580100000000002</v>
      </c>
      <c r="N5102" s="170">
        <v>45.499853675791265</v>
      </c>
      <c r="O5102" s="179" t="s">
        <v>6641</v>
      </c>
      <c r="P5102" s="117">
        <v>61</v>
      </c>
      <c r="Q5102" s="90" t="s">
        <v>6988</v>
      </c>
    </row>
    <row r="5103" spans="1:19">
      <c r="A5103" s="118" t="s">
        <v>7297</v>
      </c>
      <c r="B5103" s="166"/>
      <c r="C5103" s="169" t="s">
        <v>3817</v>
      </c>
      <c r="D5103" s="165"/>
      <c r="E5103" s="169"/>
      <c r="F5103" s="169"/>
      <c r="G5103" s="169" t="s">
        <v>4370</v>
      </c>
      <c r="H5103" s="169" t="s">
        <v>4371</v>
      </c>
      <c r="I5103" s="169" t="s">
        <v>2211</v>
      </c>
      <c r="J5103" s="169" t="s">
        <v>4983</v>
      </c>
      <c r="K5103" s="141"/>
      <c r="L5103" s="135" t="str">
        <f t="shared" si="285"/>
        <v>Monodelphis sorex</v>
      </c>
      <c r="M5103" s="133">
        <f t="shared" si="286"/>
        <v>1.6812400000000001</v>
      </c>
      <c r="N5103" s="170">
        <v>47.999863240390923</v>
      </c>
      <c r="O5103" s="179" t="s">
        <v>6641</v>
      </c>
      <c r="P5103" s="117">
        <v>61</v>
      </c>
      <c r="Q5103" s="90" t="s">
        <v>6988</v>
      </c>
    </row>
    <row r="5104" spans="1:19">
      <c r="A5104" s="118" t="s">
        <v>7297</v>
      </c>
      <c r="B5104" s="166"/>
      <c r="C5104" s="169" t="s">
        <v>3817</v>
      </c>
      <c r="D5104" s="165"/>
      <c r="E5104" s="169"/>
      <c r="F5104" s="169"/>
      <c r="G5104" s="169" t="s">
        <v>4370</v>
      </c>
      <c r="H5104" s="169" t="s">
        <v>4371</v>
      </c>
      <c r="I5104" s="169" t="s">
        <v>2211</v>
      </c>
      <c r="J5104" s="169" t="s">
        <v>2074</v>
      </c>
      <c r="K5104" s="141"/>
      <c r="L5104" s="135" t="str">
        <f t="shared" si="285"/>
        <v>Monodelphis unistriata</v>
      </c>
      <c r="M5104" s="133">
        <f t="shared" si="286"/>
        <v>1.7427300000000001</v>
      </c>
      <c r="N5104" s="170">
        <v>55.300619948837905</v>
      </c>
      <c r="O5104" s="179" t="s">
        <v>6641</v>
      </c>
      <c r="P5104" s="117">
        <v>61</v>
      </c>
      <c r="Q5104" s="90" t="s">
        <v>6988</v>
      </c>
    </row>
    <row r="5105" spans="1:19">
      <c r="A5105" s="118" t="s">
        <v>7297</v>
      </c>
      <c r="B5105" s="166"/>
      <c r="C5105" s="169" t="s">
        <v>3817</v>
      </c>
      <c r="D5105" s="165"/>
      <c r="E5105" s="169"/>
      <c r="F5105" s="169"/>
      <c r="G5105" s="169" t="s">
        <v>4370</v>
      </c>
      <c r="H5105" s="169" t="s">
        <v>4371</v>
      </c>
      <c r="I5105" s="169" t="s">
        <v>2211</v>
      </c>
      <c r="J5105" s="169" t="s">
        <v>7317</v>
      </c>
      <c r="K5105" s="141"/>
      <c r="L5105" s="135" t="str">
        <f t="shared" si="285"/>
        <v>Monodelphis dimidiata</v>
      </c>
      <c r="M5105" s="133">
        <f t="shared" si="286"/>
        <v>1.7634300000000003</v>
      </c>
      <c r="N5105" s="170">
        <v>58.000267960159121</v>
      </c>
      <c r="O5105" s="179" t="s">
        <v>6641</v>
      </c>
      <c r="P5105" s="108">
        <v>60</v>
      </c>
      <c r="Q5105" s="90" t="s">
        <v>6642</v>
      </c>
    </row>
    <row r="5106" spans="1:19">
      <c r="A5106" s="118" t="s">
        <v>7297</v>
      </c>
      <c r="B5106" s="166"/>
      <c r="C5106" s="169" t="s">
        <v>3817</v>
      </c>
      <c r="D5106" s="165"/>
      <c r="E5106" s="169"/>
      <c r="F5106" s="169"/>
      <c r="G5106" s="169" t="s">
        <v>4370</v>
      </c>
      <c r="H5106" s="169" t="s">
        <v>4371</v>
      </c>
      <c r="I5106" s="169" t="s">
        <v>2211</v>
      </c>
      <c r="J5106" s="169" t="s">
        <v>4679</v>
      </c>
      <c r="K5106" s="141"/>
      <c r="L5106" s="135" t="str">
        <f t="shared" si="285"/>
        <v>Monodelphis brevicaudata</v>
      </c>
      <c r="M5106" s="133">
        <f t="shared" si="286"/>
        <v>1.8427700000000002</v>
      </c>
      <c r="N5106" s="170">
        <v>69.625768216492915</v>
      </c>
      <c r="O5106" s="179" t="s">
        <v>3356</v>
      </c>
      <c r="P5106" s="108">
        <v>60</v>
      </c>
    </row>
    <row r="5107" spans="1:19">
      <c r="A5107" s="118" t="s">
        <v>7297</v>
      </c>
      <c r="B5107" s="166"/>
      <c r="C5107" s="169" t="s">
        <v>3817</v>
      </c>
      <c r="D5107" s="165"/>
      <c r="E5107" s="169"/>
      <c r="F5107" s="169"/>
      <c r="G5107" s="169" t="s">
        <v>4370</v>
      </c>
      <c r="H5107" s="169" t="s">
        <v>4371</v>
      </c>
      <c r="I5107" s="169" t="s">
        <v>2211</v>
      </c>
      <c r="J5107" s="169" t="s">
        <v>4680</v>
      </c>
      <c r="K5107" s="141"/>
      <c r="L5107" s="135" t="str">
        <f t="shared" si="285"/>
        <v>Monodelphis domestica</v>
      </c>
      <c r="M5107" s="133">
        <f t="shared" si="286"/>
        <v>1.8536999999999999</v>
      </c>
      <c r="N5107" s="170">
        <v>71.400293992784455</v>
      </c>
      <c r="O5107" s="179" t="s">
        <v>3356</v>
      </c>
      <c r="P5107" s="117">
        <v>61</v>
      </c>
    </row>
    <row r="5108" spans="1:19">
      <c r="A5108" s="121" t="s">
        <v>7297</v>
      </c>
      <c r="B5108" s="166"/>
      <c r="C5108" s="169" t="s">
        <v>3817</v>
      </c>
      <c r="D5108" s="165"/>
      <c r="E5108" s="169"/>
      <c r="F5108" s="169"/>
      <c r="G5108" s="169" t="s">
        <v>4370</v>
      </c>
      <c r="H5108" s="169" t="s">
        <v>4371</v>
      </c>
      <c r="I5108" s="169" t="s">
        <v>2211</v>
      </c>
      <c r="J5108" s="169" t="s">
        <v>4681</v>
      </c>
      <c r="K5108" s="141"/>
      <c r="L5108" s="135" t="str">
        <f t="shared" si="285"/>
        <v>Monodelphis iheringi</v>
      </c>
      <c r="M5108" s="133">
        <f t="shared" si="286"/>
        <v>2.04922</v>
      </c>
      <c r="N5108" s="170">
        <v>112.00050993381923</v>
      </c>
      <c r="O5108" s="179" t="s">
        <v>6641</v>
      </c>
      <c r="P5108" s="117">
        <v>61</v>
      </c>
      <c r="Q5108" s="90" t="s">
        <v>6642</v>
      </c>
    </row>
    <row r="5109" spans="1:19">
      <c r="A5109" s="118" t="s">
        <v>7297</v>
      </c>
      <c r="B5109" s="166"/>
      <c r="C5109" s="169" t="s">
        <v>3817</v>
      </c>
      <c r="D5109" s="165"/>
      <c r="E5109" s="169"/>
      <c r="F5109" s="169"/>
      <c r="G5109" s="169" t="s">
        <v>4370</v>
      </c>
      <c r="H5109" s="169" t="s">
        <v>4371</v>
      </c>
      <c r="I5109" s="169" t="s">
        <v>2211</v>
      </c>
      <c r="J5109" s="169" t="s">
        <v>4683</v>
      </c>
      <c r="K5109" s="141"/>
      <c r="L5109" s="135" t="str">
        <f t="shared" si="285"/>
        <v>Monodelphis osgoodi</v>
      </c>
      <c r="M5109" s="133">
        <f t="shared" si="286"/>
        <v>2.04922</v>
      </c>
      <c r="N5109" s="170">
        <v>112.00050993381923</v>
      </c>
      <c r="O5109" s="179" t="s">
        <v>6641</v>
      </c>
      <c r="P5109" s="117">
        <v>61</v>
      </c>
      <c r="Q5109" s="90" t="s">
        <v>6988</v>
      </c>
    </row>
    <row r="5110" spans="1:19">
      <c r="A5110" s="118" t="s">
        <v>7297</v>
      </c>
      <c r="B5110" s="166"/>
      <c r="C5110" s="169" t="s">
        <v>3817</v>
      </c>
      <c r="D5110" s="165"/>
      <c r="E5110" s="169"/>
      <c r="F5110" s="169"/>
      <c r="G5110" s="169" t="s">
        <v>4370</v>
      </c>
      <c r="H5110" s="169" t="s">
        <v>4371</v>
      </c>
      <c r="I5110" s="169" t="s">
        <v>2211</v>
      </c>
      <c r="J5110" s="169" t="s">
        <v>2073</v>
      </c>
      <c r="K5110" s="141"/>
      <c r="L5110" s="135" t="str">
        <f t="shared" si="285"/>
        <v>Monodelphis theresa</v>
      </c>
      <c r="M5110" s="133">
        <f t="shared" si="286"/>
        <v>2.04922</v>
      </c>
      <c r="N5110" s="170">
        <v>112.00050993381923</v>
      </c>
      <c r="O5110" s="179" t="s">
        <v>6641</v>
      </c>
      <c r="P5110" s="117">
        <v>61</v>
      </c>
      <c r="Q5110" s="90" t="s">
        <v>6988</v>
      </c>
    </row>
    <row r="5111" spans="1:19">
      <c r="A5111" s="118" t="s">
        <v>7297</v>
      </c>
      <c r="B5111" s="166"/>
      <c r="C5111" s="169" t="s">
        <v>3817</v>
      </c>
      <c r="D5111" s="165"/>
      <c r="E5111" s="169"/>
      <c r="F5111" s="169"/>
      <c r="G5111" s="169" t="s">
        <v>4370</v>
      </c>
      <c r="H5111" s="169" t="s">
        <v>4371</v>
      </c>
      <c r="I5111" s="169" t="s">
        <v>2211</v>
      </c>
      <c r="J5111" s="169" t="s">
        <v>4854</v>
      </c>
      <c r="K5111" s="141"/>
      <c r="L5111" s="135" t="str">
        <f t="shared" si="285"/>
        <v>Monodelphis scalops</v>
      </c>
      <c r="M5111" s="133">
        <f t="shared" si="286"/>
        <v>2.8698199999999998</v>
      </c>
      <c r="N5111" s="170">
        <v>741.00305757985143</v>
      </c>
      <c r="O5111" s="179" t="s">
        <v>6641</v>
      </c>
      <c r="P5111" s="117">
        <v>61</v>
      </c>
      <c r="Q5111" s="90" t="s">
        <v>6988</v>
      </c>
    </row>
    <row r="5112" spans="1:19">
      <c r="A5112" s="118" t="s">
        <v>7297</v>
      </c>
      <c r="B5112" s="166"/>
      <c r="C5112" s="169" t="s">
        <v>3817</v>
      </c>
      <c r="D5112" s="165"/>
      <c r="E5112" s="169"/>
      <c r="F5112" s="169"/>
      <c r="G5112" s="169" t="s">
        <v>4370</v>
      </c>
      <c r="H5112" s="169" t="s">
        <v>4371</v>
      </c>
      <c r="I5112" s="169" t="s">
        <v>4376</v>
      </c>
      <c r="J5112" s="169" t="s">
        <v>4402</v>
      </c>
      <c r="K5112" s="141"/>
      <c r="L5112" s="135" t="str">
        <f t="shared" si="285"/>
        <v>Philander andersoni</v>
      </c>
      <c r="M5112" s="133">
        <f t="shared" si="286"/>
        <v>2.5118800000000001</v>
      </c>
      <c r="N5112" s="170">
        <v>324.99748485427989</v>
      </c>
      <c r="O5112" s="179" t="s">
        <v>3356</v>
      </c>
      <c r="P5112" s="117">
        <v>61</v>
      </c>
    </row>
    <row r="5113" spans="1:19">
      <c r="A5113" s="118" t="s">
        <v>7297</v>
      </c>
      <c r="B5113" s="166"/>
      <c r="C5113" s="169" t="s">
        <v>3817</v>
      </c>
      <c r="D5113" s="165"/>
      <c r="E5113" s="169"/>
      <c r="F5113" s="169"/>
      <c r="G5113" s="169" t="s">
        <v>4370</v>
      </c>
      <c r="H5113" s="169" t="s">
        <v>4371</v>
      </c>
      <c r="I5113" s="169" t="s">
        <v>4376</v>
      </c>
      <c r="J5113" s="169" t="s">
        <v>4377</v>
      </c>
      <c r="K5113" s="141"/>
      <c r="L5113" s="135" t="str">
        <f t="shared" si="285"/>
        <v>Philander opossum</v>
      </c>
      <c r="M5113" s="133">
        <f t="shared" si="286"/>
        <v>2.6242820958356683</v>
      </c>
      <c r="N5113" s="170">
        <v>421</v>
      </c>
      <c r="O5113" s="179" t="s">
        <v>3356</v>
      </c>
      <c r="P5113" s="117">
        <v>61</v>
      </c>
    </row>
    <row r="5114" spans="1:19">
      <c r="A5114" s="118" t="s">
        <v>7297</v>
      </c>
      <c r="B5114" s="166"/>
      <c r="C5114" s="169" t="s">
        <v>3817</v>
      </c>
      <c r="D5114" s="165"/>
      <c r="E5114" s="169"/>
      <c r="F5114" s="169"/>
      <c r="G5114" s="169" t="s">
        <v>4370</v>
      </c>
      <c r="H5114" s="169" t="s">
        <v>4371</v>
      </c>
      <c r="I5114" s="169" t="s">
        <v>2075</v>
      </c>
      <c r="J5114" s="169" t="s">
        <v>7422</v>
      </c>
      <c r="K5114" s="141"/>
      <c r="L5114" s="135" t="str">
        <f t="shared" si="285"/>
        <v>Thylamys pallidior</v>
      </c>
      <c r="M5114" s="133">
        <f t="shared" si="286"/>
        <v>1.17319</v>
      </c>
      <c r="N5114" s="170">
        <v>14.900128025794254</v>
      </c>
      <c r="O5114" s="179" t="s">
        <v>3356</v>
      </c>
      <c r="P5114" s="117">
        <v>61</v>
      </c>
    </row>
    <row r="5115" spans="1:19">
      <c r="A5115" s="118" t="s">
        <v>7297</v>
      </c>
      <c r="B5115" s="166"/>
      <c r="C5115" s="169" t="s">
        <v>3817</v>
      </c>
      <c r="D5115" s="165"/>
      <c r="E5115" s="169"/>
      <c r="F5115" s="169"/>
      <c r="G5115" s="169" t="s">
        <v>4370</v>
      </c>
      <c r="H5115" s="169" t="s">
        <v>4371</v>
      </c>
      <c r="I5115" s="169" t="s">
        <v>2075</v>
      </c>
      <c r="J5115" s="169" t="s">
        <v>2077</v>
      </c>
      <c r="K5115" s="141"/>
      <c r="L5115" s="135" t="str">
        <f t="shared" si="285"/>
        <v>Thylamys macrura</v>
      </c>
      <c r="M5115" s="133">
        <f t="shared" si="286"/>
        <v>1.3159700000000003</v>
      </c>
      <c r="N5115" s="170">
        <v>20.699983534316814</v>
      </c>
      <c r="O5115" s="179" t="s">
        <v>6882</v>
      </c>
      <c r="P5115" s="117">
        <v>61</v>
      </c>
      <c r="Q5115" s="90" t="s">
        <v>6642</v>
      </c>
    </row>
    <row r="5116" spans="1:19">
      <c r="A5116" s="118" t="s">
        <v>7297</v>
      </c>
      <c r="B5116" s="166"/>
      <c r="C5116" s="169" t="s">
        <v>3817</v>
      </c>
      <c r="D5116" s="165"/>
      <c r="E5116" s="169"/>
      <c r="F5116" s="169"/>
      <c r="G5116" s="169" t="s">
        <v>4370</v>
      </c>
      <c r="H5116" s="169" t="s">
        <v>4371</v>
      </c>
      <c r="I5116" s="169" t="s">
        <v>2075</v>
      </c>
      <c r="J5116" s="169" t="s">
        <v>2078</v>
      </c>
      <c r="K5116" s="141"/>
      <c r="L5116" s="135" t="str">
        <f t="shared" si="285"/>
        <v>Thylamys velutinus</v>
      </c>
      <c r="M5116" s="133">
        <f t="shared" si="286"/>
        <v>1.3159700000000003</v>
      </c>
      <c r="N5116" s="170">
        <v>20.699983534316814</v>
      </c>
      <c r="O5116" s="179" t="s">
        <v>3356</v>
      </c>
      <c r="P5116" s="117">
        <v>61</v>
      </c>
      <c r="S5116" s="92"/>
    </row>
    <row r="5117" spans="1:19" ht="12" customHeight="1">
      <c r="A5117" s="118" t="s">
        <v>7297</v>
      </c>
      <c r="B5117" s="166"/>
      <c r="C5117" s="169" t="s">
        <v>3817</v>
      </c>
      <c r="D5117" s="165"/>
      <c r="E5117" s="169"/>
      <c r="F5117" s="169"/>
      <c r="G5117" s="169" t="s">
        <v>4370</v>
      </c>
      <c r="H5117" s="169" t="s">
        <v>4371</v>
      </c>
      <c r="I5117" s="169" t="s">
        <v>2075</v>
      </c>
      <c r="J5117" s="169" t="s">
        <v>2076</v>
      </c>
      <c r="K5117" s="141"/>
      <c r="L5117" s="135" t="str">
        <f t="shared" si="285"/>
        <v>Thylamys elegans</v>
      </c>
      <c r="M5117" s="133">
        <f t="shared" si="286"/>
        <v>1.4609000000000003</v>
      </c>
      <c r="N5117" s="170">
        <v>28.900143553494715</v>
      </c>
      <c r="O5117" s="179" t="s">
        <v>3356</v>
      </c>
      <c r="P5117" s="117">
        <v>61</v>
      </c>
      <c r="R5117" s="89"/>
    </row>
    <row r="5118" spans="1:19">
      <c r="A5118" s="118" t="s">
        <v>7297</v>
      </c>
      <c r="B5118" s="166"/>
      <c r="C5118" s="169" t="s">
        <v>3817</v>
      </c>
      <c r="D5118" s="165"/>
      <c r="E5118" s="169"/>
      <c r="F5118" s="169"/>
      <c r="G5118" s="169" t="s">
        <v>4370</v>
      </c>
      <c r="H5118" s="169" t="s">
        <v>4371</v>
      </c>
      <c r="I5118" s="169" t="s">
        <v>2075</v>
      </c>
      <c r="J5118" s="169" t="s">
        <v>7423</v>
      </c>
      <c r="K5118" s="141"/>
      <c r="L5118" s="135" t="str">
        <f t="shared" si="285"/>
        <v>Thylamys pusilla</v>
      </c>
      <c r="M5118" s="133">
        <f t="shared" si="286"/>
        <v>1.6127800000000003</v>
      </c>
      <c r="N5118" s="170">
        <v>40.999635904176493</v>
      </c>
      <c r="O5118" s="179" t="s">
        <v>3356</v>
      </c>
      <c r="P5118" s="117">
        <v>60</v>
      </c>
    </row>
    <row r="5119" spans="1:19">
      <c r="A5119" s="121" t="s">
        <v>7297</v>
      </c>
      <c r="B5119" s="166"/>
      <c r="C5119" s="169" t="s">
        <v>3817</v>
      </c>
      <c r="D5119" s="165"/>
      <c r="E5119" s="169"/>
      <c r="F5119" s="169"/>
      <c r="G5119" s="169" t="s">
        <v>7278</v>
      </c>
      <c r="H5119" s="169" t="s">
        <v>4905</v>
      </c>
      <c r="I5119" s="169" t="s">
        <v>7355</v>
      </c>
      <c r="J5119" s="169" t="s">
        <v>7358</v>
      </c>
      <c r="K5119" s="141"/>
      <c r="L5119" s="135" t="str">
        <f t="shared" si="285"/>
        <v>Cryptotis nigrescens</v>
      </c>
      <c r="M5119" s="133">
        <f t="shared" si="286"/>
        <v>0.99564000000000008</v>
      </c>
      <c r="N5119" s="170">
        <v>9.9001095426017063</v>
      </c>
      <c r="O5119" s="179" t="s">
        <v>3356</v>
      </c>
      <c r="P5119" s="117">
        <v>61</v>
      </c>
    </row>
    <row r="5120" spans="1:19" ht="12" customHeight="1">
      <c r="A5120" s="118" t="s">
        <v>7297</v>
      </c>
      <c r="B5120" s="166"/>
      <c r="C5120" s="169" t="s">
        <v>3817</v>
      </c>
      <c r="D5120" s="165"/>
      <c r="E5120" s="169"/>
      <c r="F5120" s="169"/>
      <c r="G5120" s="169" t="s">
        <v>7278</v>
      </c>
      <c r="H5120" s="169" t="s">
        <v>4905</v>
      </c>
      <c r="I5120" s="169" t="s">
        <v>7355</v>
      </c>
      <c r="J5120" s="169" t="s">
        <v>2216</v>
      </c>
      <c r="K5120" s="141"/>
      <c r="L5120" s="135" t="str">
        <f t="shared" si="285"/>
        <v>Cryptotis avia</v>
      </c>
      <c r="M5120" s="133">
        <f t="shared" si="286"/>
        <v>1.0413900000000003</v>
      </c>
      <c r="N5120" s="170">
        <v>10.999931989351939</v>
      </c>
      <c r="O5120" s="179" t="s">
        <v>3356</v>
      </c>
      <c r="P5120" s="117">
        <v>61</v>
      </c>
      <c r="R5120" s="89"/>
    </row>
    <row r="5121" spans="1:19">
      <c r="A5121" s="118" t="s">
        <v>7297</v>
      </c>
      <c r="B5121" s="166"/>
      <c r="C5121" s="169" t="s">
        <v>3817</v>
      </c>
      <c r="D5121" s="165"/>
      <c r="E5121" s="169"/>
      <c r="F5121" s="169"/>
      <c r="G5121" s="169" t="s">
        <v>7278</v>
      </c>
      <c r="H5121" s="169" t="s">
        <v>4905</v>
      </c>
      <c r="I5121" s="169" t="s">
        <v>7355</v>
      </c>
      <c r="J5121" s="169" t="s">
        <v>4851</v>
      </c>
      <c r="K5121" s="141"/>
      <c r="L5121" s="135" t="str">
        <f t="shared" si="285"/>
        <v>Cryptotis squamipes</v>
      </c>
      <c r="M5121" s="133">
        <f t="shared" si="286"/>
        <v>1.0413900000000003</v>
      </c>
      <c r="N5121" s="170">
        <v>10.999931989351939</v>
      </c>
      <c r="O5121" s="179" t="s">
        <v>3356</v>
      </c>
      <c r="P5121" s="117">
        <v>61</v>
      </c>
    </row>
    <row r="5122" spans="1:19">
      <c r="A5122" s="118" t="s">
        <v>7297</v>
      </c>
      <c r="B5122" s="166"/>
      <c r="C5122" s="169" t="s">
        <v>3817</v>
      </c>
      <c r="D5122" s="165"/>
      <c r="E5122" s="169"/>
      <c r="F5122" s="169"/>
      <c r="G5122" s="169" t="s">
        <v>7278</v>
      </c>
      <c r="H5122" s="169" t="s">
        <v>4905</v>
      </c>
      <c r="I5122" s="169" t="s">
        <v>7355</v>
      </c>
      <c r="J5122" s="169" t="s">
        <v>2072</v>
      </c>
      <c r="K5122" s="141"/>
      <c r="L5122" s="135" t="str">
        <f t="shared" si="285"/>
        <v>Cryptotis montivaga</v>
      </c>
      <c r="M5122" s="133">
        <f t="shared" si="286"/>
        <v>1.05308</v>
      </c>
      <c r="N5122" s="170">
        <v>11.300040499406762</v>
      </c>
      <c r="O5122" s="179" t="s">
        <v>3356</v>
      </c>
      <c r="P5122" s="117">
        <v>61</v>
      </c>
    </row>
    <row r="5123" spans="1:19">
      <c r="A5123" s="118" t="s">
        <v>7297</v>
      </c>
      <c r="B5123" s="166"/>
      <c r="C5123" s="169" t="s">
        <v>3817</v>
      </c>
      <c r="D5123" s="165"/>
      <c r="E5123" s="169"/>
      <c r="F5123" s="169"/>
      <c r="G5123" s="169" t="s">
        <v>7278</v>
      </c>
      <c r="H5123" s="169" t="s">
        <v>4905</v>
      </c>
      <c r="I5123" s="169" t="s">
        <v>7355</v>
      </c>
      <c r="J5123" s="169" t="s">
        <v>2212</v>
      </c>
      <c r="K5123" s="141"/>
      <c r="L5123" s="135" t="str">
        <f t="shared" si="285"/>
        <v>Cryptotis meridensis</v>
      </c>
      <c r="M5123" s="133">
        <f t="shared" ref="M5123:M5154" si="287">LOG(N5123)</f>
        <v>1.0632077891617746</v>
      </c>
      <c r="N5123" s="170">
        <f>AVERAGE(11.7, 11, 11.9999655704812)</f>
        <v>11.566655190160398</v>
      </c>
      <c r="O5123" s="179" t="s">
        <v>3356</v>
      </c>
      <c r="P5123" s="117" t="s">
        <v>1890</v>
      </c>
    </row>
    <row r="5124" spans="1:19">
      <c r="A5124" s="118" t="s">
        <v>7297</v>
      </c>
      <c r="B5124" s="166"/>
      <c r="C5124" s="169" t="s">
        <v>3817</v>
      </c>
      <c r="D5124" s="165"/>
      <c r="E5124" s="169"/>
      <c r="F5124" s="169"/>
      <c r="G5124" s="169" t="s">
        <v>7278</v>
      </c>
      <c r="H5124" s="169" t="s">
        <v>4905</v>
      </c>
      <c r="I5124" s="169" t="s">
        <v>7355</v>
      </c>
      <c r="J5124" s="169" t="s">
        <v>4852</v>
      </c>
      <c r="K5124" s="141"/>
      <c r="L5124" s="135" t="str">
        <f t="shared" si="285"/>
        <v>Cryptotis thomasi</v>
      </c>
      <c r="M5124" s="133">
        <f t="shared" si="287"/>
        <v>1.1003700000000003</v>
      </c>
      <c r="N5124" s="170">
        <v>12.599984184747296</v>
      </c>
      <c r="O5124" s="179" t="s">
        <v>3356</v>
      </c>
      <c r="P5124" s="117">
        <v>60</v>
      </c>
    </row>
    <row r="5125" spans="1:19">
      <c r="A5125" s="118" t="s">
        <v>7297</v>
      </c>
      <c r="B5125" s="166"/>
      <c r="C5125" s="169" t="s">
        <v>3817</v>
      </c>
      <c r="D5125" s="165"/>
      <c r="E5125" s="169"/>
      <c r="F5125" s="169"/>
      <c r="G5125" s="169" t="s">
        <v>7345</v>
      </c>
      <c r="H5125" s="169" t="s">
        <v>7346</v>
      </c>
      <c r="I5125" s="169" t="s">
        <v>2089</v>
      </c>
      <c r="J5125" s="169" t="s">
        <v>4467</v>
      </c>
      <c r="K5125" s="141"/>
      <c r="L5125" s="135" t="str">
        <f t="shared" ref="L5125:L5188" si="288">I5125&amp;" "&amp;J5125</f>
        <v>Sylvilagus brasiliensis</v>
      </c>
      <c r="M5125" s="133">
        <f t="shared" si="287"/>
        <v>2.9777200000000006</v>
      </c>
      <c r="N5125" s="170">
        <v>949.99211362259632</v>
      </c>
      <c r="O5125" s="179" t="s">
        <v>3356</v>
      </c>
      <c r="P5125" s="108">
        <v>60</v>
      </c>
    </row>
    <row r="5126" spans="1:19">
      <c r="A5126" s="118" t="s">
        <v>7297</v>
      </c>
      <c r="B5126" s="166"/>
      <c r="C5126" s="169" t="s">
        <v>3817</v>
      </c>
      <c r="D5126" s="165"/>
      <c r="E5126" s="169"/>
      <c r="F5126" s="169"/>
      <c r="G5126" s="169" t="s">
        <v>7345</v>
      </c>
      <c r="H5126" s="169" t="s">
        <v>7346</v>
      </c>
      <c r="I5126" s="169" t="s">
        <v>2089</v>
      </c>
      <c r="J5126" s="169" t="s">
        <v>2190</v>
      </c>
      <c r="K5126" s="141"/>
      <c r="L5126" s="135" t="str">
        <f t="shared" si="288"/>
        <v>Sylvilagus floridanus</v>
      </c>
      <c r="M5126" s="133">
        <f t="shared" si="287"/>
        <v>3.0692200000000005</v>
      </c>
      <c r="N5126" s="170">
        <v>1172.7893134796059</v>
      </c>
      <c r="O5126" s="179" t="s">
        <v>3356</v>
      </c>
      <c r="P5126" s="108">
        <v>60</v>
      </c>
      <c r="S5126" s="92"/>
    </row>
    <row r="5127" spans="1:19">
      <c r="A5127" s="134" t="s">
        <v>7297</v>
      </c>
      <c r="B5127" s="290"/>
      <c r="C5127" s="291" t="s">
        <v>5092</v>
      </c>
      <c r="D5127" s="292"/>
      <c r="E5127" s="291"/>
      <c r="F5127" s="291"/>
      <c r="G5127" s="293" t="s">
        <v>4498</v>
      </c>
      <c r="H5127" s="293" t="s">
        <v>4499</v>
      </c>
      <c r="I5127" s="293" t="s">
        <v>4500</v>
      </c>
      <c r="J5127" s="293" t="s">
        <v>4501</v>
      </c>
      <c r="K5127" s="135"/>
      <c r="L5127" s="135" t="str">
        <f t="shared" si="288"/>
        <v>Macrauchenia patachonica</v>
      </c>
      <c r="M5127" s="133">
        <f t="shared" si="287"/>
        <v>5.9947569445876283</v>
      </c>
      <c r="N5127" s="294">
        <v>988000</v>
      </c>
      <c r="O5127" s="180"/>
      <c r="P5127" s="110" t="s">
        <v>1866</v>
      </c>
    </row>
    <row r="5128" spans="1:19">
      <c r="A5128" s="134" t="s">
        <v>7297</v>
      </c>
      <c r="B5128" s="290"/>
      <c r="C5128" s="291" t="s">
        <v>5092</v>
      </c>
      <c r="D5128" s="292"/>
      <c r="E5128" s="291"/>
      <c r="F5128" s="291"/>
      <c r="G5128" s="293" t="s">
        <v>4498</v>
      </c>
      <c r="H5128" s="293" t="s">
        <v>4499</v>
      </c>
      <c r="I5128" s="293" t="s">
        <v>7177</v>
      </c>
      <c r="J5128" s="293" t="s">
        <v>7388</v>
      </c>
      <c r="K5128" s="135"/>
      <c r="L5128" s="135" t="str">
        <f t="shared" si="288"/>
        <v>Windhausenia spp.</v>
      </c>
      <c r="M5128" s="133">
        <f t="shared" si="287"/>
        <v>5.8450980400142569</v>
      </c>
      <c r="N5128" s="294">
        <v>700000</v>
      </c>
      <c r="O5128" s="180"/>
      <c r="P5128" s="109">
        <v>11</v>
      </c>
    </row>
    <row r="5129" spans="1:19" ht="25.5">
      <c r="A5129" s="118" t="s">
        <v>7297</v>
      </c>
      <c r="B5129" s="166"/>
      <c r="C5129" s="169" t="s">
        <v>3817</v>
      </c>
      <c r="D5129" s="165"/>
      <c r="E5129" s="169"/>
      <c r="F5129" s="169"/>
      <c r="G5129" s="169" t="s">
        <v>4274</v>
      </c>
      <c r="H5129" s="169" t="s">
        <v>7013</v>
      </c>
      <c r="I5129" s="169" t="s">
        <v>7300</v>
      </c>
      <c r="J5129" s="169" t="s">
        <v>7265</v>
      </c>
      <c r="K5129" s="141"/>
      <c r="L5129" s="135" t="str">
        <f t="shared" si="288"/>
        <v>Dromiciops gliroides</v>
      </c>
      <c r="M5129" s="133">
        <f t="shared" si="287"/>
        <v>1.3483000000000003</v>
      </c>
      <c r="N5129" s="170">
        <v>22.299750295314972</v>
      </c>
      <c r="O5129" s="179" t="s">
        <v>8149</v>
      </c>
      <c r="P5129" s="108">
        <v>60</v>
      </c>
      <c r="Q5129" s="90" t="s">
        <v>6988</v>
      </c>
    </row>
    <row r="5130" spans="1:19">
      <c r="A5130" s="134" t="s">
        <v>7297</v>
      </c>
      <c r="B5130" s="290"/>
      <c r="C5130" s="291" t="s">
        <v>5092</v>
      </c>
      <c r="D5130" s="292"/>
      <c r="E5130" s="291"/>
      <c r="F5130" s="291"/>
      <c r="G5130" s="293" t="s">
        <v>7181</v>
      </c>
      <c r="H5130" s="293" t="s">
        <v>7189</v>
      </c>
      <c r="I5130" s="293" t="s">
        <v>2484</v>
      </c>
      <c r="J5130" s="293" t="s">
        <v>7388</v>
      </c>
      <c r="K5130" s="135"/>
      <c r="L5130" s="135" t="str">
        <f t="shared" si="288"/>
        <v>Mixotoxodon spp.</v>
      </c>
      <c r="M5130" s="133">
        <f t="shared" si="287"/>
        <v>6</v>
      </c>
      <c r="N5130" s="294">
        <v>1000000</v>
      </c>
      <c r="O5130" s="180"/>
      <c r="P5130" s="110" t="s">
        <v>2631</v>
      </c>
      <c r="S5130" s="92"/>
    </row>
    <row r="5131" spans="1:19">
      <c r="A5131" s="134" t="s">
        <v>7297</v>
      </c>
      <c r="B5131" s="290"/>
      <c r="C5131" s="291" t="s">
        <v>5092</v>
      </c>
      <c r="D5131" s="292"/>
      <c r="E5131" s="291"/>
      <c r="F5131" s="291"/>
      <c r="G5131" s="293" t="s">
        <v>7181</v>
      </c>
      <c r="H5131" s="293" t="s">
        <v>7189</v>
      </c>
      <c r="I5131" s="293" t="s">
        <v>4170</v>
      </c>
      <c r="J5131" s="293" t="s">
        <v>5484</v>
      </c>
      <c r="K5131" s="135"/>
      <c r="L5131" s="135" t="str">
        <f t="shared" si="288"/>
        <v>Toxodon paradoxus</v>
      </c>
      <c r="M5131" s="133">
        <f t="shared" si="287"/>
        <v>6</v>
      </c>
      <c r="N5131" s="294">
        <v>1000000</v>
      </c>
      <c r="O5131" s="180"/>
      <c r="P5131" s="110">
        <v>39</v>
      </c>
      <c r="S5131" s="92"/>
    </row>
    <row r="5132" spans="1:19" ht="15" customHeight="1">
      <c r="A5132" s="134" t="s">
        <v>7297</v>
      </c>
      <c r="B5132" s="290"/>
      <c r="C5132" s="291" t="s">
        <v>5092</v>
      </c>
      <c r="D5132" s="292"/>
      <c r="E5132" s="291"/>
      <c r="F5132" s="291"/>
      <c r="G5132" s="293" t="s">
        <v>7181</v>
      </c>
      <c r="H5132" s="293" t="s">
        <v>7189</v>
      </c>
      <c r="I5132" s="293" t="s">
        <v>4170</v>
      </c>
      <c r="J5132" s="293" t="s">
        <v>3708</v>
      </c>
      <c r="K5132" s="135"/>
      <c r="L5132" s="135" t="str">
        <f t="shared" si="288"/>
        <v>Toxodon bilobidens</v>
      </c>
      <c r="M5132" s="133">
        <f t="shared" si="287"/>
        <v>6.0413926851582254</v>
      </c>
      <c r="N5132" s="294">
        <v>1100000</v>
      </c>
      <c r="O5132" s="180"/>
      <c r="P5132" s="110">
        <v>40</v>
      </c>
      <c r="S5132" s="92"/>
    </row>
    <row r="5133" spans="1:19">
      <c r="A5133" s="134" t="s">
        <v>7297</v>
      </c>
      <c r="B5133" s="290"/>
      <c r="C5133" s="291" t="s">
        <v>5092</v>
      </c>
      <c r="D5133" s="292"/>
      <c r="E5133" s="291"/>
      <c r="F5133" s="291"/>
      <c r="G5133" s="293" t="s">
        <v>7181</v>
      </c>
      <c r="H5133" s="293" t="s">
        <v>7189</v>
      </c>
      <c r="I5133" s="293" t="s">
        <v>4170</v>
      </c>
      <c r="J5133" s="293" t="s">
        <v>3709</v>
      </c>
      <c r="K5133" s="135"/>
      <c r="L5133" s="135" t="str">
        <f t="shared" si="288"/>
        <v>Toxodon burmeisteri</v>
      </c>
      <c r="M5133" s="133">
        <f t="shared" si="287"/>
        <v>6.0413926851582254</v>
      </c>
      <c r="N5133" s="294">
        <v>1100000</v>
      </c>
      <c r="O5133" s="180"/>
      <c r="P5133" s="110">
        <v>39</v>
      </c>
      <c r="S5133" s="92"/>
    </row>
    <row r="5134" spans="1:19">
      <c r="A5134" s="134" t="s">
        <v>7297</v>
      </c>
      <c r="B5134" s="290"/>
      <c r="C5134" s="291" t="s">
        <v>5092</v>
      </c>
      <c r="D5134" s="292"/>
      <c r="E5134" s="291"/>
      <c r="F5134" s="291"/>
      <c r="G5134" s="293" t="s">
        <v>7181</v>
      </c>
      <c r="H5134" s="293" t="s">
        <v>7189</v>
      </c>
      <c r="I5134" s="293" t="s">
        <v>4170</v>
      </c>
      <c r="J5134" s="293" t="s">
        <v>3840</v>
      </c>
      <c r="K5134" s="135"/>
      <c r="L5134" s="135" t="str">
        <f t="shared" si="288"/>
        <v>Toxodon platensis</v>
      </c>
      <c r="M5134" s="133">
        <f t="shared" si="287"/>
        <v>6.215373152783422</v>
      </c>
      <c r="N5134" s="294">
        <v>1642000</v>
      </c>
      <c r="O5134" s="180"/>
      <c r="P5134" s="109" t="s">
        <v>1260</v>
      </c>
    </row>
    <row r="5135" spans="1:19">
      <c r="A5135" s="211" t="s">
        <v>7297</v>
      </c>
      <c r="B5135" s="168"/>
      <c r="C5135" s="172" t="s">
        <v>3817</v>
      </c>
      <c r="D5135" s="226"/>
      <c r="E5135" s="172"/>
      <c r="F5135" s="172"/>
      <c r="G5135" s="169" t="s">
        <v>1170</v>
      </c>
      <c r="H5135" s="172" t="s">
        <v>1990</v>
      </c>
      <c r="I5135" s="172" t="s">
        <v>1991</v>
      </c>
      <c r="J5135" s="172" t="s">
        <v>4424</v>
      </c>
      <c r="K5135" s="222"/>
      <c r="L5135" s="135" t="str">
        <f t="shared" si="288"/>
        <v>Caenolestes fuliginosus</v>
      </c>
      <c r="M5135" s="133">
        <f t="shared" si="287"/>
        <v>1.4440447959180762</v>
      </c>
      <c r="N5135" s="173">
        <v>27.8</v>
      </c>
      <c r="O5135" s="181" t="s">
        <v>3922</v>
      </c>
      <c r="P5135" s="113">
        <v>60</v>
      </c>
    </row>
    <row r="5136" spans="1:19" ht="15.75">
      <c r="A5136" s="139" t="s">
        <v>7297</v>
      </c>
      <c r="B5136" s="168"/>
      <c r="C5136" s="172" t="s">
        <v>3817</v>
      </c>
      <c r="D5136" s="226"/>
      <c r="E5136" s="172"/>
      <c r="F5136" s="172"/>
      <c r="G5136" s="169" t="s">
        <v>1170</v>
      </c>
      <c r="H5136" s="172" t="s">
        <v>1990</v>
      </c>
      <c r="I5136" s="172" t="s">
        <v>1991</v>
      </c>
      <c r="J5136" s="172" t="s">
        <v>4455</v>
      </c>
      <c r="K5136" s="222"/>
      <c r="L5136" s="135" t="str">
        <f t="shared" si="288"/>
        <v>Caenolestes caniventer</v>
      </c>
      <c r="M5136" s="133">
        <f t="shared" si="287"/>
        <v>1.6020599913279623</v>
      </c>
      <c r="N5136" s="173">
        <v>40</v>
      </c>
      <c r="O5136" s="181" t="s">
        <v>3922</v>
      </c>
      <c r="P5136" s="113">
        <v>61</v>
      </c>
      <c r="R5136" s="89"/>
    </row>
    <row r="5137" spans="1:17">
      <c r="A5137" s="139" t="s">
        <v>7297</v>
      </c>
      <c r="B5137" s="168"/>
      <c r="C5137" s="172" t="s">
        <v>3817</v>
      </c>
      <c r="D5137" s="226"/>
      <c r="E5137" s="172"/>
      <c r="F5137" s="172"/>
      <c r="G5137" s="169" t="s">
        <v>1170</v>
      </c>
      <c r="H5137" s="172" t="s">
        <v>1990</v>
      </c>
      <c r="I5137" s="172" t="s">
        <v>1991</v>
      </c>
      <c r="J5137" s="172" t="s">
        <v>2003</v>
      </c>
      <c r="K5137" s="222"/>
      <c r="L5137" s="135" t="str">
        <f t="shared" si="288"/>
        <v>Caenolestes convelatus</v>
      </c>
      <c r="M5137" s="133">
        <f t="shared" si="287"/>
        <v>1.6020599913279623</v>
      </c>
      <c r="N5137" s="173">
        <v>40</v>
      </c>
      <c r="O5137" s="181" t="s">
        <v>3922</v>
      </c>
      <c r="P5137" s="113">
        <v>61</v>
      </c>
    </row>
    <row r="5138" spans="1:17">
      <c r="A5138" s="118" t="s">
        <v>7297</v>
      </c>
      <c r="B5138" s="166"/>
      <c r="C5138" s="169" t="s">
        <v>3817</v>
      </c>
      <c r="D5138" s="165"/>
      <c r="E5138" s="169"/>
      <c r="F5138" s="169"/>
      <c r="G5138" s="169" t="s">
        <v>1170</v>
      </c>
      <c r="H5138" s="169" t="s">
        <v>1990</v>
      </c>
      <c r="I5138" s="169" t="s">
        <v>2004</v>
      </c>
      <c r="J5138" s="169" t="s">
        <v>2233</v>
      </c>
      <c r="K5138" s="141"/>
      <c r="L5138" s="135" t="str">
        <f t="shared" si="288"/>
        <v>Lestoros inca</v>
      </c>
      <c r="M5138" s="133">
        <f t="shared" si="287"/>
        <v>1.3242824552976926</v>
      </c>
      <c r="N5138" s="170">
        <v>21.1</v>
      </c>
      <c r="O5138" s="179" t="s">
        <v>3356</v>
      </c>
      <c r="P5138" s="117">
        <v>61</v>
      </c>
    </row>
    <row r="5139" spans="1:17">
      <c r="A5139" s="118" t="s">
        <v>7297</v>
      </c>
      <c r="B5139" s="166"/>
      <c r="C5139" s="169" t="s">
        <v>3817</v>
      </c>
      <c r="D5139" s="165"/>
      <c r="E5139" s="169"/>
      <c r="F5139" s="169"/>
      <c r="G5139" s="169" t="s">
        <v>1170</v>
      </c>
      <c r="H5139" s="169" t="s">
        <v>1990</v>
      </c>
      <c r="I5139" s="169" t="s">
        <v>4460</v>
      </c>
      <c r="J5139" s="169" t="s">
        <v>2234</v>
      </c>
      <c r="K5139" s="141"/>
      <c r="L5139" s="135" t="str">
        <f t="shared" si="288"/>
        <v>Rhyncholestes raphanurus</v>
      </c>
      <c r="M5139" s="133">
        <f t="shared" si="287"/>
        <v>1.3222192947339193</v>
      </c>
      <c r="N5139" s="170">
        <v>21</v>
      </c>
      <c r="O5139" s="179" t="s">
        <v>3356</v>
      </c>
      <c r="P5139" s="117">
        <v>61</v>
      </c>
    </row>
    <row r="5140" spans="1:17">
      <c r="A5140" s="134" t="s">
        <v>7297</v>
      </c>
      <c r="B5140" s="290"/>
      <c r="C5140" s="291" t="s">
        <v>5092</v>
      </c>
      <c r="D5140" s="292"/>
      <c r="E5140" s="291"/>
      <c r="F5140" s="291"/>
      <c r="G5140" s="293" t="s">
        <v>7273</v>
      </c>
      <c r="H5140" s="293" t="s">
        <v>2558</v>
      </c>
      <c r="I5140" s="293" t="s">
        <v>2559</v>
      </c>
      <c r="J5140" s="293" t="s">
        <v>3572</v>
      </c>
      <c r="K5140" s="135"/>
      <c r="L5140" s="135" t="str">
        <f t="shared" si="288"/>
        <v>Equus andium</v>
      </c>
      <c r="M5140" s="133">
        <f t="shared" si="287"/>
        <v>5.3424226808222066</v>
      </c>
      <c r="N5140" s="294">
        <v>220000</v>
      </c>
      <c r="O5140" s="180"/>
      <c r="P5140" s="110" t="s">
        <v>1261</v>
      </c>
    </row>
    <row r="5141" spans="1:17" ht="24" customHeight="1">
      <c r="A5141" s="134" t="s">
        <v>7297</v>
      </c>
      <c r="B5141" s="290"/>
      <c r="C5141" s="291" t="s">
        <v>5092</v>
      </c>
      <c r="D5141" s="292"/>
      <c r="E5141" s="291"/>
      <c r="F5141" s="291"/>
      <c r="G5141" s="293" t="s">
        <v>7273</v>
      </c>
      <c r="H5141" s="293" t="s">
        <v>2558</v>
      </c>
      <c r="I5141" s="293" t="s">
        <v>2559</v>
      </c>
      <c r="J5141" s="293" t="s">
        <v>2757</v>
      </c>
      <c r="K5141" s="135"/>
      <c r="L5141" s="135" t="str">
        <f t="shared" si="288"/>
        <v>Equus lasallei</v>
      </c>
      <c r="M5141" s="133">
        <f t="shared" si="287"/>
        <v>5.5440680443502757</v>
      </c>
      <c r="N5141" s="294">
        <v>350000</v>
      </c>
      <c r="O5141" s="180"/>
      <c r="P5141" s="110">
        <v>44</v>
      </c>
    </row>
    <row r="5142" spans="1:17">
      <c r="A5142" s="134" t="s">
        <v>7297</v>
      </c>
      <c r="B5142" s="290"/>
      <c r="C5142" s="291" t="s">
        <v>5092</v>
      </c>
      <c r="D5142" s="292"/>
      <c r="E5142" s="291"/>
      <c r="F5142" s="291"/>
      <c r="G5142" s="293" t="s">
        <v>7273</v>
      </c>
      <c r="H5142" s="293" t="s">
        <v>2558</v>
      </c>
      <c r="I5142" s="293" t="s">
        <v>2559</v>
      </c>
      <c r="J5142" s="293" t="s">
        <v>2641</v>
      </c>
      <c r="K5142" s="135"/>
      <c r="L5142" s="135" t="str">
        <f t="shared" si="288"/>
        <v>Equus santaeelenae</v>
      </c>
      <c r="M5142" s="133">
        <f t="shared" si="287"/>
        <v>5.5440680443502757</v>
      </c>
      <c r="N5142" s="294">
        <v>350000</v>
      </c>
      <c r="O5142" s="180"/>
      <c r="P5142" s="110">
        <v>8</v>
      </c>
    </row>
    <row r="5143" spans="1:17">
      <c r="A5143" s="134" t="s">
        <v>7297</v>
      </c>
      <c r="B5143" s="290"/>
      <c r="C5143" s="291" t="s">
        <v>5092</v>
      </c>
      <c r="D5143" s="292"/>
      <c r="E5143" s="291"/>
      <c r="F5143" s="291"/>
      <c r="G5143" s="293" t="s">
        <v>7273</v>
      </c>
      <c r="H5143" s="293" t="s">
        <v>2558</v>
      </c>
      <c r="I5143" s="293" t="s">
        <v>2559</v>
      </c>
      <c r="J5143" s="293" t="s">
        <v>2548</v>
      </c>
      <c r="K5143" s="135"/>
      <c r="L5143" s="135" t="str">
        <f t="shared" si="288"/>
        <v>Equus insulatus</v>
      </c>
      <c r="M5143" s="133">
        <f t="shared" si="287"/>
        <v>5.5453071164658239</v>
      </c>
      <c r="N5143" s="294">
        <v>351000</v>
      </c>
      <c r="O5143" s="180"/>
      <c r="P5143" s="110" t="s">
        <v>1162</v>
      </c>
    </row>
    <row r="5144" spans="1:17">
      <c r="A5144" s="134" t="s">
        <v>7297</v>
      </c>
      <c r="B5144" s="290"/>
      <c r="C5144" s="291" t="s">
        <v>5092</v>
      </c>
      <c r="D5144" s="292"/>
      <c r="E5144" s="291"/>
      <c r="F5144" s="291"/>
      <c r="G5144" s="293" t="s">
        <v>7273</v>
      </c>
      <c r="H5144" s="293" t="s">
        <v>2558</v>
      </c>
      <c r="I5144" s="293" t="s">
        <v>2559</v>
      </c>
      <c r="J5144" s="293" t="s">
        <v>2549</v>
      </c>
      <c r="K5144" s="135"/>
      <c r="L5144" s="135" t="str">
        <f t="shared" si="288"/>
        <v>Equus neogeus</v>
      </c>
      <c r="M5144" s="133">
        <f t="shared" si="287"/>
        <v>5.5774917998372251</v>
      </c>
      <c r="N5144" s="294">
        <v>378000</v>
      </c>
      <c r="O5144" s="180"/>
      <c r="P5144" s="110" t="s">
        <v>243</v>
      </c>
    </row>
    <row r="5145" spans="1:17">
      <c r="A5145" s="134" t="s">
        <v>7297</v>
      </c>
      <c r="B5145" s="290"/>
      <c r="C5145" s="291" t="s">
        <v>5092</v>
      </c>
      <c r="D5145" s="292"/>
      <c r="E5145" s="291"/>
      <c r="F5145" s="291"/>
      <c r="G5145" s="293" t="s">
        <v>7273</v>
      </c>
      <c r="H5145" s="293" t="s">
        <v>2558</v>
      </c>
      <c r="I5145" s="293" t="s">
        <v>2650</v>
      </c>
      <c r="J5145" s="293" t="s">
        <v>2651</v>
      </c>
      <c r="K5145" s="135"/>
      <c r="L5145" s="135" t="str">
        <f t="shared" si="288"/>
        <v>Hippidion saldiasi</v>
      </c>
      <c r="M5145" s="133">
        <f t="shared" si="287"/>
        <v>5.4232458739368079</v>
      </c>
      <c r="N5145" s="294">
        <v>265000</v>
      </c>
      <c r="O5145" s="180"/>
      <c r="P5145" s="109">
        <v>8</v>
      </c>
    </row>
    <row r="5146" spans="1:17">
      <c r="A5146" s="134" t="s">
        <v>7297</v>
      </c>
      <c r="B5146" s="290"/>
      <c r="C5146" s="291" t="s">
        <v>5092</v>
      </c>
      <c r="D5146" s="292"/>
      <c r="E5146" s="291"/>
      <c r="F5146" s="291"/>
      <c r="G5146" s="293" t="s">
        <v>7273</v>
      </c>
      <c r="H5146" s="293" t="s">
        <v>2558</v>
      </c>
      <c r="I5146" s="293" t="s">
        <v>2650</v>
      </c>
      <c r="J5146" s="293" t="s">
        <v>2652</v>
      </c>
      <c r="K5146" s="135"/>
      <c r="L5146" s="135" t="str">
        <f t="shared" si="288"/>
        <v>Hippidion principale</v>
      </c>
      <c r="M5146" s="133">
        <f t="shared" si="287"/>
        <v>5.7084209001347128</v>
      </c>
      <c r="N5146" s="294">
        <v>511000</v>
      </c>
      <c r="O5146" s="180"/>
      <c r="P5146" s="109" t="s">
        <v>1864</v>
      </c>
    </row>
    <row r="5147" spans="1:17">
      <c r="A5147" s="134" t="s">
        <v>7297</v>
      </c>
      <c r="B5147" s="290"/>
      <c r="C5147" s="291" t="s">
        <v>5092</v>
      </c>
      <c r="D5147" s="292"/>
      <c r="E5147" s="291"/>
      <c r="F5147" s="291"/>
      <c r="G5147" s="293" t="s">
        <v>7273</v>
      </c>
      <c r="H5147" s="293" t="s">
        <v>2558</v>
      </c>
      <c r="I5147" s="293" t="s">
        <v>2642</v>
      </c>
      <c r="J5147" s="293" t="s">
        <v>7388</v>
      </c>
      <c r="K5147" s="135"/>
      <c r="L5147" s="135" t="str">
        <f t="shared" si="288"/>
        <v>Onohippidium spp.</v>
      </c>
      <c r="M5147" s="133">
        <f t="shared" si="287"/>
        <v>5.492341253254974</v>
      </c>
      <c r="N5147" s="294">
        <v>310700</v>
      </c>
      <c r="O5147" s="180"/>
      <c r="P5147" s="110">
        <v>35</v>
      </c>
    </row>
    <row r="5148" spans="1:17">
      <c r="A5148" s="118" t="s">
        <v>7297</v>
      </c>
      <c r="B5148" s="166"/>
      <c r="C5148" s="169" t="s">
        <v>3817</v>
      </c>
      <c r="D5148" s="165"/>
      <c r="E5148" s="169"/>
      <c r="F5148" s="169"/>
      <c r="G5148" s="169" t="s">
        <v>7273</v>
      </c>
      <c r="H5148" s="169" t="s">
        <v>7157</v>
      </c>
      <c r="I5148" s="169" t="s">
        <v>7158</v>
      </c>
      <c r="J5148" s="169" t="s">
        <v>1945</v>
      </c>
      <c r="K5148" s="141"/>
      <c r="L5148" s="135" t="str">
        <f t="shared" si="288"/>
        <v>Tapirus pinchaque</v>
      </c>
      <c r="M5148" s="133">
        <f t="shared" si="287"/>
        <v>5.1730400000000012</v>
      </c>
      <c r="N5148" s="170">
        <v>148949.82592528904</v>
      </c>
      <c r="O5148" s="179" t="s">
        <v>7081</v>
      </c>
      <c r="P5148" s="117">
        <v>61</v>
      </c>
      <c r="Q5148" s="90" t="s">
        <v>6640</v>
      </c>
    </row>
    <row r="5149" spans="1:17">
      <c r="A5149" s="118" t="s">
        <v>7297</v>
      </c>
      <c r="B5149" s="166"/>
      <c r="C5149" s="169" t="s">
        <v>3817</v>
      </c>
      <c r="D5149" s="165"/>
      <c r="E5149" s="169"/>
      <c r="F5149" s="169"/>
      <c r="G5149" s="169" t="s">
        <v>7273</v>
      </c>
      <c r="H5149" s="169" t="s">
        <v>7157</v>
      </c>
      <c r="I5149" s="169" t="s">
        <v>7158</v>
      </c>
      <c r="J5149" s="169" t="s">
        <v>4820</v>
      </c>
      <c r="K5149" s="141"/>
      <c r="L5149" s="135" t="str">
        <f t="shared" si="288"/>
        <v>Tapirus terrestris</v>
      </c>
      <c r="M5149" s="133">
        <f t="shared" si="287"/>
        <v>5.3170200000000012</v>
      </c>
      <c r="N5149" s="170">
        <v>207500.90729538351</v>
      </c>
      <c r="O5149" s="179" t="s">
        <v>7081</v>
      </c>
      <c r="P5149" s="108">
        <v>60</v>
      </c>
      <c r="Q5149" s="90" t="s">
        <v>6988</v>
      </c>
    </row>
    <row r="5150" spans="1:17">
      <c r="A5150" s="118" t="s">
        <v>7297</v>
      </c>
      <c r="B5150" s="166"/>
      <c r="C5150" s="169" t="s">
        <v>3817</v>
      </c>
      <c r="D5150" s="165"/>
      <c r="E5150" s="169"/>
      <c r="F5150" s="169"/>
      <c r="G5150" s="169" t="s">
        <v>7273</v>
      </c>
      <c r="H5150" s="169" t="s">
        <v>7157</v>
      </c>
      <c r="I5150" s="169" t="s">
        <v>7158</v>
      </c>
      <c r="J5150" s="169" t="s">
        <v>1944</v>
      </c>
      <c r="K5150" s="141"/>
      <c r="L5150" s="135" t="str">
        <f t="shared" si="288"/>
        <v>Tapirus bairdii</v>
      </c>
      <c r="M5150" s="133">
        <f t="shared" si="287"/>
        <v>5.4771200000000011</v>
      </c>
      <c r="N5150" s="170">
        <v>299999.1332716156</v>
      </c>
      <c r="O5150" s="179" t="s">
        <v>7081</v>
      </c>
      <c r="P5150" s="117">
        <v>61</v>
      </c>
      <c r="Q5150" s="90" t="s">
        <v>6640</v>
      </c>
    </row>
    <row r="5151" spans="1:17">
      <c r="A5151" s="134" t="s">
        <v>7297</v>
      </c>
      <c r="B5151" s="290"/>
      <c r="C5151" s="291" t="s">
        <v>5092</v>
      </c>
      <c r="D5151" s="292"/>
      <c r="E5151" s="291"/>
      <c r="F5151" s="291"/>
      <c r="G5151" s="293" t="s">
        <v>7250</v>
      </c>
      <c r="H5151" s="293" t="s">
        <v>5057</v>
      </c>
      <c r="I5151" s="293" t="s">
        <v>2643</v>
      </c>
      <c r="J5151" s="293" t="s">
        <v>2644</v>
      </c>
      <c r="K5151" s="135"/>
      <c r="L5151" s="135" t="str">
        <f t="shared" si="288"/>
        <v>Caipora bambuiorum</v>
      </c>
      <c r="M5151" s="133">
        <f t="shared" si="287"/>
        <v>4.3117538610557542</v>
      </c>
      <c r="N5151" s="294">
        <v>20500</v>
      </c>
      <c r="O5151" s="180"/>
      <c r="P5151" s="109">
        <v>46</v>
      </c>
    </row>
    <row r="5152" spans="1:17" ht="25.5">
      <c r="A5152" s="118" t="s">
        <v>7297</v>
      </c>
      <c r="B5152" s="166"/>
      <c r="C5152" s="169" t="s">
        <v>3817</v>
      </c>
      <c r="D5152" s="165"/>
      <c r="E5152" s="169"/>
      <c r="F5152" s="169"/>
      <c r="G5152" s="169" t="s">
        <v>7250</v>
      </c>
      <c r="H5152" s="169" t="s">
        <v>7251</v>
      </c>
      <c r="I5152" s="169" t="s">
        <v>2264</v>
      </c>
      <c r="J5152" s="169" t="s">
        <v>2265</v>
      </c>
      <c r="K5152" s="141"/>
      <c r="L5152" s="135" t="str">
        <f t="shared" si="288"/>
        <v>Callimico goeldii</v>
      </c>
      <c r="M5152" s="133">
        <f t="shared" si="287"/>
        <v>2.6812400000000003</v>
      </c>
      <c r="N5152" s="170">
        <v>479.9986324039092</v>
      </c>
      <c r="O5152" s="179" t="s">
        <v>7119</v>
      </c>
      <c r="P5152" s="108">
        <v>61</v>
      </c>
      <c r="Q5152" s="90" t="s">
        <v>6988</v>
      </c>
    </row>
    <row r="5153" spans="1:17">
      <c r="A5153" s="121" t="s">
        <v>7297</v>
      </c>
      <c r="B5153" s="166"/>
      <c r="C5153" s="169" t="s">
        <v>3817</v>
      </c>
      <c r="D5153" s="165"/>
      <c r="E5153" s="169"/>
      <c r="F5153" s="169"/>
      <c r="G5153" s="169" t="s">
        <v>7250</v>
      </c>
      <c r="H5153" s="169" t="s">
        <v>7251</v>
      </c>
      <c r="I5153" s="169" t="s">
        <v>2116</v>
      </c>
      <c r="J5153" s="169" t="s">
        <v>4293</v>
      </c>
      <c r="K5153" s="141"/>
      <c r="L5153" s="135" t="str">
        <f t="shared" si="288"/>
        <v>Callithrix pygmaea</v>
      </c>
      <c r="M5153" s="133">
        <f t="shared" si="287"/>
        <v>2.0969100130080562</v>
      </c>
      <c r="N5153" s="170">
        <v>125</v>
      </c>
      <c r="O5153" s="179" t="s">
        <v>3356</v>
      </c>
      <c r="P5153" s="108">
        <v>75</v>
      </c>
    </row>
    <row r="5154" spans="1:17">
      <c r="A5154" s="118" t="s">
        <v>7297</v>
      </c>
      <c r="B5154" s="166"/>
      <c r="C5154" s="169" t="s">
        <v>3817</v>
      </c>
      <c r="D5154" s="165"/>
      <c r="E5154" s="169"/>
      <c r="F5154" s="169"/>
      <c r="G5154" s="169" t="s">
        <v>7250</v>
      </c>
      <c r="H5154" s="169" t="s">
        <v>7251</v>
      </c>
      <c r="I5154" s="169" t="s">
        <v>2116</v>
      </c>
      <c r="J5154" s="169" t="s">
        <v>7164</v>
      </c>
      <c r="K5154" s="141"/>
      <c r="L5154" s="135" t="str">
        <f t="shared" si="288"/>
        <v>Callithrix jacchus</v>
      </c>
      <c r="M5154" s="133">
        <f t="shared" si="287"/>
        <v>2.4653800000000001</v>
      </c>
      <c r="N5154" s="170">
        <v>291.99808282112855</v>
      </c>
      <c r="O5154" s="179" t="s">
        <v>3356</v>
      </c>
      <c r="P5154" s="108">
        <v>61</v>
      </c>
    </row>
    <row r="5155" spans="1:17">
      <c r="A5155" s="118" t="s">
        <v>7297</v>
      </c>
      <c r="B5155" s="166"/>
      <c r="C5155" s="169" t="s">
        <v>3817</v>
      </c>
      <c r="D5155" s="165"/>
      <c r="E5155" s="169"/>
      <c r="F5155" s="169"/>
      <c r="G5155" s="169" t="s">
        <v>7250</v>
      </c>
      <c r="H5155" s="169" t="s">
        <v>7251</v>
      </c>
      <c r="I5155" s="169" t="s">
        <v>2116</v>
      </c>
      <c r="J5155" s="169" t="s">
        <v>4380</v>
      </c>
      <c r="K5155" s="141"/>
      <c r="L5155" s="135" t="str">
        <f t="shared" si="288"/>
        <v>Callithrix aurita</v>
      </c>
      <c r="M5155" s="133">
        <f t="shared" ref="M5155:M5186" si="289">LOG(N5155)</f>
        <v>2.5340300000000004</v>
      </c>
      <c r="N5155" s="170">
        <v>342.00306643263428</v>
      </c>
      <c r="O5155" s="179" t="s">
        <v>7081</v>
      </c>
      <c r="P5155" s="108">
        <v>61</v>
      </c>
      <c r="Q5155" s="91" t="s">
        <v>6640</v>
      </c>
    </row>
    <row r="5156" spans="1:17">
      <c r="A5156" s="118" t="s">
        <v>7297</v>
      </c>
      <c r="B5156" s="166"/>
      <c r="C5156" s="169" t="s">
        <v>3817</v>
      </c>
      <c r="D5156" s="165"/>
      <c r="E5156" s="169"/>
      <c r="F5156" s="169"/>
      <c r="G5156" s="169" t="s">
        <v>7250</v>
      </c>
      <c r="H5156" s="169" t="s">
        <v>7251</v>
      </c>
      <c r="I5156" s="169" t="s">
        <v>2116</v>
      </c>
      <c r="J5156" s="169" t="s">
        <v>2113</v>
      </c>
      <c r="K5156" s="141"/>
      <c r="L5156" s="135" t="str">
        <f t="shared" si="288"/>
        <v>Callithrix flaviceps</v>
      </c>
      <c r="M5156" s="133">
        <f t="shared" si="289"/>
        <v>2.5340300000000004</v>
      </c>
      <c r="N5156" s="170">
        <v>342.00306643263428</v>
      </c>
      <c r="O5156" s="179" t="s">
        <v>7081</v>
      </c>
      <c r="P5156" s="108">
        <v>61</v>
      </c>
      <c r="Q5156" s="91" t="s">
        <v>6640</v>
      </c>
    </row>
    <row r="5157" spans="1:17">
      <c r="A5157" s="118" t="s">
        <v>7297</v>
      </c>
      <c r="B5157" s="166"/>
      <c r="C5157" s="169" t="s">
        <v>3817</v>
      </c>
      <c r="D5157" s="165"/>
      <c r="E5157" s="169"/>
      <c r="F5157" s="169"/>
      <c r="G5157" s="169" t="s">
        <v>7250</v>
      </c>
      <c r="H5157" s="169" t="s">
        <v>7251</v>
      </c>
      <c r="I5157" s="169" t="s">
        <v>2116</v>
      </c>
      <c r="J5157" s="169" t="s">
        <v>3777</v>
      </c>
      <c r="K5157" s="141"/>
      <c r="L5157" s="135" t="str">
        <f t="shared" si="288"/>
        <v>Callithrix geoffroyi</v>
      </c>
      <c r="M5157" s="133">
        <f t="shared" si="289"/>
        <v>2.5340300000000004</v>
      </c>
      <c r="N5157" s="170">
        <v>342.00306643263428</v>
      </c>
      <c r="O5157" s="179" t="s">
        <v>7120</v>
      </c>
      <c r="P5157" s="108">
        <v>61</v>
      </c>
      <c r="Q5157" s="91" t="s">
        <v>6988</v>
      </c>
    </row>
    <row r="5158" spans="1:17">
      <c r="A5158" s="118" t="s">
        <v>7297</v>
      </c>
      <c r="B5158" s="166"/>
      <c r="C5158" s="169" t="s">
        <v>3817</v>
      </c>
      <c r="D5158" s="165"/>
      <c r="E5158" s="169"/>
      <c r="F5158" s="169"/>
      <c r="G5158" s="169" t="s">
        <v>7250</v>
      </c>
      <c r="H5158" s="169" t="s">
        <v>7251</v>
      </c>
      <c r="I5158" s="169" t="s">
        <v>2116</v>
      </c>
      <c r="J5158" s="169" t="s">
        <v>4646</v>
      </c>
      <c r="K5158" s="141"/>
      <c r="L5158" s="135" t="str">
        <f t="shared" si="288"/>
        <v>Callithrix kuhlii</v>
      </c>
      <c r="M5158" s="133">
        <f t="shared" si="289"/>
        <v>2.5340300000000004</v>
      </c>
      <c r="N5158" s="170">
        <v>342.00306643263428</v>
      </c>
      <c r="O5158" s="179" t="s">
        <v>3356</v>
      </c>
      <c r="P5158" s="108">
        <v>61</v>
      </c>
    </row>
    <row r="5159" spans="1:17">
      <c r="A5159" s="118" t="s">
        <v>7297</v>
      </c>
      <c r="B5159" s="166"/>
      <c r="C5159" s="169" t="s">
        <v>3817</v>
      </c>
      <c r="D5159" s="165"/>
      <c r="E5159" s="169"/>
      <c r="F5159" s="169"/>
      <c r="G5159" s="169" t="s">
        <v>7250</v>
      </c>
      <c r="H5159" s="169" t="s">
        <v>7251</v>
      </c>
      <c r="I5159" s="169" t="s">
        <v>2116</v>
      </c>
      <c r="J5159" s="169" t="s">
        <v>7098</v>
      </c>
      <c r="K5159" s="141"/>
      <c r="L5159" s="135" t="str">
        <f t="shared" si="288"/>
        <v>Callithrix penicillata</v>
      </c>
      <c r="M5159" s="133">
        <f t="shared" si="289"/>
        <v>2.5340300000000004</v>
      </c>
      <c r="N5159" s="170">
        <v>342.00306643263428</v>
      </c>
      <c r="O5159" s="179" t="s">
        <v>3356</v>
      </c>
      <c r="P5159" s="108">
        <v>61</v>
      </c>
    </row>
    <row r="5160" spans="1:17">
      <c r="A5160" s="118" t="s">
        <v>7297</v>
      </c>
      <c r="B5160" s="166"/>
      <c r="C5160" s="169" t="s">
        <v>3817</v>
      </c>
      <c r="D5160" s="165"/>
      <c r="E5160" s="169"/>
      <c r="F5160" s="169"/>
      <c r="G5160" s="169" t="s">
        <v>7250</v>
      </c>
      <c r="H5160" s="169" t="s">
        <v>7251</v>
      </c>
      <c r="I5160" s="169" t="s">
        <v>2116</v>
      </c>
      <c r="J5160" s="169" t="s">
        <v>7163</v>
      </c>
      <c r="K5160" s="141"/>
      <c r="L5160" s="135" t="str">
        <f t="shared" si="288"/>
        <v>Callithrix humeralifer</v>
      </c>
      <c r="M5160" s="133">
        <f t="shared" si="289"/>
        <v>2.5440700000000005</v>
      </c>
      <c r="N5160" s="170">
        <v>350.00157607101471</v>
      </c>
      <c r="O5160" s="179" t="s">
        <v>6641</v>
      </c>
      <c r="P5160" s="108">
        <v>61</v>
      </c>
      <c r="Q5160" s="91" t="s">
        <v>6988</v>
      </c>
    </row>
    <row r="5161" spans="1:17">
      <c r="A5161" s="121" t="s">
        <v>7297</v>
      </c>
      <c r="B5161" s="166"/>
      <c r="C5161" s="169" t="s">
        <v>3817</v>
      </c>
      <c r="D5161" s="165"/>
      <c r="E5161" s="169"/>
      <c r="F5161" s="169"/>
      <c r="G5161" s="169" t="s">
        <v>7250</v>
      </c>
      <c r="H5161" s="169" t="s">
        <v>7251</v>
      </c>
      <c r="I5161" s="169" t="s">
        <v>2116</v>
      </c>
      <c r="J5161" s="169" t="s">
        <v>2117</v>
      </c>
      <c r="K5161" s="141"/>
      <c r="L5161" s="135" t="str">
        <f t="shared" si="288"/>
        <v>Callithrix argentata</v>
      </c>
      <c r="M5161" s="133">
        <f t="shared" si="289"/>
        <v>2.6434500000000005</v>
      </c>
      <c r="N5161" s="170">
        <v>439.99728835998962</v>
      </c>
      <c r="O5161" s="179" t="s">
        <v>6641</v>
      </c>
      <c r="P5161" s="108">
        <v>61</v>
      </c>
      <c r="Q5161" s="91" t="s">
        <v>6988</v>
      </c>
    </row>
    <row r="5162" spans="1:17">
      <c r="A5162" s="118" t="s">
        <v>7297</v>
      </c>
      <c r="B5162" s="166"/>
      <c r="C5162" s="169" t="s">
        <v>3817</v>
      </c>
      <c r="D5162" s="165"/>
      <c r="E5162" s="169"/>
      <c r="F5162" s="169"/>
      <c r="G5162" s="169" t="s">
        <v>7250</v>
      </c>
      <c r="H5162" s="169" t="s">
        <v>7251</v>
      </c>
      <c r="I5162" s="169" t="s">
        <v>1943</v>
      </c>
      <c r="J5162" s="169" t="s">
        <v>7166</v>
      </c>
      <c r="K5162" s="141"/>
      <c r="L5162" s="135" t="str">
        <f t="shared" si="288"/>
        <v>Leontopithecus rosalia</v>
      </c>
      <c r="M5162" s="133">
        <f t="shared" si="289"/>
        <v>2.7287600000000003</v>
      </c>
      <c r="N5162" s="170">
        <v>535.50064713641302</v>
      </c>
      <c r="O5162" s="179" t="s">
        <v>7081</v>
      </c>
      <c r="P5162" s="117">
        <v>61</v>
      </c>
      <c r="Q5162" s="90" t="s">
        <v>7071</v>
      </c>
    </row>
    <row r="5163" spans="1:17">
      <c r="A5163" s="121" t="s">
        <v>7297</v>
      </c>
      <c r="B5163" s="166"/>
      <c r="C5163" s="169" t="s">
        <v>3817</v>
      </c>
      <c r="D5163" s="165"/>
      <c r="E5163" s="169"/>
      <c r="F5163" s="169"/>
      <c r="G5163" s="169" t="s">
        <v>7250</v>
      </c>
      <c r="H5163" s="169" t="s">
        <v>7251</v>
      </c>
      <c r="I5163" s="169" t="s">
        <v>1943</v>
      </c>
      <c r="J5163" s="169" t="s">
        <v>7165</v>
      </c>
      <c r="K5163" s="141"/>
      <c r="L5163" s="135" t="str">
        <f t="shared" si="288"/>
        <v>Leontopithecus chrysomela</v>
      </c>
      <c r="M5163" s="133">
        <f t="shared" si="289"/>
        <v>2.8451000000000004</v>
      </c>
      <c r="N5163" s="170">
        <v>700.0031591308973</v>
      </c>
      <c r="O5163" s="179" t="s">
        <v>7081</v>
      </c>
      <c r="P5163" s="117">
        <v>61</v>
      </c>
      <c r="Q5163" s="90" t="s">
        <v>6640</v>
      </c>
    </row>
    <row r="5164" spans="1:17">
      <c r="A5164" s="121" t="s">
        <v>7297</v>
      </c>
      <c r="B5164" s="166"/>
      <c r="C5164" s="169" t="s">
        <v>3817</v>
      </c>
      <c r="D5164" s="165"/>
      <c r="E5164" s="169"/>
      <c r="F5164" s="169"/>
      <c r="G5164" s="169" t="s">
        <v>7250</v>
      </c>
      <c r="H5164" s="169" t="s">
        <v>7251</v>
      </c>
      <c r="I5164" s="169" t="s">
        <v>1943</v>
      </c>
      <c r="J5164" s="169" t="s">
        <v>4272</v>
      </c>
      <c r="K5164" s="141"/>
      <c r="L5164" s="135" t="str">
        <f t="shared" si="288"/>
        <v>Leontopithecus chrysopygus</v>
      </c>
      <c r="M5164" s="133">
        <f t="shared" si="289"/>
        <v>2.8451000000000004</v>
      </c>
      <c r="N5164" s="170">
        <v>700.0031591308973</v>
      </c>
      <c r="O5164" s="179" t="s">
        <v>7081</v>
      </c>
      <c r="P5164" s="117">
        <v>61</v>
      </c>
      <c r="Q5164" s="90" t="s">
        <v>7071</v>
      </c>
    </row>
    <row r="5165" spans="1:17">
      <c r="A5165" s="121" t="s">
        <v>7297</v>
      </c>
      <c r="B5165" s="166"/>
      <c r="C5165" s="169" t="s">
        <v>3817</v>
      </c>
      <c r="D5165" s="165"/>
      <c r="E5165" s="169"/>
      <c r="F5165" s="169"/>
      <c r="G5165" s="169" t="s">
        <v>7250</v>
      </c>
      <c r="H5165" s="169" t="s">
        <v>7251</v>
      </c>
      <c r="I5165" s="169" t="s">
        <v>7167</v>
      </c>
      <c r="J5165" s="169" t="s">
        <v>4647</v>
      </c>
      <c r="K5165" s="141"/>
      <c r="L5165" s="135" t="str">
        <f t="shared" si="288"/>
        <v>Saguinus fuscicollis</v>
      </c>
      <c r="M5165" s="133">
        <f t="shared" si="289"/>
        <v>2.58771</v>
      </c>
      <c r="N5165" s="170">
        <v>386.99914007218763</v>
      </c>
      <c r="O5165" s="179" t="s">
        <v>3356</v>
      </c>
      <c r="P5165" s="117">
        <v>61</v>
      </c>
    </row>
    <row r="5166" spans="1:17">
      <c r="A5166" s="118" t="s">
        <v>7297</v>
      </c>
      <c r="B5166" s="166"/>
      <c r="C5166" s="169" t="s">
        <v>3817</v>
      </c>
      <c r="D5166" s="165"/>
      <c r="E5166" s="169"/>
      <c r="F5166" s="169"/>
      <c r="G5166" s="169" t="s">
        <v>7250</v>
      </c>
      <c r="H5166" s="169" t="s">
        <v>7251</v>
      </c>
      <c r="I5166" s="169" t="s">
        <v>7167</v>
      </c>
      <c r="J5166" s="169" t="s">
        <v>2606</v>
      </c>
      <c r="K5166" s="141"/>
      <c r="L5166" s="135" t="str">
        <f t="shared" si="288"/>
        <v>Saguinus tripartitus</v>
      </c>
      <c r="M5166" s="133">
        <f t="shared" si="289"/>
        <v>2.5949399999999998</v>
      </c>
      <c r="N5166" s="170">
        <v>393.49570825919136</v>
      </c>
      <c r="O5166" s="179" t="s">
        <v>3356</v>
      </c>
      <c r="P5166" s="117">
        <v>61</v>
      </c>
    </row>
    <row r="5167" spans="1:17">
      <c r="A5167" s="121" t="s">
        <v>7297</v>
      </c>
      <c r="B5167" s="166"/>
      <c r="C5167" s="169" t="s">
        <v>3817</v>
      </c>
      <c r="D5167" s="165"/>
      <c r="E5167" s="169"/>
      <c r="F5167" s="169"/>
      <c r="G5167" s="169" t="s">
        <v>7250</v>
      </c>
      <c r="H5167" s="169" t="s">
        <v>7251</v>
      </c>
      <c r="I5167" s="169" t="s">
        <v>7167</v>
      </c>
      <c r="J5167" s="169" t="s">
        <v>4648</v>
      </c>
      <c r="K5167" s="156"/>
      <c r="L5167" s="135" t="str">
        <f t="shared" si="288"/>
        <v>Saguinus imperator</v>
      </c>
      <c r="M5167" s="133">
        <f t="shared" si="289"/>
        <v>2.6020600000000003</v>
      </c>
      <c r="N5167" s="170">
        <v>400.0000079872421</v>
      </c>
      <c r="O5167" s="179" t="s">
        <v>3356</v>
      </c>
      <c r="P5167" s="117">
        <v>61</v>
      </c>
    </row>
    <row r="5168" spans="1:17">
      <c r="A5168" s="121" t="s">
        <v>7297</v>
      </c>
      <c r="B5168" s="166"/>
      <c r="C5168" s="169" t="s">
        <v>3817</v>
      </c>
      <c r="D5168" s="165"/>
      <c r="E5168" s="169"/>
      <c r="F5168" s="169"/>
      <c r="G5168" s="169" t="s">
        <v>7250</v>
      </c>
      <c r="H5168" s="169" t="s">
        <v>7251</v>
      </c>
      <c r="I5168" s="169" t="s">
        <v>7167</v>
      </c>
      <c r="J5168" s="169" t="s">
        <v>4649</v>
      </c>
      <c r="K5168" s="141"/>
      <c r="L5168" s="135" t="str">
        <f t="shared" si="288"/>
        <v>Saguinus inustus</v>
      </c>
      <c r="M5168" s="133">
        <f t="shared" si="289"/>
        <v>2.6133100000000002</v>
      </c>
      <c r="N5168" s="170">
        <v>410.49701176782906</v>
      </c>
      <c r="O5168" s="179" t="s">
        <v>3356</v>
      </c>
      <c r="P5168" s="117">
        <v>61</v>
      </c>
    </row>
    <row r="5169" spans="1:17">
      <c r="A5169" s="118" t="s">
        <v>7297</v>
      </c>
      <c r="B5169" s="166"/>
      <c r="C5169" s="169" t="s">
        <v>3817</v>
      </c>
      <c r="D5169" s="165"/>
      <c r="E5169" s="169"/>
      <c r="F5169" s="169"/>
      <c r="G5169" s="169" t="s">
        <v>7250</v>
      </c>
      <c r="H5169" s="169" t="s">
        <v>7251</v>
      </c>
      <c r="I5169" s="169" t="s">
        <v>7167</v>
      </c>
      <c r="J5169" s="169" t="s">
        <v>2357</v>
      </c>
      <c r="K5169" s="141"/>
      <c r="L5169" s="135" t="str">
        <f t="shared" si="288"/>
        <v>Saguinus oedipus</v>
      </c>
      <c r="M5169" s="133">
        <f t="shared" si="289"/>
        <v>2.6334700000000004</v>
      </c>
      <c r="N5169" s="170">
        <v>430.00152915127035</v>
      </c>
      <c r="O5169" s="179" t="s">
        <v>6641</v>
      </c>
      <c r="P5169" s="117">
        <v>61</v>
      </c>
      <c r="Q5169" s="90" t="s">
        <v>6640</v>
      </c>
    </row>
    <row r="5170" spans="1:17">
      <c r="A5170" s="118" t="s">
        <v>7297</v>
      </c>
      <c r="B5170" s="166"/>
      <c r="C5170" s="169" t="s">
        <v>3817</v>
      </c>
      <c r="D5170" s="165"/>
      <c r="E5170" s="169"/>
      <c r="F5170" s="169"/>
      <c r="G5170" s="169" t="s">
        <v>7250</v>
      </c>
      <c r="H5170" s="169" t="s">
        <v>7251</v>
      </c>
      <c r="I5170" s="169" t="s">
        <v>7167</v>
      </c>
      <c r="J5170" s="169" t="s">
        <v>7491</v>
      </c>
      <c r="K5170" s="141"/>
      <c r="L5170" s="135" t="str">
        <f t="shared" si="288"/>
        <v>Saguinus leucopus</v>
      </c>
      <c r="M5170" s="133">
        <f t="shared" si="289"/>
        <v>2.6434500000000005</v>
      </c>
      <c r="N5170" s="170">
        <v>439.99728835998962</v>
      </c>
      <c r="O5170" s="179" t="s">
        <v>6882</v>
      </c>
      <c r="P5170" s="120">
        <v>61</v>
      </c>
      <c r="Q5170" s="90" t="s">
        <v>6988</v>
      </c>
    </row>
    <row r="5171" spans="1:17">
      <c r="A5171" s="118" t="s">
        <v>7297</v>
      </c>
      <c r="B5171" s="166"/>
      <c r="C5171" s="169" t="s">
        <v>3817</v>
      </c>
      <c r="D5171" s="165"/>
      <c r="E5171" s="169"/>
      <c r="F5171" s="169"/>
      <c r="G5171" s="169" t="s">
        <v>7250</v>
      </c>
      <c r="H5171" s="169" t="s">
        <v>7251</v>
      </c>
      <c r="I5171" s="169" t="s">
        <v>7167</v>
      </c>
      <c r="J5171" s="169" t="s">
        <v>7341</v>
      </c>
      <c r="K5171" s="141"/>
      <c r="L5171" s="135" t="str">
        <f t="shared" si="288"/>
        <v>Saguinus nigricollis</v>
      </c>
      <c r="M5171" s="133">
        <f t="shared" si="289"/>
        <v>2.6646399999999999</v>
      </c>
      <c r="N5171" s="170">
        <v>461.99789841940873</v>
      </c>
      <c r="O5171" s="179" t="s">
        <v>3356</v>
      </c>
      <c r="P5171" s="117">
        <v>61</v>
      </c>
    </row>
    <row r="5172" spans="1:17" ht="15" customHeight="1">
      <c r="A5172" s="118" t="s">
        <v>7297</v>
      </c>
      <c r="B5172" s="166"/>
      <c r="C5172" s="169" t="s">
        <v>3817</v>
      </c>
      <c r="D5172" s="165"/>
      <c r="E5172" s="169"/>
      <c r="F5172" s="169"/>
      <c r="G5172" s="169" t="s">
        <v>7250</v>
      </c>
      <c r="H5172" s="169" t="s">
        <v>7251</v>
      </c>
      <c r="I5172" s="169" t="s">
        <v>7167</v>
      </c>
      <c r="J5172" s="169" t="s">
        <v>4010</v>
      </c>
      <c r="K5172" s="141"/>
      <c r="L5172" s="135" t="str">
        <f t="shared" si="288"/>
        <v>Saguinus bicolor</v>
      </c>
      <c r="M5172" s="133">
        <f t="shared" si="289"/>
        <v>2.6674500000000005</v>
      </c>
      <c r="N5172" s="170">
        <v>464.99683834536808</v>
      </c>
      <c r="O5172" s="179" t="s">
        <v>6882</v>
      </c>
      <c r="P5172" s="117">
        <v>61</v>
      </c>
      <c r="Q5172" s="90" t="s">
        <v>6640</v>
      </c>
    </row>
    <row r="5173" spans="1:17">
      <c r="A5173" s="121" t="s">
        <v>7297</v>
      </c>
      <c r="B5173" s="166"/>
      <c r="C5173" s="169" t="s">
        <v>3817</v>
      </c>
      <c r="D5173" s="165"/>
      <c r="E5173" s="169"/>
      <c r="F5173" s="169"/>
      <c r="G5173" s="169" t="s">
        <v>7250</v>
      </c>
      <c r="H5173" s="169" t="s">
        <v>7251</v>
      </c>
      <c r="I5173" s="169" t="s">
        <v>7167</v>
      </c>
      <c r="J5173" s="169" t="s">
        <v>3777</v>
      </c>
      <c r="K5173" s="141"/>
      <c r="L5173" s="135" t="str">
        <f t="shared" si="288"/>
        <v>Saguinus geoffroyi</v>
      </c>
      <c r="M5173" s="133">
        <f t="shared" si="289"/>
        <v>2.6870800000000004</v>
      </c>
      <c r="N5173" s="170">
        <v>486.4968134628653</v>
      </c>
      <c r="O5173" s="179" t="s">
        <v>3356</v>
      </c>
      <c r="P5173" s="117">
        <v>61</v>
      </c>
    </row>
    <row r="5174" spans="1:17">
      <c r="A5174" s="118" t="s">
        <v>7297</v>
      </c>
      <c r="B5174" s="166"/>
      <c r="C5174" s="169" t="s">
        <v>3817</v>
      </c>
      <c r="D5174" s="165"/>
      <c r="E5174" s="169"/>
      <c r="F5174" s="169"/>
      <c r="G5174" s="169" t="s">
        <v>7250</v>
      </c>
      <c r="H5174" s="169" t="s">
        <v>7251</v>
      </c>
      <c r="I5174" s="169" t="s">
        <v>7167</v>
      </c>
      <c r="J5174" s="169" t="s">
        <v>7493</v>
      </c>
      <c r="K5174" s="141"/>
      <c r="L5174" s="135" t="str">
        <f t="shared" si="288"/>
        <v>Saguinus midas</v>
      </c>
      <c r="M5174" s="133">
        <f t="shared" si="289"/>
        <v>2.7323900000000001</v>
      </c>
      <c r="N5174" s="170">
        <v>539.99532507158392</v>
      </c>
      <c r="O5174" s="179" t="s">
        <v>3356</v>
      </c>
      <c r="P5174" s="117">
        <v>61</v>
      </c>
    </row>
    <row r="5175" spans="1:17" ht="15" customHeight="1">
      <c r="A5175" s="118" t="s">
        <v>7297</v>
      </c>
      <c r="B5175" s="166"/>
      <c r="C5175" s="169" t="s">
        <v>3817</v>
      </c>
      <c r="D5175" s="165"/>
      <c r="E5175" s="169"/>
      <c r="F5175" s="169"/>
      <c r="G5175" s="169" t="s">
        <v>7250</v>
      </c>
      <c r="H5175" s="169" t="s">
        <v>7251</v>
      </c>
      <c r="I5175" s="169" t="s">
        <v>7167</v>
      </c>
      <c r="J5175" s="169" t="s">
        <v>2322</v>
      </c>
      <c r="K5175" s="141"/>
      <c r="L5175" s="135" t="str">
        <f t="shared" si="288"/>
        <v>Saguinus labiatus</v>
      </c>
      <c r="M5175" s="133">
        <f t="shared" si="289"/>
        <v>2.7596699999999998</v>
      </c>
      <c r="N5175" s="170">
        <v>575.00285360875932</v>
      </c>
      <c r="O5175" s="179" t="s">
        <v>3356</v>
      </c>
      <c r="P5175" s="117">
        <v>61</v>
      </c>
    </row>
    <row r="5176" spans="1:17">
      <c r="A5176" s="118" t="s">
        <v>7297</v>
      </c>
      <c r="B5176" s="166"/>
      <c r="C5176" s="169" t="s">
        <v>3817</v>
      </c>
      <c r="D5176" s="165"/>
      <c r="E5176" s="169"/>
      <c r="F5176" s="169"/>
      <c r="G5176" s="169" t="s">
        <v>7250</v>
      </c>
      <c r="H5176" s="169" t="s">
        <v>7251</v>
      </c>
      <c r="I5176" s="169" t="s">
        <v>7167</v>
      </c>
      <c r="J5176" s="169" t="s">
        <v>7494</v>
      </c>
      <c r="K5176" s="141"/>
      <c r="L5176" s="135" t="str">
        <f t="shared" si="288"/>
        <v>Saguinus mystax</v>
      </c>
      <c r="M5176" s="133">
        <f t="shared" si="289"/>
        <v>2.7909900000000003</v>
      </c>
      <c r="N5176" s="170">
        <v>618.0021699487462</v>
      </c>
      <c r="O5176" s="179" t="s">
        <v>3356</v>
      </c>
      <c r="P5176" s="117">
        <v>61</v>
      </c>
    </row>
    <row r="5177" spans="1:17">
      <c r="A5177" s="121" t="s">
        <v>7297</v>
      </c>
      <c r="B5177" s="166"/>
      <c r="C5177" s="169" t="s">
        <v>3817</v>
      </c>
      <c r="D5177" s="165"/>
      <c r="E5177" s="169"/>
      <c r="F5177" s="169"/>
      <c r="G5177" s="169" t="s">
        <v>7250</v>
      </c>
      <c r="H5177" s="169" t="s">
        <v>5057</v>
      </c>
      <c r="I5177" s="169" t="s">
        <v>5058</v>
      </c>
      <c r="J5177" s="169" t="s">
        <v>4491</v>
      </c>
      <c r="K5177" s="141"/>
      <c r="L5177" s="135" t="str">
        <f t="shared" si="288"/>
        <v>Alouatta caraya</v>
      </c>
      <c r="M5177" s="133">
        <f t="shared" si="289"/>
        <v>3.7680799999999999</v>
      </c>
      <c r="N5177" s="170">
        <v>5862.4614509910643</v>
      </c>
      <c r="O5177" s="179" t="s">
        <v>3356</v>
      </c>
      <c r="P5177" s="108">
        <v>61</v>
      </c>
    </row>
    <row r="5178" spans="1:17">
      <c r="A5178" s="118" t="s">
        <v>7297</v>
      </c>
      <c r="B5178" s="166"/>
      <c r="C5178" s="169" t="s">
        <v>3817</v>
      </c>
      <c r="D5178" s="165"/>
      <c r="E5178" s="169"/>
      <c r="F5178" s="169"/>
      <c r="G5178" s="169" t="s">
        <v>7250</v>
      </c>
      <c r="H5178" s="169" t="s">
        <v>5057</v>
      </c>
      <c r="I5178" s="169" t="s">
        <v>5058</v>
      </c>
      <c r="J5178" s="169" t="s">
        <v>7471</v>
      </c>
      <c r="K5178" s="141"/>
      <c r="L5178" s="135" t="str">
        <f t="shared" si="288"/>
        <v>Alouatta seniculus</v>
      </c>
      <c r="M5178" s="133">
        <f t="shared" si="289"/>
        <v>3.7885599999999999</v>
      </c>
      <c r="N5178" s="170">
        <v>6145.5392960411627</v>
      </c>
      <c r="O5178" s="179" t="s">
        <v>3356</v>
      </c>
      <c r="P5178" s="108">
        <v>60</v>
      </c>
      <c r="Q5178" s="91"/>
    </row>
    <row r="5179" spans="1:17">
      <c r="A5179" s="118" t="s">
        <v>7297</v>
      </c>
      <c r="B5179" s="166"/>
      <c r="C5179" s="169" t="s">
        <v>3817</v>
      </c>
      <c r="D5179" s="165"/>
      <c r="E5179" s="169"/>
      <c r="F5179" s="169"/>
      <c r="G5179" s="169" t="s">
        <v>7250</v>
      </c>
      <c r="H5179" s="169" t="s">
        <v>5057</v>
      </c>
      <c r="I5179" s="169" t="s">
        <v>5058</v>
      </c>
      <c r="J5179" s="169" t="s">
        <v>7484</v>
      </c>
      <c r="K5179" s="156"/>
      <c r="L5179" s="135" t="str">
        <f t="shared" si="288"/>
        <v>Alouatta belzebul</v>
      </c>
      <c r="M5179" s="133">
        <f t="shared" si="289"/>
        <v>3.8061799999999999</v>
      </c>
      <c r="N5179" s="170">
        <v>6400.0003833876181</v>
      </c>
      <c r="O5179" s="179" t="s">
        <v>3356</v>
      </c>
      <c r="P5179" s="108">
        <v>61</v>
      </c>
    </row>
    <row r="5180" spans="1:17">
      <c r="A5180" s="118" t="s">
        <v>7297</v>
      </c>
      <c r="B5180" s="166"/>
      <c r="C5180" s="169" t="s">
        <v>3817</v>
      </c>
      <c r="D5180" s="165"/>
      <c r="E5180" s="169"/>
      <c r="F5180" s="169"/>
      <c r="G5180" s="169" t="s">
        <v>7250</v>
      </c>
      <c r="H5180" s="169" t="s">
        <v>5057</v>
      </c>
      <c r="I5180" s="169" t="s">
        <v>5058</v>
      </c>
      <c r="J5180" s="169" t="s">
        <v>4094</v>
      </c>
      <c r="K5180" s="141"/>
      <c r="L5180" s="135" t="str">
        <f t="shared" si="288"/>
        <v>Alouatta sara</v>
      </c>
      <c r="M5180" s="133">
        <f t="shared" si="289"/>
        <v>3.8202700000000003</v>
      </c>
      <c r="N5180" s="170">
        <v>6611.0432749462834</v>
      </c>
      <c r="O5180" s="179" t="s">
        <v>3356</v>
      </c>
      <c r="P5180" s="108">
        <v>61</v>
      </c>
      <c r="Q5180" s="91"/>
    </row>
    <row r="5181" spans="1:17">
      <c r="A5181" s="118" t="s">
        <v>7297</v>
      </c>
      <c r="B5181" s="166"/>
      <c r="C5181" s="169" t="s">
        <v>3817</v>
      </c>
      <c r="D5181" s="165"/>
      <c r="E5181" s="169"/>
      <c r="F5181" s="169"/>
      <c r="G5181" s="169" t="s">
        <v>7250</v>
      </c>
      <c r="H5181" s="169" t="s">
        <v>5057</v>
      </c>
      <c r="I5181" s="169" t="s">
        <v>5058</v>
      </c>
      <c r="J5181" s="169" t="s">
        <v>5059</v>
      </c>
      <c r="K5181" s="141"/>
      <c r="L5181" s="135" t="str">
        <f t="shared" si="288"/>
        <v>Alouatta palliata</v>
      </c>
      <c r="M5181" s="133">
        <f t="shared" si="289"/>
        <v>3.8618300000000003</v>
      </c>
      <c r="N5181" s="170">
        <v>7274.9497854861338</v>
      </c>
      <c r="O5181" s="179" t="s">
        <v>3356</v>
      </c>
      <c r="P5181" s="108">
        <v>60</v>
      </c>
      <c r="Q5181" s="91"/>
    </row>
    <row r="5182" spans="1:17">
      <c r="A5182" s="118" t="s">
        <v>7297</v>
      </c>
      <c r="B5182" s="166"/>
      <c r="C5182" s="169" t="s">
        <v>3817</v>
      </c>
      <c r="D5182" s="165"/>
      <c r="E5182" s="169"/>
      <c r="F5182" s="169"/>
      <c r="G5182" s="169" t="s">
        <v>7250</v>
      </c>
      <c r="H5182" s="169" t="s">
        <v>5057</v>
      </c>
      <c r="I5182" s="169" t="s">
        <v>5058</v>
      </c>
      <c r="J5182" s="169" t="s">
        <v>4093</v>
      </c>
      <c r="K5182" s="141"/>
      <c r="L5182" s="135" t="str">
        <f t="shared" si="288"/>
        <v>Alouatta fusca</v>
      </c>
      <c r="M5182" s="133">
        <f t="shared" si="289"/>
        <v>3.9030900000000006</v>
      </c>
      <c r="N5182" s="170">
        <v>8000.0002396172686</v>
      </c>
      <c r="O5182" s="179" t="s">
        <v>7080</v>
      </c>
      <c r="P5182" s="108">
        <v>60</v>
      </c>
      <c r="Q5182" s="91" t="s">
        <v>6988</v>
      </c>
    </row>
    <row r="5183" spans="1:17">
      <c r="A5183" s="118" t="s">
        <v>7297</v>
      </c>
      <c r="B5183" s="166"/>
      <c r="C5183" s="169" t="s">
        <v>3817</v>
      </c>
      <c r="D5183" s="165"/>
      <c r="E5183" s="169"/>
      <c r="F5183" s="169"/>
      <c r="G5183" s="169" t="s">
        <v>7250</v>
      </c>
      <c r="H5183" s="169" t="s">
        <v>5057</v>
      </c>
      <c r="I5183" s="169" t="s">
        <v>7472</v>
      </c>
      <c r="J5183" s="169" t="s">
        <v>4787</v>
      </c>
      <c r="K5183" s="141"/>
      <c r="L5183" s="135" t="str">
        <f t="shared" si="288"/>
        <v>Aotus nancymaae</v>
      </c>
      <c r="M5183" s="133">
        <f t="shared" si="289"/>
        <v>2.8965300000000003</v>
      </c>
      <c r="N5183" s="170">
        <v>788.00686315699284</v>
      </c>
      <c r="O5183" s="179" t="s">
        <v>3356</v>
      </c>
      <c r="P5183" s="108">
        <v>61</v>
      </c>
    </row>
    <row r="5184" spans="1:17" ht="15" customHeight="1">
      <c r="A5184" s="121" t="s">
        <v>7297</v>
      </c>
      <c r="B5184" s="166"/>
      <c r="C5184" s="169" t="s">
        <v>3817</v>
      </c>
      <c r="D5184" s="165"/>
      <c r="E5184" s="169"/>
      <c r="F5184" s="169"/>
      <c r="G5184" s="169" t="s">
        <v>7250</v>
      </c>
      <c r="H5184" s="169" t="s">
        <v>5057</v>
      </c>
      <c r="I5184" s="169" t="s">
        <v>7472</v>
      </c>
      <c r="J5184" s="169" t="s">
        <v>2281</v>
      </c>
      <c r="K5184" s="141"/>
      <c r="L5184" s="135" t="str">
        <f t="shared" si="288"/>
        <v>Aotus brumbacki</v>
      </c>
      <c r="M5184" s="133">
        <f t="shared" si="289"/>
        <v>2.9030900000000006</v>
      </c>
      <c r="N5184" s="170">
        <v>800.0000239617267</v>
      </c>
      <c r="O5184" s="179" t="s">
        <v>3356</v>
      </c>
      <c r="P5184" s="108">
        <v>61</v>
      </c>
      <c r="Q5184" s="91"/>
    </row>
    <row r="5185" spans="1:17">
      <c r="A5185" s="121" t="s">
        <v>7297</v>
      </c>
      <c r="B5185" s="166"/>
      <c r="C5185" s="169" t="s">
        <v>3817</v>
      </c>
      <c r="D5185" s="165"/>
      <c r="E5185" s="169"/>
      <c r="F5185" s="169"/>
      <c r="G5185" s="169" t="s">
        <v>7250</v>
      </c>
      <c r="H5185" s="169" t="s">
        <v>5057</v>
      </c>
      <c r="I5185" s="169" t="s">
        <v>7472</v>
      </c>
      <c r="J5185" s="169" t="s">
        <v>2410</v>
      </c>
      <c r="K5185" s="141"/>
      <c r="L5185" s="135" t="str">
        <f t="shared" si="288"/>
        <v>Aotus hershkovitzi</v>
      </c>
      <c r="M5185" s="133">
        <f t="shared" si="289"/>
        <v>2.9030900000000006</v>
      </c>
      <c r="N5185" s="170">
        <v>800.0000239617267</v>
      </c>
      <c r="O5185" s="179" t="s">
        <v>3356</v>
      </c>
      <c r="P5185" s="108">
        <v>61</v>
      </c>
      <c r="Q5185" s="91" t="s">
        <v>6987</v>
      </c>
    </row>
    <row r="5186" spans="1:17">
      <c r="A5186" s="118" t="s">
        <v>7297</v>
      </c>
      <c r="B5186" s="166"/>
      <c r="C5186" s="169" t="s">
        <v>3817</v>
      </c>
      <c r="D5186" s="165"/>
      <c r="E5186" s="169"/>
      <c r="F5186" s="169"/>
      <c r="G5186" s="169" t="s">
        <v>7250</v>
      </c>
      <c r="H5186" s="169" t="s">
        <v>5057</v>
      </c>
      <c r="I5186" s="169" t="s">
        <v>7472</v>
      </c>
      <c r="J5186" s="169" t="s">
        <v>7455</v>
      </c>
      <c r="K5186" s="141"/>
      <c r="L5186" s="135" t="str">
        <f t="shared" si="288"/>
        <v>Aotus infulatus</v>
      </c>
      <c r="M5186" s="133">
        <f t="shared" si="289"/>
        <v>2.9030900000000006</v>
      </c>
      <c r="N5186" s="170">
        <v>800.0000239617267</v>
      </c>
      <c r="O5186" s="179" t="s">
        <v>3356</v>
      </c>
      <c r="P5186" s="108">
        <v>61</v>
      </c>
    </row>
    <row r="5187" spans="1:17">
      <c r="A5187" s="118" t="s">
        <v>7297</v>
      </c>
      <c r="B5187" s="166"/>
      <c r="C5187" s="169" t="s">
        <v>3817</v>
      </c>
      <c r="D5187" s="165"/>
      <c r="E5187" s="169"/>
      <c r="F5187" s="169"/>
      <c r="G5187" s="169" t="s">
        <v>7250</v>
      </c>
      <c r="H5187" s="169" t="s">
        <v>5057</v>
      </c>
      <c r="I5187" s="169" t="s">
        <v>7472</v>
      </c>
      <c r="J5187" s="169" t="s">
        <v>7474</v>
      </c>
      <c r="K5187" s="141"/>
      <c r="L5187" s="135" t="str">
        <f t="shared" si="288"/>
        <v>Aotus miconax</v>
      </c>
      <c r="M5187" s="133">
        <f t="shared" ref="M5187:M5218" si="290">LOG(N5187)</f>
        <v>2.9030900000000006</v>
      </c>
      <c r="N5187" s="170">
        <v>800.0000239617267</v>
      </c>
      <c r="O5187" s="179" t="s">
        <v>6882</v>
      </c>
      <c r="P5187" s="108">
        <v>61</v>
      </c>
      <c r="Q5187" s="90" t="s">
        <v>6988</v>
      </c>
    </row>
    <row r="5188" spans="1:17">
      <c r="A5188" s="118" t="s">
        <v>7297</v>
      </c>
      <c r="B5188" s="166"/>
      <c r="C5188" s="169" t="s">
        <v>3817</v>
      </c>
      <c r="D5188" s="165"/>
      <c r="E5188" s="169"/>
      <c r="F5188" s="169"/>
      <c r="G5188" s="169" t="s">
        <v>7250</v>
      </c>
      <c r="H5188" s="169" t="s">
        <v>5057</v>
      </c>
      <c r="I5188" s="169" t="s">
        <v>7472</v>
      </c>
      <c r="J5188" s="169" t="s">
        <v>4786</v>
      </c>
      <c r="K5188" s="141"/>
      <c r="L5188" s="135" t="str">
        <f t="shared" si="288"/>
        <v>Aotus lemurinus</v>
      </c>
      <c r="M5188" s="133">
        <f t="shared" si="290"/>
        <v>2.9410099999999999</v>
      </c>
      <c r="N5188" s="170">
        <v>872.99146952812839</v>
      </c>
      <c r="O5188" s="179" t="s">
        <v>6773</v>
      </c>
      <c r="P5188" s="108">
        <v>61</v>
      </c>
      <c r="Q5188" s="90" t="s">
        <v>6988</v>
      </c>
    </row>
    <row r="5189" spans="1:17">
      <c r="A5189" s="118" t="s">
        <v>7297</v>
      </c>
      <c r="B5189" s="166"/>
      <c r="C5189" s="169" t="s">
        <v>3817</v>
      </c>
      <c r="D5189" s="165"/>
      <c r="E5189" s="169"/>
      <c r="F5189" s="169"/>
      <c r="G5189" s="169" t="s">
        <v>7250</v>
      </c>
      <c r="H5189" s="169" t="s">
        <v>5057</v>
      </c>
      <c r="I5189" s="169" t="s">
        <v>7472</v>
      </c>
      <c r="J5189" s="169" t="s">
        <v>7298</v>
      </c>
      <c r="K5189" s="141"/>
      <c r="L5189" s="135" t="str">
        <f t="shared" ref="L5189:L5252" si="291">I5189&amp;" "&amp;J5189</f>
        <v>Aotus vociferans</v>
      </c>
      <c r="M5189" s="133">
        <f t="shared" si="290"/>
        <v>2.9410099999999999</v>
      </c>
      <c r="N5189" s="170">
        <v>872.99146952812839</v>
      </c>
      <c r="O5189" s="179" t="s">
        <v>3356</v>
      </c>
      <c r="P5189" s="108">
        <v>61</v>
      </c>
      <c r="Q5189" s="91"/>
    </row>
    <row r="5190" spans="1:17">
      <c r="A5190" s="118" t="s">
        <v>7297</v>
      </c>
      <c r="B5190" s="166"/>
      <c r="C5190" s="169" t="s">
        <v>3817</v>
      </c>
      <c r="D5190" s="165"/>
      <c r="E5190" s="169"/>
      <c r="F5190" s="169"/>
      <c r="G5190" s="169" t="s">
        <v>7250</v>
      </c>
      <c r="H5190" s="169" t="s">
        <v>5057</v>
      </c>
      <c r="I5190" s="169" t="s">
        <v>7472</v>
      </c>
      <c r="J5190" s="169" t="s">
        <v>4636</v>
      </c>
      <c r="K5190" s="141"/>
      <c r="L5190" s="135" t="str">
        <f t="shared" si="291"/>
        <v>Aotus trivirgatus</v>
      </c>
      <c r="M5190" s="133">
        <f t="shared" si="290"/>
        <v>2.9542400000000004</v>
      </c>
      <c r="N5190" s="170">
        <v>899.99479963720182</v>
      </c>
      <c r="O5190" s="179" t="s">
        <v>3356</v>
      </c>
      <c r="P5190" s="108">
        <v>60</v>
      </c>
    </row>
    <row r="5191" spans="1:17">
      <c r="A5191" s="118" t="s">
        <v>7297</v>
      </c>
      <c r="B5191" s="166"/>
      <c r="C5191" s="169" t="s">
        <v>3817</v>
      </c>
      <c r="D5191" s="165"/>
      <c r="E5191" s="169"/>
      <c r="F5191" s="169"/>
      <c r="G5191" s="169" t="s">
        <v>7250</v>
      </c>
      <c r="H5191" s="169" t="s">
        <v>5057</v>
      </c>
      <c r="I5191" s="169" t="s">
        <v>7472</v>
      </c>
      <c r="J5191" s="169" t="s">
        <v>7473</v>
      </c>
      <c r="K5191" s="141"/>
      <c r="L5191" s="135" t="str">
        <f t="shared" si="291"/>
        <v>Aotus azarai</v>
      </c>
      <c r="M5191" s="133">
        <f t="shared" si="290"/>
        <v>2.9835800000000003</v>
      </c>
      <c r="N5191" s="170">
        <v>962.89736888795039</v>
      </c>
      <c r="O5191" s="179" t="s">
        <v>3356</v>
      </c>
      <c r="P5191" s="108">
        <v>61</v>
      </c>
      <c r="Q5191" s="91"/>
    </row>
    <row r="5192" spans="1:17">
      <c r="A5192" s="118" t="s">
        <v>7297</v>
      </c>
      <c r="B5192" s="166"/>
      <c r="C5192" s="169" t="s">
        <v>3817</v>
      </c>
      <c r="D5192" s="165"/>
      <c r="E5192" s="169"/>
      <c r="F5192" s="169"/>
      <c r="G5192" s="169" t="s">
        <v>7250</v>
      </c>
      <c r="H5192" s="169" t="s">
        <v>5057</v>
      </c>
      <c r="I5192" s="169" t="s">
        <v>7472</v>
      </c>
      <c r="J5192" s="169" t="s">
        <v>4788</v>
      </c>
      <c r="K5192" s="141"/>
      <c r="L5192" s="135" t="str">
        <f t="shared" si="291"/>
        <v>Aotus nigriceps</v>
      </c>
      <c r="M5192" s="133">
        <f t="shared" si="290"/>
        <v>3.0253100000000002</v>
      </c>
      <c r="N5192" s="170">
        <v>1060.0100918625265</v>
      </c>
      <c r="O5192" s="179" t="s">
        <v>3356</v>
      </c>
      <c r="P5192" s="108">
        <v>60</v>
      </c>
    </row>
    <row r="5193" spans="1:17">
      <c r="A5193" s="118" t="s">
        <v>7297</v>
      </c>
      <c r="B5193" s="166"/>
      <c r="C5193" s="169" t="s">
        <v>3817</v>
      </c>
      <c r="D5193" s="165"/>
      <c r="E5193" s="169"/>
      <c r="F5193" s="169"/>
      <c r="G5193" s="169" t="s">
        <v>7250</v>
      </c>
      <c r="H5193" s="169" t="s">
        <v>5057</v>
      </c>
      <c r="I5193" s="169" t="s">
        <v>7483</v>
      </c>
      <c r="J5193" s="169" t="s">
        <v>7182</v>
      </c>
      <c r="K5193" s="141"/>
      <c r="L5193" s="135" t="str">
        <f t="shared" si="291"/>
        <v>Ateles belzebuth</v>
      </c>
      <c r="M5193" s="133">
        <f t="shared" si="290"/>
        <v>3.6989700000000001</v>
      </c>
      <c r="N5193" s="170">
        <v>4999.9999500797403</v>
      </c>
      <c r="O5193" s="179" t="s">
        <v>7081</v>
      </c>
      <c r="P5193" s="108">
        <v>60</v>
      </c>
      <c r="Q5193" s="91" t="s">
        <v>6988</v>
      </c>
    </row>
    <row r="5194" spans="1:17">
      <c r="A5194" s="118" t="s">
        <v>7297</v>
      </c>
      <c r="B5194" s="166"/>
      <c r="C5194" s="169" t="s">
        <v>3817</v>
      </c>
      <c r="D5194" s="165"/>
      <c r="E5194" s="169"/>
      <c r="F5194" s="169"/>
      <c r="G5194" s="169" t="s">
        <v>7250</v>
      </c>
      <c r="H5194" s="169" t="s">
        <v>5057</v>
      </c>
      <c r="I5194" s="169" t="s">
        <v>7483</v>
      </c>
      <c r="J5194" s="169" t="s">
        <v>7183</v>
      </c>
      <c r="K5194" s="141"/>
      <c r="L5194" s="135" t="str">
        <f t="shared" si="291"/>
        <v>Ateles chamek</v>
      </c>
      <c r="M5194" s="133">
        <f t="shared" si="290"/>
        <v>3.7781500000000001</v>
      </c>
      <c r="N5194" s="170">
        <v>5999.9827253364419</v>
      </c>
      <c r="O5194" s="179" t="s">
        <v>3356</v>
      </c>
      <c r="P5194" s="108">
        <v>61</v>
      </c>
    </row>
    <row r="5195" spans="1:17" ht="25.5">
      <c r="A5195" s="118" t="s">
        <v>7297</v>
      </c>
      <c r="B5195" s="166"/>
      <c r="C5195" s="169" t="s">
        <v>3817</v>
      </c>
      <c r="D5195" s="165"/>
      <c r="E5195" s="169"/>
      <c r="F5195" s="169"/>
      <c r="G5195" s="169" t="s">
        <v>7250</v>
      </c>
      <c r="H5195" s="169" t="s">
        <v>5057</v>
      </c>
      <c r="I5195" s="169" t="s">
        <v>7483</v>
      </c>
      <c r="J5195" s="169" t="s">
        <v>7055</v>
      </c>
      <c r="K5195" s="141"/>
      <c r="L5195" s="135" t="str">
        <f t="shared" si="291"/>
        <v>Ateles marginatus</v>
      </c>
      <c r="M5195" s="133">
        <f t="shared" si="290"/>
        <v>3.7781500000000001</v>
      </c>
      <c r="N5195" s="170">
        <v>5999.9827253364419</v>
      </c>
      <c r="O5195" s="179" t="s">
        <v>6996</v>
      </c>
      <c r="P5195" s="108">
        <v>61</v>
      </c>
      <c r="Q5195" s="90" t="s">
        <v>6640</v>
      </c>
    </row>
    <row r="5196" spans="1:17">
      <c r="A5196" s="118" t="s">
        <v>7297</v>
      </c>
      <c r="B5196" s="166"/>
      <c r="C5196" s="169" t="s">
        <v>3817</v>
      </c>
      <c r="D5196" s="165"/>
      <c r="E5196" s="169"/>
      <c r="F5196" s="169"/>
      <c r="G5196" s="169" t="s">
        <v>7250</v>
      </c>
      <c r="H5196" s="169" t="s">
        <v>5057</v>
      </c>
      <c r="I5196" s="169" t="s">
        <v>7483</v>
      </c>
      <c r="J5196" s="169" t="s">
        <v>7184</v>
      </c>
      <c r="K5196" s="141"/>
      <c r="L5196" s="135" t="str">
        <f t="shared" si="291"/>
        <v>Ateles paniscus</v>
      </c>
      <c r="M5196" s="133">
        <f t="shared" si="290"/>
        <v>3.8976300000000004</v>
      </c>
      <c r="N5196" s="170">
        <v>7900.0529108322226</v>
      </c>
      <c r="O5196" s="179" t="s">
        <v>3356</v>
      </c>
      <c r="P5196" s="108">
        <v>60</v>
      </c>
    </row>
    <row r="5197" spans="1:17">
      <c r="A5197" s="118" t="s">
        <v>7297</v>
      </c>
      <c r="B5197" s="166"/>
      <c r="C5197" s="169" t="s">
        <v>3817</v>
      </c>
      <c r="D5197" s="165"/>
      <c r="E5197" s="169"/>
      <c r="F5197" s="169"/>
      <c r="G5197" s="169" t="s">
        <v>7250</v>
      </c>
      <c r="H5197" s="169" t="s">
        <v>5057</v>
      </c>
      <c r="I5197" s="169" t="s">
        <v>7483</v>
      </c>
      <c r="J5197" s="169" t="s">
        <v>5054</v>
      </c>
      <c r="K5197" s="141"/>
      <c r="L5197" s="135" t="str">
        <f t="shared" si="291"/>
        <v>Ateles fusciceps</v>
      </c>
      <c r="M5197" s="133">
        <f t="shared" si="290"/>
        <v>3.9590413923210934</v>
      </c>
      <c r="N5197" s="170">
        <v>9100</v>
      </c>
      <c r="O5197" s="179" t="s">
        <v>3356</v>
      </c>
      <c r="P5197" s="108">
        <v>74</v>
      </c>
      <c r="Q5197" s="91"/>
    </row>
    <row r="5198" spans="1:17">
      <c r="A5198" s="118" t="s">
        <v>7297</v>
      </c>
      <c r="B5198" s="166"/>
      <c r="C5198" s="169" t="s">
        <v>3817</v>
      </c>
      <c r="D5198" s="165"/>
      <c r="E5198" s="169"/>
      <c r="F5198" s="169"/>
      <c r="G5198" s="169" t="s">
        <v>7250</v>
      </c>
      <c r="H5198" s="169" t="s">
        <v>5057</v>
      </c>
      <c r="I5198" s="169" t="s">
        <v>7185</v>
      </c>
      <c r="J5198" s="169" t="s">
        <v>4124</v>
      </c>
      <c r="K5198" s="141"/>
      <c r="L5198" s="135" t="str">
        <f t="shared" si="291"/>
        <v>Brachyteles arachnoides</v>
      </c>
      <c r="M5198" s="133">
        <f t="shared" si="290"/>
        <v>4.1303300000000007</v>
      </c>
      <c r="N5198" s="170">
        <v>13499.882857222525</v>
      </c>
      <c r="O5198" s="179" t="s">
        <v>7081</v>
      </c>
      <c r="P5198" s="108">
        <v>61</v>
      </c>
      <c r="Q5198" s="91" t="s">
        <v>7071</v>
      </c>
    </row>
    <row r="5199" spans="1:17">
      <c r="A5199" s="118" t="s">
        <v>7297</v>
      </c>
      <c r="B5199" s="166"/>
      <c r="C5199" s="169" t="s">
        <v>3817</v>
      </c>
      <c r="D5199" s="165"/>
      <c r="E5199" s="169"/>
      <c r="F5199" s="169"/>
      <c r="G5199" s="169" t="s">
        <v>7250</v>
      </c>
      <c r="H5199" s="169" t="s">
        <v>5057</v>
      </c>
      <c r="I5199" s="169" t="s">
        <v>4125</v>
      </c>
      <c r="J5199" s="169" t="s">
        <v>4779</v>
      </c>
      <c r="K5199" s="141"/>
      <c r="L5199" s="135" t="str">
        <f t="shared" si="291"/>
        <v>Cacajao melanocephalus</v>
      </c>
      <c r="M5199" s="133">
        <f t="shared" si="290"/>
        <v>3.4913616938342726</v>
      </c>
      <c r="N5199" s="170">
        <f>AVERAGE(2500, 3700)</f>
        <v>3100</v>
      </c>
      <c r="O5199" s="179" t="s">
        <v>3356</v>
      </c>
      <c r="P5199" s="108">
        <v>269</v>
      </c>
      <c r="Q5199" s="91"/>
    </row>
    <row r="5200" spans="1:17">
      <c r="A5200" s="118" t="s">
        <v>7297</v>
      </c>
      <c r="B5200" s="166"/>
      <c r="C5200" s="169" t="s">
        <v>3817</v>
      </c>
      <c r="D5200" s="165"/>
      <c r="E5200" s="169"/>
      <c r="F5200" s="169"/>
      <c r="G5200" s="169" t="s">
        <v>7250</v>
      </c>
      <c r="H5200" s="169" t="s">
        <v>5057</v>
      </c>
      <c r="I5200" s="169" t="s">
        <v>4125</v>
      </c>
      <c r="J5200" s="169" t="s">
        <v>4126</v>
      </c>
      <c r="K5200" s="156"/>
      <c r="L5200" s="135" t="str">
        <f t="shared" si="291"/>
        <v>Cacajao calvus</v>
      </c>
      <c r="M5200" s="133">
        <f t="shared" si="290"/>
        <v>3.7631300000000003</v>
      </c>
      <c r="N5200" s="170">
        <v>5796.0216629272945</v>
      </c>
      <c r="O5200" s="179" t="s">
        <v>6773</v>
      </c>
      <c r="P5200" s="108">
        <v>61</v>
      </c>
      <c r="Q5200" s="91" t="s">
        <v>6988</v>
      </c>
    </row>
    <row r="5201" spans="1:17">
      <c r="A5201" s="121" t="s">
        <v>7297</v>
      </c>
      <c r="B5201" s="166"/>
      <c r="C5201" s="169" t="s">
        <v>3817</v>
      </c>
      <c r="D5201" s="165"/>
      <c r="E5201" s="169"/>
      <c r="F5201" s="169"/>
      <c r="G5201" s="169" t="s">
        <v>7250</v>
      </c>
      <c r="H5201" s="169" t="s">
        <v>5057</v>
      </c>
      <c r="I5201" s="169" t="s">
        <v>4780</v>
      </c>
      <c r="J5201" s="169" t="s">
        <v>4138</v>
      </c>
      <c r="K5201" s="141"/>
      <c r="L5201" s="135" t="str">
        <f t="shared" si="291"/>
        <v>Callicebus donacophilus</v>
      </c>
      <c r="M5201" s="133">
        <f t="shared" si="290"/>
        <v>2.9003700000000006</v>
      </c>
      <c r="N5201" s="170">
        <v>795.00525617005906</v>
      </c>
      <c r="O5201" s="179" t="s">
        <v>3356</v>
      </c>
      <c r="P5201" s="108">
        <v>61</v>
      </c>
    </row>
    <row r="5202" spans="1:17">
      <c r="A5202" s="118" t="s">
        <v>7297</v>
      </c>
      <c r="B5202" s="166"/>
      <c r="C5202" s="169" t="s">
        <v>3817</v>
      </c>
      <c r="D5202" s="165"/>
      <c r="E5202" s="169"/>
      <c r="F5202" s="169"/>
      <c r="G5202" s="169" t="s">
        <v>7250</v>
      </c>
      <c r="H5202" s="169" t="s">
        <v>5057</v>
      </c>
      <c r="I5202" s="169" t="s">
        <v>4780</v>
      </c>
      <c r="J5202" s="169" t="s">
        <v>7154</v>
      </c>
      <c r="K5202" s="141"/>
      <c r="L5202" s="135" t="str">
        <f t="shared" si="291"/>
        <v>Callicebus moloch</v>
      </c>
      <c r="M5202" s="133">
        <f t="shared" si="290"/>
        <v>2.9318300000000002</v>
      </c>
      <c r="N5202" s="170">
        <v>854.7320715275514</v>
      </c>
      <c r="O5202" s="179" t="s">
        <v>3356</v>
      </c>
      <c r="P5202" s="108">
        <v>60</v>
      </c>
    </row>
    <row r="5203" spans="1:17">
      <c r="A5203" s="118" t="s">
        <v>7297</v>
      </c>
      <c r="B5203" s="166"/>
      <c r="C5203" s="169" t="s">
        <v>3817</v>
      </c>
      <c r="D5203" s="165"/>
      <c r="E5203" s="169"/>
      <c r="F5203" s="169"/>
      <c r="G5203" s="169" t="s">
        <v>7250</v>
      </c>
      <c r="H5203" s="169" t="s">
        <v>5057</v>
      </c>
      <c r="I5203" s="169" t="s">
        <v>4780</v>
      </c>
      <c r="J5203" s="169" t="s">
        <v>4784</v>
      </c>
      <c r="K5203" s="141"/>
      <c r="L5203" s="135" t="str">
        <f t="shared" si="291"/>
        <v>Callicebus cupreus</v>
      </c>
      <c r="M5203" s="133">
        <f t="shared" si="290"/>
        <v>2.9614199999999999</v>
      </c>
      <c r="N5203" s="170">
        <v>914.9976949522021</v>
      </c>
      <c r="O5203" s="179" t="s">
        <v>3356</v>
      </c>
      <c r="P5203" s="108">
        <v>61</v>
      </c>
    </row>
    <row r="5204" spans="1:17">
      <c r="A5204" s="118" t="s">
        <v>7297</v>
      </c>
      <c r="B5204" s="166"/>
      <c r="C5204" s="169" t="s">
        <v>3817</v>
      </c>
      <c r="D5204" s="165"/>
      <c r="E5204" s="169"/>
      <c r="F5204" s="169"/>
      <c r="G5204" s="169" t="s">
        <v>7250</v>
      </c>
      <c r="H5204" s="169" t="s">
        <v>5057</v>
      </c>
      <c r="I5204" s="169" t="s">
        <v>4780</v>
      </c>
      <c r="J5204" s="169" t="s">
        <v>4781</v>
      </c>
      <c r="K5204" s="141"/>
      <c r="L5204" s="135" t="str">
        <f t="shared" si="291"/>
        <v>Callicebus brunneus</v>
      </c>
      <c r="M5204" s="133">
        <f t="shared" si="290"/>
        <v>2.9966900000000005</v>
      </c>
      <c r="N5204" s="170">
        <v>992.40741375852326</v>
      </c>
      <c r="O5204" s="179" t="s">
        <v>3356</v>
      </c>
      <c r="P5204" s="108">
        <v>61</v>
      </c>
      <c r="Q5204" s="91"/>
    </row>
    <row r="5205" spans="1:17">
      <c r="A5205" s="118" t="s">
        <v>7297</v>
      </c>
      <c r="B5205" s="166"/>
      <c r="C5205" s="169" t="s">
        <v>3817</v>
      </c>
      <c r="D5205" s="165"/>
      <c r="E5205" s="169"/>
      <c r="F5205" s="169"/>
      <c r="G5205" s="169" t="s">
        <v>7250</v>
      </c>
      <c r="H5205" s="169" t="s">
        <v>5057</v>
      </c>
      <c r="I5205" s="169" t="s">
        <v>4780</v>
      </c>
      <c r="J5205" s="169" t="s">
        <v>4782</v>
      </c>
      <c r="K5205" s="141"/>
      <c r="L5205" s="135" t="str">
        <f t="shared" si="291"/>
        <v>Callicebus caligatus</v>
      </c>
      <c r="M5205" s="133">
        <f t="shared" si="290"/>
        <v>2.9966900000000005</v>
      </c>
      <c r="N5205" s="170">
        <v>992.40741375852326</v>
      </c>
      <c r="O5205" s="179" t="s">
        <v>3356</v>
      </c>
      <c r="P5205" s="108">
        <v>61</v>
      </c>
    </row>
    <row r="5206" spans="1:17">
      <c r="A5206" s="118" t="s">
        <v>7297</v>
      </c>
      <c r="B5206" s="166"/>
      <c r="C5206" s="169" t="s">
        <v>3817</v>
      </c>
      <c r="D5206" s="165"/>
      <c r="E5206" s="169"/>
      <c r="F5206" s="169"/>
      <c r="G5206" s="169" t="s">
        <v>7250</v>
      </c>
      <c r="H5206" s="169" t="s">
        <v>5057</v>
      </c>
      <c r="I5206" s="169" t="s">
        <v>4780</v>
      </c>
      <c r="J5206" s="169" t="s">
        <v>4783</v>
      </c>
      <c r="K5206" s="141"/>
      <c r="L5206" s="135" t="str">
        <f t="shared" si="291"/>
        <v>Callicebus cinerascens</v>
      </c>
      <c r="M5206" s="133">
        <f t="shared" si="290"/>
        <v>2.9966900000000005</v>
      </c>
      <c r="N5206" s="170">
        <v>992.40741375852326</v>
      </c>
      <c r="O5206" s="179" t="s">
        <v>3356</v>
      </c>
      <c r="P5206" s="108">
        <v>61</v>
      </c>
    </row>
    <row r="5207" spans="1:17">
      <c r="A5207" s="118" t="s">
        <v>7297</v>
      </c>
      <c r="B5207" s="166"/>
      <c r="C5207" s="169" t="s">
        <v>3817</v>
      </c>
      <c r="D5207" s="165"/>
      <c r="E5207" s="169"/>
      <c r="F5207" s="169"/>
      <c r="G5207" s="169" t="s">
        <v>7250</v>
      </c>
      <c r="H5207" s="169" t="s">
        <v>5057</v>
      </c>
      <c r="I5207" s="169" t="s">
        <v>4780</v>
      </c>
      <c r="J5207" s="169" t="s">
        <v>4127</v>
      </c>
      <c r="K5207" s="141"/>
      <c r="L5207" s="135" t="str">
        <f t="shared" si="291"/>
        <v>Callicebus dubius</v>
      </c>
      <c r="M5207" s="133">
        <f t="shared" si="290"/>
        <v>2.9966900000000005</v>
      </c>
      <c r="N5207" s="170">
        <v>992.40741375852326</v>
      </c>
      <c r="O5207" s="179" t="s">
        <v>3356</v>
      </c>
      <c r="P5207" s="108">
        <v>61</v>
      </c>
      <c r="Q5207" s="91"/>
    </row>
    <row r="5208" spans="1:17">
      <c r="A5208" s="118" t="s">
        <v>7297</v>
      </c>
      <c r="B5208" s="166"/>
      <c r="C5208" s="169" t="s">
        <v>3817</v>
      </c>
      <c r="D5208" s="165"/>
      <c r="E5208" s="169"/>
      <c r="F5208" s="169"/>
      <c r="G5208" s="169" t="s">
        <v>7250</v>
      </c>
      <c r="H5208" s="169" t="s">
        <v>5057</v>
      </c>
      <c r="I5208" s="169" t="s">
        <v>4780</v>
      </c>
      <c r="J5208" s="169" t="s">
        <v>4132</v>
      </c>
      <c r="K5208" s="141"/>
      <c r="L5208" s="135" t="str">
        <f t="shared" si="291"/>
        <v>Callicebus hoffmannsi</v>
      </c>
      <c r="M5208" s="133">
        <f t="shared" si="290"/>
        <v>2.9966900000000005</v>
      </c>
      <c r="N5208" s="170">
        <v>992.40741375852326</v>
      </c>
      <c r="O5208" s="179" t="s">
        <v>3356</v>
      </c>
      <c r="P5208" s="108">
        <v>61</v>
      </c>
    </row>
    <row r="5209" spans="1:17">
      <c r="A5209" s="118" t="s">
        <v>7297</v>
      </c>
      <c r="B5209" s="166"/>
      <c r="C5209" s="169" t="s">
        <v>3817</v>
      </c>
      <c r="D5209" s="165"/>
      <c r="E5209" s="169"/>
      <c r="F5209" s="169"/>
      <c r="G5209" s="169" t="s">
        <v>7250</v>
      </c>
      <c r="H5209" s="169" t="s">
        <v>5057</v>
      </c>
      <c r="I5209" s="169" t="s">
        <v>4780</v>
      </c>
      <c r="J5209" s="169" t="s">
        <v>7153</v>
      </c>
      <c r="K5209" s="141"/>
      <c r="L5209" s="135" t="str">
        <f t="shared" si="291"/>
        <v>Callicebus modestus</v>
      </c>
      <c r="M5209" s="133">
        <f t="shared" si="290"/>
        <v>2.9966900000000005</v>
      </c>
      <c r="N5209" s="170">
        <v>992.40741375852326</v>
      </c>
      <c r="O5209" s="179" t="s">
        <v>3356</v>
      </c>
      <c r="P5209" s="108">
        <v>61</v>
      </c>
    </row>
    <row r="5210" spans="1:17" ht="25.5">
      <c r="A5210" s="118" t="s">
        <v>7297</v>
      </c>
      <c r="B5210" s="166"/>
      <c r="C5210" s="169" t="s">
        <v>3817</v>
      </c>
      <c r="D5210" s="165"/>
      <c r="E5210" s="169"/>
      <c r="F5210" s="169"/>
      <c r="G5210" s="169" t="s">
        <v>7250</v>
      </c>
      <c r="H5210" s="169" t="s">
        <v>5057</v>
      </c>
      <c r="I5210" s="169" t="s">
        <v>4780</v>
      </c>
      <c r="J5210" s="169" t="s">
        <v>3910</v>
      </c>
      <c r="K5210" s="141"/>
      <c r="L5210" s="135" t="str">
        <f t="shared" si="291"/>
        <v>Callicebus oenanthe</v>
      </c>
      <c r="M5210" s="133">
        <f t="shared" si="290"/>
        <v>2.9966900000000005</v>
      </c>
      <c r="N5210" s="170">
        <v>992.40741375852326</v>
      </c>
      <c r="O5210" s="179" t="s">
        <v>8325</v>
      </c>
      <c r="P5210" s="108">
        <v>61</v>
      </c>
      <c r="Q5210" s="90" t="s">
        <v>6988</v>
      </c>
    </row>
    <row r="5211" spans="1:17">
      <c r="A5211" s="118" t="s">
        <v>7297</v>
      </c>
      <c r="B5211" s="166"/>
      <c r="C5211" s="169" t="s">
        <v>3817</v>
      </c>
      <c r="D5211" s="165"/>
      <c r="E5211" s="169"/>
      <c r="F5211" s="169"/>
      <c r="G5211" s="169" t="s">
        <v>7250</v>
      </c>
      <c r="H5211" s="169" t="s">
        <v>5057</v>
      </c>
      <c r="I5211" s="169" t="s">
        <v>4780</v>
      </c>
      <c r="J5211" s="169" t="s">
        <v>4357</v>
      </c>
      <c r="K5211" s="141"/>
      <c r="L5211" s="135" t="str">
        <f t="shared" si="291"/>
        <v>Callicebus olallae</v>
      </c>
      <c r="M5211" s="133">
        <f t="shared" si="290"/>
        <v>2.9966900000000005</v>
      </c>
      <c r="N5211" s="170">
        <v>992.40741375852326</v>
      </c>
      <c r="O5211" s="179" t="s">
        <v>3356</v>
      </c>
      <c r="P5211" s="108">
        <v>61</v>
      </c>
      <c r="Q5211" s="90" t="s">
        <v>6987</v>
      </c>
    </row>
    <row r="5212" spans="1:17" ht="25.5">
      <c r="A5212" s="118" t="s">
        <v>7297</v>
      </c>
      <c r="B5212" s="166"/>
      <c r="C5212" s="169" t="s">
        <v>3817</v>
      </c>
      <c r="D5212" s="165"/>
      <c r="E5212" s="169"/>
      <c r="F5212" s="169"/>
      <c r="G5212" s="169" t="s">
        <v>7250</v>
      </c>
      <c r="H5212" s="169" t="s">
        <v>5057</v>
      </c>
      <c r="I5212" s="169" t="s">
        <v>4780</v>
      </c>
      <c r="J5212" s="169" t="s">
        <v>3712</v>
      </c>
      <c r="K5212" s="156"/>
      <c r="L5212" s="135" t="str">
        <f t="shared" si="291"/>
        <v>Callicebus torquatus</v>
      </c>
      <c r="M5212" s="133">
        <f t="shared" si="290"/>
        <v>3.0211900000000003</v>
      </c>
      <c r="N5212" s="170">
        <v>1050.0016946500355</v>
      </c>
      <c r="O5212" s="179" t="s">
        <v>8149</v>
      </c>
      <c r="P5212" s="108">
        <v>60</v>
      </c>
      <c r="Q5212" s="90" t="s">
        <v>6988</v>
      </c>
    </row>
    <row r="5213" spans="1:17" ht="25.5">
      <c r="A5213" s="118" t="s">
        <v>7297</v>
      </c>
      <c r="B5213" s="166"/>
      <c r="C5213" s="169" t="s">
        <v>3817</v>
      </c>
      <c r="D5213" s="165"/>
      <c r="E5213" s="169"/>
      <c r="F5213" s="169"/>
      <c r="G5213" s="169" t="s">
        <v>7250</v>
      </c>
      <c r="H5213" s="169" t="s">
        <v>5057</v>
      </c>
      <c r="I5213" s="169" t="s">
        <v>4780</v>
      </c>
      <c r="J5213" s="169" t="s">
        <v>3251</v>
      </c>
      <c r="K5213" s="141"/>
      <c r="L5213" s="135" t="str">
        <f t="shared" si="291"/>
        <v>Callicebus personatus</v>
      </c>
      <c r="M5213" s="133">
        <f t="shared" si="290"/>
        <v>3.1303300000000003</v>
      </c>
      <c r="N5213" s="170">
        <v>1349.9882857222524</v>
      </c>
      <c r="O5213" s="179" t="s">
        <v>7119</v>
      </c>
      <c r="P5213" s="108">
        <v>61</v>
      </c>
      <c r="Q5213" s="90" t="s">
        <v>7071</v>
      </c>
    </row>
    <row r="5214" spans="1:17">
      <c r="A5214" s="118" t="s">
        <v>7297</v>
      </c>
      <c r="B5214" s="166"/>
      <c r="C5214" s="169" t="s">
        <v>3817</v>
      </c>
      <c r="D5214" s="165"/>
      <c r="E5214" s="169"/>
      <c r="F5214" s="169"/>
      <c r="G5214" s="169" t="s">
        <v>7250</v>
      </c>
      <c r="H5214" s="169" t="s">
        <v>5057</v>
      </c>
      <c r="I5214" s="169" t="s">
        <v>3933</v>
      </c>
      <c r="J5214" s="169" t="s">
        <v>2441</v>
      </c>
      <c r="K5214" s="156"/>
      <c r="L5214" s="135" t="str">
        <f t="shared" si="291"/>
        <v>Cebus apella</v>
      </c>
      <c r="M5214" s="133">
        <f t="shared" si="290"/>
        <v>3.3979400000000002</v>
      </c>
      <c r="N5214" s="170">
        <v>2499.9999500797412</v>
      </c>
      <c r="O5214" s="179" t="s">
        <v>7081</v>
      </c>
      <c r="P5214" s="108">
        <v>61</v>
      </c>
      <c r="Q5214" s="90" t="s">
        <v>6640</v>
      </c>
    </row>
    <row r="5215" spans="1:17">
      <c r="A5215" s="118" t="s">
        <v>7297</v>
      </c>
      <c r="B5215" s="166"/>
      <c r="C5215" s="169" t="s">
        <v>3817</v>
      </c>
      <c r="D5215" s="165"/>
      <c r="E5215" s="169"/>
      <c r="F5215" s="169"/>
      <c r="G5215" s="169" t="s">
        <v>7250</v>
      </c>
      <c r="H5215" s="169" t="s">
        <v>5057</v>
      </c>
      <c r="I5215" s="169" t="s">
        <v>3933</v>
      </c>
      <c r="J5215" s="169" t="s">
        <v>2443</v>
      </c>
      <c r="K5215" s="141"/>
      <c r="L5215" s="135" t="str">
        <f t="shared" si="291"/>
        <v>Cebus olivaceus</v>
      </c>
      <c r="M5215" s="133">
        <f t="shared" si="290"/>
        <v>3.4149700000000003</v>
      </c>
      <c r="N5215" s="170">
        <v>2599.9799567092446</v>
      </c>
      <c r="O5215" s="179" t="s">
        <v>3356</v>
      </c>
      <c r="P5215" s="108">
        <v>60</v>
      </c>
    </row>
    <row r="5216" spans="1:17">
      <c r="A5216" s="118" t="s">
        <v>7297</v>
      </c>
      <c r="B5216" s="166"/>
      <c r="C5216" s="169" t="s">
        <v>3817</v>
      </c>
      <c r="D5216" s="165"/>
      <c r="E5216" s="169"/>
      <c r="F5216" s="169"/>
      <c r="G5216" s="169" t="s">
        <v>7250</v>
      </c>
      <c r="H5216" s="169" t="s">
        <v>5057</v>
      </c>
      <c r="I5216" s="169" t="s">
        <v>3933</v>
      </c>
      <c r="J5216" s="169" t="s">
        <v>7134</v>
      </c>
      <c r="K5216" s="141"/>
      <c r="L5216" s="135" t="str">
        <f t="shared" si="291"/>
        <v>Cebus albifrons</v>
      </c>
      <c r="M5216" s="133">
        <f t="shared" si="290"/>
        <v>3.4197899999999999</v>
      </c>
      <c r="N5216" s="170">
        <v>2628.9964520097492</v>
      </c>
      <c r="O5216" s="179" t="s">
        <v>3356</v>
      </c>
      <c r="P5216" s="108">
        <v>60</v>
      </c>
    </row>
    <row r="5217" spans="1:17">
      <c r="A5217" s="118" t="s">
        <v>7297</v>
      </c>
      <c r="B5217" s="166"/>
      <c r="C5217" s="169" t="s">
        <v>3817</v>
      </c>
      <c r="D5217" s="165"/>
      <c r="E5217" s="169"/>
      <c r="F5217" s="169"/>
      <c r="G5217" s="169" t="s">
        <v>7250</v>
      </c>
      <c r="H5217" s="169" t="s">
        <v>5057</v>
      </c>
      <c r="I5217" s="169" t="s">
        <v>3933</v>
      </c>
      <c r="J5217" s="169" t="s">
        <v>2442</v>
      </c>
      <c r="K5217" s="141"/>
      <c r="L5217" s="135" t="str">
        <f t="shared" si="291"/>
        <v>Cebus capucinus</v>
      </c>
      <c r="M5217" s="133">
        <f t="shared" si="290"/>
        <v>3.4366900000000005</v>
      </c>
      <c r="N5217" s="170">
        <v>2733.3169843793216</v>
      </c>
      <c r="O5217" s="179" t="s">
        <v>3356</v>
      </c>
      <c r="P5217" s="108">
        <v>60</v>
      </c>
    </row>
    <row r="5218" spans="1:17">
      <c r="A5218" s="118" t="s">
        <v>7297</v>
      </c>
      <c r="B5218" s="166"/>
      <c r="C5218" s="169" t="s">
        <v>3817</v>
      </c>
      <c r="D5218" s="165"/>
      <c r="E5218" s="169"/>
      <c r="F5218" s="169"/>
      <c r="G5218" s="169" t="s">
        <v>7250</v>
      </c>
      <c r="H5218" s="169" t="s">
        <v>5057</v>
      </c>
      <c r="I5218" s="169" t="s">
        <v>2444</v>
      </c>
      <c r="J5218" s="169" t="s">
        <v>2545</v>
      </c>
      <c r="K5218" s="141"/>
      <c r="L5218" s="135" t="str">
        <f t="shared" si="291"/>
        <v>Chiropotes albinasus</v>
      </c>
      <c r="M5218" s="133">
        <f t="shared" si="290"/>
        <v>3.4624000000000006</v>
      </c>
      <c r="N5218" s="170">
        <v>2900.0133690540733</v>
      </c>
      <c r="O5218" s="179" t="s">
        <v>3356</v>
      </c>
      <c r="P5218" s="108">
        <v>61</v>
      </c>
    </row>
    <row r="5219" spans="1:17">
      <c r="A5219" s="118" t="s">
        <v>7297</v>
      </c>
      <c r="B5219" s="166"/>
      <c r="C5219" s="169" t="s">
        <v>3817</v>
      </c>
      <c r="D5219" s="165"/>
      <c r="E5219" s="169"/>
      <c r="F5219" s="169"/>
      <c r="G5219" s="169" t="s">
        <v>7250</v>
      </c>
      <c r="H5219" s="169" t="s">
        <v>5057</v>
      </c>
      <c r="I5219" s="169" t="s">
        <v>2444</v>
      </c>
      <c r="J5219" s="169" t="s">
        <v>2546</v>
      </c>
      <c r="K5219" s="141"/>
      <c r="L5219" s="135" t="str">
        <f t="shared" si="291"/>
        <v>Chiropotes satanas</v>
      </c>
      <c r="M5219" s="133">
        <f t="shared" ref="M5219:M5235" si="292">LOG(N5219)</f>
        <v>3.4771200000000007</v>
      </c>
      <c r="N5219" s="170">
        <v>2999.9913327161544</v>
      </c>
      <c r="O5219" s="179" t="s">
        <v>3356</v>
      </c>
      <c r="P5219" s="108">
        <v>60</v>
      </c>
    </row>
    <row r="5220" spans="1:17">
      <c r="A5220" s="118" t="s">
        <v>7297</v>
      </c>
      <c r="B5220" s="166"/>
      <c r="C5220" s="169" t="s">
        <v>3817</v>
      </c>
      <c r="D5220" s="165"/>
      <c r="E5220" s="169"/>
      <c r="F5220" s="169"/>
      <c r="G5220" s="169" t="s">
        <v>7250</v>
      </c>
      <c r="H5220" s="169" t="s">
        <v>5057</v>
      </c>
      <c r="I5220" s="169" t="s">
        <v>2547</v>
      </c>
      <c r="J5220" s="169" t="s">
        <v>2415</v>
      </c>
      <c r="K5220" s="141"/>
      <c r="L5220" s="135" t="str">
        <f t="shared" si="291"/>
        <v>Lagothrix lagotricha</v>
      </c>
      <c r="M5220" s="133">
        <f t="shared" si="292"/>
        <v>3.7993400000000004</v>
      </c>
      <c r="N5220" s="170">
        <v>6299.9920294741987</v>
      </c>
      <c r="O5220" s="179" t="s">
        <v>7081</v>
      </c>
      <c r="P5220" s="108">
        <v>60</v>
      </c>
      <c r="Q5220" s="90" t="s">
        <v>6988</v>
      </c>
    </row>
    <row r="5221" spans="1:17" ht="25.5">
      <c r="A5221" s="118" t="s">
        <v>7297</v>
      </c>
      <c r="B5221" s="166"/>
      <c r="C5221" s="169" t="s">
        <v>3817</v>
      </c>
      <c r="D5221" s="165"/>
      <c r="E5221" s="169"/>
      <c r="F5221" s="169"/>
      <c r="G5221" s="169" t="s">
        <v>7250</v>
      </c>
      <c r="H5221" s="169" t="s">
        <v>5057</v>
      </c>
      <c r="I5221" s="169" t="s">
        <v>2547</v>
      </c>
      <c r="J5221" s="169" t="s">
        <v>2758</v>
      </c>
      <c r="K5221" s="141"/>
      <c r="L5221" s="135" t="str">
        <f t="shared" si="291"/>
        <v>Lagothrix flavicauda</v>
      </c>
      <c r="M5221" s="133">
        <f t="shared" si="292"/>
        <v>3.8325100000000005</v>
      </c>
      <c r="N5221" s="170">
        <v>6800.0170244089231</v>
      </c>
      <c r="O5221" s="179" t="s">
        <v>7119</v>
      </c>
      <c r="P5221" s="117">
        <v>61</v>
      </c>
      <c r="Q5221" s="90" t="s">
        <v>7071</v>
      </c>
    </row>
    <row r="5222" spans="1:17">
      <c r="A5222" s="118" t="s">
        <v>7297</v>
      </c>
      <c r="B5222" s="166"/>
      <c r="C5222" s="169" t="s">
        <v>3817</v>
      </c>
      <c r="D5222" s="165"/>
      <c r="E5222" s="169"/>
      <c r="F5222" s="169"/>
      <c r="G5222" s="169" t="s">
        <v>7250</v>
      </c>
      <c r="H5222" s="169" t="s">
        <v>5057</v>
      </c>
      <c r="I5222" s="169" t="s">
        <v>2416</v>
      </c>
      <c r="J5222" s="169" t="s">
        <v>7175</v>
      </c>
      <c r="K5222" s="141"/>
      <c r="L5222" s="135" t="str">
        <f t="shared" si="291"/>
        <v>Pithecia pithecia</v>
      </c>
      <c r="M5222" s="133">
        <f t="shared" si="292"/>
        <v>3.1384600000000002</v>
      </c>
      <c r="N5222" s="170">
        <v>1375.4981163825987</v>
      </c>
      <c r="O5222" s="179" t="s">
        <v>3356</v>
      </c>
      <c r="P5222" s="108">
        <v>60</v>
      </c>
    </row>
    <row r="5223" spans="1:17">
      <c r="A5223" s="118" t="s">
        <v>7297</v>
      </c>
      <c r="B5223" s="166"/>
      <c r="C5223" s="169" t="s">
        <v>3817</v>
      </c>
      <c r="D5223" s="165"/>
      <c r="E5223" s="169"/>
      <c r="F5223" s="169"/>
      <c r="G5223" s="169" t="s">
        <v>7250</v>
      </c>
      <c r="H5223" s="169" t="s">
        <v>5057</v>
      </c>
      <c r="I5223" s="169" t="s">
        <v>2416</v>
      </c>
      <c r="J5223" s="169" t="s">
        <v>7174</v>
      </c>
      <c r="K5223" s="141"/>
      <c r="L5223" s="135" t="str">
        <f t="shared" si="291"/>
        <v>Pithecia monachus</v>
      </c>
      <c r="M5223" s="133">
        <f t="shared" si="292"/>
        <v>3.1868200000000004</v>
      </c>
      <c r="N5223" s="170">
        <v>1537.5172606478543</v>
      </c>
      <c r="O5223" s="179" t="s">
        <v>3356</v>
      </c>
      <c r="P5223" s="108">
        <v>60</v>
      </c>
    </row>
    <row r="5224" spans="1:17">
      <c r="A5224" s="118" t="s">
        <v>7297</v>
      </c>
      <c r="B5224" s="166"/>
      <c r="C5224" s="169" t="s">
        <v>3817</v>
      </c>
      <c r="D5224" s="165"/>
      <c r="E5224" s="169"/>
      <c r="F5224" s="169"/>
      <c r="G5224" s="169" t="s">
        <v>7250</v>
      </c>
      <c r="H5224" s="169" t="s">
        <v>5057</v>
      </c>
      <c r="I5224" s="169" t="s">
        <v>2416</v>
      </c>
      <c r="J5224" s="169" t="s">
        <v>7173</v>
      </c>
      <c r="K5224" s="141"/>
      <c r="L5224" s="135" t="str">
        <f t="shared" si="291"/>
        <v>Pithecia irrorata</v>
      </c>
      <c r="M5224" s="133">
        <f t="shared" si="292"/>
        <v>3.3504400000000003</v>
      </c>
      <c r="N5224" s="170">
        <v>2240.990420126544</v>
      </c>
      <c r="O5224" s="179" t="s">
        <v>3356</v>
      </c>
      <c r="P5224" s="117">
        <v>61</v>
      </c>
    </row>
    <row r="5225" spans="1:17">
      <c r="A5225" s="118" t="s">
        <v>7297</v>
      </c>
      <c r="B5225" s="166"/>
      <c r="C5225" s="169" t="s">
        <v>3817</v>
      </c>
      <c r="D5225" s="165"/>
      <c r="E5225" s="169"/>
      <c r="F5225" s="169"/>
      <c r="G5225" s="169" t="s">
        <v>7250</v>
      </c>
      <c r="H5225" s="169" t="s">
        <v>5057</v>
      </c>
      <c r="I5225" s="169" t="s">
        <v>2416</v>
      </c>
      <c r="J5225" s="169" t="s">
        <v>7135</v>
      </c>
      <c r="K5225" s="141"/>
      <c r="L5225" s="135" t="str">
        <f t="shared" si="291"/>
        <v>Pithecia aequatorialis</v>
      </c>
      <c r="M5225" s="133">
        <f t="shared" si="292"/>
        <v>3.3521800000000006</v>
      </c>
      <c r="N5225" s="170">
        <v>2249.9869541650314</v>
      </c>
      <c r="O5225" s="179" t="s">
        <v>3356</v>
      </c>
      <c r="P5225" s="117">
        <v>61</v>
      </c>
    </row>
    <row r="5226" spans="1:17">
      <c r="A5226" s="118" t="s">
        <v>7297</v>
      </c>
      <c r="B5226" s="166"/>
      <c r="C5226" s="169" t="s">
        <v>3817</v>
      </c>
      <c r="D5226" s="165"/>
      <c r="E5226" s="169"/>
      <c r="F5226" s="169"/>
      <c r="G5226" s="169" t="s">
        <v>7250</v>
      </c>
      <c r="H5226" s="169" t="s">
        <v>5057</v>
      </c>
      <c r="I5226" s="169" t="s">
        <v>2416</v>
      </c>
      <c r="J5226" s="169" t="s">
        <v>7172</v>
      </c>
      <c r="K5226" s="141"/>
      <c r="L5226" s="135" t="str">
        <f t="shared" si="291"/>
        <v>Pithecia albicans</v>
      </c>
      <c r="M5226" s="133">
        <f t="shared" si="292"/>
        <v>3.4471600000000002</v>
      </c>
      <c r="N5226" s="170">
        <v>2800.012692434535</v>
      </c>
      <c r="O5226" s="179" t="s">
        <v>3356</v>
      </c>
      <c r="P5226" s="117">
        <v>61</v>
      </c>
    </row>
    <row r="5227" spans="1:17">
      <c r="A5227" s="121" t="s">
        <v>7297</v>
      </c>
      <c r="B5227" s="166"/>
      <c r="C5227" s="169" t="s">
        <v>3817</v>
      </c>
      <c r="D5227" s="165"/>
      <c r="E5227" s="169"/>
      <c r="F5227" s="169"/>
      <c r="G5227" s="169" t="s">
        <v>7250</v>
      </c>
      <c r="H5227" s="169" t="s">
        <v>5057</v>
      </c>
      <c r="I5227" s="169" t="s">
        <v>7495</v>
      </c>
      <c r="J5227" s="169" t="s">
        <v>7496</v>
      </c>
      <c r="K5227" s="141"/>
      <c r="L5227" s="135" t="str">
        <f t="shared" si="291"/>
        <v>Saimiri boliviensis</v>
      </c>
      <c r="M5227" s="133">
        <f t="shared" si="292"/>
        <v>2.7888800000000002</v>
      </c>
      <c r="N5227" s="170">
        <v>615.00691653966339</v>
      </c>
      <c r="O5227" s="179" t="s">
        <v>3356</v>
      </c>
      <c r="P5227" s="108">
        <v>60</v>
      </c>
    </row>
    <row r="5228" spans="1:17">
      <c r="A5228" s="118" t="s">
        <v>7297</v>
      </c>
      <c r="B5228" s="166"/>
      <c r="C5228" s="169" t="s">
        <v>3817</v>
      </c>
      <c r="D5228" s="165"/>
      <c r="E5228" s="169"/>
      <c r="F5228" s="169"/>
      <c r="G5228" s="169" t="s">
        <v>7250</v>
      </c>
      <c r="H5228" s="169" t="s">
        <v>5057</v>
      </c>
      <c r="I5228" s="169" t="s">
        <v>7495</v>
      </c>
      <c r="J5228" s="169" t="s">
        <v>7159</v>
      </c>
      <c r="K5228" s="141"/>
      <c r="L5228" s="135" t="str">
        <f t="shared" si="291"/>
        <v>Saimiri sciureus</v>
      </c>
      <c r="M5228" s="133">
        <f t="shared" si="292"/>
        <v>2.8711300000000004</v>
      </c>
      <c r="N5228" s="170">
        <v>743.24158361084801</v>
      </c>
      <c r="O5228" s="179" t="s">
        <v>3356</v>
      </c>
      <c r="P5228" s="108">
        <v>60</v>
      </c>
    </row>
    <row r="5229" spans="1:17">
      <c r="A5229" s="118" t="s">
        <v>7297</v>
      </c>
      <c r="B5229" s="166"/>
      <c r="C5229" s="169" t="s">
        <v>3817</v>
      </c>
      <c r="D5229" s="165"/>
      <c r="E5229" s="169"/>
      <c r="F5229" s="169"/>
      <c r="G5229" s="169" t="s">
        <v>7250</v>
      </c>
      <c r="H5229" s="169" t="s">
        <v>5057</v>
      </c>
      <c r="I5229" s="169" t="s">
        <v>7495</v>
      </c>
      <c r="J5229" s="169" t="s">
        <v>6298</v>
      </c>
      <c r="K5229" s="141"/>
      <c r="L5229" s="135" t="str">
        <f t="shared" si="291"/>
        <v>Saimiri vanzolinii</v>
      </c>
      <c r="M5229" s="133">
        <f t="shared" si="292"/>
        <v>2.8862700000000006</v>
      </c>
      <c r="N5229" s="170">
        <v>769.60875579241531</v>
      </c>
      <c r="O5229" s="179" t="s">
        <v>6641</v>
      </c>
      <c r="P5229" s="117">
        <v>61</v>
      </c>
      <c r="Q5229" s="90" t="s">
        <v>6988</v>
      </c>
    </row>
    <row r="5230" spans="1:17">
      <c r="A5230" s="118" t="s">
        <v>7297</v>
      </c>
      <c r="B5230" s="166"/>
      <c r="C5230" s="169" t="s">
        <v>3817</v>
      </c>
      <c r="D5230" s="165"/>
      <c r="E5230" s="169"/>
      <c r="F5230" s="169"/>
      <c r="G5230" s="169" t="s">
        <v>7250</v>
      </c>
      <c r="H5230" s="169" t="s">
        <v>5057</v>
      </c>
      <c r="I5230" s="169" t="s">
        <v>7495</v>
      </c>
      <c r="J5230" s="169" t="s">
        <v>2995</v>
      </c>
      <c r="K5230" s="141"/>
      <c r="L5230" s="135" t="str">
        <f t="shared" si="291"/>
        <v>Saimiri ustus</v>
      </c>
      <c r="M5230" s="133">
        <f t="shared" si="292"/>
        <v>3</v>
      </c>
      <c r="N5230" s="170">
        <v>1000</v>
      </c>
      <c r="O5230" s="179" t="s">
        <v>3356</v>
      </c>
      <c r="P5230" s="117">
        <v>61</v>
      </c>
    </row>
    <row r="5231" spans="1:17">
      <c r="A5231" s="134" t="s">
        <v>7297</v>
      </c>
      <c r="B5231" s="290"/>
      <c r="C5231" s="291" t="s">
        <v>5092</v>
      </c>
      <c r="D5231" s="292"/>
      <c r="E5231" s="291"/>
      <c r="F5231" s="291"/>
      <c r="G5231" s="293" t="s">
        <v>4084</v>
      </c>
      <c r="H5231" s="293" t="s">
        <v>2721</v>
      </c>
      <c r="I5231" s="293" t="s">
        <v>2605</v>
      </c>
      <c r="J5231" s="293" t="s">
        <v>7388</v>
      </c>
      <c r="K5231" s="135"/>
      <c r="L5231" s="135" t="str">
        <f t="shared" si="291"/>
        <v>Cuvieronius spp.</v>
      </c>
      <c r="M5231" s="133">
        <f t="shared" si="292"/>
        <v>6.6989700043360187</v>
      </c>
      <c r="N5231" s="294">
        <v>5000000</v>
      </c>
      <c r="O5231" s="180"/>
      <c r="P5231" s="110" t="s">
        <v>979</v>
      </c>
    </row>
    <row r="5232" spans="1:17">
      <c r="A5232" s="134" t="s">
        <v>7297</v>
      </c>
      <c r="B5232" s="290"/>
      <c r="C5232" s="291" t="s">
        <v>5092</v>
      </c>
      <c r="D5232" s="292"/>
      <c r="E5232" s="291"/>
      <c r="F5232" s="291"/>
      <c r="G5232" s="293" t="s">
        <v>4084</v>
      </c>
      <c r="H5232" s="293" t="s">
        <v>2721</v>
      </c>
      <c r="I5232" s="293" t="s">
        <v>5975</v>
      </c>
      <c r="J5232" s="293" t="s">
        <v>5794</v>
      </c>
      <c r="K5232" s="135"/>
      <c r="L5232" s="135" t="str">
        <f t="shared" si="291"/>
        <v>Haplomastodon chimborazi</v>
      </c>
      <c r="M5232" s="133">
        <f t="shared" si="292"/>
        <v>6.7781512503836439</v>
      </c>
      <c r="N5232" s="294">
        <v>6000000</v>
      </c>
      <c r="O5232" s="180"/>
      <c r="P5232" s="110" t="s">
        <v>170</v>
      </c>
    </row>
    <row r="5233" spans="1:22">
      <c r="A5233" s="134" t="s">
        <v>7297</v>
      </c>
      <c r="B5233" s="290"/>
      <c r="C5233" s="291" t="s">
        <v>5092</v>
      </c>
      <c r="D5233" s="292"/>
      <c r="E5233" s="291"/>
      <c r="F5233" s="291"/>
      <c r="G5233" s="293" t="s">
        <v>4084</v>
      </c>
      <c r="H5233" s="293" t="s">
        <v>2721</v>
      </c>
      <c r="I5233" s="293" t="s">
        <v>7061</v>
      </c>
      <c r="J5233" s="293" t="s">
        <v>7388</v>
      </c>
      <c r="K5233" s="135"/>
      <c r="L5233" s="135" t="str">
        <f t="shared" si="291"/>
        <v>Notiomastodon spp.</v>
      </c>
      <c r="M5233" s="133">
        <f t="shared" si="292"/>
        <v>6.7919010800095716</v>
      </c>
      <c r="N5233" s="294">
        <v>6193000</v>
      </c>
      <c r="O5233" s="180"/>
      <c r="P5233" s="110" t="s">
        <v>1076</v>
      </c>
    </row>
    <row r="5234" spans="1:22">
      <c r="A5234" s="134" t="s">
        <v>7297</v>
      </c>
      <c r="B5234" s="290"/>
      <c r="C5234" s="291" t="s">
        <v>5092</v>
      </c>
      <c r="D5234" s="292"/>
      <c r="E5234" s="291"/>
      <c r="F5234" s="291"/>
      <c r="G5234" s="293" t="s">
        <v>4084</v>
      </c>
      <c r="H5234" s="293" t="s">
        <v>2721</v>
      </c>
      <c r="I5234" s="293" t="s">
        <v>5795</v>
      </c>
      <c r="J5234" s="293" t="s">
        <v>5501</v>
      </c>
      <c r="K5234" s="135"/>
      <c r="L5234" s="135" t="str">
        <f t="shared" si="291"/>
        <v>Stegomastodon superbus</v>
      </c>
      <c r="M5234" s="133">
        <f t="shared" si="292"/>
        <v>6.8796692056320534</v>
      </c>
      <c r="N5234" s="294">
        <v>7580000</v>
      </c>
      <c r="O5234" s="180"/>
      <c r="P5234" s="110" t="s">
        <v>1260</v>
      </c>
    </row>
    <row r="5235" spans="1:22">
      <c r="A5235" s="134" t="s">
        <v>7297</v>
      </c>
      <c r="B5235" s="290"/>
      <c r="C5235" s="291" t="s">
        <v>5092</v>
      </c>
      <c r="D5235" s="292"/>
      <c r="E5235" s="291"/>
      <c r="F5235" s="291"/>
      <c r="G5235" s="293" t="s">
        <v>3618</v>
      </c>
      <c r="H5235" s="293" t="s">
        <v>5055</v>
      </c>
      <c r="I5235" s="293" t="s">
        <v>5062</v>
      </c>
      <c r="J5235" s="293" t="s">
        <v>6227</v>
      </c>
      <c r="K5235" s="135"/>
      <c r="L5235" s="135" t="str">
        <f t="shared" si="291"/>
        <v>Neochoerus sulcidens</v>
      </c>
      <c r="M5235" s="133">
        <f t="shared" si="292"/>
        <v>5.1760912590556813</v>
      </c>
      <c r="N5235" s="294">
        <v>150000</v>
      </c>
      <c r="O5235" s="180"/>
      <c r="P5235" s="110">
        <v>39</v>
      </c>
    </row>
    <row r="5236" spans="1:22" ht="12" customHeight="1">
      <c r="A5236" s="118" t="s">
        <v>7297</v>
      </c>
      <c r="B5236" s="166" t="s">
        <v>3115</v>
      </c>
      <c r="C5236" s="169" t="s">
        <v>5092</v>
      </c>
      <c r="D5236" s="165"/>
      <c r="E5236" s="169"/>
      <c r="F5236" s="169"/>
      <c r="G5236" s="169" t="s">
        <v>3618</v>
      </c>
      <c r="H5236" s="169" t="s">
        <v>3638</v>
      </c>
      <c r="I5236" s="169" t="s">
        <v>3521</v>
      </c>
      <c r="J5236" s="169" t="s">
        <v>3351</v>
      </c>
      <c r="K5236" s="141"/>
      <c r="L5236" s="135" t="str">
        <f t="shared" si="291"/>
        <v>Juscelinomys talpinus</v>
      </c>
      <c r="M5236" s="133">
        <v>-999</v>
      </c>
      <c r="N5236" s="170">
        <v>-999</v>
      </c>
      <c r="O5236" s="179" t="s">
        <v>6880</v>
      </c>
      <c r="P5236" s="109">
        <v>-999</v>
      </c>
      <c r="Q5236" s="80" t="s">
        <v>6988</v>
      </c>
      <c r="R5236" s="89"/>
      <c r="U5236" s="20"/>
      <c r="V5236" s="20"/>
    </row>
    <row r="5237" spans="1:22">
      <c r="A5237" s="134" t="s">
        <v>7297</v>
      </c>
      <c r="B5237" s="290"/>
      <c r="C5237" s="291" t="s">
        <v>5092</v>
      </c>
      <c r="D5237" s="292"/>
      <c r="E5237" s="291"/>
      <c r="F5237" s="291"/>
      <c r="G5237" s="293" t="s">
        <v>3618</v>
      </c>
      <c r="H5237" s="293" t="s">
        <v>8046</v>
      </c>
      <c r="I5237" s="293" t="s">
        <v>7176</v>
      </c>
      <c r="J5237" s="293" t="s">
        <v>7388</v>
      </c>
      <c r="K5237" s="135"/>
      <c r="L5237" s="135" t="str">
        <f t="shared" si="291"/>
        <v>Dicolpomys spp.</v>
      </c>
      <c r="M5237" s="133">
        <f t="shared" ref="M5237:M5300" si="293">LOG(N5237)</f>
        <v>2.1583624920952498</v>
      </c>
      <c r="N5237" s="294">
        <v>144</v>
      </c>
      <c r="O5237" s="180"/>
      <c r="P5237" s="110" t="s">
        <v>1259</v>
      </c>
    </row>
    <row r="5238" spans="1:22">
      <c r="A5238" s="118" t="s">
        <v>7297</v>
      </c>
      <c r="B5238" s="166"/>
      <c r="C5238" s="169" t="s">
        <v>3817</v>
      </c>
      <c r="D5238" s="165"/>
      <c r="E5238" s="169"/>
      <c r="F5238" s="169"/>
      <c r="G5238" s="169" t="s">
        <v>3618</v>
      </c>
      <c r="H5238" s="169" t="s">
        <v>3619</v>
      </c>
      <c r="I5238" s="169" t="s">
        <v>3620</v>
      </c>
      <c r="J5238" s="169" t="s">
        <v>7496</v>
      </c>
      <c r="K5238" s="141"/>
      <c r="L5238" s="135" t="str">
        <f t="shared" si="291"/>
        <v>Abrocoma boliviensis</v>
      </c>
      <c r="M5238" s="133">
        <f t="shared" si="293"/>
        <v>2.1986600000000003</v>
      </c>
      <c r="N5238" s="170">
        <v>158.00105979413516</v>
      </c>
      <c r="O5238" s="179" t="s">
        <v>6882</v>
      </c>
      <c r="P5238" s="117">
        <v>61</v>
      </c>
      <c r="Q5238" s="90" t="s">
        <v>6988</v>
      </c>
    </row>
    <row r="5239" spans="1:22">
      <c r="A5239" s="118" t="s">
        <v>7297</v>
      </c>
      <c r="B5239" s="166"/>
      <c r="C5239" s="169" t="s">
        <v>3817</v>
      </c>
      <c r="D5239" s="165"/>
      <c r="E5239" s="169"/>
      <c r="F5239" s="169"/>
      <c r="G5239" s="169" t="s">
        <v>3618</v>
      </c>
      <c r="H5239" s="169" t="s">
        <v>3619</v>
      </c>
      <c r="I5239" s="169" t="s">
        <v>3620</v>
      </c>
      <c r="J5239" s="169" t="s">
        <v>4612</v>
      </c>
      <c r="K5239" s="141"/>
      <c r="L5239" s="135" t="str">
        <f t="shared" si="291"/>
        <v>Abrocoma cinerea</v>
      </c>
      <c r="M5239" s="133">
        <f t="shared" si="293"/>
        <v>2.3979400000000002</v>
      </c>
      <c r="N5239" s="170">
        <v>249.99999500797404</v>
      </c>
      <c r="O5239" s="179" t="s">
        <v>6882</v>
      </c>
      <c r="P5239" s="108">
        <v>61</v>
      </c>
      <c r="Q5239" s="90" t="s">
        <v>6988</v>
      </c>
    </row>
    <row r="5240" spans="1:22">
      <c r="A5240" s="118" t="s">
        <v>7297</v>
      </c>
      <c r="B5240" s="166"/>
      <c r="C5240" s="169" t="s">
        <v>3817</v>
      </c>
      <c r="D5240" s="165"/>
      <c r="E5240" s="169"/>
      <c r="F5240" s="169"/>
      <c r="G5240" s="169" t="s">
        <v>3618</v>
      </c>
      <c r="H5240" s="169" t="s">
        <v>3619</v>
      </c>
      <c r="I5240" s="169" t="s">
        <v>3620</v>
      </c>
      <c r="J5240" s="169" t="s">
        <v>4630</v>
      </c>
      <c r="K5240" s="141"/>
      <c r="L5240" s="135" t="str">
        <f t="shared" si="291"/>
        <v>Abrocoma bennetti</v>
      </c>
      <c r="M5240" s="133">
        <f t="shared" si="293"/>
        <v>2.3988100000000006</v>
      </c>
      <c r="N5240" s="170">
        <v>250.5013092166534</v>
      </c>
      <c r="O5240" s="179" t="s">
        <v>3356</v>
      </c>
      <c r="P5240" s="108">
        <v>61</v>
      </c>
    </row>
    <row r="5241" spans="1:22">
      <c r="A5241" s="118" t="s">
        <v>7297</v>
      </c>
      <c r="B5241" s="166"/>
      <c r="C5241" s="169" t="s">
        <v>3817</v>
      </c>
      <c r="D5241" s="165"/>
      <c r="E5241" s="169"/>
      <c r="F5241" s="169"/>
      <c r="G5241" s="169" t="s">
        <v>3618</v>
      </c>
      <c r="H5241" s="169" t="s">
        <v>4631</v>
      </c>
      <c r="I5241" s="169" t="s">
        <v>4632</v>
      </c>
      <c r="J5241" s="169" t="s">
        <v>3623</v>
      </c>
      <c r="K5241" s="141"/>
      <c r="L5241" s="135" t="str">
        <f t="shared" si="291"/>
        <v>Agouti paca</v>
      </c>
      <c r="M5241" s="133">
        <f t="shared" si="293"/>
        <v>3.9030900000000006</v>
      </c>
      <c r="N5241" s="170">
        <v>8000.0002396172686</v>
      </c>
      <c r="O5241" s="179" t="s">
        <v>3356</v>
      </c>
      <c r="P5241" s="108">
        <v>60</v>
      </c>
    </row>
    <row r="5242" spans="1:22" ht="25.5">
      <c r="A5242" s="118" t="s">
        <v>7297</v>
      </c>
      <c r="B5242" s="166"/>
      <c r="C5242" s="169" t="s">
        <v>3817</v>
      </c>
      <c r="D5242" s="165"/>
      <c r="E5242" s="169"/>
      <c r="F5242" s="169"/>
      <c r="G5242" s="169" t="s">
        <v>3618</v>
      </c>
      <c r="H5242" s="169" t="s">
        <v>4631</v>
      </c>
      <c r="I5242" s="169" t="s">
        <v>4632</v>
      </c>
      <c r="J5242" s="169" t="s">
        <v>3624</v>
      </c>
      <c r="K5242" s="141"/>
      <c r="L5242" s="135" t="str">
        <f t="shared" si="291"/>
        <v>Agouti taczanowskii</v>
      </c>
      <c r="M5242" s="133">
        <f t="shared" si="293"/>
        <v>3.9542400000000004</v>
      </c>
      <c r="N5242" s="170">
        <v>8999.9479963720187</v>
      </c>
      <c r="O5242" s="179" t="s">
        <v>6908</v>
      </c>
      <c r="P5242" s="108">
        <v>61</v>
      </c>
      <c r="Q5242" s="90" t="s">
        <v>6642</v>
      </c>
    </row>
    <row r="5243" spans="1:22">
      <c r="A5243" s="118" t="s">
        <v>7297</v>
      </c>
      <c r="B5243" s="166"/>
      <c r="C5243" s="169" t="s">
        <v>3817</v>
      </c>
      <c r="D5243" s="165"/>
      <c r="E5243" s="169"/>
      <c r="F5243" s="169"/>
      <c r="G5243" s="169" t="s">
        <v>3618</v>
      </c>
      <c r="H5243" s="169" t="s">
        <v>6508</v>
      </c>
      <c r="I5243" s="169" t="s">
        <v>6509</v>
      </c>
      <c r="J5243" s="169" t="s">
        <v>6511</v>
      </c>
      <c r="K5243" s="141"/>
      <c r="L5243" s="135" t="str">
        <f t="shared" si="291"/>
        <v>Cavia fulgida</v>
      </c>
      <c r="M5243" s="133">
        <f t="shared" si="293"/>
        <v>2.4510200000000006</v>
      </c>
      <c r="N5243" s="170">
        <v>282.50100684415969</v>
      </c>
      <c r="O5243" s="179" t="s">
        <v>3356</v>
      </c>
      <c r="P5243" s="108">
        <v>60</v>
      </c>
    </row>
    <row r="5244" spans="1:22">
      <c r="A5244" s="118" t="s">
        <v>7297</v>
      </c>
      <c r="B5244" s="166"/>
      <c r="C5244" s="169" t="s">
        <v>3817</v>
      </c>
      <c r="D5244" s="165"/>
      <c r="E5244" s="169"/>
      <c r="F5244" s="169"/>
      <c r="G5244" s="169" t="s">
        <v>3618</v>
      </c>
      <c r="H5244" s="169" t="s">
        <v>6508</v>
      </c>
      <c r="I5244" s="169" t="s">
        <v>6509</v>
      </c>
      <c r="J5244" s="169" t="s">
        <v>7357</v>
      </c>
      <c r="K5244" s="141"/>
      <c r="L5244" s="135" t="str">
        <f t="shared" si="291"/>
        <v>Cavia magna</v>
      </c>
      <c r="M5244" s="133">
        <f t="shared" si="293"/>
        <v>2.66276</v>
      </c>
      <c r="N5244" s="170">
        <v>460.00229666506834</v>
      </c>
      <c r="O5244" s="179" t="s">
        <v>3356</v>
      </c>
      <c r="P5244" s="108">
        <v>61</v>
      </c>
    </row>
    <row r="5245" spans="1:22">
      <c r="A5245" s="121" t="s">
        <v>7297</v>
      </c>
      <c r="B5245" s="166"/>
      <c r="C5245" s="169" t="s">
        <v>3817</v>
      </c>
      <c r="D5245" s="165"/>
      <c r="E5245" s="169"/>
      <c r="F5245" s="169"/>
      <c r="G5245" s="169" t="s">
        <v>3618</v>
      </c>
      <c r="H5245" s="169" t="s">
        <v>6508</v>
      </c>
      <c r="I5245" s="169" t="s">
        <v>6509</v>
      </c>
      <c r="J5245" s="169" t="s">
        <v>6510</v>
      </c>
      <c r="K5245" s="141"/>
      <c r="L5245" s="135" t="str">
        <f t="shared" si="291"/>
        <v>Cavia aperea</v>
      </c>
      <c r="M5245" s="133">
        <f t="shared" si="293"/>
        <v>2.7395700000000005</v>
      </c>
      <c r="N5245" s="170">
        <v>548.99703634358764</v>
      </c>
      <c r="O5245" s="179" t="s">
        <v>3356</v>
      </c>
      <c r="P5245" s="108">
        <v>61</v>
      </c>
    </row>
    <row r="5246" spans="1:22">
      <c r="A5246" s="118" t="s">
        <v>7297</v>
      </c>
      <c r="B5246" s="166"/>
      <c r="C5246" s="169" t="s">
        <v>3817</v>
      </c>
      <c r="D5246" s="165"/>
      <c r="E5246" s="169"/>
      <c r="F5246" s="169"/>
      <c r="G5246" s="169" t="s">
        <v>3618</v>
      </c>
      <c r="H5246" s="169" t="s">
        <v>6508</v>
      </c>
      <c r="I5246" s="169" t="s">
        <v>6509</v>
      </c>
      <c r="J5246" s="169" t="s">
        <v>6679</v>
      </c>
      <c r="K5246" s="141"/>
      <c r="L5246" s="135" t="str">
        <f t="shared" si="291"/>
        <v>Cavia porcellus</v>
      </c>
      <c r="M5246" s="133">
        <f t="shared" si="293"/>
        <v>2.8621300000000005</v>
      </c>
      <c r="N5246" s="170">
        <v>727.99768788612778</v>
      </c>
      <c r="O5246" s="179" t="s">
        <v>3356</v>
      </c>
      <c r="P5246" s="108">
        <v>61</v>
      </c>
    </row>
    <row r="5247" spans="1:22">
      <c r="A5247" s="118" t="s">
        <v>7297</v>
      </c>
      <c r="B5247" s="166"/>
      <c r="C5247" s="169" t="s">
        <v>3817</v>
      </c>
      <c r="D5247" s="165"/>
      <c r="E5247" s="169"/>
      <c r="F5247" s="169"/>
      <c r="G5247" s="169" t="s">
        <v>3618</v>
      </c>
      <c r="H5247" s="169" t="s">
        <v>6508</v>
      </c>
      <c r="I5247" s="169" t="s">
        <v>6509</v>
      </c>
      <c r="J5247" s="169" t="s">
        <v>6680</v>
      </c>
      <c r="K5247" s="141"/>
      <c r="L5247" s="135" t="str">
        <f t="shared" si="291"/>
        <v>Cavia tschudii</v>
      </c>
      <c r="M5247" s="133">
        <f t="shared" si="293"/>
        <v>3</v>
      </c>
      <c r="N5247" s="170">
        <v>1000</v>
      </c>
      <c r="O5247" s="179" t="s">
        <v>3356</v>
      </c>
      <c r="P5247" s="108">
        <v>75</v>
      </c>
    </row>
    <row r="5248" spans="1:22">
      <c r="A5248" s="118" t="s">
        <v>7297</v>
      </c>
      <c r="B5248" s="166"/>
      <c r="C5248" s="169" t="s">
        <v>3817</v>
      </c>
      <c r="D5248" s="165"/>
      <c r="E5248" s="169"/>
      <c r="F5248" s="169"/>
      <c r="G5248" s="169" t="s">
        <v>3618</v>
      </c>
      <c r="H5248" s="169" t="s">
        <v>6508</v>
      </c>
      <c r="I5248" s="169" t="s">
        <v>6681</v>
      </c>
      <c r="J5248" s="169" t="s">
        <v>6516</v>
      </c>
      <c r="K5248" s="141"/>
      <c r="L5248" s="135" t="str">
        <f t="shared" si="291"/>
        <v>Dolichotis salinicola</v>
      </c>
      <c r="M5248" s="133">
        <f t="shared" si="293"/>
        <v>3.2041200000000001</v>
      </c>
      <c r="N5248" s="170">
        <v>1600.0000638979368</v>
      </c>
      <c r="O5248" s="179" t="s">
        <v>6641</v>
      </c>
      <c r="P5248" s="108">
        <v>60</v>
      </c>
      <c r="Q5248" s="90" t="s">
        <v>6642</v>
      </c>
    </row>
    <row r="5249" spans="1:17" ht="25.5">
      <c r="A5249" s="118" t="s">
        <v>7297</v>
      </c>
      <c r="B5249" s="166"/>
      <c r="C5249" s="169" t="s">
        <v>3817</v>
      </c>
      <c r="D5249" s="165"/>
      <c r="E5249" s="169"/>
      <c r="F5249" s="169"/>
      <c r="G5249" s="169" t="s">
        <v>3618</v>
      </c>
      <c r="H5249" s="169" t="s">
        <v>6508</v>
      </c>
      <c r="I5249" s="169" t="s">
        <v>6681</v>
      </c>
      <c r="J5249" s="169" t="s">
        <v>6515</v>
      </c>
      <c r="K5249" s="141"/>
      <c r="L5249" s="135" t="str">
        <f t="shared" si="291"/>
        <v>Dolichotis patagonum</v>
      </c>
      <c r="M5249" s="133">
        <f t="shared" si="293"/>
        <v>3.9030900000000006</v>
      </c>
      <c r="N5249" s="170">
        <v>8000.0002396172686</v>
      </c>
      <c r="O5249" s="179" t="s">
        <v>6919</v>
      </c>
      <c r="P5249" s="108">
        <v>60</v>
      </c>
      <c r="Q5249" s="90" t="s">
        <v>6642</v>
      </c>
    </row>
    <row r="5250" spans="1:17">
      <c r="A5250" s="118" t="s">
        <v>7297</v>
      </c>
      <c r="B5250" s="166"/>
      <c r="C5250" s="169" t="s">
        <v>3817</v>
      </c>
      <c r="D5250" s="165"/>
      <c r="E5250" s="169"/>
      <c r="F5250" s="169"/>
      <c r="G5250" s="169" t="s">
        <v>3618</v>
      </c>
      <c r="H5250" s="169" t="s">
        <v>6508</v>
      </c>
      <c r="I5250" s="169" t="s">
        <v>6517</v>
      </c>
      <c r="J5250" s="169" t="s">
        <v>3040</v>
      </c>
      <c r="K5250" s="141"/>
      <c r="L5250" s="135" t="str">
        <f t="shared" si="291"/>
        <v>Galea spixii</v>
      </c>
      <c r="M5250" s="133">
        <f t="shared" si="293"/>
        <v>2.5134800000000004</v>
      </c>
      <c r="N5250" s="170">
        <v>326.19702812008234</v>
      </c>
      <c r="O5250" s="179" t="s">
        <v>3356</v>
      </c>
      <c r="P5250" s="117">
        <v>61</v>
      </c>
    </row>
    <row r="5251" spans="1:17">
      <c r="A5251" s="118" t="s">
        <v>7297</v>
      </c>
      <c r="B5251" s="166"/>
      <c r="C5251" s="169" t="s">
        <v>3817</v>
      </c>
      <c r="D5251" s="165"/>
      <c r="E5251" s="169"/>
      <c r="F5251" s="169"/>
      <c r="G5251" s="169" t="s">
        <v>3618</v>
      </c>
      <c r="H5251" s="169" t="s">
        <v>6508</v>
      </c>
      <c r="I5251" s="169" t="s">
        <v>6517</v>
      </c>
      <c r="J5251" s="169" t="s">
        <v>6685</v>
      </c>
      <c r="K5251" s="141"/>
      <c r="L5251" s="135" t="str">
        <f t="shared" si="291"/>
        <v>Galea flavidens</v>
      </c>
      <c r="M5251" s="133">
        <f t="shared" si="293"/>
        <v>2.6532100000000005</v>
      </c>
      <c r="N5251" s="170">
        <v>449.9973953258035</v>
      </c>
      <c r="O5251" s="179" t="s">
        <v>3356</v>
      </c>
      <c r="P5251" s="117">
        <v>61</v>
      </c>
    </row>
    <row r="5252" spans="1:17">
      <c r="A5252" s="118" t="s">
        <v>7297</v>
      </c>
      <c r="B5252" s="166"/>
      <c r="C5252" s="169" t="s">
        <v>3817</v>
      </c>
      <c r="D5252" s="165"/>
      <c r="E5252" s="169"/>
      <c r="F5252" s="169"/>
      <c r="G5252" s="169" t="s">
        <v>3618</v>
      </c>
      <c r="H5252" s="169" t="s">
        <v>6508</v>
      </c>
      <c r="I5252" s="169" t="s">
        <v>6517</v>
      </c>
      <c r="J5252" s="169" t="s">
        <v>4151</v>
      </c>
      <c r="K5252" s="156"/>
      <c r="L5252" s="135" t="str">
        <f t="shared" si="291"/>
        <v>Galea musteloides</v>
      </c>
      <c r="M5252" s="133">
        <f t="shared" si="293"/>
        <v>2.6812400000000003</v>
      </c>
      <c r="N5252" s="170">
        <v>479.9986324039092</v>
      </c>
      <c r="O5252" s="179" t="s">
        <v>3356</v>
      </c>
      <c r="P5252" s="108">
        <v>60</v>
      </c>
    </row>
    <row r="5253" spans="1:17">
      <c r="A5253" s="118" t="s">
        <v>7297</v>
      </c>
      <c r="B5253" s="166"/>
      <c r="C5253" s="169" t="s">
        <v>3817</v>
      </c>
      <c r="D5253" s="165"/>
      <c r="E5253" s="169"/>
      <c r="F5253" s="169"/>
      <c r="G5253" s="169" t="s">
        <v>3618</v>
      </c>
      <c r="H5253" s="169" t="s">
        <v>6508</v>
      </c>
      <c r="I5253" s="169" t="s">
        <v>3041</v>
      </c>
      <c r="J5253" s="169" t="s">
        <v>4713</v>
      </c>
      <c r="K5253" s="141"/>
      <c r="L5253" s="135" t="str">
        <f t="shared" ref="L5253:L5316" si="294">I5253&amp;" "&amp;J5253</f>
        <v>Kerodon rupestris</v>
      </c>
      <c r="M5253" s="133">
        <f t="shared" si="293"/>
        <v>2.9030900000000006</v>
      </c>
      <c r="N5253" s="170">
        <v>800.0000239617267</v>
      </c>
      <c r="O5253" s="179" t="s">
        <v>3356</v>
      </c>
      <c r="P5253" s="117">
        <v>61</v>
      </c>
    </row>
    <row r="5254" spans="1:17">
      <c r="A5254" s="121" t="s">
        <v>7297</v>
      </c>
      <c r="B5254" s="166"/>
      <c r="C5254" s="169" t="s">
        <v>3817</v>
      </c>
      <c r="D5254" s="165"/>
      <c r="E5254" s="169"/>
      <c r="F5254" s="169"/>
      <c r="G5254" s="169" t="s">
        <v>3618</v>
      </c>
      <c r="H5254" s="169" t="s">
        <v>6508</v>
      </c>
      <c r="I5254" s="169" t="s">
        <v>6512</v>
      </c>
      <c r="J5254" s="169" t="s">
        <v>6803</v>
      </c>
      <c r="K5254" s="141"/>
      <c r="L5254" s="135" t="str">
        <f t="shared" si="294"/>
        <v>Microcavia shiptoni</v>
      </c>
      <c r="M5254" s="133">
        <f t="shared" si="293"/>
        <v>2.2671700000000006</v>
      </c>
      <c r="N5254" s="170">
        <v>184.99926373938769</v>
      </c>
      <c r="O5254" s="179" t="s">
        <v>3356</v>
      </c>
      <c r="P5254" s="117">
        <v>61</v>
      </c>
    </row>
    <row r="5255" spans="1:17">
      <c r="A5255" s="121" t="s">
        <v>7297</v>
      </c>
      <c r="B5255" s="166"/>
      <c r="C5255" s="169" t="s">
        <v>3817</v>
      </c>
      <c r="D5255" s="165"/>
      <c r="E5255" s="169"/>
      <c r="F5255" s="169"/>
      <c r="G5255" s="169" t="s">
        <v>3618</v>
      </c>
      <c r="H5255" s="169" t="s">
        <v>6508</v>
      </c>
      <c r="I5255" s="169" t="s">
        <v>6512</v>
      </c>
      <c r="J5255" s="169" t="s">
        <v>6802</v>
      </c>
      <c r="K5255" s="141"/>
      <c r="L5255" s="135" t="str">
        <f t="shared" si="294"/>
        <v>Microcavia niata</v>
      </c>
      <c r="M5255" s="133">
        <f t="shared" si="293"/>
        <v>2.4068800000000001</v>
      </c>
      <c r="N5255" s="170">
        <v>255.19960626622768</v>
      </c>
      <c r="O5255" s="179" t="s">
        <v>3356</v>
      </c>
      <c r="P5255" s="117">
        <v>61</v>
      </c>
    </row>
    <row r="5256" spans="1:17">
      <c r="A5256" s="118" t="s">
        <v>7297</v>
      </c>
      <c r="B5256" s="166"/>
      <c r="C5256" s="169" t="s">
        <v>3817</v>
      </c>
      <c r="D5256" s="165"/>
      <c r="E5256" s="169"/>
      <c r="F5256" s="169"/>
      <c r="G5256" s="169" t="s">
        <v>3618</v>
      </c>
      <c r="H5256" s="169" t="s">
        <v>6508</v>
      </c>
      <c r="I5256" s="169" t="s">
        <v>6512</v>
      </c>
      <c r="J5256" s="169" t="s">
        <v>3789</v>
      </c>
      <c r="K5256" s="141"/>
      <c r="L5256" s="135" t="str">
        <f t="shared" si="294"/>
        <v>Microcavia australis</v>
      </c>
      <c r="M5256" s="133">
        <f t="shared" si="293"/>
        <v>2.4565199999999998</v>
      </c>
      <c r="N5256" s="170">
        <v>286.10141121624019</v>
      </c>
      <c r="O5256" s="179" t="s">
        <v>3356</v>
      </c>
      <c r="P5256" s="117">
        <v>61</v>
      </c>
    </row>
    <row r="5257" spans="1:17">
      <c r="A5257" s="118" t="s">
        <v>7297</v>
      </c>
      <c r="B5257" s="166"/>
      <c r="C5257" s="169" t="s">
        <v>3817</v>
      </c>
      <c r="D5257" s="165"/>
      <c r="E5257" s="169"/>
      <c r="F5257" s="169"/>
      <c r="G5257" s="169" t="s">
        <v>3618</v>
      </c>
      <c r="H5257" s="169" t="s">
        <v>6804</v>
      </c>
      <c r="I5257" s="169" t="s">
        <v>8263</v>
      </c>
      <c r="J5257" s="169" t="s">
        <v>8264</v>
      </c>
      <c r="K5257" s="141"/>
      <c r="L5257" s="135" t="str">
        <f t="shared" si="294"/>
        <v>Chinchilla lanigera</v>
      </c>
      <c r="M5257" s="133">
        <f t="shared" si="293"/>
        <v>2.6201360549737576</v>
      </c>
      <c r="N5257" s="170">
        <f>AVERAGE(412, 422)</f>
        <v>417</v>
      </c>
      <c r="O5257" s="179" t="s">
        <v>6773</v>
      </c>
      <c r="P5257" s="108">
        <v>241</v>
      </c>
      <c r="Q5257" s="90" t="s">
        <v>6988</v>
      </c>
    </row>
    <row r="5258" spans="1:17">
      <c r="A5258" s="118" t="s">
        <v>7297</v>
      </c>
      <c r="B5258" s="166"/>
      <c r="C5258" s="169" t="s">
        <v>3817</v>
      </c>
      <c r="D5258" s="165"/>
      <c r="E5258" s="169"/>
      <c r="F5258" s="169"/>
      <c r="G5258" s="169" t="s">
        <v>3618</v>
      </c>
      <c r="H5258" s="169" t="s">
        <v>6804</v>
      </c>
      <c r="I5258" s="169" t="s">
        <v>8263</v>
      </c>
      <c r="J5258" s="169" t="s">
        <v>4679</v>
      </c>
      <c r="K5258" s="141"/>
      <c r="L5258" s="135" t="str">
        <f t="shared" si="294"/>
        <v>Chinchilla brevicaudata</v>
      </c>
      <c r="M5258" s="133">
        <f t="shared" si="293"/>
        <v>2.6989700000000005</v>
      </c>
      <c r="N5258" s="170">
        <v>499.99999500797441</v>
      </c>
      <c r="O5258" s="179" t="s">
        <v>7084</v>
      </c>
      <c r="P5258" s="108">
        <v>61</v>
      </c>
      <c r="Q5258" s="90" t="s">
        <v>7071</v>
      </c>
    </row>
    <row r="5259" spans="1:17">
      <c r="A5259" s="118" t="s">
        <v>7297</v>
      </c>
      <c r="B5259" s="166"/>
      <c r="C5259" s="169" t="s">
        <v>3817</v>
      </c>
      <c r="D5259" s="165"/>
      <c r="E5259" s="169"/>
      <c r="F5259" s="169"/>
      <c r="G5259" s="169" t="s">
        <v>3618</v>
      </c>
      <c r="H5259" s="169" t="s">
        <v>6804</v>
      </c>
      <c r="I5259" s="169" t="s">
        <v>3413</v>
      </c>
      <c r="J5259" s="169" t="s">
        <v>8262</v>
      </c>
      <c r="K5259" s="141"/>
      <c r="L5259" s="135" t="str">
        <f t="shared" si="294"/>
        <v>Lagidium peruanum</v>
      </c>
      <c r="M5259" s="133">
        <f t="shared" si="293"/>
        <v>3.0863598306747484</v>
      </c>
      <c r="N5259" s="170">
        <v>1220</v>
      </c>
      <c r="O5259" s="179" t="s">
        <v>3356</v>
      </c>
      <c r="P5259" s="120">
        <v>61</v>
      </c>
    </row>
    <row r="5260" spans="1:17">
      <c r="A5260" s="118" t="s">
        <v>7297</v>
      </c>
      <c r="B5260" s="166"/>
      <c r="C5260" s="169" t="s">
        <v>3817</v>
      </c>
      <c r="D5260" s="165"/>
      <c r="E5260" s="169"/>
      <c r="F5260" s="169"/>
      <c r="G5260" s="169" t="s">
        <v>3618</v>
      </c>
      <c r="H5260" s="169" t="s">
        <v>6804</v>
      </c>
      <c r="I5260" s="169" t="s">
        <v>3413</v>
      </c>
      <c r="J5260" s="169" t="s">
        <v>6686</v>
      </c>
      <c r="K5260" s="141"/>
      <c r="L5260" s="135" t="str">
        <f t="shared" si="294"/>
        <v>Lagidium viscacia</v>
      </c>
      <c r="M5260" s="133">
        <f t="shared" si="293"/>
        <v>3.1875200000000001</v>
      </c>
      <c r="N5260" s="170">
        <v>1539.9974439296889</v>
      </c>
      <c r="O5260" s="179" t="s">
        <v>3356</v>
      </c>
      <c r="P5260" s="117">
        <v>61</v>
      </c>
    </row>
    <row r="5261" spans="1:17">
      <c r="A5261" s="118" t="s">
        <v>7297</v>
      </c>
      <c r="B5261" s="166"/>
      <c r="C5261" s="169" t="s">
        <v>3817</v>
      </c>
      <c r="D5261" s="165"/>
      <c r="E5261" s="169"/>
      <c r="F5261" s="169"/>
      <c r="G5261" s="169" t="s">
        <v>3618</v>
      </c>
      <c r="H5261" s="169" t="s">
        <v>6804</v>
      </c>
      <c r="I5261" s="169" t="s">
        <v>3413</v>
      </c>
      <c r="J5261" s="169" t="s">
        <v>3427</v>
      </c>
      <c r="K5261" s="141"/>
      <c r="L5261" s="135" t="str">
        <f t="shared" si="294"/>
        <v>Lagidium wolffsohni</v>
      </c>
      <c r="M5261" s="133">
        <f t="shared" si="293"/>
        <v>3.4284600000000003</v>
      </c>
      <c r="N5261" s="170">
        <v>2682.0075742059753</v>
      </c>
      <c r="O5261" s="179" t="s">
        <v>6773</v>
      </c>
      <c r="P5261" s="117">
        <v>61</v>
      </c>
      <c r="Q5261" s="90" t="s">
        <v>6642</v>
      </c>
    </row>
    <row r="5262" spans="1:17">
      <c r="A5262" s="118" t="s">
        <v>7297</v>
      </c>
      <c r="B5262" s="166"/>
      <c r="C5262" s="169" t="s">
        <v>3817</v>
      </c>
      <c r="D5262" s="165"/>
      <c r="E5262" s="169"/>
      <c r="F5262" s="169"/>
      <c r="G5262" s="169" t="s">
        <v>3618</v>
      </c>
      <c r="H5262" s="169" t="s">
        <v>6804</v>
      </c>
      <c r="I5262" s="169" t="s">
        <v>3428</v>
      </c>
      <c r="J5262" s="169" t="s">
        <v>3429</v>
      </c>
      <c r="K5262" s="141"/>
      <c r="L5262" s="135" t="str">
        <f t="shared" si="294"/>
        <v>Lagostomus maximus</v>
      </c>
      <c r="M5262" s="133">
        <f t="shared" si="293"/>
        <v>3.6672199999999999</v>
      </c>
      <c r="N5262" s="170">
        <v>4647.5064374148415</v>
      </c>
      <c r="O5262" s="179" t="s">
        <v>3356</v>
      </c>
      <c r="P5262" s="111">
        <v>60</v>
      </c>
    </row>
    <row r="5263" spans="1:17">
      <c r="A5263" s="118" t="s">
        <v>7297</v>
      </c>
      <c r="B5263" s="166"/>
      <c r="C5263" s="169" t="s">
        <v>3817</v>
      </c>
      <c r="D5263" s="165"/>
      <c r="E5263" s="169"/>
      <c r="F5263" s="169"/>
      <c r="G5263" s="169" t="s">
        <v>3618</v>
      </c>
      <c r="H5263" s="169" t="s">
        <v>6809</v>
      </c>
      <c r="I5263" s="169" t="s">
        <v>6810</v>
      </c>
      <c r="J5263" s="169" t="s">
        <v>3876</v>
      </c>
      <c r="K5263" s="141"/>
      <c r="L5263" s="135" t="str">
        <f t="shared" si="294"/>
        <v>Ctenomys minutus</v>
      </c>
      <c r="M5263" s="133">
        <f t="shared" si="293"/>
        <v>1.9637899999999999</v>
      </c>
      <c r="N5263" s="170">
        <v>92.000460251551033</v>
      </c>
      <c r="O5263" s="179" t="s">
        <v>3356</v>
      </c>
      <c r="P5263" s="117">
        <v>61</v>
      </c>
    </row>
    <row r="5264" spans="1:17">
      <c r="A5264" s="118" t="s">
        <v>7297</v>
      </c>
      <c r="B5264" s="166"/>
      <c r="C5264" s="169" t="s">
        <v>3817</v>
      </c>
      <c r="D5264" s="165"/>
      <c r="E5264" s="169"/>
      <c r="F5264" s="169"/>
      <c r="G5264" s="169" t="s">
        <v>3618</v>
      </c>
      <c r="H5264" s="169" t="s">
        <v>6809</v>
      </c>
      <c r="I5264" s="169" t="s">
        <v>6810</v>
      </c>
      <c r="J5264" s="169" t="s">
        <v>3692</v>
      </c>
      <c r="K5264" s="141"/>
      <c r="L5264" s="135" t="str">
        <f t="shared" si="294"/>
        <v>Ctenomys lewisi</v>
      </c>
      <c r="M5264" s="133">
        <f t="shared" si="293"/>
        <v>2.0689299999999999</v>
      </c>
      <c r="N5264" s="170">
        <v>117.2006445203485</v>
      </c>
      <c r="O5264" s="179" t="s">
        <v>3356</v>
      </c>
      <c r="P5264" s="117">
        <v>61</v>
      </c>
    </row>
    <row r="5265" spans="1:17">
      <c r="A5265" s="118" t="s">
        <v>7297</v>
      </c>
      <c r="B5265" s="166"/>
      <c r="C5265" s="169" t="s">
        <v>3817</v>
      </c>
      <c r="D5265" s="165"/>
      <c r="E5265" s="169"/>
      <c r="F5265" s="169"/>
      <c r="G5265" s="169" t="s">
        <v>3618</v>
      </c>
      <c r="H5265" s="169" t="s">
        <v>6809</v>
      </c>
      <c r="I5265" s="169" t="s">
        <v>6810</v>
      </c>
      <c r="J5265" s="169" t="s">
        <v>3081</v>
      </c>
      <c r="K5265" s="141"/>
      <c r="L5265" s="135" t="str">
        <f t="shared" si="294"/>
        <v>Ctenomys talarum</v>
      </c>
      <c r="M5265" s="133">
        <f t="shared" si="293"/>
        <v>2.1216700000000004</v>
      </c>
      <c r="N5265" s="170">
        <v>132.33356124244222</v>
      </c>
      <c r="O5265" s="179" t="s">
        <v>3356</v>
      </c>
      <c r="P5265" s="108">
        <v>60</v>
      </c>
    </row>
    <row r="5266" spans="1:17">
      <c r="A5266" s="118" t="s">
        <v>7297</v>
      </c>
      <c r="B5266" s="166"/>
      <c r="C5266" s="169" t="s">
        <v>3817</v>
      </c>
      <c r="D5266" s="165"/>
      <c r="E5266" s="169"/>
      <c r="F5266" s="169"/>
      <c r="G5266" s="169" t="s">
        <v>3618</v>
      </c>
      <c r="H5266" s="169" t="s">
        <v>6809</v>
      </c>
      <c r="I5266" s="169" t="s">
        <v>6810</v>
      </c>
      <c r="J5266" s="169" t="s">
        <v>4112</v>
      </c>
      <c r="K5266" s="141"/>
      <c r="L5266" s="135" t="str">
        <f t="shared" si="294"/>
        <v>Ctenomys occultus</v>
      </c>
      <c r="M5266" s="133">
        <f t="shared" si="293"/>
        <v>2.1760900000000003</v>
      </c>
      <c r="N5266" s="170">
        <v>149.99956513820399</v>
      </c>
      <c r="O5266" s="179" t="s">
        <v>3356</v>
      </c>
      <c r="P5266" s="117">
        <v>61</v>
      </c>
    </row>
    <row r="5267" spans="1:17">
      <c r="A5267" s="118" t="s">
        <v>7297</v>
      </c>
      <c r="B5267" s="166"/>
      <c r="C5267" s="169" t="s">
        <v>3817</v>
      </c>
      <c r="D5267" s="165"/>
      <c r="E5267" s="169"/>
      <c r="F5267" s="169"/>
      <c r="G5267" s="169" t="s">
        <v>3618</v>
      </c>
      <c r="H5267" s="169" t="s">
        <v>6809</v>
      </c>
      <c r="I5267" s="169" t="s">
        <v>6810</v>
      </c>
      <c r="J5267" s="169" t="s">
        <v>3875</v>
      </c>
      <c r="K5267" s="141"/>
      <c r="L5267" s="135" t="str">
        <f t="shared" si="294"/>
        <v>Ctenomys mendocinus</v>
      </c>
      <c r="M5267" s="133">
        <f t="shared" si="293"/>
        <v>2.2123208031419757</v>
      </c>
      <c r="N5267" s="169">
        <f>AVERAGE(145.3, 180.8)</f>
        <v>163.05000000000001</v>
      </c>
      <c r="O5267" s="179"/>
      <c r="P5267" s="117">
        <v>270</v>
      </c>
    </row>
    <row r="5268" spans="1:17">
      <c r="A5268" s="121" t="s">
        <v>7297</v>
      </c>
      <c r="B5268" s="166"/>
      <c r="C5268" s="169" t="s">
        <v>3817</v>
      </c>
      <c r="D5268" s="165"/>
      <c r="E5268" s="169"/>
      <c r="F5268" s="169"/>
      <c r="G5268" s="169" t="s">
        <v>3618</v>
      </c>
      <c r="H5268" s="169" t="s">
        <v>6809</v>
      </c>
      <c r="I5268" s="169" t="s">
        <v>6810</v>
      </c>
      <c r="J5268" s="169" t="s">
        <v>6819</v>
      </c>
      <c r="K5268" s="141"/>
      <c r="L5268" s="135" t="str">
        <f t="shared" si="294"/>
        <v>Ctenomys haigi</v>
      </c>
      <c r="M5268" s="133">
        <f t="shared" si="293"/>
        <v>2.2148400000000006</v>
      </c>
      <c r="N5268" s="170">
        <v>163.9985468914461</v>
      </c>
      <c r="O5268" s="179" t="s">
        <v>3356</v>
      </c>
      <c r="P5268" s="117">
        <v>61</v>
      </c>
    </row>
    <row r="5269" spans="1:17">
      <c r="A5269" s="118" t="s">
        <v>7297</v>
      </c>
      <c r="B5269" s="166"/>
      <c r="C5269" s="169" t="s">
        <v>3817</v>
      </c>
      <c r="D5269" s="165"/>
      <c r="E5269" s="169"/>
      <c r="F5269" s="169"/>
      <c r="G5269" s="169" t="s">
        <v>3618</v>
      </c>
      <c r="H5269" s="169" t="s">
        <v>6809</v>
      </c>
      <c r="I5269" s="169" t="s">
        <v>6810</v>
      </c>
      <c r="J5269" s="169" t="s">
        <v>3630</v>
      </c>
      <c r="K5269" s="141"/>
      <c r="L5269" s="135" t="str">
        <f t="shared" si="294"/>
        <v>Ctenomys dorsalis</v>
      </c>
      <c r="M5269" s="133">
        <f t="shared" si="293"/>
        <v>2.2190600000000003</v>
      </c>
      <c r="N5269" s="170">
        <v>165.59987323460777</v>
      </c>
      <c r="O5269" s="179" t="s">
        <v>3356</v>
      </c>
      <c r="P5269" s="117">
        <v>61</v>
      </c>
    </row>
    <row r="5270" spans="1:17">
      <c r="A5270" s="118" t="s">
        <v>7297</v>
      </c>
      <c r="B5270" s="166"/>
      <c r="C5270" s="169" t="s">
        <v>3817</v>
      </c>
      <c r="D5270" s="165"/>
      <c r="E5270" s="169"/>
      <c r="F5270" s="169"/>
      <c r="G5270" s="169" t="s">
        <v>3618</v>
      </c>
      <c r="H5270" s="169" t="s">
        <v>6809</v>
      </c>
      <c r="I5270" s="169" t="s">
        <v>6810</v>
      </c>
      <c r="J5270" s="169" t="s">
        <v>6527</v>
      </c>
      <c r="K5270" s="141"/>
      <c r="L5270" s="135" t="str">
        <f t="shared" si="294"/>
        <v>Ctenomys frater</v>
      </c>
      <c r="M5270" s="133">
        <f t="shared" si="293"/>
        <v>2.2377899999999999</v>
      </c>
      <c r="N5270" s="170">
        <v>172.89801210438051</v>
      </c>
      <c r="O5270" s="179" t="s">
        <v>3356</v>
      </c>
      <c r="P5270" s="117">
        <v>61</v>
      </c>
    </row>
    <row r="5271" spans="1:17">
      <c r="A5271" s="118" t="s">
        <v>7297</v>
      </c>
      <c r="B5271" s="166"/>
      <c r="C5271" s="169" t="s">
        <v>3817</v>
      </c>
      <c r="D5271" s="165"/>
      <c r="E5271" s="169"/>
      <c r="F5271" s="169"/>
      <c r="G5271" s="169" t="s">
        <v>3618</v>
      </c>
      <c r="H5271" s="169" t="s">
        <v>6809</v>
      </c>
      <c r="I5271" s="169" t="s">
        <v>6810</v>
      </c>
      <c r="J5271" s="169" t="s">
        <v>3690</v>
      </c>
      <c r="K5271" s="141"/>
      <c r="L5271" s="135" t="str">
        <f t="shared" si="294"/>
        <v>Ctenomys latro</v>
      </c>
      <c r="M5271" s="133">
        <f t="shared" si="293"/>
        <v>2.2833000000000006</v>
      </c>
      <c r="N5271" s="170">
        <v>191.99945679542901</v>
      </c>
      <c r="O5271" s="179" t="s">
        <v>6916</v>
      </c>
      <c r="P5271" s="117">
        <v>61</v>
      </c>
      <c r="Q5271" s="90" t="s">
        <v>6642</v>
      </c>
    </row>
    <row r="5272" spans="1:17">
      <c r="A5272" s="118" t="s">
        <v>7297</v>
      </c>
      <c r="B5272" s="166"/>
      <c r="C5272" s="169" t="s">
        <v>3817</v>
      </c>
      <c r="D5272" s="165"/>
      <c r="E5272" s="169"/>
      <c r="F5272" s="169"/>
      <c r="G5272" s="169" t="s">
        <v>3618</v>
      </c>
      <c r="H5272" s="169" t="s">
        <v>6809</v>
      </c>
      <c r="I5272" s="169" t="s">
        <v>6810</v>
      </c>
      <c r="J5272" s="169" t="s">
        <v>3674</v>
      </c>
      <c r="K5272" s="156"/>
      <c r="L5272" s="135" t="str">
        <f t="shared" si="294"/>
        <v>Ctenomys porteousi</v>
      </c>
      <c r="M5272" s="133">
        <f t="shared" si="293"/>
        <v>2.2842099999999999</v>
      </c>
      <c r="N5272" s="170">
        <v>192.40218510619664</v>
      </c>
      <c r="O5272" s="179" t="s">
        <v>3356</v>
      </c>
      <c r="P5272" s="117">
        <v>61</v>
      </c>
    </row>
    <row r="5273" spans="1:17">
      <c r="A5273" s="118" t="s">
        <v>7297</v>
      </c>
      <c r="B5273" s="166"/>
      <c r="C5273" s="169" t="s">
        <v>3817</v>
      </c>
      <c r="D5273" s="165"/>
      <c r="E5273" s="169"/>
      <c r="F5273" s="169"/>
      <c r="G5273" s="169" t="s">
        <v>3618</v>
      </c>
      <c r="H5273" s="169" t="s">
        <v>6809</v>
      </c>
      <c r="I5273" s="169" t="s">
        <v>6810</v>
      </c>
      <c r="J5273" s="169" t="s">
        <v>6813</v>
      </c>
      <c r="K5273" s="141"/>
      <c r="L5273" s="135" t="str">
        <f t="shared" si="294"/>
        <v>Ctenomys bonettoi</v>
      </c>
      <c r="M5273" s="133">
        <f t="shared" si="293"/>
        <v>2.3060000000000005</v>
      </c>
      <c r="N5273" s="170">
        <v>202.30191786782734</v>
      </c>
      <c r="O5273" s="179" t="s">
        <v>3356</v>
      </c>
      <c r="P5273" s="117">
        <v>61</v>
      </c>
    </row>
    <row r="5274" spans="1:17">
      <c r="A5274" s="121" t="s">
        <v>7297</v>
      </c>
      <c r="B5274" s="166"/>
      <c r="C5274" s="169" t="s">
        <v>3817</v>
      </c>
      <c r="D5274" s="165"/>
      <c r="E5274" s="169"/>
      <c r="F5274" s="169"/>
      <c r="G5274" s="169" t="s">
        <v>3618</v>
      </c>
      <c r="H5274" s="169" t="s">
        <v>6809</v>
      </c>
      <c r="I5274" s="169" t="s">
        <v>6810</v>
      </c>
      <c r="J5274" s="169" t="s">
        <v>3712</v>
      </c>
      <c r="K5274" s="141"/>
      <c r="L5274" s="135" t="str">
        <f t="shared" si="294"/>
        <v>Ctenomys torquatus</v>
      </c>
      <c r="M5274" s="133">
        <f t="shared" si="293"/>
        <v>2.3211800000000005</v>
      </c>
      <c r="N5274" s="170">
        <v>209.49805727229355</v>
      </c>
      <c r="O5274" s="179" t="s">
        <v>3356</v>
      </c>
      <c r="P5274" s="117">
        <v>61</v>
      </c>
    </row>
    <row r="5275" spans="1:17">
      <c r="A5275" s="118" t="s">
        <v>7297</v>
      </c>
      <c r="B5275" s="166"/>
      <c r="C5275" s="169" t="s">
        <v>3817</v>
      </c>
      <c r="D5275" s="165"/>
      <c r="E5275" s="169"/>
      <c r="F5275" s="169"/>
      <c r="G5275" s="169" t="s">
        <v>3618</v>
      </c>
      <c r="H5275" s="169" t="s">
        <v>6809</v>
      </c>
      <c r="I5275" s="169" t="s">
        <v>6810</v>
      </c>
      <c r="J5275" s="169" t="s">
        <v>3670</v>
      </c>
      <c r="K5275" s="141"/>
      <c r="L5275" s="135" t="str">
        <f t="shared" si="294"/>
        <v>Ctenomys pearsoni</v>
      </c>
      <c r="M5275" s="133">
        <f t="shared" si="293"/>
        <v>2.3263400000000005</v>
      </c>
      <c r="N5275" s="170">
        <v>212.0020204891446</v>
      </c>
      <c r="O5275" s="179" t="s">
        <v>3356</v>
      </c>
      <c r="P5275" s="117">
        <v>61</v>
      </c>
    </row>
    <row r="5276" spans="1:17">
      <c r="A5276" s="118" t="s">
        <v>7297</v>
      </c>
      <c r="B5276" s="166"/>
      <c r="C5276" s="169" t="s">
        <v>3817</v>
      </c>
      <c r="D5276" s="165"/>
      <c r="E5276" s="169"/>
      <c r="F5276" s="169"/>
      <c r="G5276" s="169" t="s">
        <v>3618</v>
      </c>
      <c r="H5276" s="169" t="s">
        <v>6809</v>
      </c>
      <c r="I5276" s="169" t="s">
        <v>6810</v>
      </c>
      <c r="J5276" s="169" t="s">
        <v>3689</v>
      </c>
      <c r="K5276" s="141"/>
      <c r="L5276" s="135" t="str">
        <f t="shared" si="294"/>
        <v>Ctenomys maulinus</v>
      </c>
      <c r="M5276" s="133">
        <f t="shared" si="293"/>
        <v>2.3324400000000001</v>
      </c>
      <c r="N5276" s="170">
        <v>215.00076242905635</v>
      </c>
      <c r="O5276" s="179" t="s">
        <v>3356</v>
      </c>
      <c r="P5276" s="108">
        <v>60</v>
      </c>
    </row>
    <row r="5277" spans="1:17">
      <c r="A5277" s="118" t="s">
        <v>7297</v>
      </c>
      <c r="B5277" s="166"/>
      <c r="C5277" s="169" t="s">
        <v>3817</v>
      </c>
      <c r="D5277" s="165"/>
      <c r="E5277" s="169"/>
      <c r="F5277" s="169"/>
      <c r="G5277" s="169" t="s">
        <v>3618</v>
      </c>
      <c r="H5277" s="169" t="s">
        <v>6809</v>
      </c>
      <c r="I5277" s="169" t="s">
        <v>6810</v>
      </c>
      <c r="J5277" s="169" t="s">
        <v>6391</v>
      </c>
      <c r="K5277" s="141"/>
      <c r="L5277" s="135" t="str">
        <f t="shared" si="294"/>
        <v>Ctenomys tucumanus</v>
      </c>
      <c r="M5277" s="133">
        <f t="shared" si="293"/>
        <v>2.3364600000000002</v>
      </c>
      <c r="N5277" s="170">
        <v>217.00013298554157</v>
      </c>
      <c r="O5277" s="179" t="s">
        <v>3356</v>
      </c>
      <c r="P5277" s="108">
        <v>60</v>
      </c>
    </row>
    <row r="5278" spans="1:17">
      <c r="A5278" s="118" t="s">
        <v>7297</v>
      </c>
      <c r="B5278" s="166"/>
      <c r="C5278" s="169" t="s">
        <v>3817</v>
      </c>
      <c r="D5278" s="165"/>
      <c r="E5278" s="169"/>
      <c r="F5278" s="169"/>
      <c r="G5278" s="169" t="s">
        <v>3618</v>
      </c>
      <c r="H5278" s="169" t="s">
        <v>6809</v>
      </c>
      <c r="I5278" s="169" t="s">
        <v>6810</v>
      </c>
      <c r="J5278" s="169" t="s">
        <v>6811</v>
      </c>
      <c r="K5278" s="141"/>
      <c r="L5278" s="135" t="str">
        <f t="shared" si="294"/>
        <v>Ctenomys argentinus</v>
      </c>
      <c r="M5278" s="133">
        <f t="shared" si="293"/>
        <v>2.3449800000000005</v>
      </c>
      <c r="N5278" s="170">
        <v>221.29927951745694</v>
      </c>
      <c r="O5278" s="179" t="s">
        <v>3356</v>
      </c>
      <c r="P5278" s="117">
        <v>61</v>
      </c>
    </row>
    <row r="5279" spans="1:17">
      <c r="A5279" s="118" t="s">
        <v>7297</v>
      </c>
      <c r="B5279" s="166"/>
      <c r="C5279" s="169" t="s">
        <v>3817</v>
      </c>
      <c r="D5279" s="165"/>
      <c r="E5279" s="169"/>
      <c r="F5279" s="169"/>
      <c r="G5279" s="169" t="s">
        <v>3618</v>
      </c>
      <c r="H5279" s="169" t="s">
        <v>6809</v>
      </c>
      <c r="I5279" s="169" t="s">
        <v>6810</v>
      </c>
      <c r="J5279" s="169" t="s">
        <v>3675</v>
      </c>
      <c r="K5279" s="141"/>
      <c r="L5279" s="135" t="str">
        <f t="shared" si="294"/>
        <v>Ctenomys saltarius</v>
      </c>
      <c r="M5279" s="133">
        <f t="shared" si="293"/>
        <v>2.3617300000000006</v>
      </c>
      <c r="N5279" s="170">
        <v>230.00114603619079</v>
      </c>
      <c r="O5279" s="179" t="s">
        <v>3356</v>
      </c>
      <c r="P5279" s="117">
        <v>61</v>
      </c>
    </row>
    <row r="5280" spans="1:17">
      <c r="A5280" s="118" t="s">
        <v>7297</v>
      </c>
      <c r="B5280" s="166"/>
      <c r="C5280" s="169" t="s">
        <v>3817</v>
      </c>
      <c r="D5280" s="165"/>
      <c r="E5280" s="169"/>
      <c r="F5280" s="169"/>
      <c r="G5280" s="169" t="s">
        <v>3618</v>
      </c>
      <c r="H5280" s="169" t="s">
        <v>6809</v>
      </c>
      <c r="I5280" s="169" t="s">
        <v>6810</v>
      </c>
      <c r="J5280" s="169" t="s">
        <v>3673</v>
      </c>
      <c r="K5280" s="141"/>
      <c r="L5280" s="135" t="str">
        <f t="shared" si="294"/>
        <v>Ctenomys validus</v>
      </c>
      <c r="M5280" s="133">
        <f t="shared" si="293"/>
        <v>2.3666100000000005</v>
      </c>
      <c r="N5280" s="170">
        <v>232.6001551084488</v>
      </c>
      <c r="O5280" s="179" t="s">
        <v>3356</v>
      </c>
      <c r="P5280" s="117">
        <v>61</v>
      </c>
    </row>
    <row r="5281" spans="1:17">
      <c r="A5281" s="118" t="s">
        <v>7297</v>
      </c>
      <c r="B5281" s="166"/>
      <c r="C5281" s="169" t="s">
        <v>3817</v>
      </c>
      <c r="D5281" s="165"/>
      <c r="E5281" s="169"/>
      <c r="F5281" s="169"/>
      <c r="G5281" s="169" t="s">
        <v>3618</v>
      </c>
      <c r="H5281" s="169" t="s">
        <v>6809</v>
      </c>
      <c r="I5281" s="169" t="s">
        <v>6810</v>
      </c>
      <c r="J5281" s="169" t="s">
        <v>3691</v>
      </c>
      <c r="K5281" s="141"/>
      <c r="L5281" s="135" t="str">
        <f t="shared" si="294"/>
        <v>Ctenomys leucodon</v>
      </c>
      <c r="M5281" s="133">
        <f t="shared" si="293"/>
        <v>2.3866800000000001</v>
      </c>
      <c r="N5281" s="170">
        <v>243.60152345755344</v>
      </c>
      <c r="O5281" s="179" t="s">
        <v>3356</v>
      </c>
      <c r="P5281" s="117">
        <v>61</v>
      </c>
    </row>
    <row r="5282" spans="1:17">
      <c r="A5282" s="118" t="s">
        <v>7297</v>
      </c>
      <c r="B5282" s="166"/>
      <c r="C5282" s="169" t="s">
        <v>3817</v>
      </c>
      <c r="D5282" s="165"/>
      <c r="E5282" s="169"/>
      <c r="F5282" s="169"/>
      <c r="G5282" s="169" t="s">
        <v>3618</v>
      </c>
      <c r="H5282" s="169" t="s">
        <v>6809</v>
      </c>
      <c r="I5282" s="169" t="s">
        <v>6810</v>
      </c>
      <c r="J5282" s="169" t="s">
        <v>3082</v>
      </c>
      <c r="K5282" s="141"/>
      <c r="L5282" s="135" t="str">
        <f t="shared" si="294"/>
        <v>Ctenomys tuconax</v>
      </c>
      <c r="M5282" s="133">
        <f t="shared" si="293"/>
        <v>2.3961999999999999</v>
      </c>
      <c r="N5282" s="170">
        <v>249.00037433881997</v>
      </c>
      <c r="O5282" s="179" t="s">
        <v>3356</v>
      </c>
      <c r="P5282" s="117">
        <v>61</v>
      </c>
    </row>
    <row r="5283" spans="1:17">
      <c r="A5283" s="118" t="s">
        <v>7297</v>
      </c>
      <c r="B5283" s="166"/>
      <c r="C5283" s="169" t="s">
        <v>3817</v>
      </c>
      <c r="D5283" s="165"/>
      <c r="E5283" s="169"/>
      <c r="F5283" s="169"/>
      <c r="G5283" s="169" t="s">
        <v>3618</v>
      </c>
      <c r="H5283" s="169" t="s">
        <v>6809</v>
      </c>
      <c r="I5283" s="169" t="s">
        <v>6810</v>
      </c>
      <c r="J5283" s="169" t="s">
        <v>6528</v>
      </c>
      <c r="K5283" s="141"/>
      <c r="L5283" s="135" t="str">
        <f t="shared" si="294"/>
        <v>Ctenomys fulvus</v>
      </c>
      <c r="M5283" s="133">
        <f t="shared" si="293"/>
        <v>2.4183000000000003</v>
      </c>
      <c r="N5283" s="170">
        <v>261.99922097727614</v>
      </c>
      <c r="O5283" s="179" t="s">
        <v>3356</v>
      </c>
      <c r="P5283" s="108">
        <v>60</v>
      </c>
    </row>
    <row r="5284" spans="1:17">
      <c r="A5284" s="118" t="s">
        <v>7297</v>
      </c>
      <c r="B5284" s="166"/>
      <c r="C5284" s="169" t="s">
        <v>3817</v>
      </c>
      <c r="D5284" s="165"/>
      <c r="E5284" s="169"/>
      <c r="F5284" s="169"/>
      <c r="G5284" s="169" t="s">
        <v>3618</v>
      </c>
      <c r="H5284" s="169" t="s">
        <v>6809</v>
      </c>
      <c r="I5284" s="169" t="s">
        <v>6810</v>
      </c>
      <c r="J5284" s="169" t="s">
        <v>3688</v>
      </c>
      <c r="K5284" s="141"/>
      <c r="L5284" s="135" t="str">
        <f t="shared" si="294"/>
        <v>Ctenomys magellanicus</v>
      </c>
      <c r="M5284" s="133">
        <f t="shared" si="293"/>
        <v>2.4345700000000003</v>
      </c>
      <c r="N5284" s="170">
        <v>272.00068640769467</v>
      </c>
      <c r="O5284" s="179" t="s">
        <v>7036</v>
      </c>
      <c r="P5284" s="108">
        <v>60</v>
      </c>
      <c r="Q5284" s="90" t="s">
        <v>6988</v>
      </c>
    </row>
    <row r="5285" spans="1:17">
      <c r="A5285" s="118" t="s">
        <v>7297</v>
      </c>
      <c r="B5285" s="166"/>
      <c r="C5285" s="169" t="s">
        <v>3817</v>
      </c>
      <c r="D5285" s="165"/>
      <c r="E5285" s="169"/>
      <c r="F5285" s="169"/>
      <c r="G5285" s="169" t="s">
        <v>3618</v>
      </c>
      <c r="H5285" s="169" t="s">
        <v>6809</v>
      </c>
      <c r="I5285" s="169" t="s">
        <v>6810</v>
      </c>
      <c r="J5285" s="169" t="s">
        <v>6106</v>
      </c>
      <c r="K5285" s="141"/>
      <c r="L5285" s="135" t="str">
        <f t="shared" si="294"/>
        <v>Ctenomys emilianus</v>
      </c>
      <c r="M5285" s="133">
        <f t="shared" si="293"/>
        <v>2.4552999999999998</v>
      </c>
      <c r="N5285" s="170">
        <v>285.29883615207194</v>
      </c>
      <c r="O5285" s="179" t="s">
        <v>3356</v>
      </c>
      <c r="P5285" s="117">
        <v>61</v>
      </c>
    </row>
    <row r="5286" spans="1:17">
      <c r="A5286" s="118" t="s">
        <v>7297</v>
      </c>
      <c r="B5286" s="166"/>
      <c r="C5286" s="169" t="s">
        <v>3817</v>
      </c>
      <c r="D5286" s="165"/>
      <c r="E5286" s="169"/>
      <c r="F5286" s="169"/>
      <c r="G5286" s="169" t="s">
        <v>3618</v>
      </c>
      <c r="H5286" s="169" t="s">
        <v>6809</v>
      </c>
      <c r="I5286" s="169" t="s">
        <v>6810</v>
      </c>
      <c r="J5286" s="169" t="s">
        <v>6820</v>
      </c>
      <c r="K5286" s="141"/>
      <c r="L5286" s="135" t="str">
        <f t="shared" si="294"/>
        <v>Ctenomys knighti</v>
      </c>
      <c r="M5286" s="133">
        <f t="shared" si="293"/>
        <v>2.4996900000000002</v>
      </c>
      <c r="N5286" s="170">
        <v>316.00212274325219</v>
      </c>
      <c r="O5286" s="179" t="s">
        <v>3356</v>
      </c>
      <c r="P5286" s="108">
        <v>60</v>
      </c>
    </row>
    <row r="5287" spans="1:17">
      <c r="A5287" s="118" t="s">
        <v>7297</v>
      </c>
      <c r="B5287" s="166"/>
      <c r="C5287" s="169" t="s">
        <v>3817</v>
      </c>
      <c r="D5287" s="165"/>
      <c r="E5287" s="169"/>
      <c r="F5287" s="169"/>
      <c r="G5287" s="169" t="s">
        <v>3618</v>
      </c>
      <c r="H5287" s="169" t="s">
        <v>6809</v>
      </c>
      <c r="I5287" s="169" t="s">
        <v>6810</v>
      </c>
      <c r="J5287" s="169" t="s">
        <v>3789</v>
      </c>
      <c r="K5287" s="141"/>
      <c r="L5287" s="135" t="str">
        <f t="shared" si="294"/>
        <v>Ctenomys australis</v>
      </c>
      <c r="M5287" s="133">
        <f t="shared" si="293"/>
        <v>2.5581100000000006</v>
      </c>
      <c r="N5287" s="170">
        <v>361.50141369918919</v>
      </c>
      <c r="O5287" s="179" t="s">
        <v>3356</v>
      </c>
      <c r="P5287" s="117">
        <v>60</v>
      </c>
    </row>
    <row r="5288" spans="1:17">
      <c r="A5288" s="118" t="s">
        <v>7297</v>
      </c>
      <c r="B5288" s="166"/>
      <c r="C5288" s="169" t="s">
        <v>3817</v>
      </c>
      <c r="D5288" s="165"/>
      <c r="E5288" s="169"/>
      <c r="F5288" s="169"/>
      <c r="G5288" s="169" t="s">
        <v>3618</v>
      </c>
      <c r="H5288" s="169" t="s">
        <v>6809</v>
      </c>
      <c r="I5288" s="169" t="s">
        <v>6810</v>
      </c>
      <c r="J5288" s="169" t="s">
        <v>4381</v>
      </c>
      <c r="K5288" s="141"/>
      <c r="L5288" s="135" t="str">
        <f t="shared" si="294"/>
        <v>Ctenomys opimus</v>
      </c>
      <c r="M5288" s="133">
        <f t="shared" si="293"/>
        <v>2.5581100000000006</v>
      </c>
      <c r="N5288" s="170">
        <v>361.50141369918919</v>
      </c>
      <c r="O5288" s="179" t="s">
        <v>3356</v>
      </c>
      <c r="P5288" s="117">
        <v>61</v>
      </c>
    </row>
    <row r="5289" spans="1:17">
      <c r="A5289" s="121" t="s">
        <v>7297</v>
      </c>
      <c r="B5289" s="166"/>
      <c r="C5289" s="169" t="s">
        <v>3817</v>
      </c>
      <c r="D5289" s="165"/>
      <c r="E5289" s="169"/>
      <c r="F5289" s="169"/>
      <c r="G5289" s="169" t="s">
        <v>3618</v>
      </c>
      <c r="H5289" s="169" t="s">
        <v>6809</v>
      </c>
      <c r="I5289" s="169" t="s">
        <v>6810</v>
      </c>
      <c r="J5289" s="169" t="s">
        <v>3080</v>
      </c>
      <c r="K5289" s="141"/>
      <c r="L5289" s="135" t="str">
        <f t="shared" si="294"/>
        <v>Ctenomys steinbachi</v>
      </c>
      <c r="M5289" s="133">
        <f t="shared" si="293"/>
        <v>2.5854600000000003</v>
      </c>
      <c r="N5289" s="170">
        <v>384.99935329471475</v>
      </c>
      <c r="O5289" s="179" t="s">
        <v>3356</v>
      </c>
      <c r="P5289" s="117">
        <v>61</v>
      </c>
    </row>
    <row r="5290" spans="1:17">
      <c r="A5290" s="118" t="s">
        <v>7297</v>
      </c>
      <c r="B5290" s="166"/>
      <c r="C5290" s="169" t="s">
        <v>3817</v>
      </c>
      <c r="D5290" s="165"/>
      <c r="E5290" s="169"/>
      <c r="F5290" s="169"/>
      <c r="G5290" s="169" t="s">
        <v>3618</v>
      </c>
      <c r="H5290" s="169" t="s">
        <v>6809</v>
      </c>
      <c r="I5290" s="169" t="s">
        <v>6810</v>
      </c>
      <c r="J5290" s="169" t="s">
        <v>6812</v>
      </c>
      <c r="K5290" s="141"/>
      <c r="L5290" s="135" t="str">
        <f t="shared" si="294"/>
        <v>Ctenomys azarae</v>
      </c>
      <c r="M5290" s="133">
        <f t="shared" si="293"/>
        <v>2.6020600000000003</v>
      </c>
      <c r="N5290" s="170">
        <v>400.0000079872421</v>
      </c>
      <c r="O5290" s="179" t="s">
        <v>3356</v>
      </c>
      <c r="P5290" s="117">
        <v>61</v>
      </c>
    </row>
    <row r="5291" spans="1:17">
      <c r="A5291" s="118" t="s">
        <v>7297</v>
      </c>
      <c r="B5291" s="166"/>
      <c r="C5291" s="169" t="s">
        <v>3817</v>
      </c>
      <c r="D5291" s="165"/>
      <c r="E5291" s="169"/>
      <c r="F5291" s="169"/>
      <c r="G5291" s="169" t="s">
        <v>3618</v>
      </c>
      <c r="H5291" s="169" t="s">
        <v>6809</v>
      </c>
      <c r="I5291" s="169" t="s">
        <v>6810</v>
      </c>
      <c r="J5291" s="169" t="s">
        <v>4467</v>
      </c>
      <c r="K5291" s="141"/>
      <c r="L5291" s="135" t="str">
        <f t="shared" si="294"/>
        <v>Ctenomys brasiliensis</v>
      </c>
      <c r="M5291" s="133">
        <f t="shared" si="293"/>
        <v>2.6020600000000003</v>
      </c>
      <c r="N5291" s="170">
        <v>400.0000079872421</v>
      </c>
      <c r="O5291" s="179" t="s">
        <v>3356</v>
      </c>
      <c r="P5291" s="117">
        <v>61</v>
      </c>
    </row>
    <row r="5292" spans="1:17">
      <c r="A5292" s="118" t="s">
        <v>7297</v>
      </c>
      <c r="B5292" s="166"/>
      <c r="C5292" s="169" t="s">
        <v>3817</v>
      </c>
      <c r="D5292" s="165"/>
      <c r="E5292" s="169"/>
      <c r="F5292" s="169"/>
      <c r="G5292" s="169" t="s">
        <v>3618</v>
      </c>
      <c r="H5292" s="169" t="s">
        <v>6809</v>
      </c>
      <c r="I5292" s="169" t="s">
        <v>6810</v>
      </c>
      <c r="J5292" s="169" t="s">
        <v>6522</v>
      </c>
      <c r="K5292" s="141"/>
      <c r="L5292" s="135" t="str">
        <f t="shared" si="294"/>
        <v>Ctenomys colburni</v>
      </c>
      <c r="M5292" s="133">
        <f t="shared" si="293"/>
        <v>2.6020600000000003</v>
      </c>
      <c r="N5292" s="170">
        <v>400.0000079872421</v>
      </c>
      <c r="O5292" s="179" t="s">
        <v>3356</v>
      </c>
      <c r="P5292" s="117">
        <v>61</v>
      </c>
    </row>
    <row r="5293" spans="1:17">
      <c r="A5293" s="118" t="s">
        <v>7297</v>
      </c>
      <c r="B5293" s="166"/>
      <c r="C5293" s="169" t="s">
        <v>3817</v>
      </c>
      <c r="D5293" s="165"/>
      <c r="E5293" s="169"/>
      <c r="F5293" s="169"/>
      <c r="G5293" s="169" t="s">
        <v>3618</v>
      </c>
      <c r="H5293" s="169" t="s">
        <v>6809</v>
      </c>
      <c r="I5293" s="169" t="s">
        <v>6810</v>
      </c>
      <c r="J5293" s="169" t="s">
        <v>3877</v>
      </c>
      <c r="K5293" s="141"/>
      <c r="L5293" s="135" t="str">
        <f t="shared" si="294"/>
        <v>Ctenomys nattereri</v>
      </c>
      <c r="M5293" s="133">
        <f t="shared" si="293"/>
        <v>2.6020600000000003</v>
      </c>
      <c r="N5293" s="170">
        <v>400.0000079872421</v>
      </c>
      <c r="O5293" s="179" t="s">
        <v>6916</v>
      </c>
      <c r="P5293" s="117">
        <v>61</v>
      </c>
      <c r="Q5293" s="90" t="s">
        <v>6642</v>
      </c>
    </row>
    <row r="5294" spans="1:17">
      <c r="A5294" s="118" t="s">
        <v>7297</v>
      </c>
      <c r="B5294" s="166"/>
      <c r="C5294" s="169" t="s">
        <v>3817</v>
      </c>
      <c r="D5294" s="165"/>
      <c r="E5294" s="169"/>
      <c r="F5294" s="169"/>
      <c r="G5294" s="169" t="s">
        <v>3618</v>
      </c>
      <c r="H5294" s="169" t="s">
        <v>6809</v>
      </c>
      <c r="I5294" s="169" t="s">
        <v>6810</v>
      </c>
      <c r="J5294" s="169" t="s">
        <v>4339</v>
      </c>
      <c r="K5294" s="141"/>
      <c r="L5294" s="135" t="str">
        <f t="shared" si="294"/>
        <v>Ctenomys perrensis</v>
      </c>
      <c r="M5294" s="133">
        <f t="shared" si="293"/>
        <v>2.6020600000000003</v>
      </c>
      <c r="N5294" s="170">
        <v>400.0000079872421</v>
      </c>
      <c r="O5294" s="179" t="s">
        <v>3356</v>
      </c>
      <c r="P5294" s="117">
        <v>61</v>
      </c>
    </row>
    <row r="5295" spans="1:17">
      <c r="A5295" s="118" t="s">
        <v>7297</v>
      </c>
      <c r="B5295" s="166"/>
      <c r="C5295" s="169" t="s">
        <v>3817</v>
      </c>
      <c r="D5295" s="165"/>
      <c r="E5295" s="169"/>
      <c r="F5295" s="169"/>
      <c r="G5295" s="169" t="s">
        <v>3618</v>
      </c>
      <c r="H5295" s="169" t="s">
        <v>6809</v>
      </c>
      <c r="I5295" s="169" t="s">
        <v>6810</v>
      </c>
      <c r="J5295" s="169" t="s">
        <v>4383</v>
      </c>
      <c r="K5295" s="141"/>
      <c r="L5295" s="135" t="str">
        <f t="shared" si="294"/>
        <v>Ctenomys pontifex</v>
      </c>
      <c r="M5295" s="133">
        <f t="shared" si="293"/>
        <v>2.6020600000000003</v>
      </c>
      <c r="N5295" s="170">
        <v>400.0000079872421</v>
      </c>
      <c r="O5295" s="182" t="s">
        <v>3356</v>
      </c>
      <c r="P5295" s="117">
        <v>61</v>
      </c>
    </row>
    <row r="5296" spans="1:17">
      <c r="A5296" s="118" t="s">
        <v>7297</v>
      </c>
      <c r="B5296" s="166"/>
      <c r="C5296" s="169" t="s">
        <v>3817</v>
      </c>
      <c r="D5296" s="165"/>
      <c r="E5296" s="169"/>
      <c r="F5296" s="169"/>
      <c r="G5296" s="169" t="s">
        <v>3618</v>
      </c>
      <c r="H5296" s="169" t="s">
        <v>6809</v>
      </c>
      <c r="I5296" s="169" t="s">
        <v>6810</v>
      </c>
      <c r="J5296" s="169" t="s">
        <v>3244</v>
      </c>
      <c r="K5296" s="141"/>
      <c r="L5296" s="135" t="str">
        <f t="shared" si="294"/>
        <v>Ctenomys sericeus</v>
      </c>
      <c r="M5296" s="133">
        <f t="shared" si="293"/>
        <v>2.6020600000000003</v>
      </c>
      <c r="N5296" s="170">
        <v>400.0000079872421</v>
      </c>
      <c r="O5296" s="179" t="s">
        <v>3356</v>
      </c>
      <c r="P5296" s="117">
        <v>61</v>
      </c>
    </row>
    <row r="5297" spans="1:17">
      <c r="A5297" s="121" t="s">
        <v>7297</v>
      </c>
      <c r="B5297" s="166"/>
      <c r="C5297" s="169" t="s">
        <v>3817</v>
      </c>
      <c r="D5297" s="165"/>
      <c r="E5297" s="169"/>
      <c r="F5297" s="169"/>
      <c r="G5297" s="169" t="s">
        <v>3618</v>
      </c>
      <c r="H5297" s="169" t="s">
        <v>6809</v>
      </c>
      <c r="I5297" s="169" t="s">
        <v>6810</v>
      </c>
      <c r="J5297" s="169" t="s">
        <v>3672</v>
      </c>
      <c r="K5297" s="141"/>
      <c r="L5297" s="135" t="str">
        <f t="shared" si="294"/>
        <v>Ctenomys sociabilis</v>
      </c>
      <c r="M5297" s="133">
        <f t="shared" si="293"/>
        <v>2.6020600000000003</v>
      </c>
      <c r="N5297" s="170">
        <v>400.0000079872421</v>
      </c>
      <c r="O5297" s="179" t="s">
        <v>6916</v>
      </c>
      <c r="P5297" s="117">
        <v>61</v>
      </c>
      <c r="Q5297" s="90" t="s">
        <v>6642</v>
      </c>
    </row>
    <row r="5298" spans="1:17">
      <c r="A5298" s="118" t="s">
        <v>7297</v>
      </c>
      <c r="B5298" s="166"/>
      <c r="C5298" s="169" t="s">
        <v>3817</v>
      </c>
      <c r="D5298" s="165"/>
      <c r="E5298" s="169"/>
      <c r="F5298" s="169"/>
      <c r="G5298" s="169" t="s">
        <v>3618</v>
      </c>
      <c r="H5298" s="169" t="s">
        <v>6809</v>
      </c>
      <c r="I5298" s="169" t="s">
        <v>6810</v>
      </c>
      <c r="J5298" s="169" t="s">
        <v>4382</v>
      </c>
      <c r="K5298" s="141"/>
      <c r="L5298" s="135" t="str">
        <f t="shared" si="294"/>
        <v>Ctenomys peruanus</v>
      </c>
      <c r="M5298" s="133">
        <f t="shared" si="293"/>
        <v>2.6901999999999999</v>
      </c>
      <c r="N5298" s="170">
        <v>490.0044227932359</v>
      </c>
      <c r="O5298" s="179" t="s">
        <v>3356</v>
      </c>
      <c r="P5298" s="108">
        <v>60</v>
      </c>
    </row>
    <row r="5299" spans="1:17">
      <c r="A5299" s="118" t="s">
        <v>7297</v>
      </c>
      <c r="B5299" s="166"/>
      <c r="C5299" s="169" t="s">
        <v>3817</v>
      </c>
      <c r="D5299" s="165"/>
      <c r="E5299" s="169"/>
      <c r="F5299" s="169"/>
      <c r="G5299" s="169" t="s">
        <v>3618</v>
      </c>
      <c r="H5299" s="169" t="s">
        <v>6809</v>
      </c>
      <c r="I5299" s="169" t="s">
        <v>6810</v>
      </c>
      <c r="J5299" s="169" t="s">
        <v>7496</v>
      </c>
      <c r="K5299" s="141"/>
      <c r="L5299" s="135" t="str">
        <f t="shared" si="294"/>
        <v>Ctenomys boliviensis</v>
      </c>
      <c r="M5299" s="133">
        <f t="shared" si="293"/>
        <v>2.7283500000000003</v>
      </c>
      <c r="N5299" s="170">
        <v>534.99534101253585</v>
      </c>
      <c r="O5299" s="179" t="s">
        <v>3356</v>
      </c>
      <c r="P5299" s="117">
        <v>61</v>
      </c>
    </row>
    <row r="5300" spans="1:17">
      <c r="A5300" s="118" t="s">
        <v>7297</v>
      </c>
      <c r="B5300" s="166"/>
      <c r="C5300" s="169" t="s">
        <v>3817</v>
      </c>
      <c r="D5300" s="165"/>
      <c r="E5300" s="169"/>
      <c r="F5300" s="169"/>
      <c r="G5300" s="169" t="s">
        <v>3618</v>
      </c>
      <c r="H5300" s="169" t="s">
        <v>6809</v>
      </c>
      <c r="I5300" s="169" t="s">
        <v>6810</v>
      </c>
      <c r="J5300" s="169" t="s">
        <v>6104</v>
      </c>
      <c r="K5300" s="141"/>
      <c r="L5300" s="135" t="str">
        <f t="shared" si="294"/>
        <v>Ctenomys conoveri</v>
      </c>
      <c r="M5300" s="133">
        <f t="shared" si="293"/>
        <v>2.9344999999999999</v>
      </c>
      <c r="N5300" s="170">
        <v>860.00306688885576</v>
      </c>
      <c r="O5300" s="179" t="s">
        <v>3356</v>
      </c>
      <c r="P5300" s="108">
        <v>60</v>
      </c>
    </row>
    <row r="5301" spans="1:17">
      <c r="A5301" s="118" t="s">
        <v>7297</v>
      </c>
      <c r="B5301" s="166"/>
      <c r="C5301" s="169" t="s">
        <v>3817</v>
      </c>
      <c r="D5301" s="165"/>
      <c r="E5301" s="169"/>
      <c r="F5301" s="169"/>
      <c r="G5301" s="169" t="s">
        <v>3618</v>
      </c>
      <c r="H5301" s="169" t="s">
        <v>3246</v>
      </c>
      <c r="I5301" s="169" t="s">
        <v>2936</v>
      </c>
      <c r="J5301" s="169" t="s">
        <v>6812</v>
      </c>
      <c r="K5301" s="141"/>
      <c r="L5301" s="135" t="str">
        <f t="shared" si="294"/>
        <v>Dasyprocta azarae</v>
      </c>
      <c r="M5301" s="133">
        <f t="shared" ref="M5301:M5364" si="295">LOG(N5301)</f>
        <v>3.3636100000000004</v>
      </c>
      <c r="N5301" s="170">
        <v>2309.9894690339893</v>
      </c>
      <c r="O5301" s="179" t="s">
        <v>7081</v>
      </c>
      <c r="P5301" s="108">
        <v>60</v>
      </c>
      <c r="Q5301" s="90" t="s">
        <v>6988</v>
      </c>
    </row>
    <row r="5302" spans="1:17">
      <c r="A5302" s="118" t="s">
        <v>7297</v>
      </c>
      <c r="B5302" s="166"/>
      <c r="C5302" s="169" t="s">
        <v>3817</v>
      </c>
      <c r="D5302" s="165"/>
      <c r="E5302" s="169"/>
      <c r="F5302" s="169"/>
      <c r="G5302" s="169" t="s">
        <v>3618</v>
      </c>
      <c r="H5302" s="169" t="s">
        <v>3246</v>
      </c>
      <c r="I5302" s="169" t="s">
        <v>2936</v>
      </c>
      <c r="J5302" s="169" t="s">
        <v>2461</v>
      </c>
      <c r="K5302" s="141"/>
      <c r="L5302" s="135" t="str">
        <f t="shared" si="294"/>
        <v>Dasyprocta cristata</v>
      </c>
      <c r="M5302" s="133">
        <f t="shared" si="295"/>
        <v>3.4232500000000003</v>
      </c>
      <c r="N5302" s="170">
        <v>2650.0251767403361</v>
      </c>
      <c r="O5302" s="179" t="s">
        <v>7081</v>
      </c>
      <c r="P5302" s="120">
        <v>61</v>
      </c>
      <c r="Q5302" s="90" t="s">
        <v>6987</v>
      </c>
    </row>
    <row r="5303" spans="1:17">
      <c r="A5303" s="118" t="s">
        <v>7297</v>
      </c>
      <c r="B5303" s="166"/>
      <c r="C5303" s="169" t="s">
        <v>3817</v>
      </c>
      <c r="D5303" s="165"/>
      <c r="E5303" s="169"/>
      <c r="F5303" s="169"/>
      <c r="G5303" s="169" t="s">
        <v>3618</v>
      </c>
      <c r="H5303" s="169" t="s">
        <v>3246</v>
      </c>
      <c r="I5303" s="169" t="s">
        <v>2936</v>
      </c>
      <c r="J5303" s="169" t="s">
        <v>3252</v>
      </c>
      <c r="K5303" s="141"/>
      <c r="L5303" s="135" t="str">
        <f t="shared" si="294"/>
        <v>Dasyprocta guamara</v>
      </c>
      <c r="M5303" s="133">
        <f t="shared" si="295"/>
        <v>3.4232500000000003</v>
      </c>
      <c r="N5303" s="170">
        <v>2650.0251767403361</v>
      </c>
      <c r="O5303" s="179" t="s">
        <v>3356</v>
      </c>
      <c r="P5303" s="120">
        <v>61</v>
      </c>
    </row>
    <row r="5304" spans="1:17">
      <c r="A5304" s="118" t="s">
        <v>7297</v>
      </c>
      <c r="B5304" s="166"/>
      <c r="C5304" s="169" t="s">
        <v>3817</v>
      </c>
      <c r="D5304" s="165"/>
      <c r="E5304" s="169"/>
      <c r="F5304" s="169"/>
      <c r="G5304" s="169" t="s">
        <v>3618</v>
      </c>
      <c r="H5304" s="169" t="s">
        <v>3246</v>
      </c>
      <c r="I5304" s="169" t="s">
        <v>2936</v>
      </c>
      <c r="J5304" s="169" t="s">
        <v>2937</v>
      </c>
      <c r="K5304" s="141"/>
      <c r="L5304" s="135" t="str">
        <f t="shared" si="294"/>
        <v>Dasyprocta kalinowskii</v>
      </c>
      <c r="M5304" s="133">
        <f t="shared" si="295"/>
        <v>3.4232500000000003</v>
      </c>
      <c r="N5304" s="170">
        <v>2650.0251767403361</v>
      </c>
      <c r="O5304" s="179" t="s">
        <v>7081</v>
      </c>
      <c r="P5304" s="117">
        <v>61</v>
      </c>
      <c r="Q5304" s="90" t="s">
        <v>6987</v>
      </c>
    </row>
    <row r="5305" spans="1:17">
      <c r="A5305" s="121" t="s">
        <v>7297</v>
      </c>
      <c r="B5305" s="166"/>
      <c r="C5305" s="169" t="s">
        <v>3817</v>
      </c>
      <c r="D5305" s="165"/>
      <c r="E5305" s="169"/>
      <c r="F5305" s="169"/>
      <c r="G5305" s="169" t="s">
        <v>3618</v>
      </c>
      <c r="H5305" s="169" t="s">
        <v>3246</v>
      </c>
      <c r="I5305" s="169" t="s">
        <v>2936</v>
      </c>
      <c r="J5305" s="169" t="s">
        <v>6549</v>
      </c>
      <c r="K5305" s="141"/>
      <c r="L5305" s="135" t="str">
        <f t="shared" si="294"/>
        <v>Dasyprocta punctata</v>
      </c>
      <c r="M5305" s="133">
        <f t="shared" si="295"/>
        <v>3.4273200000000004</v>
      </c>
      <c r="N5305" s="170">
        <v>2674.9766783555733</v>
      </c>
      <c r="O5305" s="179" t="s">
        <v>3356</v>
      </c>
      <c r="P5305" s="108">
        <v>60</v>
      </c>
    </row>
    <row r="5306" spans="1:17">
      <c r="A5306" s="118" t="s">
        <v>7297</v>
      </c>
      <c r="B5306" s="166"/>
      <c r="C5306" s="169" t="s">
        <v>3817</v>
      </c>
      <c r="D5306" s="165"/>
      <c r="E5306" s="169"/>
      <c r="F5306" s="169"/>
      <c r="G5306" s="169" t="s">
        <v>3618</v>
      </c>
      <c r="H5306" s="169" t="s">
        <v>3246</v>
      </c>
      <c r="I5306" s="169" t="s">
        <v>2936</v>
      </c>
      <c r="J5306" s="169" t="s">
        <v>3266</v>
      </c>
      <c r="K5306" s="141"/>
      <c r="L5306" s="135" t="str">
        <f t="shared" si="294"/>
        <v>Dasyprocta prymnolopha</v>
      </c>
      <c r="M5306" s="133">
        <f t="shared" si="295"/>
        <v>3.4624000000000006</v>
      </c>
      <c r="N5306" s="170">
        <v>2900.0133690540733</v>
      </c>
      <c r="O5306" s="179" t="s">
        <v>3356</v>
      </c>
      <c r="P5306" s="120">
        <v>61</v>
      </c>
    </row>
    <row r="5307" spans="1:17">
      <c r="A5307" s="118" t="s">
        <v>7297</v>
      </c>
      <c r="B5307" s="166"/>
      <c r="C5307" s="169" t="s">
        <v>3817</v>
      </c>
      <c r="D5307" s="165"/>
      <c r="E5307" s="169"/>
      <c r="F5307" s="169"/>
      <c r="G5307" s="169" t="s">
        <v>3618</v>
      </c>
      <c r="H5307" s="169" t="s">
        <v>3246</v>
      </c>
      <c r="I5307" s="169" t="s">
        <v>2936</v>
      </c>
      <c r="J5307" s="169" t="s">
        <v>6387</v>
      </c>
      <c r="K5307" s="141"/>
      <c r="L5307" s="135" t="str">
        <f t="shared" si="294"/>
        <v>Dasyprocta leporina</v>
      </c>
      <c r="M5307" s="133">
        <f t="shared" si="295"/>
        <v>3.4800100000000005</v>
      </c>
      <c r="N5307" s="170">
        <v>3020.0212581607302</v>
      </c>
      <c r="O5307" s="179" t="s">
        <v>3356</v>
      </c>
      <c r="P5307" s="108">
        <v>60</v>
      </c>
    </row>
    <row r="5308" spans="1:17">
      <c r="A5308" s="118" t="s">
        <v>7297</v>
      </c>
      <c r="B5308" s="166"/>
      <c r="C5308" s="169" t="s">
        <v>3817</v>
      </c>
      <c r="D5308" s="165"/>
      <c r="E5308" s="169"/>
      <c r="F5308" s="169"/>
      <c r="G5308" s="169" t="s">
        <v>3618</v>
      </c>
      <c r="H5308" s="169" t="s">
        <v>3246</v>
      </c>
      <c r="I5308" s="169" t="s">
        <v>2936</v>
      </c>
      <c r="J5308" s="169" t="s">
        <v>3245</v>
      </c>
      <c r="K5308" s="141"/>
      <c r="L5308" s="135" t="str">
        <f t="shared" si="294"/>
        <v>Dasyprocta fuliginosa</v>
      </c>
      <c r="M5308" s="133">
        <f t="shared" si="295"/>
        <v>3.5440700000000001</v>
      </c>
      <c r="N5308" s="170">
        <v>3500.0157607101446</v>
      </c>
      <c r="O5308" s="179" t="s">
        <v>3356</v>
      </c>
      <c r="P5308" s="117">
        <v>61</v>
      </c>
    </row>
    <row r="5309" spans="1:17">
      <c r="A5309" s="118" t="s">
        <v>7297</v>
      </c>
      <c r="B5309" s="166"/>
      <c r="C5309" s="169" t="s">
        <v>3817</v>
      </c>
      <c r="D5309" s="165"/>
      <c r="E5309" s="169"/>
      <c r="F5309" s="169"/>
      <c r="G5309" s="169" t="s">
        <v>3618</v>
      </c>
      <c r="H5309" s="169" t="s">
        <v>3246</v>
      </c>
      <c r="I5309" s="169" t="s">
        <v>3270</v>
      </c>
      <c r="J5309" s="169" t="s">
        <v>3304</v>
      </c>
      <c r="K5309" s="141"/>
      <c r="L5309" s="135" t="str">
        <f t="shared" si="294"/>
        <v>Myoprocta acouchy</v>
      </c>
      <c r="M5309" s="133">
        <f t="shared" si="295"/>
        <v>2.7781500000000001</v>
      </c>
      <c r="N5309" s="170">
        <v>599.99827253364413</v>
      </c>
      <c r="O5309" s="179" t="s">
        <v>3356</v>
      </c>
      <c r="P5309" s="108">
        <v>60</v>
      </c>
    </row>
    <row r="5310" spans="1:17">
      <c r="A5310" s="121" t="s">
        <v>7297</v>
      </c>
      <c r="B5310" s="166"/>
      <c r="C5310" s="169" t="s">
        <v>3817</v>
      </c>
      <c r="D5310" s="165"/>
      <c r="E5310" s="169"/>
      <c r="F5310" s="169"/>
      <c r="G5310" s="169" t="s">
        <v>3618</v>
      </c>
      <c r="H5310" s="169" t="s">
        <v>3246</v>
      </c>
      <c r="I5310" s="169" t="s">
        <v>3270</v>
      </c>
      <c r="J5310" s="169" t="s">
        <v>3305</v>
      </c>
      <c r="K5310" s="156"/>
      <c r="L5310" s="135" t="str">
        <f t="shared" si="294"/>
        <v>Myoprocta exilis</v>
      </c>
      <c r="M5310" s="133">
        <f t="shared" si="295"/>
        <v>3.1072100000000002</v>
      </c>
      <c r="N5310" s="170">
        <v>1280.0000894571117</v>
      </c>
      <c r="O5310" s="179" t="s">
        <v>3356</v>
      </c>
      <c r="P5310" s="117">
        <v>61</v>
      </c>
    </row>
    <row r="5311" spans="1:17">
      <c r="A5311" s="118" t="s">
        <v>7297</v>
      </c>
      <c r="B5311" s="166"/>
      <c r="C5311" s="169" t="s">
        <v>3817</v>
      </c>
      <c r="D5311" s="165"/>
      <c r="E5311" s="169"/>
      <c r="F5311" s="169"/>
      <c r="G5311" s="169" t="s">
        <v>3618</v>
      </c>
      <c r="H5311" s="169" t="s">
        <v>3306</v>
      </c>
      <c r="I5311" s="169" t="s">
        <v>3307</v>
      </c>
      <c r="J5311" s="169" t="s">
        <v>6221</v>
      </c>
      <c r="K5311" s="141"/>
      <c r="L5311" s="135" t="str">
        <f t="shared" si="294"/>
        <v>Dinomys branickii</v>
      </c>
      <c r="M5311" s="133">
        <f t="shared" si="295"/>
        <v>4.0969100000000012</v>
      </c>
      <c r="N5311" s="170">
        <v>12499.999625598073</v>
      </c>
      <c r="O5311" s="179" t="s">
        <v>7081</v>
      </c>
      <c r="P5311" s="117">
        <v>61</v>
      </c>
      <c r="Q5311" s="90" t="s">
        <v>6640</v>
      </c>
    </row>
    <row r="5312" spans="1:17">
      <c r="A5312" s="118" t="s">
        <v>7297</v>
      </c>
      <c r="B5312" s="166"/>
      <c r="C5312" s="169" t="s">
        <v>3817</v>
      </c>
      <c r="D5312" s="165"/>
      <c r="E5312" s="169"/>
      <c r="F5312" s="169"/>
      <c r="G5312" s="169" t="s">
        <v>3618</v>
      </c>
      <c r="H5312" s="169" t="s">
        <v>6464</v>
      </c>
      <c r="I5312" s="169" t="s">
        <v>6226</v>
      </c>
      <c r="J5312" s="169" t="s">
        <v>6227</v>
      </c>
      <c r="K5312" s="141"/>
      <c r="L5312" s="135" t="str">
        <f t="shared" si="294"/>
        <v>Carterodon sulcidens</v>
      </c>
      <c r="M5312" s="133">
        <f t="shared" si="295"/>
        <v>2.0561400000000005</v>
      </c>
      <c r="N5312" s="170">
        <v>113.79940726474673</v>
      </c>
      <c r="O5312" s="179" t="s">
        <v>6844</v>
      </c>
      <c r="P5312" s="108">
        <v>61</v>
      </c>
      <c r="Q5312" s="90" t="s">
        <v>6642</v>
      </c>
    </row>
    <row r="5313" spans="1:17">
      <c r="A5313" s="118" t="s">
        <v>7297</v>
      </c>
      <c r="B5313" s="166"/>
      <c r="C5313" s="169" t="s">
        <v>3817</v>
      </c>
      <c r="D5313" s="165"/>
      <c r="E5313" s="169"/>
      <c r="F5313" s="169"/>
      <c r="G5313" s="169" t="s">
        <v>3618</v>
      </c>
      <c r="H5313" s="169" t="s">
        <v>6464</v>
      </c>
      <c r="I5313" s="169" t="s">
        <v>3493</v>
      </c>
      <c r="J5313" s="169" t="s">
        <v>3494</v>
      </c>
      <c r="K5313" s="141"/>
      <c r="L5313" s="135" t="str">
        <f t="shared" si="294"/>
        <v>Chaetomys subspinosus</v>
      </c>
      <c r="M5313" s="133">
        <f t="shared" si="295"/>
        <v>3.1139400000000004</v>
      </c>
      <c r="N5313" s="170">
        <v>1299.9899653754551</v>
      </c>
      <c r="O5313" s="179" t="s">
        <v>6641</v>
      </c>
      <c r="P5313" s="108">
        <v>61</v>
      </c>
      <c r="Q5313" s="90" t="s">
        <v>6988</v>
      </c>
    </row>
    <row r="5314" spans="1:17">
      <c r="A5314" s="118" t="s">
        <v>7297</v>
      </c>
      <c r="B5314" s="166"/>
      <c r="C5314" s="169" t="s">
        <v>3817</v>
      </c>
      <c r="D5314" s="165"/>
      <c r="E5314" s="169"/>
      <c r="F5314" s="169"/>
      <c r="G5314" s="169" t="s">
        <v>3618</v>
      </c>
      <c r="H5314" s="169" t="s">
        <v>6464</v>
      </c>
      <c r="I5314" s="169" t="s">
        <v>3495</v>
      </c>
      <c r="J5314" s="169" t="s">
        <v>6409</v>
      </c>
      <c r="K5314" s="141"/>
      <c r="L5314" s="135" t="str">
        <f t="shared" si="294"/>
        <v>Clyomys bishopi</v>
      </c>
      <c r="M5314" s="133">
        <f t="shared" si="295"/>
        <v>1.4771200000000002</v>
      </c>
      <c r="N5314" s="170">
        <v>29.999913327161494</v>
      </c>
      <c r="O5314" s="179" t="s">
        <v>7080</v>
      </c>
      <c r="P5314" s="108">
        <v>61</v>
      </c>
      <c r="Q5314" s="91" t="s">
        <v>6988</v>
      </c>
    </row>
    <row r="5315" spans="1:17">
      <c r="A5315" s="118" t="s">
        <v>7297</v>
      </c>
      <c r="B5315" s="166"/>
      <c r="C5315" s="169" t="s">
        <v>3817</v>
      </c>
      <c r="D5315" s="165"/>
      <c r="E5315" s="169"/>
      <c r="F5315" s="169"/>
      <c r="G5315" s="169" t="s">
        <v>3618</v>
      </c>
      <c r="H5315" s="169" t="s">
        <v>6464</v>
      </c>
      <c r="I5315" s="169" t="s">
        <v>3495</v>
      </c>
      <c r="J5315" s="169" t="s">
        <v>7985</v>
      </c>
      <c r="K5315" s="141"/>
      <c r="L5315" s="135" t="str">
        <f t="shared" si="294"/>
        <v>Clyomys laticeps</v>
      </c>
      <c r="M5315" s="133">
        <f t="shared" si="295"/>
        <v>2.3032000000000004</v>
      </c>
      <c r="N5315" s="170">
        <v>201.00182471136947</v>
      </c>
      <c r="O5315" s="179" t="s">
        <v>3356</v>
      </c>
      <c r="P5315" s="108">
        <v>61</v>
      </c>
    </row>
    <row r="5316" spans="1:17">
      <c r="A5316" s="118" t="s">
        <v>7297</v>
      </c>
      <c r="B5316" s="166"/>
      <c r="C5316" s="169" t="s">
        <v>3817</v>
      </c>
      <c r="D5316" s="165"/>
      <c r="E5316" s="169"/>
      <c r="F5316" s="169"/>
      <c r="G5316" s="169" t="s">
        <v>3618</v>
      </c>
      <c r="H5316" s="169" t="s">
        <v>6464</v>
      </c>
      <c r="I5316" s="169" t="s">
        <v>3966</v>
      </c>
      <c r="J5316" s="169" t="s">
        <v>4382</v>
      </c>
      <c r="K5316" s="141"/>
      <c r="L5316" s="135" t="str">
        <f t="shared" si="294"/>
        <v>Dactylomys peruanus</v>
      </c>
      <c r="M5316" s="133">
        <f t="shared" si="295"/>
        <v>2.5820599999999998</v>
      </c>
      <c r="N5316" s="170">
        <v>381.9970420363311</v>
      </c>
      <c r="O5316" s="179" t="s">
        <v>3356</v>
      </c>
      <c r="P5316" s="117">
        <v>61</v>
      </c>
      <c r="Q5316" s="90" t="s">
        <v>6987</v>
      </c>
    </row>
    <row r="5317" spans="1:17">
      <c r="A5317" s="118" t="s">
        <v>7297</v>
      </c>
      <c r="B5317" s="166"/>
      <c r="C5317" s="169" t="s">
        <v>3817</v>
      </c>
      <c r="D5317" s="165"/>
      <c r="E5317" s="169"/>
      <c r="F5317" s="169"/>
      <c r="G5317" s="169" t="s">
        <v>3618</v>
      </c>
      <c r="H5317" s="169" t="s">
        <v>6464</v>
      </c>
      <c r="I5317" s="169" t="s">
        <v>3966</v>
      </c>
      <c r="J5317" s="169" t="s">
        <v>3967</v>
      </c>
      <c r="K5317" s="141"/>
      <c r="L5317" s="135" t="str">
        <f t="shared" ref="L5317:L5380" si="296">I5317&amp;" "&amp;J5317</f>
        <v>Dactylomys dactylinus</v>
      </c>
      <c r="M5317" s="133">
        <f t="shared" si="295"/>
        <v>2.8129100000000005</v>
      </c>
      <c r="N5317" s="170">
        <v>649.99497619814383</v>
      </c>
      <c r="O5317" s="179" t="s">
        <v>3356</v>
      </c>
      <c r="P5317" s="117">
        <v>61</v>
      </c>
    </row>
    <row r="5318" spans="1:17">
      <c r="A5318" s="118" t="s">
        <v>7297</v>
      </c>
      <c r="B5318" s="166"/>
      <c r="C5318" s="169" t="s">
        <v>3817</v>
      </c>
      <c r="D5318" s="165"/>
      <c r="E5318" s="169"/>
      <c r="F5318" s="169"/>
      <c r="G5318" s="169" t="s">
        <v>3618</v>
      </c>
      <c r="H5318" s="169" t="s">
        <v>6464</v>
      </c>
      <c r="I5318" s="169" t="s">
        <v>3966</v>
      </c>
      <c r="J5318" s="169" t="s">
        <v>7496</v>
      </c>
      <c r="K5318" s="141"/>
      <c r="L5318" s="135" t="str">
        <f t="shared" si="296"/>
        <v>Dactylomys boliviensis</v>
      </c>
      <c r="M5318" s="133">
        <f t="shared" si="295"/>
        <v>2.8626100000000005</v>
      </c>
      <c r="N5318" s="170">
        <v>728.80274547489387</v>
      </c>
      <c r="O5318" s="179" t="s">
        <v>3356</v>
      </c>
      <c r="P5318" s="117">
        <v>61</v>
      </c>
    </row>
    <row r="5319" spans="1:17">
      <c r="A5319" s="118" t="s">
        <v>7297</v>
      </c>
      <c r="B5319" s="166"/>
      <c r="C5319" s="169" t="s">
        <v>3817</v>
      </c>
      <c r="D5319" s="165"/>
      <c r="E5319" s="169"/>
      <c r="F5319" s="169"/>
      <c r="G5319" s="169" t="s">
        <v>3618</v>
      </c>
      <c r="H5319" s="169" t="s">
        <v>6464</v>
      </c>
      <c r="I5319" s="169" t="s">
        <v>3968</v>
      </c>
      <c r="J5319" s="169" t="s">
        <v>6229</v>
      </c>
      <c r="K5319" s="141"/>
      <c r="L5319" s="135" t="str">
        <f t="shared" si="296"/>
        <v>Diplomys rufodorsalis</v>
      </c>
      <c r="M5319" s="133">
        <f t="shared" si="295"/>
        <v>2.1607700000000003</v>
      </c>
      <c r="N5319" s="170">
        <v>144.80047949689012</v>
      </c>
      <c r="O5319" s="179" t="s">
        <v>6882</v>
      </c>
      <c r="P5319" s="117">
        <v>61</v>
      </c>
      <c r="Q5319" s="90" t="s">
        <v>6988</v>
      </c>
    </row>
    <row r="5320" spans="1:17">
      <c r="A5320" s="118" t="s">
        <v>7297</v>
      </c>
      <c r="B5320" s="166"/>
      <c r="C5320" s="169" t="s">
        <v>3817</v>
      </c>
      <c r="D5320" s="165"/>
      <c r="E5320" s="169"/>
      <c r="F5320" s="169"/>
      <c r="G5320" s="169" t="s">
        <v>3618</v>
      </c>
      <c r="H5320" s="169" t="s">
        <v>6464</v>
      </c>
      <c r="I5320" s="169" t="s">
        <v>3968</v>
      </c>
      <c r="J5320" s="169" t="s">
        <v>3271</v>
      </c>
      <c r="K5320" s="141"/>
      <c r="L5320" s="135" t="str">
        <f t="shared" si="296"/>
        <v>Diplomys labilis</v>
      </c>
      <c r="M5320" s="133">
        <f t="shared" si="295"/>
        <v>2.3569800000000005</v>
      </c>
      <c r="N5320" s="170">
        <v>227.49926610759189</v>
      </c>
      <c r="O5320" s="179" t="s">
        <v>3356</v>
      </c>
      <c r="P5320" s="117">
        <v>61</v>
      </c>
    </row>
    <row r="5321" spans="1:17">
      <c r="A5321" s="118" t="s">
        <v>7297</v>
      </c>
      <c r="B5321" s="166"/>
      <c r="C5321" s="169" t="s">
        <v>3817</v>
      </c>
      <c r="D5321" s="165"/>
      <c r="E5321" s="169"/>
      <c r="F5321" s="169"/>
      <c r="G5321" s="169" t="s">
        <v>3618</v>
      </c>
      <c r="H5321" s="169" t="s">
        <v>6464</v>
      </c>
      <c r="I5321" s="169" t="s">
        <v>3968</v>
      </c>
      <c r="J5321" s="169" t="s">
        <v>3526</v>
      </c>
      <c r="K5321" s="141"/>
      <c r="L5321" s="135" t="str">
        <f t="shared" si="296"/>
        <v>Diplomys caniceps</v>
      </c>
      <c r="M5321" s="133">
        <f t="shared" si="295"/>
        <v>2.5960500000000004</v>
      </c>
      <c r="N5321" s="170">
        <v>394.50271826477365</v>
      </c>
      <c r="O5321" s="179" t="s">
        <v>6882</v>
      </c>
      <c r="P5321" s="117">
        <v>61</v>
      </c>
      <c r="Q5321" s="90" t="s">
        <v>6642</v>
      </c>
    </row>
    <row r="5322" spans="1:17">
      <c r="A5322" s="118" t="s">
        <v>7297</v>
      </c>
      <c r="B5322" s="166"/>
      <c r="C5322" s="169" t="s">
        <v>3817</v>
      </c>
      <c r="D5322" s="165"/>
      <c r="E5322" s="169"/>
      <c r="F5322" s="169"/>
      <c r="G5322" s="169" t="s">
        <v>3618</v>
      </c>
      <c r="H5322" s="169" t="s">
        <v>6464</v>
      </c>
      <c r="I5322" s="169" t="s">
        <v>6230</v>
      </c>
      <c r="J5322" s="169" t="s">
        <v>6593</v>
      </c>
      <c r="K5322" s="156"/>
      <c r="L5322" s="135" t="str">
        <f t="shared" si="296"/>
        <v>Echimys semivillosus</v>
      </c>
      <c r="M5322" s="133">
        <f t="shared" si="295"/>
        <v>2.3010299999999999</v>
      </c>
      <c r="N5322" s="170">
        <v>200.00000199681045</v>
      </c>
      <c r="O5322" s="179" t="s">
        <v>3356</v>
      </c>
      <c r="P5322" s="108">
        <v>60</v>
      </c>
    </row>
    <row r="5323" spans="1:17">
      <c r="A5323" s="118" t="s">
        <v>7297</v>
      </c>
      <c r="B5323" s="166"/>
      <c r="C5323" s="169" t="s">
        <v>3817</v>
      </c>
      <c r="D5323" s="165"/>
      <c r="E5323" s="169"/>
      <c r="F5323" s="169"/>
      <c r="G5323" s="169" t="s">
        <v>3618</v>
      </c>
      <c r="H5323" s="169" t="s">
        <v>6464</v>
      </c>
      <c r="I5323" s="169" t="s">
        <v>6230</v>
      </c>
      <c r="J5323" s="169" t="s">
        <v>6231</v>
      </c>
      <c r="K5323" s="141"/>
      <c r="L5323" s="135" t="str">
        <f t="shared" si="296"/>
        <v>Echimys lamarum</v>
      </c>
      <c r="M5323" s="133">
        <f t="shared" si="295"/>
        <v>2.33284</v>
      </c>
      <c r="N5323" s="170">
        <v>215.19887667025145</v>
      </c>
      <c r="O5323" s="179" t="s">
        <v>3356</v>
      </c>
      <c r="P5323" s="117">
        <v>61</v>
      </c>
    </row>
    <row r="5324" spans="1:17">
      <c r="A5324" s="118" t="s">
        <v>7297</v>
      </c>
      <c r="B5324" s="166"/>
      <c r="C5324" s="169" t="s">
        <v>3817</v>
      </c>
      <c r="D5324" s="165"/>
      <c r="E5324" s="169"/>
      <c r="F5324" s="169"/>
      <c r="G5324" s="169" t="s">
        <v>3618</v>
      </c>
      <c r="H5324" s="169" t="s">
        <v>6464</v>
      </c>
      <c r="I5324" s="169" t="s">
        <v>6230</v>
      </c>
      <c r="J5324" s="169" t="s">
        <v>3318</v>
      </c>
      <c r="K5324" s="141"/>
      <c r="L5324" s="135" t="str">
        <f t="shared" si="296"/>
        <v>Echimys nigrispinus</v>
      </c>
      <c r="M5324" s="133">
        <f t="shared" si="295"/>
        <v>2.3508300000000006</v>
      </c>
      <c r="N5324" s="170">
        <v>224.30037517279982</v>
      </c>
      <c r="O5324" s="179" t="s">
        <v>3356</v>
      </c>
      <c r="P5324" s="117">
        <v>61</v>
      </c>
    </row>
    <row r="5325" spans="1:17">
      <c r="A5325" s="118" t="s">
        <v>7297</v>
      </c>
      <c r="B5325" s="166"/>
      <c r="C5325" s="169" t="s">
        <v>3817</v>
      </c>
      <c r="D5325" s="165"/>
      <c r="E5325" s="169"/>
      <c r="F5325" s="169"/>
      <c r="G5325" s="169" t="s">
        <v>3618</v>
      </c>
      <c r="H5325" s="169" t="s">
        <v>6464</v>
      </c>
      <c r="I5325" s="169" t="s">
        <v>6230</v>
      </c>
      <c r="J5325" s="169" t="s">
        <v>3315</v>
      </c>
      <c r="K5325" s="141"/>
      <c r="L5325" s="135" t="str">
        <f t="shared" si="296"/>
        <v>Echimys blainvillei</v>
      </c>
      <c r="M5325" s="133">
        <f t="shared" si="295"/>
        <v>2.3861400000000006</v>
      </c>
      <c r="N5325" s="170">
        <v>243.29881853985353</v>
      </c>
      <c r="O5325" s="179" t="s">
        <v>6641</v>
      </c>
      <c r="P5325" s="117">
        <v>61</v>
      </c>
      <c r="Q5325" s="90" t="s">
        <v>6642</v>
      </c>
    </row>
    <row r="5326" spans="1:17">
      <c r="A5326" s="118" t="s">
        <v>7297</v>
      </c>
      <c r="B5326" s="166"/>
      <c r="C5326" s="169" t="s">
        <v>3817</v>
      </c>
      <c r="D5326" s="165"/>
      <c r="E5326" s="169"/>
      <c r="F5326" s="169"/>
      <c r="G5326" s="169" t="s">
        <v>3618</v>
      </c>
      <c r="H5326" s="169" t="s">
        <v>6464</v>
      </c>
      <c r="I5326" s="169" t="s">
        <v>6230</v>
      </c>
      <c r="J5326" s="169" t="s">
        <v>6590</v>
      </c>
      <c r="K5326" s="141"/>
      <c r="L5326" s="135" t="str">
        <f t="shared" si="296"/>
        <v>Echimys dasythrix</v>
      </c>
      <c r="M5326" s="133">
        <f t="shared" si="295"/>
        <v>2.4149699999999998</v>
      </c>
      <c r="N5326" s="170">
        <v>259.99799567092441</v>
      </c>
      <c r="O5326" s="179" t="s">
        <v>3356</v>
      </c>
      <c r="P5326" s="117">
        <v>61</v>
      </c>
    </row>
    <row r="5327" spans="1:17">
      <c r="A5327" s="118" t="s">
        <v>7297</v>
      </c>
      <c r="B5327" s="166"/>
      <c r="C5327" s="169" t="s">
        <v>3817</v>
      </c>
      <c r="D5327" s="165"/>
      <c r="E5327" s="169"/>
      <c r="F5327" s="169"/>
      <c r="G5327" s="169" t="s">
        <v>3618</v>
      </c>
      <c r="H5327" s="169" t="s">
        <v>6464</v>
      </c>
      <c r="I5327" s="169" t="s">
        <v>6230</v>
      </c>
      <c r="J5327" s="169" t="s">
        <v>3316</v>
      </c>
      <c r="K5327" s="141"/>
      <c r="L5327" s="135" t="str">
        <f t="shared" si="296"/>
        <v>Echimys braziliensis</v>
      </c>
      <c r="M5327" s="133">
        <f t="shared" si="295"/>
        <v>2.4948500000000005</v>
      </c>
      <c r="N5327" s="170">
        <v>312.49998439991901</v>
      </c>
      <c r="O5327" s="179" t="s">
        <v>3356</v>
      </c>
      <c r="P5327" s="117">
        <v>61</v>
      </c>
    </row>
    <row r="5328" spans="1:17">
      <c r="A5328" s="118" t="s">
        <v>7297</v>
      </c>
      <c r="B5328" s="166"/>
      <c r="C5328" s="169" t="s">
        <v>3817</v>
      </c>
      <c r="D5328" s="165"/>
      <c r="E5328" s="169"/>
      <c r="F5328" s="169"/>
      <c r="G5328" s="169" t="s">
        <v>3618</v>
      </c>
      <c r="H5328" s="169" t="s">
        <v>6464</v>
      </c>
      <c r="I5328" s="169" t="s">
        <v>6230</v>
      </c>
      <c r="J5328" s="169" t="s">
        <v>3319</v>
      </c>
      <c r="K5328" s="141"/>
      <c r="L5328" s="135" t="str">
        <f t="shared" si="296"/>
        <v>Echimys rhipidurus</v>
      </c>
      <c r="M5328" s="133">
        <f t="shared" si="295"/>
        <v>2.4983100000000005</v>
      </c>
      <c r="N5328" s="170">
        <v>314.99959832873753</v>
      </c>
      <c r="O5328" s="179" t="s">
        <v>6641</v>
      </c>
      <c r="P5328" s="117">
        <v>61</v>
      </c>
      <c r="Q5328" s="90" t="s">
        <v>6987</v>
      </c>
    </row>
    <row r="5329" spans="1:17">
      <c r="A5329" s="118" t="s">
        <v>7297</v>
      </c>
      <c r="B5329" s="166"/>
      <c r="C5329" s="169" t="s">
        <v>3817</v>
      </c>
      <c r="D5329" s="165"/>
      <c r="E5329" s="169"/>
      <c r="F5329" s="169"/>
      <c r="G5329" s="169" t="s">
        <v>3618</v>
      </c>
      <c r="H5329" s="169" t="s">
        <v>6464</v>
      </c>
      <c r="I5329" s="169" t="s">
        <v>6230</v>
      </c>
      <c r="J5329" s="169" t="s">
        <v>3317</v>
      </c>
      <c r="K5329" s="141"/>
      <c r="L5329" s="135" t="str">
        <f t="shared" si="296"/>
        <v>Echimys macrurus</v>
      </c>
      <c r="M5329" s="133">
        <f t="shared" si="295"/>
        <v>2.6424600000000003</v>
      </c>
      <c r="N5329" s="170">
        <v>438.99543080548585</v>
      </c>
      <c r="O5329" s="179" t="s">
        <v>3356</v>
      </c>
      <c r="P5329" s="117">
        <v>61</v>
      </c>
    </row>
    <row r="5330" spans="1:17">
      <c r="A5330" s="118" t="s">
        <v>7297</v>
      </c>
      <c r="B5330" s="166"/>
      <c r="C5330" s="169" t="s">
        <v>3817</v>
      </c>
      <c r="D5330" s="165"/>
      <c r="E5330" s="169"/>
      <c r="F5330" s="169"/>
      <c r="G5330" s="169" t="s">
        <v>3618</v>
      </c>
      <c r="H5330" s="169" t="s">
        <v>6464</v>
      </c>
      <c r="I5330" s="169" t="s">
        <v>6230</v>
      </c>
      <c r="J5330" s="169" t="s">
        <v>3652</v>
      </c>
      <c r="K5330" s="141"/>
      <c r="L5330" s="135" t="str">
        <f t="shared" si="296"/>
        <v>Echimys unicolor</v>
      </c>
      <c r="M5330" s="133">
        <f t="shared" si="295"/>
        <v>2.6424600000000003</v>
      </c>
      <c r="N5330" s="170">
        <v>438.99543080548585</v>
      </c>
      <c r="O5330" s="179" t="s">
        <v>3356</v>
      </c>
      <c r="P5330" s="117">
        <v>61</v>
      </c>
    </row>
    <row r="5331" spans="1:17">
      <c r="A5331" s="118" t="s">
        <v>7297</v>
      </c>
      <c r="B5331" s="166"/>
      <c r="C5331" s="169" t="s">
        <v>3817</v>
      </c>
      <c r="D5331" s="165"/>
      <c r="E5331" s="169"/>
      <c r="F5331" s="169"/>
      <c r="G5331" s="169" t="s">
        <v>3618</v>
      </c>
      <c r="H5331" s="169" t="s">
        <v>6464</v>
      </c>
      <c r="I5331" s="169" t="s">
        <v>6230</v>
      </c>
      <c r="J5331" s="169" t="s">
        <v>7639</v>
      </c>
      <c r="K5331" s="141"/>
      <c r="L5331" s="135" t="str">
        <f t="shared" si="296"/>
        <v>Echimys pictus</v>
      </c>
      <c r="M5331" s="133">
        <f t="shared" si="295"/>
        <v>2.7151700000000005</v>
      </c>
      <c r="N5331" s="170">
        <v>519.00315749077868</v>
      </c>
      <c r="O5331" s="179" t="s">
        <v>6641</v>
      </c>
      <c r="P5331" s="117">
        <v>61</v>
      </c>
      <c r="Q5331" s="90" t="s">
        <v>6987</v>
      </c>
    </row>
    <row r="5332" spans="1:17">
      <c r="A5332" s="118" t="s">
        <v>7297</v>
      </c>
      <c r="B5332" s="166"/>
      <c r="C5332" s="169" t="s">
        <v>3817</v>
      </c>
      <c r="D5332" s="165"/>
      <c r="E5332" s="169"/>
      <c r="F5332" s="169"/>
      <c r="G5332" s="169" t="s">
        <v>3618</v>
      </c>
      <c r="H5332" s="169" t="s">
        <v>6464</v>
      </c>
      <c r="I5332" s="169" t="s">
        <v>6230</v>
      </c>
      <c r="J5332" s="169" t="s">
        <v>4852</v>
      </c>
      <c r="K5332" s="141"/>
      <c r="L5332" s="135" t="str">
        <f t="shared" si="296"/>
        <v>Echimys thomasi</v>
      </c>
      <c r="M5332" s="133">
        <f t="shared" si="295"/>
        <v>2.7483400000000002</v>
      </c>
      <c r="N5332" s="170">
        <v>560.19599551046201</v>
      </c>
      <c r="O5332" s="179" t="s">
        <v>6641</v>
      </c>
      <c r="P5332" s="117">
        <v>61</v>
      </c>
      <c r="Q5332" s="90" t="s">
        <v>6988</v>
      </c>
    </row>
    <row r="5333" spans="1:17">
      <c r="A5333" s="121" t="s">
        <v>7297</v>
      </c>
      <c r="B5333" s="166"/>
      <c r="C5333" s="169" t="s">
        <v>3817</v>
      </c>
      <c r="D5333" s="165"/>
      <c r="E5333" s="169"/>
      <c r="F5333" s="169"/>
      <c r="G5333" s="169" t="s">
        <v>3618</v>
      </c>
      <c r="H5333" s="169" t="s">
        <v>6464</v>
      </c>
      <c r="I5333" s="169" t="s">
        <v>6230</v>
      </c>
      <c r="J5333" s="169" t="s">
        <v>6591</v>
      </c>
      <c r="K5333" s="141"/>
      <c r="L5333" s="135" t="str">
        <f t="shared" si="296"/>
        <v>Echimys grandis</v>
      </c>
      <c r="M5333" s="133">
        <f t="shared" si="295"/>
        <v>2.76641</v>
      </c>
      <c r="N5333" s="170">
        <v>583.99617147290519</v>
      </c>
      <c r="O5333" s="179" t="s">
        <v>3356</v>
      </c>
      <c r="P5333" s="117">
        <v>61</v>
      </c>
    </row>
    <row r="5334" spans="1:17">
      <c r="A5334" s="118" t="s">
        <v>7297</v>
      </c>
      <c r="B5334" s="166"/>
      <c r="C5334" s="169" t="s">
        <v>3817</v>
      </c>
      <c r="D5334" s="165"/>
      <c r="E5334" s="169"/>
      <c r="F5334" s="169"/>
      <c r="G5334" s="169" t="s">
        <v>3618</v>
      </c>
      <c r="H5334" s="169" t="s">
        <v>6464</v>
      </c>
      <c r="I5334" s="169" t="s">
        <v>6230</v>
      </c>
      <c r="J5334" s="169" t="s">
        <v>3320</v>
      </c>
      <c r="K5334" s="141"/>
      <c r="L5334" s="135" t="str">
        <f t="shared" si="296"/>
        <v>Echimys saturnus</v>
      </c>
      <c r="M5334" s="133">
        <f t="shared" si="295"/>
        <v>2.7972000000000001</v>
      </c>
      <c r="N5334" s="170">
        <v>626.90249747616554</v>
      </c>
      <c r="O5334" s="179" t="s">
        <v>3356</v>
      </c>
      <c r="P5334" s="117">
        <v>61</v>
      </c>
    </row>
    <row r="5335" spans="1:17">
      <c r="A5335" s="118" t="s">
        <v>7297</v>
      </c>
      <c r="B5335" s="166"/>
      <c r="C5335" s="169" t="s">
        <v>3817</v>
      </c>
      <c r="D5335" s="165"/>
      <c r="E5335" s="169"/>
      <c r="F5335" s="169"/>
      <c r="G5335" s="169" t="s">
        <v>3618</v>
      </c>
      <c r="H5335" s="169" t="s">
        <v>6464</v>
      </c>
      <c r="I5335" s="169" t="s">
        <v>6230</v>
      </c>
      <c r="J5335" s="169" t="s">
        <v>3525</v>
      </c>
      <c r="K5335" s="141"/>
      <c r="L5335" s="135" t="str">
        <f t="shared" si="296"/>
        <v>Echimys chrysurus</v>
      </c>
      <c r="M5335" s="133">
        <f t="shared" si="295"/>
        <v>2.8145800000000003</v>
      </c>
      <c r="N5335" s="170">
        <v>652.49922472758283</v>
      </c>
      <c r="O5335" s="179" t="s">
        <v>6641</v>
      </c>
      <c r="P5335" s="120">
        <v>61</v>
      </c>
      <c r="Q5335" s="90" t="s">
        <v>6988</v>
      </c>
    </row>
    <row r="5336" spans="1:17">
      <c r="A5336" s="118" t="s">
        <v>7297</v>
      </c>
      <c r="B5336" s="166"/>
      <c r="C5336" s="169" t="s">
        <v>3817</v>
      </c>
      <c r="D5336" s="165"/>
      <c r="E5336" s="169"/>
      <c r="F5336" s="169"/>
      <c r="G5336" s="169" t="s">
        <v>3618</v>
      </c>
      <c r="H5336" s="169" t="s">
        <v>6464</v>
      </c>
      <c r="I5336" s="169" t="s">
        <v>3322</v>
      </c>
      <c r="J5336" s="169" t="s">
        <v>6589</v>
      </c>
      <c r="K5336" s="141"/>
      <c r="L5336" s="135" t="str">
        <f t="shared" si="296"/>
        <v>Euryzygomatomys spinosus</v>
      </c>
      <c r="M5336" s="133">
        <f t="shared" si="295"/>
        <v>2.2730000000000006</v>
      </c>
      <c r="N5336" s="170">
        <v>187.49945080674203</v>
      </c>
      <c r="O5336" s="179" t="s">
        <v>3356</v>
      </c>
      <c r="P5336" s="117">
        <v>61</v>
      </c>
    </row>
    <row r="5337" spans="1:17">
      <c r="A5337" s="118" t="s">
        <v>7297</v>
      </c>
      <c r="B5337" s="166"/>
      <c r="C5337" s="169" t="s">
        <v>3817</v>
      </c>
      <c r="D5337" s="165"/>
      <c r="E5337" s="169"/>
      <c r="F5337" s="169"/>
      <c r="G5337" s="169" t="s">
        <v>3618</v>
      </c>
      <c r="H5337" s="169" t="s">
        <v>6464</v>
      </c>
      <c r="I5337" s="169" t="s">
        <v>6592</v>
      </c>
      <c r="J5337" s="169" t="s">
        <v>6421</v>
      </c>
      <c r="K5337" s="141"/>
      <c r="L5337" s="135" t="str">
        <f t="shared" si="296"/>
        <v>Hoplomys gymnurus</v>
      </c>
      <c r="M5337" s="133">
        <f t="shared" si="295"/>
        <v>2.3802100000000004</v>
      </c>
      <c r="N5337" s="170">
        <v>239.99931380578897</v>
      </c>
      <c r="O5337" s="179" t="s">
        <v>3356</v>
      </c>
      <c r="P5337" s="108">
        <v>60</v>
      </c>
    </row>
    <row r="5338" spans="1:17">
      <c r="A5338" s="118" t="s">
        <v>7297</v>
      </c>
      <c r="B5338" s="166"/>
      <c r="C5338" s="169" t="s">
        <v>3817</v>
      </c>
      <c r="D5338" s="165"/>
      <c r="E5338" s="169"/>
      <c r="F5338" s="169"/>
      <c r="G5338" s="169" t="s">
        <v>3618</v>
      </c>
      <c r="H5338" s="169" t="s">
        <v>6464</v>
      </c>
      <c r="I5338" s="169" t="s">
        <v>7362</v>
      </c>
      <c r="J5338" s="169" t="s">
        <v>3276</v>
      </c>
      <c r="K5338" s="141"/>
      <c r="L5338" s="135" t="str">
        <f t="shared" si="296"/>
        <v>Isothrix pagurus</v>
      </c>
      <c r="M5338" s="133">
        <f t="shared" si="295"/>
        <v>2.3222200000000002</v>
      </c>
      <c r="N5338" s="170">
        <v>210.00034102666152</v>
      </c>
      <c r="O5338" s="179" t="s">
        <v>6882</v>
      </c>
      <c r="P5338" s="117">
        <v>61</v>
      </c>
      <c r="Q5338" s="90" t="s">
        <v>6642</v>
      </c>
    </row>
    <row r="5339" spans="1:17">
      <c r="A5339" s="118" t="s">
        <v>7297</v>
      </c>
      <c r="B5339" s="166"/>
      <c r="C5339" s="169" t="s">
        <v>3817</v>
      </c>
      <c r="D5339" s="165"/>
      <c r="E5339" s="169"/>
      <c r="F5339" s="169"/>
      <c r="G5339" s="169" t="s">
        <v>3618</v>
      </c>
      <c r="H5339" s="169" t="s">
        <v>6464</v>
      </c>
      <c r="I5339" s="169" t="s">
        <v>7362</v>
      </c>
      <c r="J5339" s="169" t="s">
        <v>3321</v>
      </c>
      <c r="K5339" s="141"/>
      <c r="L5339" s="135" t="str">
        <f t="shared" si="296"/>
        <v>Isothrix bistriata</v>
      </c>
      <c r="M5339" s="133">
        <f t="shared" si="295"/>
        <v>2.6483600000000003</v>
      </c>
      <c r="N5339" s="170">
        <v>444.99998874838462</v>
      </c>
      <c r="O5339" s="179" t="s">
        <v>6882</v>
      </c>
      <c r="P5339" s="117">
        <v>61</v>
      </c>
      <c r="Q5339" s="90" t="s">
        <v>6642</v>
      </c>
    </row>
    <row r="5340" spans="1:17">
      <c r="A5340" s="118" t="s">
        <v>7297</v>
      </c>
      <c r="B5340" s="166"/>
      <c r="C5340" s="169" t="s">
        <v>3817</v>
      </c>
      <c r="D5340" s="165"/>
      <c r="E5340" s="169"/>
      <c r="F5340" s="169"/>
      <c r="G5340" s="169" t="s">
        <v>3618</v>
      </c>
      <c r="H5340" s="169" t="s">
        <v>6464</v>
      </c>
      <c r="I5340" s="169" t="s">
        <v>3277</v>
      </c>
      <c r="J5340" s="169" t="s">
        <v>3278</v>
      </c>
      <c r="K5340" s="141"/>
      <c r="L5340" s="135" t="str">
        <f t="shared" si="296"/>
        <v>Kannabateomys amblyonyx</v>
      </c>
      <c r="M5340" s="133">
        <f t="shared" si="295"/>
        <v>2.7781500000000001</v>
      </c>
      <c r="N5340" s="170">
        <v>599.99827253364413</v>
      </c>
      <c r="O5340" s="179" t="s">
        <v>3356</v>
      </c>
      <c r="P5340" s="108">
        <v>60</v>
      </c>
    </row>
    <row r="5341" spans="1:17">
      <c r="A5341" s="118" t="s">
        <v>7297</v>
      </c>
      <c r="B5341" s="166"/>
      <c r="C5341" s="169" t="s">
        <v>3817</v>
      </c>
      <c r="D5341" s="165"/>
      <c r="E5341" s="169"/>
      <c r="F5341" s="169"/>
      <c r="G5341" s="169" t="s">
        <v>3618</v>
      </c>
      <c r="H5341" s="169" t="s">
        <v>6464</v>
      </c>
      <c r="I5341" s="169" t="s">
        <v>3279</v>
      </c>
      <c r="J5341" s="169" t="s">
        <v>7400</v>
      </c>
      <c r="K5341" s="141"/>
      <c r="L5341" s="135" t="str">
        <f t="shared" si="296"/>
        <v>Lonchothrix emiliae</v>
      </c>
      <c r="M5341" s="133">
        <f t="shared" si="295"/>
        <v>2.1405099999999999</v>
      </c>
      <c r="N5341" s="170">
        <v>138.20062274043121</v>
      </c>
      <c r="O5341" s="182" t="s">
        <v>3356</v>
      </c>
      <c r="P5341" s="117">
        <v>61</v>
      </c>
    </row>
    <row r="5342" spans="1:17">
      <c r="A5342" s="118" t="s">
        <v>7297</v>
      </c>
      <c r="B5342" s="166"/>
      <c r="C5342" s="169" t="s">
        <v>3817</v>
      </c>
      <c r="D5342" s="165"/>
      <c r="E5342" s="169"/>
      <c r="F5342" s="169"/>
      <c r="G5342" s="169" t="s">
        <v>3618</v>
      </c>
      <c r="H5342" s="169" t="s">
        <v>6464</v>
      </c>
      <c r="I5342" s="169" t="s">
        <v>3280</v>
      </c>
      <c r="J5342" s="169" t="s">
        <v>3281</v>
      </c>
      <c r="K5342" s="141"/>
      <c r="L5342" s="135" t="str">
        <f t="shared" si="296"/>
        <v>Makalata armata</v>
      </c>
      <c r="M5342" s="133">
        <f t="shared" si="295"/>
        <v>2.6020600000000003</v>
      </c>
      <c r="N5342" s="170">
        <v>400.0000079872421</v>
      </c>
      <c r="O5342" s="179" t="s">
        <v>6882</v>
      </c>
      <c r="P5342" s="108">
        <v>60</v>
      </c>
      <c r="Q5342" s="90" t="s">
        <v>7071</v>
      </c>
    </row>
    <row r="5343" spans="1:17">
      <c r="A5343" s="121" t="s">
        <v>7297</v>
      </c>
      <c r="B5343" s="166"/>
      <c r="C5343" s="169" t="s">
        <v>3817</v>
      </c>
      <c r="D5343" s="165"/>
      <c r="E5343" s="169"/>
      <c r="F5343" s="169"/>
      <c r="G5343" s="169" t="s">
        <v>3618</v>
      </c>
      <c r="H5343" s="169" t="s">
        <v>6464</v>
      </c>
      <c r="I5343" s="169" t="s">
        <v>3282</v>
      </c>
      <c r="J5343" s="169" t="s">
        <v>4173</v>
      </c>
      <c r="K5343" s="141"/>
      <c r="L5343" s="135" t="str">
        <f t="shared" si="296"/>
        <v>Mesomys didelphoides</v>
      </c>
      <c r="M5343" s="133">
        <f t="shared" si="295"/>
        <v>2.0334200000000004</v>
      </c>
      <c r="N5343" s="170">
        <v>107.99906609258511</v>
      </c>
      <c r="O5343" s="179" t="s">
        <v>6882</v>
      </c>
      <c r="P5343" s="117">
        <v>61</v>
      </c>
      <c r="Q5343" s="90" t="s">
        <v>6987</v>
      </c>
    </row>
    <row r="5344" spans="1:17">
      <c r="A5344" s="118" t="s">
        <v>7297</v>
      </c>
      <c r="B5344" s="166"/>
      <c r="C5344" s="169" t="s">
        <v>3817</v>
      </c>
      <c r="D5344" s="165"/>
      <c r="E5344" s="169"/>
      <c r="F5344" s="169"/>
      <c r="G5344" s="169" t="s">
        <v>3618</v>
      </c>
      <c r="H5344" s="169" t="s">
        <v>6464</v>
      </c>
      <c r="I5344" s="169" t="s">
        <v>3282</v>
      </c>
      <c r="J5344" s="169" t="s">
        <v>4175</v>
      </c>
      <c r="K5344" s="141"/>
      <c r="L5344" s="135" t="str">
        <f t="shared" si="296"/>
        <v>Mesomys leniceps</v>
      </c>
      <c r="M5344" s="133">
        <f t="shared" si="295"/>
        <v>2.0334200000000004</v>
      </c>
      <c r="N5344" s="133">
        <v>107.99906609258511</v>
      </c>
      <c r="O5344" s="179" t="s">
        <v>3356</v>
      </c>
      <c r="P5344" s="117">
        <v>61</v>
      </c>
    </row>
    <row r="5345" spans="1:19">
      <c r="A5345" s="118" t="s">
        <v>7297</v>
      </c>
      <c r="B5345" s="166"/>
      <c r="C5345" s="169" t="s">
        <v>3817</v>
      </c>
      <c r="D5345" s="165"/>
      <c r="E5345" s="169"/>
      <c r="F5345" s="169"/>
      <c r="G5345" s="169" t="s">
        <v>3618</v>
      </c>
      <c r="H5345" s="169" t="s">
        <v>6464</v>
      </c>
      <c r="I5345" s="169" t="s">
        <v>3282</v>
      </c>
      <c r="J5345" s="169" t="s">
        <v>7543</v>
      </c>
      <c r="K5345" s="141"/>
      <c r="L5345" s="135" t="str">
        <f t="shared" si="296"/>
        <v>Mesomys obscurus</v>
      </c>
      <c r="M5345" s="133">
        <f t="shared" si="295"/>
        <v>2.0334200000000004</v>
      </c>
      <c r="N5345" s="170">
        <v>107.99906609258511</v>
      </c>
      <c r="O5345" s="179" t="s">
        <v>6882</v>
      </c>
      <c r="P5345" s="117">
        <v>61</v>
      </c>
      <c r="Q5345" s="90" t="s">
        <v>6987</v>
      </c>
    </row>
    <row r="5346" spans="1:19">
      <c r="A5346" s="118" t="s">
        <v>7297</v>
      </c>
      <c r="B5346" s="166"/>
      <c r="C5346" s="169" t="s">
        <v>3817</v>
      </c>
      <c r="D5346" s="165"/>
      <c r="E5346" s="169"/>
      <c r="F5346" s="169"/>
      <c r="G5346" s="169" t="s">
        <v>3618</v>
      </c>
      <c r="H5346" s="169" t="s">
        <v>6464</v>
      </c>
      <c r="I5346" s="169" t="s">
        <v>3282</v>
      </c>
      <c r="J5346" s="169" t="s">
        <v>4176</v>
      </c>
      <c r="K5346" s="141"/>
      <c r="L5346" s="135" t="str">
        <f t="shared" si="296"/>
        <v>Mesomys stimulax</v>
      </c>
      <c r="M5346" s="133">
        <f t="shared" si="295"/>
        <v>2.0334200000000004</v>
      </c>
      <c r="N5346" s="170">
        <v>107.99906609258511</v>
      </c>
      <c r="O5346" s="179" t="s">
        <v>3356</v>
      </c>
      <c r="P5346" s="117">
        <v>61</v>
      </c>
    </row>
    <row r="5347" spans="1:19">
      <c r="A5347" s="118" t="s">
        <v>7297</v>
      </c>
      <c r="B5347" s="166"/>
      <c r="C5347" s="169" t="s">
        <v>3817</v>
      </c>
      <c r="D5347" s="165"/>
      <c r="E5347" s="169"/>
      <c r="F5347" s="169"/>
      <c r="G5347" s="169" t="s">
        <v>3618</v>
      </c>
      <c r="H5347" s="169" t="s">
        <v>6464</v>
      </c>
      <c r="I5347" s="169" t="s">
        <v>3282</v>
      </c>
      <c r="J5347" s="169" t="s">
        <v>4174</v>
      </c>
      <c r="K5347" s="141"/>
      <c r="L5347" s="135" t="str">
        <f t="shared" si="296"/>
        <v>Mesomys hispidus</v>
      </c>
      <c r="M5347" s="133">
        <f t="shared" si="295"/>
        <v>2.2430400000000006</v>
      </c>
      <c r="N5347" s="170">
        <v>175.00078628829039</v>
      </c>
      <c r="O5347" s="179" t="s">
        <v>3356</v>
      </c>
      <c r="P5347" s="117">
        <v>61</v>
      </c>
    </row>
    <row r="5348" spans="1:19">
      <c r="A5348" s="121" t="s">
        <v>7297</v>
      </c>
      <c r="B5348" s="166"/>
      <c r="C5348" s="169" t="s">
        <v>3817</v>
      </c>
      <c r="D5348" s="165"/>
      <c r="E5348" s="169"/>
      <c r="F5348" s="169"/>
      <c r="G5348" s="169" t="s">
        <v>3618</v>
      </c>
      <c r="H5348" s="169" t="s">
        <v>6464</v>
      </c>
      <c r="I5348" s="169" t="s">
        <v>3303</v>
      </c>
      <c r="J5348" s="169" t="s">
        <v>4028</v>
      </c>
      <c r="K5348" s="141"/>
      <c r="L5348" s="135" t="str">
        <f t="shared" si="296"/>
        <v>Olallamys edax</v>
      </c>
      <c r="M5348" s="133">
        <f t="shared" si="295"/>
        <v>2.3147099999999998</v>
      </c>
      <c r="N5348" s="170">
        <v>206.40014592419931</v>
      </c>
      <c r="O5348" s="179" t="s">
        <v>6641</v>
      </c>
      <c r="P5348" s="117">
        <v>61</v>
      </c>
      <c r="Q5348" s="90" t="s">
        <v>6642</v>
      </c>
    </row>
    <row r="5349" spans="1:19">
      <c r="A5349" s="118" t="s">
        <v>7297</v>
      </c>
      <c r="B5349" s="166"/>
      <c r="C5349" s="169" t="s">
        <v>3817</v>
      </c>
      <c r="D5349" s="165"/>
      <c r="E5349" s="169"/>
      <c r="F5349" s="169"/>
      <c r="G5349" s="169" t="s">
        <v>3618</v>
      </c>
      <c r="H5349" s="169" t="s">
        <v>6464</v>
      </c>
      <c r="I5349" s="169" t="s">
        <v>3303</v>
      </c>
      <c r="J5349" s="169" t="s">
        <v>7096</v>
      </c>
      <c r="K5349" s="141"/>
      <c r="L5349" s="135" t="str">
        <f t="shared" si="296"/>
        <v>Olallamys albicauda</v>
      </c>
      <c r="M5349" s="133">
        <f t="shared" si="295"/>
        <v>2.43696</v>
      </c>
      <c r="N5349" s="170">
        <v>273.50168103482685</v>
      </c>
      <c r="O5349" s="179" t="s">
        <v>6641</v>
      </c>
      <c r="P5349" s="117">
        <v>61</v>
      </c>
      <c r="Q5349" s="90" t="s">
        <v>6642</v>
      </c>
      <c r="S5349" s="92"/>
    </row>
    <row r="5350" spans="1:19">
      <c r="A5350" s="118" t="s">
        <v>7297</v>
      </c>
      <c r="B5350" s="166"/>
      <c r="C5350" s="169" t="s">
        <v>3817</v>
      </c>
      <c r="D5350" s="165"/>
      <c r="E5350" s="169"/>
      <c r="F5350" s="169"/>
      <c r="G5350" s="169" t="s">
        <v>3618</v>
      </c>
      <c r="H5350" s="169" t="s">
        <v>6464</v>
      </c>
      <c r="I5350" s="169" t="s">
        <v>4029</v>
      </c>
      <c r="J5350" s="169" t="s">
        <v>3518</v>
      </c>
      <c r="K5350" s="141"/>
      <c r="L5350" s="135" t="str">
        <f t="shared" si="296"/>
        <v>Proechimys dimidiatus</v>
      </c>
      <c r="M5350" s="133">
        <f t="shared" si="295"/>
        <v>2.2242700000000006</v>
      </c>
      <c r="N5350" s="170">
        <v>167.59845083776992</v>
      </c>
      <c r="O5350" s="179" t="s">
        <v>3356</v>
      </c>
      <c r="P5350" s="117">
        <v>61</v>
      </c>
    </row>
    <row r="5351" spans="1:19">
      <c r="A5351" s="118" t="s">
        <v>7297</v>
      </c>
      <c r="B5351" s="166"/>
      <c r="C5351" s="169" t="s">
        <v>3817</v>
      </c>
      <c r="D5351" s="165"/>
      <c r="E5351" s="169"/>
      <c r="F5351" s="169"/>
      <c r="G5351" s="169" t="s">
        <v>3618</v>
      </c>
      <c r="H5351" s="169" t="s">
        <v>6464</v>
      </c>
      <c r="I5351" s="169" t="s">
        <v>4029</v>
      </c>
      <c r="J5351" s="169" t="s">
        <v>4681</v>
      </c>
      <c r="K5351" s="141"/>
      <c r="L5351" s="135" t="str">
        <f t="shared" si="296"/>
        <v>Proechimys iheringi</v>
      </c>
      <c r="M5351" s="133">
        <f t="shared" si="295"/>
        <v>2.3085599999999999</v>
      </c>
      <c r="N5351" s="170">
        <v>203.49793192134433</v>
      </c>
      <c r="O5351" s="179" t="s">
        <v>3356</v>
      </c>
      <c r="P5351" s="117">
        <v>61</v>
      </c>
      <c r="Q5351" s="91"/>
    </row>
    <row r="5352" spans="1:19">
      <c r="A5352" s="118" t="s">
        <v>7297</v>
      </c>
      <c r="B5352" s="166"/>
      <c r="C5352" s="169" t="s">
        <v>3817</v>
      </c>
      <c r="D5352" s="165"/>
      <c r="E5352" s="169"/>
      <c r="F5352" s="169"/>
      <c r="G5352" s="169" t="s">
        <v>3618</v>
      </c>
      <c r="H5352" s="169" t="s">
        <v>6464</v>
      </c>
      <c r="I5352" s="169" t="s">
        <v>4029</v>
      </c>
      <c r="J5352" s="169" t="s">
        <v>3295</v>
      </c>
      <c r="K5352" s="141"/>
      <c r="L5352" s="135" t="str">
        <f t="shared" si="296"/>
        <v>Proechimys longicaudatus</v>
      </c>
      <c r="M5352" s="133">
        <f t="shared" si="295"/>
        <v>2.3117500000000004</v>
      </c>
      <c r="N5352" s="170">
        <v>204.99817747416989</v>
      </c>
      <c r="O5352" s="179" t="s">
        <v>3356</v>
      </c>
      <c r="P5352" s="117">
        <v>61</v>
      </c>
      <c r="Q5352" s="91"/>
    </row>
    <row r="5353" spans="1:19" ht="25.5">
      <c r="A5353" s="118" t="s">
        <v>7297</v>
      </c>
      <c r="B5353" s="166"/>
      <c r="C5353" s="169" t="s">
        <v>3817</v>
      </c>
      <c r="D5353" s="165"/>
      <c r="E5353" s="169"/>
      <c r="F5353" s="169"/>
      <c r="G5353" s="169" t="s">
        <v>3618</v>
      </c>
      <c r="H5353" s="169" t="s">
        <v>6464</v>
      </c>
      <c r="I5353" s="169" t="s">
        <v>4029</v>
      </c>
      <c r="J5353" s="169" t="s">
        <v>3301</v>
      </c>
      <c r="K5353" s="141"/>
      <c r="L5353" s="135" t="str">
        <f t="shared" si="296"/>
        <v>Proechimys albispinus</v>
      </c>
      <c r="M5353" s="133">
        <f t="shared" si="295"/>
        <v>2.4548400000000004</v>
      </c>
      <c r="N5353" s="170">
        <v>284.9968107016482</v>
      </c>
      <c r="O5353" s="179" t="s">
        <v>8149</v>
      </c>
      <c r="P5353" s="117">
        <v>61</v>
      </c>
      <c r="Q5353" s="90" t="s">
        <v>6642</v>
      </c>
    </row>
    <row r="5354" spans="1:19">
      <c r="A5354" s="118" t="s">
        <v>7297</v>
      </c>
      <c r="B5354" s="166"/>
      <c r="C5354" s="169" t="s">
        <v>3817</v>
      </c>
      <c r="D5354" s="165"/>
      <c r="E5354" s="169"/>
      <c r="F5354" s="169"/>
      <c r="G5354" s="169" t="s">
        <v>3618</v>
      </c>
      <c r="H5354" s="169" t="s">
        <v>6464</v>
      </c>
      <c r="I5354" s="169" t="s">
        <v>4029</v>
      </c>
      <c r="J5354" s="169" t="s">
        <v>3129</v>
      </c>
      <c r="K5354" s="141"/>
      <c r="L5354" s="135" t="str">
        <f t="shared" si="296"/>
        <v>Proechimys amphichoricus</v>
      </c>
      <c r="M5354" s="133">
        <f t="shared" si="295"/>
        <v>2.4548400000000004</v>
      </c>
      <c r="N5354" s="170">
        <v>284.9968107016482</v>
      </c>
      <c r="O5354" s="179" t="s">
        <v>3356</v>
      </c>
      <c r="P5354" s="117">
        <v>61</v>
      </c>
    </row>
    <row r="5355" spans="1:19">
      <c r="A5355" s="118" t="s">
        <v>7297</v>
      </c>
      <c r="B5355" s="166"/>
      <c r="C5355" s="169" t="s">
        <v>3817</v>
      </c>
      <c r="D5355" s="165"/>
      <c r="E5355" s="169"/>
      <c r="F5355" s="169"/>
      <c r="G5355" s="169" t="s">
        <v>3618</v>
      </c>
      <c r="H5355" s="169" t="s">
        <v>6464</v>
      </c>
      <c r="I5355" s="169" t="s">
        <v>4029</v>
      </c>
      <c r="J5355" s="169" t="s">
        <v>3765</v>
      </c>
      <c r="K5355" s="141"/>
      <c r="L5355" s="135" t="str">
        <f t="shared" si="296"/>
        <v>Proechimys bolivianus</v>
      </c>
      <c r="M5355" s="133">
        <f t="shared" si="295"/>
        <v>2.4548400000000004</v>
      </c>
      <c r="N5355" s="170">
        <v>284.9968107016482</v>
      </c>
      <c r="O5355" s="179" t="s">
        <v>3356</v>
      </c>
      <c r="P5355" s="117">
        <v>61</v>
      </c>
    </row>
    <row r="5356" spans="1:19">
      <c r="A5356" s="118" t="s">
        <v>7297</v>
      </c>
      <c r="B5356" s="166"/>
      <c r="C5356" s="169" t="s">
        <v>3817</v>
      </c>
      <c r="D5356" s="165"/>
      <c r="E5356" s="169"/>
      <c r="F5356" s="169"/>
      <c r="G5356" s="169" t="s">
        <v>3618</v>
      </c>
      <c r="H5356" s="169" t="s">
        <v>6464</v>
      </c>
      <c r="I5356" s="169" t="s">
        <v>4029</v>
      </c>
      <c r="J5356" s="169" t="s">
        <v>7354</v>
      </c>
      <c r="K5356" s="141"/>
      <c r="L5356" s="135" t="str">
        <f t="shared" si="296"/>
        <v>Proechimys brevicauda</v>
      </c>
      <c r="M5356" s="133">
        <f t="shared" si="295"/>
        <v>2.4548400000000004</v>
      </c>
      <c r="N5356" s="170">
        <v>284.9968107016482</v>
      </c>
      <c r="O5356" s="179" t="s">
        <v>3356</v>
      </c>
      <c r="P5356" s="117">
        <v>61</v>
      </c>
    </row>
    <row r="5357" spans="1:19">
      <c r="A5357" s="121" t="s">
        <v>7297</v>
      </c>
      <c r="B5357" s="166"/>
      <c r="C5357" s="169" t="s">
        <v>3817</v>
      </c>
      <c r="D5357" s="165"/>
      <c r="E5357" s="169"/>
      <c r="F5357" s="169"/>
      <c r="G5357" s="169" t="s">
        <v>3618</v>
      </c>
      <c r="H5357" s="169" t="s">
        <v>6464</v>
      </c>
      <c r="I5357" s="169" t="s">
        <v>4029</v>
      </c>
      <c r="J5357" s="169" t="s">
        <v>3766</v>
      </c>
      <c r="K5357" s="141"/>
      <c r="L5357" s="135" t="str">
        <f t="shared" si="296"/>
        <v>Proechimys canicollis</v>
      </c>
      <c r="M5357" s="133">
        <f t="shared" si="295"/>
        <v>2.4548400000000004</v>
      </c>
      <c r="N5357" s="170">
        <v>284.9968107016482</v>
      </c>
      <c r="O5357" s="179" t="s">
        <v>3356</v>
      </c>
      <c r="P5357" s="117">
        <v>61</v>
      </c>
    </row>
    <row r="5358" spans="1:19">
      <c r="A5358" s="118" t="s">
        <v>7297</v>
      </c>
      <c r="B5358" s="166"/>
      <c r="C5358" s="169" t="s">
        <v>3817</v>
      </c>
      <c r="D5358" s="165"/>
      <c r="E5358" s="169"/>
      <c r="F5358" s="169"/>
      <c r="G5358" s="169" t="s">
        <v>3618</v>
      </c>
      <c r="H5358" s="169" t="s">
        <v>6464</v>
      </c>
      <c r="I5358" s="169" t="s">
        <v>4029</v>
      </c>
      <c r="J5358" s="169" t="s">
        <v>3730</v>
      </c>
      <c r="K5358" s="141"/>
      <c r="L5358" s="135" t="str">
        <f t="shared" si="296"/>
        <v>Proechimys chrysaeolus</v>
      </c>
      <c r="M5358" s="133">
        <f t="shared" si="295"/>
        <v>2.4548400000000004</v>
      </c>
      <c r="N5358" s="170">
        <v>284.9968107016482</v>
      </c>
      <c r="O5358" s="179" t="s">
        <v>3356</v>
      </c>
      <c r="P5358" s="117">
        <v>61</v>
      </c>
    </row>
    <row r="5359" spans="1:19">
      <c r="A5359" s="118" t="s">
        <v>7297</v>
      </c>
      <c r="B5359" s="166"/>
      <c r="C5359" s="169" t="s">
        <v>3817</v>
      </c>
      <c r="D5359" s="165"/>
      <c r="E5359" s="169"/>
      <c r="F5359" s="169"/>
      <c r="G5359" s="169" t="s">
        <v>3618</v>
      </c>
      <c r="H5359" s="169" t="s">
        <v>6464</v>
      </c>
      <c r="I5359" s="169" t="s">
        <v>4029</v>
      </c>
      <c r="J5359" s="169" t="s">
        <v>3770</v>
      </c>
      <c r="K5359" s="141"/>
      <c r="L5359" s="135" t="str">
        <f t="shared" si="296"/>
        <v>Proechimys decumanus</v>
      </c>
      <c r="M5359" s="133">
        <f t="shared" si="295"/>
        <v>2.4548400000000004</v>
      </c>
      <c r="N5359" s="170">
        <v>284.9968107016482</v>
      </c>
      <c r="O5359" s="179" t="s">
        <v>3356</v>
      </c>
      <c r="P5359" s="117">
        <v>61</v>
      </c>
    </row>
    <row r="5360" spans="1:19">
      <c r="A5360" s="118" t="s">
        <v>7297</v>
      </c>
      <c r="B5360" s="166"/>
      <c r="C5360" s="169" t="s">
        <v>3817</v>
      </c>
      <c r="D5360" s="165"/>
      <c r="E5360" s="169"/>
      <c r="F5360" s="169"/>
      <c r="G5360" s="169" t="s">
        <v>3618</v>
      </c>
      <c r="H5360" s="169" t="s">
        <v>6464</v>
      </c>
      <c r="I5360" s="169" t="s">
        <v>4029</v>
      </c>
      <c r="J5360" s="169" t="s">
        <v>2265</v>
      </c>
      <c r="K5360" s="141"/>
      <c r="L5360" s="135" t="str">
        <f t="shared" si="296"/>
        <v>Proechimys goeldii</v>
      </c>
      <c r="M5360" s="133">
        <f t="shared" si="295"/>
        <v>2.4548400000000004</v>
      </c>
      <c r="N5360" s="170">
        <v>284.9968107016482</v>
      </c>
      <c r="O5360" s="179" t="s">
        <v>3356</v>
      </c>
      <c r="P5360" s="117">
        <v>61</v>
      </c>
    </row>
    <row r="5361" spans="1:17" ht="25.5">
      <c r="A5361" s="118" t="s">
        <v>7297</v>
      </c>
      <c r="B5361" s="166"/>
      <c r="C5361" s="169" t="s">
        <v>3817</v>
      </c>
      <c r="D5361" s="165"/>
      <c r="E5361" s="169"/>
      <c r="F5361" s="169"/>
      <c r="G5361" s="169" t="s">
        <v>3618</v>
      </c>
      <c r="H5361" s="169" t="s">
        <v>6464</v>
      </c>
      <c r="I5361" s="169" t="s">
        <v>4029</v>
      </c>
      <c r="J5361" s="169" t="s">
        <v>3519</v>
      </c>
      <c r="K5361" s="141"/>
      <c r="L5361" s="135" t="str">
        <f t="shared" si="296"/>
        <v>Proechimys gorgonae</v>
      </c>
      <c r="M5361" s="133">
        <f t="shared" si="295"/>
        <v>2.4548400000000004</v>
      </c>
      <c r="N5361" s="170">
        <v>284.9968107016482</v>
      </c>
      <c r="O5361" s="179" t="s">
        <v>8149</v>
      </c>
      <c r="P5361" s="117">
        <v>61</v>
      </c>
      <c r="Q5361" s="90" t="s">
        <v>6642</v>
      </c>
    </row>
    <row r="5362" spans="1:17">
      <c r="A5362" s="118" t="s">
        <v>7297</v>
      </c>
      <c r="B5362" s="166"/>
      <c r="C5362" s="169" t="s">
        <v>3817</v>
      </c>
      <c r="D5362" s="165"/>
      <c r="E5362" s="169"/>
      <c r="F5362" s="169"/>
      <c r="G5362" s="169" t="s">
        <v>3618</v>
      </c>
      <c r="H5362" s="169" t="s">
        <v>6464</v>
      </c>
      <c r="I5362" s="169" t="s">
        <v>4029</v>
      </c>
      <c r="J5362" s="169" t="s">
        <v>3740</v>
      </c>
      <c r="K5362" s="141"/>
      <c r="L5362" s="135" t="str">
        <f t="shared" si="296"/>
        <v>Proechimys gularis</v>
      </c>
      <c r="M5362" s="133">
        <f t="shared" si="295"/>
        <v>2.4548400000000004</v>
      </c>
      <c r="N5362" s="170">
        <v>284.9968107016482</v>
      </c>
      <c r="O5362" s="179" t="s">
        <v>3356</v>
      </c>
      <c r="P5362" s="117">
        <v>61</v>
      </c>
    </row>
    <row r="5363" spans="1:17">
      <c r="A5363" s="118" t="s">
        <v>7297</v>
      </c>
      <c r="B5363" s="166"/>
      <c r="C5363" s="169" t="s">
        <v>3817</v>
      </c>
      <c r="D5363" s="165"/>
      <c r="E5363" s="169"/>
      <c r="F5363" s="169"/>
      <c r="G5363" s="169" t="s">
        <v>3618</v>
      </c>
      <c r="H5363" s="169" t="s">
        <v>6464</v>
      </c>
      <c r="I5363" s="169" t="s">
        <v>4029</v>
      </c>
      <c r="J5363" s="169" t="s">
        <v>3763</v>
      </c>
      <c r="K5363" s="141"/>
      <c r="L5363" s="135" t="str">
        <f t="shared" si="296"/>
        <v>Proechimys hendeei</v>
      </c>
      <c r="M5363" s="133">
        <f t="shared" si="295"/>
        <v>2.4548400000000004</v>
      </c>
      <c r="N5363" s="170">
        <v>284.9968107016482</v>
      </c>
      <c r="O5363" s="179" t="s">
        <v>3356</v>
      </c>
      <c r="P5363" s="117">
        <v>61</v>
      </c>
    </row>
    <row r="5364" spans="1:17">
      <c r="A5364" s="118" t="s">
        <v>7297</v>
      </c>
      <c r="B5364" s="166"/>
      <c r="C5364" s="169" t="s">
        <v>3817</v>
      </c>
      <c r="D5364" s="165"/>
      <c r="E5364" s="169"/>
      <c r="F5364" s="169"/>
      <c r="G5364" s="169" t="s">
        <v>3618</v>
      </c>
      <c r="H5364" s="169" t="s">
        <v>6464</v>
      </c>
      <c r="I5364" s="169" t="s">
        <v>4029</v>
      </c>
      <c r="J5364" s="169" t="s">
        <v>3764</v>
      </c>
      <c r="K5364" s="141"/>
      <c r="L5364" s="135" t="str">
        <f t="shared" si="296"/>
        <v>Proechimys hoplomyoides</v>
      </c>
      <c r="M5364" s="133">
        <f t="shared" si="295"/>
        <v>2.4548400000000004</v>
      </c>
      <c r="N5364" s="170">
        <v>284.9968107016482</v>
      </c>
      <c r="O5364" s="179" t="s">
        <v>3356</v>
      </c>
      <c r="P5364" s="117">
        <v>61</v>
      </c>
      <c r="Q5364" s="91"/>
    </row>
    <row r="5365" spans="1:17">
      <c r="A5365" s="118" t="s">
        <v>7297</v>
      </c>
      <c r="B5365" s="166"/>
      <c r="C5365" s="169" t="s">
        <v>3817</v>
      </c>
      <c r="D5365" s="165"/>
      <c r="E5365" s="169"/>
      <c r="F5365" s="169"/>
      <c r="G5365" s="169" t="s">
        <v>3618</v>
      </c>
      <c r="H5365" s="169" t="s">
        <v>6464</v>
      </c>
      <c r="I5365" s="169" t="s">
        <v>4029</v>
      </c>
      <c r="J5365" s="169" t="s">
        <v>3767</v>
      </c>
      <c r="K5365" s="141"/>
      <c r="L5365" s="135" t="str">
        <f t="shared" si="296"/>
        <v>Proechimys magdalenae</v>
      </c>
      <c r="M5365" s="133">
        <f t="shared" ref="M5365:M5428" si="297">LOG(N5365)</f>
        <v>2.4548400000000004</v>
      </c>
      <c r="N5365" s="170">
        <v>284.9968107016482</v>
      </c>
      <c r="O5365" s="179" t="s">
        <v>3356</v>
      </c>
      <c r="P5365" s="117">
        <v>61</v>
      </c>
      <c r="Q5365" s="91"/>
    </row>
    <row r="5366" spans="1:17">
      <c r="A5366" s="118" t="s">
        <v>7297</v>
      </c>
      <c r="B5366" s="166"/>
      <c r="C5366" s="169" t="s">
        <v>3817</v>
      </c>
      <c r="D5366" s="165"/>
      <c r="E5366" s="169"/>
      <c r="F5366" s="169"/>
      <c r="G5366" s="169" t="s">
        <v>3618</v>
      </c>
      <c r="H5366" s="169" t="s">
        <v>6464</v>
      </c>
      <c r="I5366" s="169" t="s">
        <v>4029</v>
      </c>
      <c r="J5366" s="169" t="s">
        <v>3768</v>
      </c>
      <c r="K5366" s="141"/>
      <c r="L5366" s="135" t="str">
        <f t="shared" si="296"/>
        <v>Proechimys mincae</v>
      </c>
      <c r="M5366" s="133">
        <f t="shared" si="297"/>
        <v>2.4548400000000004</v>
      </c>
      <c r="N5366" s="170">
        <v>284.9968107016482</v>
      </c>
      <c r="O5366" s="179" t="s">
        <v>3356</v>
      </c>
      <c r="P5366" s="117">
        <v>61</v>
      </c>
      <c r="Q5366" s="91"/>
    </row>
    <row r="5367" spans="1:17">
      <c r="A5367" s="118" t="s">
        <v>7297</v>
      </c>
      <c r="B5367" s="166"/>
      <c r="C5367" s="169" t="s">
        <v>3817</v>
      </c>
      <c r="D5367" s="165"/>
      <c r="E5367" s="169"/>
      <c r="F5367" s="169"/>
      <c r="G5367" s="169" t="s">
        <v>3618</v>
      </c>
      <c r="H5367" s="169" t="s">
        <v>6464</v>
      </c>
      <c r="I5367" s="169" t="s">
        <v>4029</v>
      </c>
      <c r="J5367" s="169" t="s">
        <v>7210</v>
      </c>
      <c r="K5367" s="141"/>
      <c r="L5367" s="135" t="str">
        <f t="shared" si="296"/>
        <v>Proechimys myosuros</v>
      </c>
      <c r="M5367" s="133">
        <f t="shared" si="297"/>
        <v>2.4548400000000004</v>
      </c>
      <c r="N5367" s="170">
        <v>284.9968107016482</v>
      </c>
      <c r="O5367" s="179" t="s">
        <v>3356</v>
      </c>
      <c r="P5367" s="117">
        <v>61</v>
      </c>
      <c r="Q5367" s="91"/>
    </row>
    <row r="5368" spans="1:17">
      <c r="A5368" s="118" t="s">
        <v>7297</v>
      </c>
      <c r="B5368" s="166"/>
      <c r="C5368" s="169" t="s">
        <v>3817</v>
      </c>
      <c r="D5368" s="165"/>
      <c r="E5368" s="169"/>
      <c r="F5368" s="169"/>
      <c r="G5368" s="169" t="s">
        <v>3618</v>
      </c>
      <c r="H5368" s="169" t="s">
        <v>6464</v>
      </c>
      <c r="I5368" s="169" t="s">
        <v>4029</v>
      </c>
      <c r="J5368" s="169" t="s">
        <v>7211</v>
      </c>
      <c r="K5368" s="141"/>
      <c r="L5368" s="135" t="str">
        <f t="shared" si="296"/>
        <v>Proechimys oconnelli</v>
      </c>
      <c r="M5368" s="133">
        <f t="shared" si="297"/>
        <v>2.4548400000000004</v>
      </c>
      <c r="N5368" s="170">
        <v>284.9968107016482</v>
      </c>
      <c r="O5368" s="179" t="s">
        <v>3356</v>
      </c>
      <c r="P5368" s="117">
        <v>61</v>
      </c>
      <c r="Q5368" s="91"/>
    </row>
    <row r="5369" spans="1:17">
      <c r="A5369" s="118" t="s">
        <v>7297</v>
      </c>
      <c r="B5369" s="166"/>
      <c r="C5369" s="169" t="s">
        <v>3817</v>
      </c>
      <c r="D5369" s="165"/>
      <c r="E5369" s="169"/>
      <c r="F5369" s="169"/>
      <c r="G5369" s="169" t="s">
        <v>3618</v>
      </c>
      <c r="H5369" s="169" t="s">
        <v>6464</v>
      </c>
      <c r="I5369" s="169" t="s">
        <v>4029</v>
      </c>
      <c r="J5369" s="169" t="s">
        <v>7212</v>
      </c>
      <c r="K5369" s="141"/>
      <c r="L5369" s="135" t="str">
        <f t="shared" si="296"/>
        <v>Proechimys oris</v>
      </c>
      <c r="M5369" s="133">
        <f t="shared" si="297"/>
        <v>2.4548400000000004</v>
      </c>
      <c r="N5369" s="170">
        <v>284.9968107016482</v>
      </c>
      <c r="O5369" s="179" t="s">
        <v>3356</v>
      </c>
      <c r="P5369" s="117">
        <v>61</v>
      </c>
      <c r="Q5369" s="91"/>
    </row>
    <row r="5370" spans="1:17">
      <c r="A5370" s="118" t="s">
        <v>7297</v>
      </c>
      <c r="B5370" s="166"/>
      <c r="C5370" s="169" t="s">
        <v>3817</v>
      </c>
      <c r="D5370" s="165"/>
      <c r="E5370" s="169"/>
      <c r="F5370" s="169"/>
      <c r="G5370" s="169" t="s">
        <v>3618</v>
      </c>
      <c r="H5370" s="169" t="s">
        <v>6464</v>
      </c>
      <c r="I5370" s="169" t="s">
        <v>4029</v>
      </c>
      <c r="J5370" s="169" t="s">
        <v>4811</v>
      </c>
      <c r="K5370" s="141"/>
      <c r="L5370" s="135" t="str">
        <f t="shared" si="296"/>
        <v>Proechimys poliopus</v>
      </c>
      <c r="M5370" s="133">
        <f t="shared" si="297"/>
        <v>2.4548400000000004</v>
      </c>
      <c r="N5370" s="170">
        <v>284.9968107016482</v>
      </c>
      <c r="O5370" s="179" t="s">
        <v>3356</v>
      </c>
      <c r="P5370" s="117">
        <v>61</v>
      </c>
      <c r="Q5370" s="91"/>
    </row>
    <row r="5371" spans="1:17">
      <c r="A5371" s="118" t="s">
        <v>7297</v>
      </c>
      <c r="B5371" s="166"/>
      <c r="C5371" s="169" t="s">
        <v>3817</v>
      </c>
      <c r="D5371" s="165"/>
      <c r="E5371" s="169"/>
      <c r="F5371" s="169"/>
      <c r="G5371" s="169" t="s">
        <v>3618</v>
      </c>
      <c r="H5371" s="169" t="s">
        <v>6464</v>
      </c>
      <c r="I5371" s="169" t="s">
        <v>4029</v>
      </c>
      <c r="J5371" s="169" t="s">
        <v>4812</v>
      </c>
      <c r="K5371" s="141"/>
      <c r="L5371" s="135" t="str">
        <f t="shared" si="296"/>
        <v>Proechimys quadruplicatus</v>
      </c>
      <c r="M5371" s="133">
        <f t="shared" si="297"/>
        <v>2.4548400000000004</v>
      </c>
      <c r="N5371" s="170">
        <v>284.9968107016482</v>
      </c>
      <c r="O5371" s="179" t="s">
        <v>3356</v>
      </c>
      <c r="P5371" s="117">
        <v>61</v>
      </c>
      <c r="Q5371" s="91"/>
    </row>
    <row r="5372" spans="1:17">
      <c r="A5372" s="118" t="s">
        <v>7297</v>
      </c>
      <c r="B5372" s="166"/>
      <c r="C5372" s="169" t="s">
        <v>3817</v>
      </c>
      <c r="D5372" s="165"/>
      <c r="E5372" s="169"/>
      <c r="F5372" s="169"/>
      <c r="G5372" s="169" t="s">
        <v>3618</v>
      </c>
      <c r="H5372" s="169" t="s">
        <v>6464</v>
      </c>
      <c r="I5372" s="169" t="s">
        <v>4029</v>
      </c>
      <c r="J5372" s="169" t="s">
        <v>4813</v>
      </c>
      <c r="K5372" s="141"/>
      <c r="L5372" s="135" t="str">
        <f t="shared" si="296"/>
        <v>Proechimys setosus</v>
      </c>
      <c r="M5372" s="133">
        <f t="shared" si="297"/>
        <v>2.4548400000000004</v>
      </c>
      <c r="N5372" s="170">
        <v>284.9968107016482</v>
      </c>
      <c r="O5372" s="179" t="s">
        <v>3356</v>
      </c>
      <c r="P5372" s="117">
        <v>61</v>
      </c>
      <c r="Q5372" s="91"/>
    </row>
    <row r="5373" spans="1:17">
      <c r="A5373" s="118" t="s">
        <v>7297</v>
      </c>
      <c r="B5373" s="166"/>
      <c r="C5373" s="169" t="s">
        <v>3817</v>
      </c>
      <c r="D5373" s="165"/>
      <c r="E5373" s="169"/>
      <c r="F5373" s="169"/>
      <c r="G5373" s="169" t="s">
        <v>3618</v>
      </c>
      <c r="H5373" s="169" t="s">
        <v>6464</v>
      </c>
      <c r="I5373" s="169" t="s">
        <v>4029</v>
      </c>
      <c r="J5373" s="169" t="s">
        <v>4814</v>
      </c>
      <c r="K5373" s="141"/>
      <c r="L5373" s="135" t="str">
        <f t="shared" si="296"/>
        <v>Proechimys simonsi</v>
      </c>
      <c r="M5373" s="133">
        <f t="shared" si="297"/>
        <v>2.4548400000000004</v>
      </c>
      <c r="N5373" s="170">
        <v>284.9968107016482</v>
      </c>
      <c r="O5373" s="179" t="s">
        <v>3356</v>
      </c>
      <c r="P5373" s="117">
        <v>61</v>
      </c>
      <c r="Q5373" s="91"/>
    </row>
    <row r="5374" spans="1:17">
      <c r="A5374" s="118" t="s">
        <v>7297</v>
      </c>
      <c r="B5374" s="166"/>
      <c r="C5374" s="169" t="s">
        <v>3817</v>
      </c>
      <c r="D5374" s="165"/>
      <c r="E5374" s="169"/>
      <c r="F5374" s="169"/>
      <c r="G5374" s="169" t="s">
        <v>3618</v>
      </c>
      <c r="H5374" s="169" t="s">
        <v>6464</v>
      </c>
      <c r="I5374" s="169" t="s">
        <v>4029</v>
      </c>
      <c r="J5374" s="169" t="s">
        <v>4815</v>
      </c>
      <c r="K5374" s="141"/>
      <c r="L5374" s="135" t="str">
        <f t="shared" si="296"/>
        <v>Proechimys steerei</v>
      </c>
      <c r="M5374" s="133">
        <f t="shared" si="297"/>
        <v>2.4548400000000004</v>
      </c>
      <c r="N5374" s="170">
        <v>284.9968107016482</v>
      </c>
      <c r="O5374" s="179" t="s">
        <v>3356</v>
      </c>
      <c r="P5374" s="117">
        <v>61</v>
      </c>
      <c r="Q5374" s="91"/>
    </row>
    <row r="5375" spans="1:17">
      <c r="A5375" s="121" t="s">
        <v>7297</v>
      </c>
      <c r="B5375" s="166"/>
      <c r="C5375" s="169" t="s">
        <v>3817</v>
      </c>
      <c r="D5375" s="165"/>
      <c r="E5375" s="169"/>
      <c r="F5375" s="169"/>
      <c r="G5375" s="169" t="s">
        <v>3618</v>
      </c>
      <c r="H5375" s="169" t="s">
        <v>6464</v>
      </c>
      <c r="I5375" s="169" t="s">
        <v>4029</v>
      </c>
      <c r="J5375" s="169" t="s">
        <v>4835</v>
      </c>
      <c r="K5375" s="141"/>
      <c r="L5375" s="135" t="str">
        <f t="shared" si="296"/>
        <v>Proechimys urichi</v>
      </c>
      <c r="M5375" s="133">
        <f t="shared" si="297"/>
        <v>2.4548400000000004</v>
      </c>
      <c r="N5375" s="170">
        <v>284.9968107016482</v>
      </c>
      <c r="O5375" s="179" t="s">
        <v>3356</v>
      </c>
      <c r="P5375" s="117">
        <v>61</v>
      </c>
      <c r="Q5375" s="91"/>
    </row>
    <row r="5376" spans="1:17">
      <c r="A5376" s="118" t="s">
        <v>7297</v>
      </c>
      <c r="B5376" s="166"/>
      <c r="C5376" s="169" t="s">
        <v>3817</v>
      </c>
      <c r="D5376" s="165"/>
      <c r="E5376" s="169"/>
      <c r="F5376" s="169"/>
      <c r="G5376" s="169" t="s">
        <v>3618</v>
      </c>
      <c r="H5376" s="169" t="s">
        <v>6464</v>
      </c>
      <c r="I5376" s="169" t="s">
        <v>4029</v>
      </c>
      <c r="J5376" s="169" t="s">
        <v>7675</v>
      </c>
      <c r="K5376" s="141"/>
      <c r="L5376" s="135" t="str">
        <f t="shared" si="296"/>
        <v>Proechimys warreni</v>
      </c>
      <c r="M5376" s="133">
        <f t="shared" si="297"/>
        <v>2.4548400000000004</v>
      </c>
      <c r="N5376" s="170">
        <v>284.9968107016482</v>
      </c>
      <c r="O5376" s="182" t="s">
        <v>3356</v>
      </c>
      <c r="P5376" s="117">
        <v>61</v>
      </c>
      <c r="Q5376" s="91"/>
    </row>
    <row r="5377" spans="1:17">
      <c r="A5377" s="118" t="s">
        <v>7297</v>
      </c>
      <c r="B5377" s="166"/>
      <c r="C5377" s="169" t="s">
        <v>3817</v>
      </c>
      <c r="D5377" s="165"/>
      <c r="E5377" s="169"/>
      <c r="F5377" s="169"/>
      <c r="G5377" s="169" t="s">
        <v>3618</v>
      </c>
      <c r="H5377" s="169" t="s">
        <v>6464</v>
      </c>
      <c r="I5377" s="169" t="s">
        <v>4029</v>
      </c>
      <c r="J5377" s="169" t="s">
        <v>3729</v>
      </c>
      <c r="K5377" s="141"/>
      <c r="L5377" s="135" t="str">
        <f t="shared" si="296"/>
        <v>Proechimys cayennensis</v>
      </c>
      <c r="M5377" s="133">
        <f t="shared" si="297"/>
        <v>2.4996900000000002</v>
      </c>
      <c r="N5377" s="170">
        <v>316.00212274325219</v>
      </c>
      <c r="O5377" s="179" t="s">
        <v>3356</v>
      </c>
      <c r="P5377" s="108">
        <v>60</v>
      </c>
    </row>
    <row r="5378" spans="1:17">
      <c r="A5378" s="118" t="s">
        <v>7297</v>
      </c>
      <c r="B5378" s="166"/>
      <c r="C5378" s="169" t="s">
        <v>3817</v>
      </c>
      <c r="D5378" s="165"/>
      <c r="E5378" s="169"/>
      <c r="F5378" s="169"/>
      <c r="G5378" s="169" t="s">
        <v>3618</v>
      </c>
      <c r="H5378" s="169" t="s">
        <v>6464</v>
      </c>
      <c r="I5378" s="169" t="s">
        <v>4029</v>
      </c>
      <c r="J5378" s="169" t="s">
        <v>4743</v>
      </c>
      <c r="K5378" s="141"/>
      <c r="L5378" s="135" t="str">
        <f t="shared" si="296"/>
        <v>Proechimys cuvieri</v>
      </c>
      <c r="M5378" s="133">
        <f t="shared" si="297"/>
        <v>2.5185100000000005</v>
      </c>
      <c r="N5378" s="170">
        <v>329.99700628522925</v>
      </c>
      <c r="O5378" s="179" t="s">
        <v>3356</v>
      </c>
      <c r="P5378" s="108">
        <v>60</v>
      </c>
    </row>
    <row r="5379" spans="1:17">
      <c r="A5379" s="118" t="s">
        <v>7297</v>
      </c>
      <c r="B5379" s="166"/>
      <c r="C5379" s="169" t="s">
        <v>3817</v>
      </c>
      <c r="D5379" s="165"/>
      <c r="E5379" s="169"/>
      <c r="F5379" s="169"/>
      <c r="G5379" s="169" t="s">
        <v>3618</v>
      </c>
      <c r="H5379" s="169" t="s">
        <v>6464</v>
      </c>
      <c r="I5379" s="169" t="s">
        <v>4029</v>
      </c>
      <c r="J5379" s="169" t="s">
        <v>5087</v>
      </c>
      <c r="K5379" s="141"/>
      <c r="L5379" s="135" t="str">
        <f t="shared" si="296"/>
        <v>Proechimys semispinosus</v>
      </c>
      <c r="M5379" s="133">
        <f t="shared" si="297"/>
        <v>2.5569100000000002</v>
      </c>
      <c r="N5379" s="170">
        <v>360.50392709295545</v>
      </c>
      <c r="O5379" s="179" t="s">
        <v>3356</v>
      </c>
      <c r="P5379" s="108">
        <v>60</v>
      </c>
      <c r="Q5379" s="91"/>
    </row>
    <row r="5380" spans="1:17">
      <c r="A5380" s="118" t="s">
        <v>7297</v>
      </c>
      <c r="B5380" s="166"/>
      <c r="C5380" s="169" t="s">
        <v>3817</v>
      </c>
      <c r="D5380" s="165"/>
      <c r="E5380" s="169"/>
      <c r="F5380" s="169"/>
      <c r="G5380" s="169" t="s">
        <v>3618</v>
      </c>
      <c r="H5380" s="169" t="s">
        <v>6464</v>
      </c>
      <c r="I5380" s="169" t="s">
        <v>4029</v>
      </c>
      <c r="J5380" s="169" t="s">
        <v>3739</v>
      </c>
      <c r="K5380" s="141"/>
      <c r="L5380" s="135" t="str">
        <f t="shared" si="296"/>
        <v>Proechimys guairae</v>
      </c>
      <c r="M5380" s="133">
        <f t="shared" si="297"/>
        <v>2.6020600000000003</v>
      </c>
      <c r="N5380" s="170">
        <v>400.0000079872421</v>
      </c>
      <c r="O5380" s="179" t="s">
        <v>3356</v>
      </c>
      <c r="P5380" s="108">
        <v>60</v>
      </c>
    </row>
    <row r="5381" spans="1:17">
      <c r="A5381" s="118" t="s">
        <v>7297</v>
      </c>
      <c r="B5381" s="166"/>
      <c r="C5381" s="169" t="s">
        <v>3817</v>
      </c>
      <c r="D5381" s="165"/>
      <c r="E5381" s="169"/>
      <c r="F5381" s="169"/>
      <c r="G5381" s="169" t="s">
        <v>3618</v>
      </c>
      <c r="H5381" s="169" t="s">
        <v>6464</v>
      </c>
      <c r="I5381" s="169" t="s">
        <v>6649</v>
      </c>
      <c r="J5381" s="169" t="s">
        <v>6650</v>
      </c>
      <c r="K5381" s="141"/>
      <c r="L5381" s="135" t="str">
        <f t="shared" ref="L5381:L5444" si="298">I5381&amp;" "&amp;J5381</f>
        <v>Thrichomys apereoides</v>
      </c>
      <c r="M5381" s="133">
        <f t="shared" si="297"/>
        <v>2.5301996982030821</v>
      </c>
      <c r="N5381" s="170">
        <v>339</v>
      </c>
      <c r="O5381" s="179" t="s">
        <v>3356</v>
      </c>
      <c r="P5381" s="108">
        <v>219</v>
      </c>
      <c r="Q5381" s="91"/>
    </row>
    <row r="5382" spans="1:17">
      <c r="A5382" s="118" t="s">
        <v>7297</v>
      </c>
      <c r="B5382" s="166"/>
      <c r="C5382" s="169" t="s">
        <v>3817</v>
      </c>
      <c r="D5382" s="165"/>
      <c r="E5382" s="169"/>
      <c r="F5382" s="169"/>
      <c r="G5382" s="169" t="s">
        <v>3618</v>
      </c>
      <c r="H5382" s="169" t="s">
        <v>5368</v>
      </c>
      <c r="I5382" s="169" t="s">
        <v>6294</v>
      </c>
      <c r="J5382" s="169" t="s">
        <v>4178</v>
      </c>
      <c r="K5382" s="141"/>
      <c r="L5382" s="135" t="str">
        <f t="shared" si="298"/>
        <v>Coendou rothschildi</v>
      </c>
      <c r="M5382" s="133">
        <f t="shared" si="297"/>
        <v>3.3010299999999999</v>
      </c>
      <c r="N5382" s="170">
        <v>2000.0000199681051</v>
      </c>
      <c r="O5382" s="179" t="s">
        <v>3356</v>
      </c>
      <c r="P5382" s="108">
        <v>61</v>
      </c>
    </row>
    <row r="5383" spans="1:17">
      <c r="A5383" s="118" t="s">
        <v>7297</v>
      </c>
      <c r="B5383" s="166"/>
      <c r="C5383" s="169" t="s">
        <v>3817</v>
      </c>
      <c r="D5383" s="165"/>
      <c r="E5383" s="169"/>
      <c r="F5383" s="169"/>
      <c r="G5383" s="169" t="s">
        <v>3618</v>
      </c>
      <c r="H5383" s="169" t="s">
        <v>5368</v>
      </c>
      <c r="I5383" s="169" t="s">
        <v>6294</v>
      </c>
      <c r="J5383" s="169" t="s">
        <v>6292</v>
      </c>
      <c r="K5383" s="141"/>
      <c r="L5383" s="135" t="str">
        <f t="shared" si="298"/>
        <v>Coendou koopmani</v>
      </c>
      <c r="M5383" s="133">
        <f t="shared" si="297"/>
        <v>3.4771200000000007</v>
      </c>
      <c r="N5383" s="170">
        <v>2999.9913327161544</v>
      </c>
      <c r="O5383" s="179" t="s">
        <v>3356</v>
      </c>
      <c r="P5383" s="108">
        <v>61</v>
      </c>
    </row>
    <row r="5384" spans="1:17">
      <c r="A5384" s="118" t="s">
        <v>7297</v>
      </c>
      <c r="B5384" s="166"/>
      <c r="C5384" s="169" t="s">
        <v>3817</v>
      </c>
      <c r="D5384" s="165"/>
      <c r="E5384" s="169"/>
      <c r="F5384" s="169"/>
      <c r="G5384" s="169" t="s">
        <v>3618</v>
      </c>
      <c r="H5384" s="169" t="s">
        <v>5368</v>
      </c>
      <c r="I5384" s="169" t="s">
        <v>6294</v>
      </c>
      <c r="J5384" s="169" t="s">
        <v>4010</v>
      </c>
      <c r="K5384" s="141"/>
      <c r="L5384" s="135" t="str">
        <f t="shared" si="298"/>
        <v>Coendou bicolor</v>
      </c>
      <c r="M5384" s="133">
        <f t="shared" si="297"/>
        <v>3.6074600000000006</v>
      </c>
      <c r="N5384" s="170">
        <v>4050.0464111263736</v>
      </c>
      <c r="O5384" s="179" t="s">
        <v>3356</v>
      </c>
      <c r="P5384" s="111">
        <v>61</v>
      </c>
    </row>
    <row r="5385" spans="1:17">
      <c r="A5385" s="118" t="s">
        <v>7297</v>
      </c>
      <c r="B5385" s="166"/>
      <c r="C5385" s="169" t="s">
        <v>3817</v>
      </c>
      <c r="D5385" s="165"/>
      <c r="E5385" s="169"/>
      <c r="F5385" s="169"/>
      <c r="G5385" s="169" t="s">
        <v>3618</v>
      </c>
      <c r="H5385" s="169" t="s">
        <v>5368</v>
      </c>
      <c r="I5385" s="169" t="s">
        <v>6294</v>
      </c>
      <c r="J5385" s="169" t="s">
        <v>5864</v>
      </c>
      <c r="K5385" s="141"/>
      <c r="L5385" s="135" t="str">
        <f t="shared" si="298"/>
        <v>Coendou prehensilis</v>
      </c>
      <c r="M5385" s="133">
        <f t="shared" si="297"/>
        <v>3.6434500000000001</v>
      </c>
      <c r="N5385" s="170">
        <v>4399.9728835998931</v>
      </c>
      <c r="O5385" s="179" t="s">
        <v>3356</v>
      </c>
      <c r="P5385" s="108">
        <v>60</v>
      </c>
    </row>
    <row r="5386" spans="1:17">
      <c r="A5386" s="121" t="s">
        <v>7297</v>
      </c>
      <c r="B5386" s="166"/>
      <c r="C5386" s="169" t="s">
        <v>3817</v>
      </c>
      <c r="D5386" s="165"/>
      <c r="E5386" s="169"/>
      <c r="F5386" s="169"/>
      <c r="G5386" s="169" t="s">
        <v>3618</v>
      </c>
      <c r="H5386" s="169" t="s">
        <v>5368</v>
      </c>
      <c r="I5386" s="169" t="s">
        <v>5865</v>
      </c>
      <c r="J5386" s="169" t="s">
        <v>4446</v>
      </c>
      <c r="K5386" s="141"/>
      <c r="L5386" s="135" t="str">
        <f t="shared" si="298"/>
        <v>Echinoprocta rufescens</v>
      </c>
      <c r="M5386" s="133">
        <f t="shared" si="297"/>
        <v>2.9200200000000001</v>
      </c>
      <c r="N5386" s="170">
        <v>831.80207612187496</v>
      </c>
      <c r="O5386" s="179" t="s">
        <v>3356</v>
      </c>
      <c r="P5386" s="117">
        <v>61</v>
      </c>
    </row>
    <row r="5387" spans="1:17">
      <c r="A5387" s="118" t="s">
        <v>7297</v>
      </c>
      <c r="B5387" s="166"/>
      <c r="C5387" s="169" t="s">
        <v>3817</v>
      </c>
      <c r="D5387" s="165"/>
      <c r="E5387" s="169"/>
      <c r="F5387" s="169"/>
      <c r="G5387" s="169" t="s">
        <v>3618</v>
      </c>
      <c r="H5387" s="169" t="s">
        <v>5368</v>
      </c>
      <c r="I5387" s="169" t="s">
        <v>5866</v>
      </c>
      <c r="J5387" s="169" t="s">
        <v>5523</v>
      </c>
      <c r="K5387" s="141"/>
      <c r="L5387" s="135" t="str">
        <f t="shared" si="298"/>
        <v>Sphiggurus vestitus</v>
      </c>
      <c r="M5387" s="133">
        <f t="shared" si="297"/>
        <v>2.8668800000000001</v>
      </c>
      <c r="N5387" s="170">
        <v>736.00370405730666</v>
      </c>
      <c r="O5387" s="179" t="s">
        <v>6882</v>
      </c>
      <c r="P5387" s="117">
        <v>61</v>
      </c>
      <c r="Q5387" s="91" t="s">
        <v>6988</v>
      </c>
    </row>
    <row r="5388" spans="1:17">
      <c r="A5388" s="118" t="s">
        <v>7297</v>
      </c>
      <c r="B5388" s="166"/>
      <c r="C5388" s="169" t="s">
        <v>3817</v>
      </c>
      <c r="D5388" s="165"/>
      <c r="E5388" s="169"/>
      <c r="F5388" s="169"/>
      <c r="G5388" s="169" t="s">
        <v>3618</v>
      </c>
      <c r="H5388" s="169" t="s">
        <v>5368</v>
      </c>
      <c r="I5388" s="169" t="s">
        <v>5866</v>
      </c>
      <c r="J5388" s="169" t="s">
        <v>6589</v>
      </c>
      <c r="K5388" s="141"/>
      <c r="L5388" s="135" t="str">
        <f t="shared" si="298"/>
        <v>Sphiggurus spinosus</v>
      </c>
      <c r="M5388" s="133">
        <f t="shared" si="297"/>
        <v>2.8755200000000003</v>
      </c>
      <c r="N5388" s="170">
        <v>750.79262860211543</v>
      </c>
      <c r="O5388" s="179" t="s">
        <v>3356</v>
      </c>
      <c r="P5388" s="120">
        <v>61</v>
      </c>
      <c r="Q5388" s="91"/>
    </row>
    <row r="5389" spans="1:17">
      <c r="A5389" s="118" t="s">
        <v>7297</v>
      </c>
      <c r="B5389" s="166"/>
      <c r="C5389" s="169" t="s">
        <v>3817</v>
      </c>
      <c r="D5389" s="165"/>
      <c r="E5389" s="169"/>
      <c r="F5389" s="169"/>
      <c r="G5389" s="169" t="s">
        <v>3618</v>
      </c>
      <c r="H5389" s="169" t="s">
        <v>5368</v>
      </c>
      <c r="I5389" s="169" t="s">
        <v>5866</v>
      </c>
      <c r="J5389" s="169" t="s">
        <v>6291</v>
      </c>
      <c r="K5389" s="141"/>
      <c r="L5389" s="135" t="str">
        <f t="shared" si="298"/>
        <v>Sphiggurus insidiosus</v>
      </c>
      <c r="M5389" s="133">
        <f t="shared" si="297"/>
        <v>3</v>
      </c>
      <c r="N5389" s="170">
        <v>1000</v>
      </c>
      <c r="O5389" s="179" t="s">
        <v>3356</v>
      </c>
      <c r="P5389" s="108">
        <v>60</v>
      </c>
      <c r="Q5389" s="91"/>
    </row>
    <row r="5390" spans="1:17">
      <c r="A5390" s="118" t="s">
        <v>7297</v>
      </c>
      <c r="B5390" s="166"/>
      <c r="C5390" s="169" t="s">
        <v>3817</v>
      </c>
      <c r="D5390" s="165"/>
      <c r="E5390" s="169"/>
      <c r="F5390" s="169"/>
      <c r="G5390" s="169" t="s">
        <v>3618</v>
      </c>
      <c r="H5390" s="169" t="s">
        <v>5368</v>
      </c>
      <c r="I5390" s="169" t="s">
        <v>5866</v>
      </c>
      <c r="J5390" s="169" t="s">
        <v>4748</v>
      </c>
      <c r="K5390" s="141"/>
      <c r="L5390" s="135" t="str">
        <f t="shared" si="298"/>
        <v>Sphiggurus villosus</v>
      </c>
      <c r="M5390" s="133">
        <f t="shared" si="297"/>
        <v>3.2430400000000006</v>
      </c>
      <c r="N5390" s="170">
        <v>1750.0078628829044</v>
      </c>
      <c r="O5390" s="179" t="s">
        <v>3356</v>
      </c>
      <c r="P5390" s="117">
        <v>61</v>
      </c>
      <c r="Q5390" s="91"/>
    </row>
    <row r="5391" spans="1:17">
      <c r="A5391" s="118" t="s">
        <v>7297</v>
      </c>
      <c r="B5391" s="166"/>
      <c r="C5391" s="169" t="s">
        <v>3817</v>
      </c>
      <c r="D5391" s="165"/>
      <c r="E5391" s="169"/>
      <c r="F5391" s="169"/>
      <c r="G5391" s="169" t="s">
        <v>3618</v>
      </c>
      <c r="H5391" s="169" t="s">
        <v>5524</v>
      </c>
      <c r="I5391" s="169" t="s">
        <v>8229</v>
      </c>
      <c r="J5391" s="169" t="s">
        <v>4002</v>
      </c>
      <c r="K5391" s="141"/>
      <c r="L5391" s="135" t="str">
        <f t="shared" si="298"/>
        <v>Orthogeomys dariensis</v>
      </c>
      <c r="M5391" s="133">
        <f t="shared" si="297"/>
        <v>2.6414700000000004</v>
      </c>
      <c r="N5391" s="170">
        <v>437.99585444358536</v>
      </c>
      <c r="O5391" s="179" t="s">
        <v>3356</v>
      </c>
      <c r="P5391" s="117">
        <v>61</v>
      </c>
    </row>
    <row r="5392" spans="1:17">
      <c r="A5392" s="118" t="s">
        <v>7297</v>
      </c>
      <c r="B5392" s="166"/>
      <c r="C5392" s="169" t="s">
        <v>3817</v>
      </c>
      <c r="D5392" s="165"/>
      <c r="E5392" s="169"/>
      <c r="F5392" s="169"/>
      <c r="G5392" s="169" t="s">
        <v>3618</v>
      </c>
      <c r="H5392" s="169" t="s">
        <v>4007</v>
      </c>
      <c r="I5392" s="169" t="s">
        <v>6383</v>
      </c>
      <c r="J5392" s="169" t="s">
        <v>3175</v>
      </c>
      <c r="K5392" s="141"/>
      <c r="L5392" s="135" t="str">
        <f t="shared" si="298"/>
        <v>Heteromys anomalus</v>
      </c>
      <c r="M5392" s="133">
        <f t="shared" si="297"/>
        <v>1.8451000000000002</v>
      </c>
      <c r="N5392" s="170">
        <v>70.000315913089707</v>
      </c>
      <c r="O5392" s="179" t="s">
        <v>3356</v>
      </c>
      <c r="P5392" s="117">
        <v>61</v>
      </c>
    </row>
    <row r="5393" spans="1:19">
      <c r="A5393" s="118" t="s">
        <v>7297</v>
      </c>
      <c r="B5393" s="166"/>
      <c r="C5393" s="169" t="s">
        <v>3817</v>
      </c>
      <c r="D5393" s="165"/>
      <c r="E5393" s="169"/>
      <c r="F5393" s="169"/>
      <c r="G5393" s="169" t="s">
        <v>3618</v>
      </c>
      <c r="H5393" s="169" t="s">
        <v>4007</v>
      </c>
      <c r="I5393" s="169" t="s">
        <v>6383</v>
      </c>
      <c r="J5393" s="169" t="s">
        <v>5301</v>
      </c>
      <c r="K5393" s="141"/>
      <c r="L5393" s="135" t="str">
        <f t="shared" si="298"/>
        <v>Heteromys desmarestianus</v>
      </c>
      <c r="M5393" s="133">
        <f t="shared" si="297"/>
        <v>1.8603400000000001</v>
      </c>
      <c r="N5393" s="170">
        <v>72.500332778657508</v>
      </c>
      <c r="O5393" s="179" t="s">
        <v>3356</v>
      </c>
      <c r="P5393" s="108">
        <v>60</v>
      </c>
    </row>
    <row r="5394" spans="1:19">
      <c r="A5394" s="118" t="s">
        <v>7297</v>
      </c>
      <c r="B5394" s="166"/>
      <c r="C5394" s="169" t="s">
        <v>3817</v>
      </c>
      <c r="D5394" s="165"/>
      <c r="E5394" s="169"/>
      <c r="F5394" s="169"/>
      <c r="G5394" s="169" t="s">
        <v>3618</v>
      </c>
      <c r="H5394" s="169" t="s">
        <v>4007</v>
      </c>
      <c r="I5394" s="169" t="s">
        <v>6383</v>
      </c>
      <c r="J5394" s="169" t="s">
        <v>3789</v>
      </c>
      <c r="K5394" s="141"/>
      <c r="L5394" s="135" t="str">
        <f t="shared" si="298"/>
        <v>Heteromys australis</v>
      </c>
      <c r="M5394" s="133">
        <f t="shared" si="297"/>
        <v>2.4273200000000004</v>
      </c>
      <c r="N5394" s="170">
        <v>267.49766783555731</v>
      </c>
      <c r="O5394" s="179" t="s">
        <v>3356</v>
      </c>
      <c r="P5394" s="117">
        <v>61</v>
      </c>
    </row>
    <row r="5395" spans="1:19" ht="25.5">
      <c r="A5395" s="118" t="s">
        <v>7297</v>
      </c>
      <c r="B5395" s="166"/>
      <c r="C5395" s="169" t="s">
        <v>3817</v>
      </c>
      <c r="D5395" s="165"/>
      <c r="E5395" s="169"/>
      <c r="F5395" s="169"/>
      <c r="G5395" s="169" t="s">
        <v>3618</v>
      </c>
      <c r="H5395" s="169" t="s">
        <v>4007</v>
      </c>
      <c r="I5395" s="169" t="s">
        <v>8072</v>
      </c>
      <c r="J5395" s="169" t="s">
        <v>3176</v>
      </c>
      <c r="K5395" s="141"/>
      <c r="L5395" s="135" t="str">
        <f t="shared" si="298"/>
        <v>Liomys adspersus</v>
      </c>
      <c r="M5395" s="133">
        <f t="shared" si="297"/>
        <v>1.8129100000000002</v>
      </c>
      <c r="N5395" s="170">
        <v>64.999497619814377</v>
      </c>
      <c r="O5395" s="179" t="s">
        <v>8149</v>
      </c>
      <c r="P5395" s="117">
        <v>61</v>
      </c>
      <c r="Q5395" s="90" t="s">
        <v>6642</v>
      </c>
    </row>
    <row r="5396" spans="1:19">
      <c r="A5396" s="118" t="s">
        <v>7297</v>
      </c>
      <c r="B5396" s="166"/>
      <c r="C5396" s="169" t="s">
        <v>3817</v>
      </c>
      <c r="D5396" s="165"/>
      <c r="E5396" s="169"/>
      <c r="F5396" s="169"/>
      <c r="G5396" s="169" t="s">
        <v>3618</v>
      </c>
      <c r="H5396" s="169" t="s">
        <v>5055</v>
      </c>
      <c r="I5396" s="169" t="s">
        <v>7238</v>
      </c>
      <c r="J5396" s="169" t="s">
        <v>7239</v>
      </c>
      <c r="K5396" s="141"/>
      <c r="L5396" s="135" t="str">
        <f t="shared" si="298"/>
        <v>Hydrochaeris hydrochaeris</v>
      </c>
      <c r="M5396" s="133">
        <f t="shared" si="297"/>
        <v>4.7955300000000003</v>
      </c>
      <c r="N5396" s="133">
        <v>62449.648747966079</v>
      </c>
      <c r="O5396" s="179" t="s">
        <v>3356</v>
      </c>
      <c r="P5396" s="108">
        <v>60</v>
      </c>
    </row>
    <row r="5397" spans="1:19">
      <c r="A5397" s="121" t="s">
        <v>7297</v>
      </c>
      <c r="B5397" s="166"/>
      <c r="C5397" s="169" t="s">
        <v>3817</v>
      </c>
      <c r="D5397" s="165"/>
      <c r="E5397" s="169"/>
      <c r="F5397" s="169"/>
      <c r="G5397" s="169" t="s">
        <v>3618</v>
      </c>
      <c r="H5397" s="169" t="s">
        <v>3638</v>
      </c>
      <c r="I5397" s="169" t="s">
        <v>4777</v>
      </c>
      <c r="J5397" s="169" t="s">
        <v>4778</v>
      </c>
      <c r="K5397" s="141"/>
      <c r="L5397" s="135" t="str">
        <f t="shared" si="298"/>
        <v>Abrawayaomys ruschii</v>
      </c>
      <c r="M5397" s="133">
        <f t="shared" si="297"/>
        <v>1.7993399999999999</v>
      </c>
      <c r="N5397" s="170">
        <v>62.999920294741955</v>
      </c>
      <c r="O5397" s="179" t="s">
        <v>6641</v>
      </c>
      <c r="P5397" s="108">
        <v>61</v>
      </c>
      <c r="Q5397" s="90" t="s">
        <v>6640</v>
      </c>
    </row>
    <row r="5398" spans="1:19">
      <c r="A5398" s="118" t="s">
        <v>7297</v>
      </c>
      <c r="B5398" s="166"/>
      <c r="C5398" s="169" t="s">
        <v>3817</v>
      </c>
      <c r="D5398" s="165"/>
      <c r="E5398" s="169"/>
      <c r="F5398" s="169"/>
      <c r="G5398" s="169" t="s">
        <v>3618</v>
      </c>
      <c r="H5398" s="169" t="s">
        <v>3638</v>
      </c>
      <c r="I5398" s="169" t="s">
        <v>7228</v>
      </c>
      <c r="J5398" s="169" t="s">
        <v>7213</v>
      </c>
      <c r="K5398" s="141"/>
      <c r="L5398" s="135" t="str">
        <f t="shared" si="298"/>
        <v>Aepeomys lugens</v>
      </c>
      <c r="M5398" s="133">
        <f t="shared" si="297"/>
        <v>1.5682000000000003</v>
      </c>
      <c r="N5398" s="170">
        <v>36.99985311728598</v>
      </c>
      <c r="O5398" s="179" t="s">
        <v>3356</v>
      </c>
      <c r="P5398" s="108">
        <v>61</v>
      </c>
    </row>
    <row r="5399" spans="1:19" ht="12" customHeight="1">
      <c r="A5399" s="118" t="s">
        <v>7297</v>
      </c>
      <c r="B5399" s="166"/>
      <c r="C5399" s="169" t="s">
        <v>3817</v>
      </c>
      <c r="D5399" s="165"/>
      <c r="E5399" s="169"/>
      <c r="F5399" s="169"/>
      <c r="G5399" s="169" t="s">
        <v>3618</v>
      </c>
      <c r="H5399" s="169" t="s">
        <v>3638</v>
      </c>
      <c r="I5399" s="169" t="s">
        <v>7228</v>
      </c>
      <c r="J5399" s="169" t="s">
        <v>5000</v>
      </c>
      <c r="K5399" s="141"/>
      <c r="L5399" s="135" t="str">
        <f t="shared" si="298"/>
        <v>Aepeomys fuscatus</v>
      </c>
      <c r="M5399" s="133">
        <f t="shared" si="297"/>
        <v>1.6946100000000002</v>
      </c>
      <c r="N5399" s="170">
        <v>49.500547218792484</v>
      </c>
      <c r="O5399" s="179" t="s">
        <v>3356</v>
      </c>
      <c r="P5399" s="108">
        <v>61</v>
      </c>
      <c r="R5399" s="89"/>
    </row>
    <row r="5400" spans="1:19">
      <c r="A5400" s="118" t="s">
        <v>7297</v>
      </c>
      <c r="B5400" s="166"/>
      <c r="C5400" s="169" t="s">
        <v>3817</v>
      </c>
      <c r="D5400" s="165"/>
      <c r="E5400" s="169"/>
      <c r="F5400" s="169"/>
      <c r="G5400" s="169" t="s">
        <v>3618</v>
      </c>
      <c r="H5400" s="169" t="s">
        <v>3638</v>
      </c>
      <c r="I5400" s="169" t="s">
        <v>7214</v>
      </c>
      <c r="J5400" s="169" t="s">
        <v>4304</v>
      </c>
      <c r="K5400" s="141"/>
      <c r="L5400" s="135" t="str">
        <f t="shared" si="298"/>
        <v>Akodon bogotensis</v>
      </c>
      <c r="M5400" s="133">
        <f t="shared" si="297"/>
        <v>1.1139400000000002</v>
      </c>
      <c r="N5400" s="170">
        <v>12.999899653754545</v>
      </c>
      <c r="O5400" s="179" t="s">
        <v>3356</v>
      </c>
      <c r="P5400" s="108">
        <v>60</v>
      </c>
    </row>
    <row r="5401" spans="1:19">
      <c r="A5401" s="118" t="s">
        <v>7297</v>
      </c>
      <c r="B5401" s="166"/>
      <c r="C5401" s="169" t="s">
        <v>3817</v>
      </c>
      <c r="D5401" s="165"/>
      <c r="E5401" s="169"/>
      <c r="F5401" s="169"/>
      <c r="G5401" s="169" t="s">
        <v>3618</v>
      </c>
      <c r="H5401" s="169" t="s">
        <v>3638</v>
      </c>
      <c r="I5401" s="169" t="s">
        <v>7214</v>
      </c>
      <c r="J5401" s="169" t="s">
        <v>6677</v>
      </c>
      <c r="K5401" s="141"/>
      <c r="L5401" s="135" t="str">
        <f t="shared" si="298"/>
        <v>Akodon nigrita</v>
      </c>
      <c r="M5401" s="133">
        <f t="shared" si="297"/>
        <v>1.2988500000000003</v>
      </c>
      <c r="N5401" s="170">
        <v>19.899859034966191</v>
      </c>
      <c r="O5401" s="179" t="s">
        <v>3356</v>
      </c>
      <c r="P5401" s="108">
        <v>61</v>
      </c>
      <c r="Q5401" s="91"/>
    </row>
    <row r="5402" spans="1:19">
      <c r="A5402" s="118" t="s">
        <v>7297</v>
      </c>
      <c r="B5402" s="166"/>
      <c r="C5402" s="169" t="s">
        <v>3817</v>
      </c>
      <c r="D5402" s="165"/>
      <c r="E5402" s="169"/>
      <c r="F5402" s="169"/>
      <c r="G5402" s="169" t="s">
        <v>3618</v>
      </c>
      <c r="H5402" s="169" t="s">
        <v>3638</v>
      </c>
      <c r="I5402" s="169" t="s">
        <v>7214</v>
      </c>
      <c r="J5402" s="169" t="s">
        <v>4494</v>
      </c>
      <c r="K5402" s="141"/>
      <c r="L5402" s="135" t="str">
        <f t="shared" si="298"/>
        <v>Akodon puer</v>
      </c>
      <c r="M5402" s="133">
        <f t="shared" si="297"/>
        <v>1.3159700000000003</v>
      </c>
      <c r="N5402" s="170">
        <v>20.699983534316814</v>
      </c>
      <c r="O5402" s="179" t="s">
        <v>3356</v>
      </c>
      <c r="P5402" s="108">
        <v>60</v>
      </c>
    </row>
    <row r="5403" spans="1:19">
      <c r="A5403" s="118" t="s">
        <v>7297</v>
      </c>
      <c r="B5403" s="166"/>
      <c r="C5403" s="169" t="s">
        <v>3817</v>
      </c>
      <c r="D5403" s="165"/>
      <c r="E5403" s="169"/>
      <c r="F5403" s="169"/>
      <c r="G5403" s="169" t="s">
        <v>3618</v>
      </c>
      <c r="H5403" s="169" t="s">
        <v>3638</v>
      </c>
      <c r="I5403" s="169" t="s">
        <v>7214</v>
      </c>
      <c r="J5403" s="169" t="s">
        <v>4069</v>
      </c>
      <c r="K5403" s="141"/>
      <c r="L5403" s="135" t="str">
        <f t="shared" si="298"/>
        <v>Akodon xanthorhinus</v>
      </c>
      <c r="M5403" s="133">
        <f t="shared" si="297"/>
        <v>1.3273600000000003</v>
      </c>
      <c r="N5403" s="170">
        <v>21.25005214046968</v>
      </c>
      <c r="O5403" s="179" t="s">
        <v>3356</v>
      </c>
      <c r="P5403" s="108">
        <v>60</v>
      </c>
    </row>
    <row r="5404" spans="1:19">
      <c r="A5404" s="118" t="s">
        <v>7297</v>
      </c>
      <c r="B5404" s="166"/>
      <c r="C5404" s="169" t="s">
        <v>3817</v>
      </c>
      <c r="D5404" s="165"/>
      <c r="E5404" s="169"/>
      <c r="F5404" s="169"/>
      <c r="G5404" s="169" t="s">
        <v>3618</v>
      </c>
      <c r="H5404" s="169" t="s">
        <v>3638</v>
      </c>
      <c r="I5404" s="169" t="s">
        <v>7214</v>
      </c>
      <c r="J5404" s="169" t="s">
        <v>4303</v>
      </c>
      <c r="K5404" s="141"/>
      <c r="L5404" s="135" t="str">
        <f t="shared" si="298"/>
        <v>Akodon albiventer</v>
      </c>
      <c r="M5404" s="133">
        <f t="shared" si="297"/>
        <v>1.3384600000000002</v>
      </c>
      <c r="N5404" s="170">
        <v>21.800176008978656</v>
      </c>
      <c r="O5404" s="179" t="s">
        <v>3356</v>
      </c>
      <c r="P5404" s="108">
        <v>61</v>
      </c>
    </row>
    <row r="5405" spans="1:19">
      <c r="A5405" s="118" t="s">
        <v>7297</v>
      </c>
      <c r="B5405" s="166"/>
      <c r="C5405" s="169" t="s">
        <v>3817</v>
      </c>
      <c r="D5405" s="165"/>
      <c r="E5405" s="169"/>
      <c r="F5405" s="169"/>
      <c r="G5405" s="169" t="s">
        <v>3618</v>
      </c>
      <c r="H5405" s="169" t="s">
        <v>3638</v>
      </c>
      <c r="I5405" s="169" t="s">
        <v>7214</v>
      </c>
      <c r="J5405" s="169" t="s">
        <v>2046</v>
      </c>
      <c r="K5405" s="141"/>
      <c r="L5405" s="135" t="str">
        <f t="shared" si="298"/>
        <v>Akodon fumeus</v>
      </c>
      <c r="M5405" s="133">
        <f t="shared" si="297"/>
        <v>1.3560300000000003</v>
      </c>
      <c r="N5405" s="170">
        <v>22.700216540086465</v>
      </c>
      <c r="O5405" s="179" t="s">
        <v>3356</v>
      </c>
      <c r="P5405" s="108">
        <v>61</v>
      </c>
      <c r="Q5405" s="91"/>
      <c r="S5405" s="92"/>
    </row>
    <row r="5406" spans="1:19" ht="12" customHeight="1">
      <c r="A5406" s="118" t="s">
        <v>7297</v>
      </c>
      <c r="B5406" s="166"/>
      <c r="C5406" s="169" t="s">
        <v>3817</v>
      </c>
      <c r="D5406" s="165"/>
      <c r="E5406" s="169"/>
      <c r="F5406" s="169"/>
      <c r="G5406" s="169" t="s">
        <v>3618</v>
      </c>
      <c r="H5406" s="169" t="s">
        <v>3638</v>
      </c>
      <c r="I5406" s="169" t="s">
        <v>7214</v>
      </c>
      <c r="J5406" s="169" t="s">
        <v>6673</v>
      </c>
      <c r="K5406" s="141"/>
      <c r="L5406" s="135" t="str">
        <f t="shared" si="298"/>
        <v>Akodon mimus</v>
      </c>
      <c r="M5406" s="133">
        <f t="shared" si="297"/>
        <v>1.3802100000000002</v>
      </c>
      <c r="N5406" s="170">
        <v>23.999931380578893</v>
      </c>
      <c r="O5406" s="179" t="s">
        <v>3356</v>
      </c>
      <c r="P5406" s="108">
        <v>61</v>
      </c>
      <c r="Q5406" s="91"/>
      <c r="R5406" s="89"/>
    </row>
    <row r="5407" spans="1:19">
      <c r="A5407" s="118" t="s">
        <v>7297</v>
      </c>
      <c r="B5407" s="166"/>
      <c r="C5407" s="169" t="s">
        <v>3817</v>
      </c>
      <c r="D5407" s="165"/>
      <c r="E5407" s="169"/>
      <c r="F5407" s="169"/>
      <c r="G5407" s="169" t="s">
        <v>3618</v>
      </c>
      <c r="H5407" s="169" t="s">
        <v>3638</v>
      </c>
      <c r="I5407" s="169" t="s">
        <v>7214</v>
      </c>
      <c r="J5407" s="169" t="s">
        <v>4300</v>
      </c>
      <c r="K5407" s="141"/>
      <c r="L5407" s="135" t="str">
        <f t="shared" si="298"/>
        <v>Akodon sanborni</v>
      </c>
      <c r="M5407" s="133">
        <f t="shared" si="297"/>
        <v>1.3927000000000003</v>
      </c>
      <c r="N5407" s="170">
        <v>24.700173280466064</v>
      </c>
      <c r="O5407" s="179" t="s">
        <v>3356</v>
      </c>
      <c r="P5407" s="108">
        <v>60</v>
      </c>
    </row>
    <row r="5408" spans="1:19">
      <c r="A5408" s="118" t="s">
        <v>7297</v>
      </c>
      <c r="B5408" s="166"/>
      <c r="C5408" s="169" t="s">
        <v>3817</v>
      </c>
      <c r="D5408" s="165"/>
      <c r="E5408" s="169"/>
      <c r="F5408" s="169"/>
      <c r="G5408" s="169" t="s">
        <v>3618</v>
      </c>
      <c r="H5408" s="169" t="s">
        <v>3638</v>
      </c>
      <c r="I5408" s="169" t="s">
        <v>7214</v>
      </c>
      <c r="J5408" s="169" t="s">
        <v>7453</v>
      </c>
      <c r="K5408" s="141"/>
      <c r="L5408" s="135" t="str">
        <f t="shared" si="298"/>
        <v>Akodon affinis</v>
      </c>
      <c r="M5408" s="133">
        <f t="shared" si="297"/>
        <v>1.3962000000000001</v>
      </c>
      <c r="N5408" s="170">
        <v>24.900037433882002</v>
      </c>
      <c r="O5408" s="179" t="s">
        <v>3356</v>
      </c>
      <c r="P5408" s="108">
        <v>61</v>
      </c>
    </row>
    <row r="5409" spans="1:18">
      <c r="A5409" s="118" t="s">
        <v>7297</v>
      </c>
      <c r="B5409" s="166"/>
      <c r="C5409" s="169" t="s">
        <v>3817</v>
      </c>
      <c r="D5409" s="165"/>
      <c r="E5409" s="169"/>
      <c r="F5409" s="169"/>
      <c r="G5409" s="169" t="s">
        <v>3618</v>
      </c>
      <c r="H5409" s="169" t="s">
        <v>3638</v>
      </c>
      <c r="I5409" s="169" t="s">
        <v>7214</v>
      </c>
      <c r="J5409" s="169" t="s">
        <v>6812</v>
      </c>
      <c r="K5409" s="141"/>
      <c r="L5409" s="135" t="str">
        <f t="shared" si="298"/>
        <v>Akodon azarae</v>
      </c>
      <c r="M5409" s="133">
        <f t="shared" si="297"/>
        <v>1.3979400000000002</v>
      </c>
      <c r="N5409" s="170">
        <v>24.999999500797397</v>
      </c>
      <c r="O5409" s="179" t="s">
        <v>3356</v>
      </c>
      <c r="P5409" s="108">
        <v>60</v>
      </c>
    </row>
    <row r="5410" spans="1:18">
      <c r="A5410" s="118" t="s">
        <v>7297</v>
      </c>
      <c r="B5410" s="166"/>
      <c r="C5410" s="169" t="s">
        <v>3817</v>
      </c>
      <c r="D5410" s="165"/>
      <c r="E5410" s="169"/>
      <c r="F5410" s="169"/>
      <c r="G5410" s="169" t="s">
        <v>3618</v>
      </c>
      <c r="H5410" s="169" t="s">
        <v>3638</v>
      </c>
      <c r="I5410" s="169" t="s">
        <v>7214</v>
      </c>
      <c r="J5410" s="169" t="s">
        <v>3617</v>
      </c>
      <c r="K5410" s="141"/>
      <c r="L5410" s="135" t="str">
        <f t="shared" si="298"/>
        <v>Akodon kempi</v>
      </c>
      <c r="M5410" s="133">
        <f t="shared" si="297"/>
        <v>1.4216000000000002</v>
      </c>
      <c r="N5410" s="170">
        <v>26.39976129354811</v>
      </c>
      <c r="O5410" s="179" t="s">
        <v>3356</v>
      </c>
      <c r="P5410" s="108">
        <v>61</v>
      </c>
      <c r="Q5410" s="91"/>
    </row>
    <row r="5411" spans="1:18">
      <c r="A5411" s="118" t="s">
        <v>7297</v>
      </c>
      <c r="B5411" s="166"/>
      <c r="C5411" s="169" t="s">
        <v>3817</v>
      </c>
      <c r="D5411" s="165"/>
      <c r="E5411" s="169"/>
      <c r="F5411" s="169"/>
      <c r="G5411" s="169" t="s">
        <v>3618</v>
      </c>
      <c r="H5411" s="169" t="s">
        <v>3638</v>
      </c>
      <c r="I5411" s="169" t="s">
        <v>7214</v>
      </c>
      <c r="J5411" s="169" t="s">
        <v>7226</v>
      </c>
      <c r="K5411" s="141"/>
      <c r="L5411" s="135" t="str">
        <f t="shared" si="298"/>
        <v>Akodon lindberghi</v>
      </c>
      <c r="M5411" s="133">
        <f t="shared" si="297"/>
        <v>1.4216000000000002</v>
      </c>
      <c r="N5411" s="170">
        <v>26.39976129354811</v>
      </c>
      <c r="O5411" s="179" t="s">
        <v>3356</v>
      </c>
      <c r="P5411" s="108">
        <v>61</v>
      </c>
      <c r="Q5411" s="91" t="s">
        <v>6988</v>
      </c>
    </row>
    <row r="5412" spans="1:18" ht="12" customHeight="1">
      <c r="A5412" s="118" t="s">
        <v>7297</v>
      </c>
      <c r="B5412" s="166"/>
      <c r="C5412" s="169" t="s">
        <v>3817</v>
      </c>
      <c r="D5412" s="165"/>
      <c r="E5412" s="169"/>
      <c r="F5412" s="169"/>
      <c r="G5412" s="169" t="s">
        <v>3618</v>
      </c>
      <c r="H5412" s="169" t="s">
        <v>3638</v>
      </c>
      <c r="I5412" s="169" t="s">
        <v>7214</v>
      </c>
      <c r="J5412" s="169" t="s">
        <v>3622</v>
      </c>
      <c r="K5412" s="141"/>
      <c r="L5412" s="135" t="str">
        <f t="shared" si="298"/>
        <v>Akodon budini</v>
      </c>
      <c r="M5412" s="133">
        <f t="shared" si="297"/>
        <v>1.4297500000000001</v>
      </c>
      <c r="N5412" s="170">
        <v>26.899858778072637</v>
      </c>
      <c r="O5412" s="179" t="s">
        <v>3356</v>
      </c>
      <c r="P5412" s="108">
        <v>61</v>
      </c>
      <c r="Q5412" s="91"/>
      <c r="R5412" s="89"/>
    </row>
    <row r="5413" spans="1:18">
      <c r="A5413" s="121" t="s">
        <v>7297</v>
      </c>
      <c r="B5413" s="166"/>
      <c r="C5413" s="169" t="s">
        <v>3817</v>
      </c>
      <c r="D5413" s="165"/>
      <c r="E5413" s="169"/>
      <c r="F5413" s="169"/>
      <c r="G5413" s="169" t="s">
        <v>3618</v>
      </c>
      <c r="H5413" s="169" t="s">
        <v>3638</v>
      </c>
      <c r="I5413" s="169" t="s">
        <v>7214</v>
      </c>
      <c r="J5413" s="169" t="s">
        <v>2443</v>
      </c>
      <c r="K5413" s="141"/>
      <c r="L5413" s="135" t="str">
        <f t="shared" si="298"/>
        <v>Akodon olivaceus</v>
      </c>
      <c r="M5413" s="133">
        <f t="shared" si="297"/>
        <v>1.43136</v>
      </c>
      <c r="N5413" s="170">
        <v>26.999765984012107</v>
      </c>
      <c r="O5413" s="179" t="s">
        <v>3356</v>
      </c>
      <c r="P5413" s="108">
        <v>60</v>
      </c>
      <c r="Q5413" s="91"/>
    </row>
    <row r="5414" spans="1:18" ht="12" customHeight="1">
      <c r="A5414" s="118" t="s">
        <v>7297</v>
      </c>
      <c r="B5414" s="166"/>
      <c r="C5414" s="169" t="s">
        <v>3817</v>
      </c>
      <c r="D5414" s="165"/>
      <c r="E5414" s="169"/>
      <c r="F5414" s="169"/>
      <c r="G5414" s="169" t="s">
        <v>3618</v>
      </c>
      <c r="H5414" s="169" t="s">
        <v>3638</v>
      </c>
      <c r="I5414" s="169" t="s">
        <v>7214</v>
      </c>
      <c r="J5414" s="169" t="s">
        <v>3851</v>
      </c>
      <c r="K5414" s="141"/>
      <c r="L5414" s="135" t="str">
        <f t="shared" si="298"/>
        <v>Akodon sanctipaulensis</v>
      </c>
      <c r="M5414" s="133">
        <f t="shared" si="297"/>
        <v>1.4329700000000001</v>
      </c>
      <c r="N5414" s="170">
        <v>27.100044249512944</v>
      </c>
      <c r="O5414" s="179" t="s">
        <v>6770</v>
      </c>
      <c r="P5414" s="108">
        <v>61</v>
      </c>
      <c r="Q5414" s="90" t="s">
        <v>6642</v>
      </c>
      <c r="R5414" s="89"/>
    </row>
    <row r="5415" spans="1:18">
      <c r="A5415" s="118" t="s">
        <v>7297</v>
      </c>
      <c r="B5415" s="166"/>
      <c r="C5415" s="169" t="s">
        <v>3817</v>
      </c>
      <c r="D5415" s="165"/>
      <c r="E5415" s="169"/>
      <c r="F5415" s="169"/>
      <c r="G5415" s="169" t="s">
        <v>3618</v>
      </c>
      <c r="H5415" s="169" t="s">
        <v>3638</v>
      </c>
      <c r="I5415" s="169" t="s">
        <v>7214</v>
      </c>
      <c r="J5415" s="169" t="s">
        <v>7496</v>
      </c>
      <c r="K5415" s="141"/>
      <c r="L5415" s="135" t="str">
        <f t="shared" si="298"/>
        <v>Akodon boliviensis</v>
      </c>
      <c r="M5415" s="133">
        <f t="shared" si="297"/>
        <v>1.4393300000000002</v>
      </c>
      <c r="N5415" s="170">
        <v>27.499829424260373</v>
      </c>
      <c r="O5415" s="179" t="s">
        <v>3356</v>
      </c>
      <c r="P5415" s="108">
        <v>60</v>
      </c>
    </row>
    <row r="5416" spans="1:18">
      <c r="A5416" s="118" t="s">
        <v>7297</v>
      </c>
      <c r="B5416" s="166"/>
      <c r="C5416" s="169" t="s">
        <v>3817</v>
      </c>
      <c r="D5416" s="165"/>
      <c r="E5416" s="169"/>
      <c r="F5416" s="169"/>
      <c r="G5416" s="169" t="s">
        <v>3618</v>
      </c>
      <c r="H5416" s="169" t="s">
        <v>3638</v>
      </c>
      <c r="I5416" s="169" t="s">
        <v>7214</v>
      </c>
      <c r="J5416" s="169" t="s">
        <v>3852</v>
      </c>
      <c r="K5416" s="141"/>
      <c r="L5416" s="135" t="str">
        <f t="shared" si="298"/>
        <v>Akodon serrensis</v>
      </c>
      <c r="M5416" s="133">
        <f t="shared" si="297"/>
        <v>1.4517900000000001</v>
      </c>
      <c r="N5416" s="170">
        <v>28.300232273447531</v>
      </c>
      <c r="O5416" s="179" t="s">
        <v>3356</v>
      </c>
      <c r="P5416" s="108">
        <v>61</v>
      </c>
      <c r="Q5416" s="91"/>
    </row>
    <row r="5417" spans="1:18">
      <c r="A5417" s="121" t="s">
        <v>7297</v>
      </c>
      <c r="B5417" s="166"/>
      <c r="C5417" s="169" t="s">
        <v>3817</v>
      </c>
      <c r="D5417" s="165"/>
      <c r="E5417" s="169"/>
      <c r="F5417" s="169"/>
      <c r="G5417" s="169" t="s">
        <v>3618</v>
      </c>
      <c r="H5417" s="169" t="s">
        <v>3638</v>
      </c>
      <c r="I5417" s="169" t="s">
        <v>7214</v>
      </c>
      <c r="J5417" s="169" t="s">
        <v>3855</v>
      </c>
      <c r="K5417" s="141"/>
      <c r="L5417" s="135" t="str">
        <f t="shared" si="298"/>
        <v>Akodon spegazzinii</v>
      </c>
      <c r="M5417" s="133">
        <f t="shared" si="297"/>
        <v>1.4563700000000002</v>
      </c>
      <c r="N5417" s="170">
        <v>28.600261235249917</v>
      </c>
      <c r="O5417" s="179" t="s">
        <v>3356</v>
      </c>
      <c r="P5417" s="108">
        <v>61</v>
      </c>
    </row>
    <row r="5418" spans="1:18">
      <c r="A5418" s="118" t="s">
        <v>7297</v>
      </c>
      <c r="B5418" s="166"/>
      <c r="C5418" s="169" t="s">
        <v>3817</v>
      </c>
      <c r="D5418" s="165"/>
      <c r="E5418" s="169"/>
      <c r="F5418" s="169"/>
      <c r="G5418" s="169" t="s">
        <v>3618</v>
      </c>
      <c r="H5418" s="169" t="s">
        <v>3638</v>
      </c>
      <c r="I5418" s="169" t="s">
        <v>7214</v>
      </c>
      <c r="J5418" s="169" t="s">
        <v>4153</v>
      </c>
      <c r="K5418" s="141"/>
      <c r="L5418" s="135" t="str">
        <f t="shared" si="298"/>
        <v>Akodon iniscatus</v>
      </c>
      <c r="M5418" s="133">
        <f t="shared" si="297"/>
        <v>1.4578800000000003</v>
      </c>
      <c r="N5418" s="170">
        <v>28.699874656140086</v>
      </c>
      <c r="O5418" s="179" t="s">
        <v>3356</v>
      </c>
      <c r="P5418" s="108">
        <v>61</v>
      </c>
      <c r="Q5418" s="91"/>
    </row>
    <row r="5419" spans="1:18">
      <c r="A5419" s="118" t="s">
        <v>7297</v>
      </c>
      <c r="B5419" s="166"/>
      <c r="C5419" s="169" t="s">
        <v>3817</v>
      </c>
      <c r="D5419" s="165"/>
      <c r="E5419" s="169"/>
      <c r="F5419" s="169"/>
      <c r="G5419" s="169" t="s">
        <v>3618</v>
      </c>
      <c r="H5419" s="169" t="s">
        <v>3638</v>
      </c>
      <c r="I5419" s="169" t="s">
        <v>7214</v>
      </c>
      <c r="J5419" s="169" t="s">
        <v>3401</v>
      </c>
      <c r="K5419" s="141"/>
      <c r="L5419" s="135" t="str">
        <f t="shared" si="298"/>
        <v>Akodon kofordi</v>
      </c>
      <c r="M5419" s="133">
        <f t="shared" si="297"/>
        <v>1.4698200000000001</v>
      </c>
      <c r="N5419" s="170">
        <v>29.499863062460488</v>
      </c>
      <c r="O5419" s="179" t="s">
        <v>3356</v>
      </c>
      <c r="P5419" s="108">
        <v>61</v>
      </c>
      <c r="Q5419" s="91"/>
    </row>
    <row r="5420" spans="1:18">
      <c r="A5420" s="118" t="s">
        <v>7297</v>
      </c>
      <c r="B5420" s="166"/>
      <c r="C5420" s="169" t="s">
        <v>3817</v>
      </c>
      <c r="D5420" s="165"/>
      <c r="E5420" s="169"/>
      <c r="F5420" s="169"/>
      <c r="G5420" s="169" t="s">
        <v>3618</v>
      </c>
      <c r="H5420" s="169" t="s">
        <v>3638</v>
      </c>
      <c r="I5420" s="169" t="s">
        <v>7214</v>
      </c>
      <c r="J5420" s="169" t="s">
        <v>6675</v>
      </c>
      <c r="K5420" s="141"/>
      <c r="L5420" s="135" t="str">
        <f t="shared" si="298"/>
        <v>Akodon mollis</v>
      </c>
      <c r="M5420" s="133">
        <f t="shared" si="297"/>
        <v>1.4828700000000001</v>
      </c>
      <c r="N5420" s="170">
        <v>30.399749153486447</v>
      </c>
      <c r="O5420" s="179" t="s">
        <v>3356</v>
      </c>
      <c r="P5420" s="108">
        <v>61</v>
      </c>
      <c r="Q5420" s="91"/>
    </row>
    <row r="5421" spans="1:18" ht="12" customHeight="1">
      <c r="A5421" s="118" t="s">
        <v>7297</v>
      </c>
      <c r="B5421" s="166"/>
      <c r="C5421" s="169" t="s">
        <v>3817</v>
      </c>
      <c r="D5421" s="165"/>
      <c r="E5421" s="169"/>
      <c r="F5421" s="169"/>
      <c r="G5421" s="169" t="s">
        <v>3618</v>
      </c>
      <c r="H5421" s="169" t="s">
        <v>3638</v>
      </c>
      <c r="I5421" s="169" t="s">
        <v>7214</v>
      </c>
      <c r="J5421" s="169" t="s">
        <v>3856</v>
      </c>
      <c r="K5421" s="141"/>
      <c r="L5421" s="135" t="str">
        <f t="shared" si="298"/>
        <v>Akodon subfuscus</v>
      </c>
      <c r="M5421" s="133">
        <f t="shared" si="297"/>
        <v>1.4828700000000001</v>
      </c>
      <c r="N5421" s="170">
        <v>30.399749153486447</v>
      </c>
      <c r="O5421" s="179" t="s">
        <v>3356</v>
      </c>
      <c r="P5421" s="108">
        <v>60</v>
      </c>
      <c r="R5421" s="89"/>
    </row>
    <row r="5422" spans="1:18">
      <c r="A5422" s="118" t="s">
        <v>7297</v>
      </c>
      <c r="B5422" s="166"/>
      <c r="C5422" s="169" t="s">
        <v>3817</v>
      </c>
      <c r="D5422" s="165"/>
      <c r="E5422" s="169"/>
      <c r="F5422" s="169"/>
      <c r="G5422" s="169" t="s">
        <v>3618</v>
      </c>
      <c r="H5422" s="169" t="s">
        <v>3638</v>
      </c>
      <c r="I5422" s="169" t="s">
        <v>7214</v>
      </c>
      <c r="J5422" s="169" t="s">
        <v>4634</v>
      </c>
      <c r="K5422" s="141"/>
      <c r="L5422" s="135" t="str">
        <f t="shared" si="298"/>
        <v>Akodon dayi</v>
      </c>
      <c r="M5422" s="133">
        <f t="shared" si="297"/>
        <v>1.5118800000000001</v>
      </c>
      <c r="N5422" s="170">
        <v>32.499748485427979</v>
      </c>
      <c r="O5422" s="179" t="s">
        <v>3356</v>
      </c>
      <c r="P5422" s="108">
        <v>61</v>
      </c>
      <c r="Q5422" s="91"/>
    </row>
    <row r="5423" spans="1:18">
      <c r="A5423" s="118" t="s">
        <v>7297</v>
      </c>
      <c r="B5423" s="166"/>
      <c r="C5423" s="169" t="s">
        <v>3817</v>
      </c>
      <c r="D5423" s="165"/>
      <c r="E5423" s="169"/>
      <c r="F5423" s="169"/>
      <c r="G5423" s="169" t="s">
        <v>3618</v>
      </c>
      <c r="H5423" s="169" t="s">
        <v>3638</v>
      </c>
      <c r="I5423" s="169" t="s">
        <v>7214</v>
      </c>
      <c r="J5423" s="169" t="s">
        <v>3426</v>
      </c>
      <c r="K5423" s="141"/>
      <c r="L5423" s="135" t="str">
        <f t="shared" si="298"/>
        <v>Akodon lanosus</v>
      </c>
      <c r="M5423" s="133">
        <f t="shared" si="297"/>
        <v>1.5118800000000001</v>
      </c>
      <c r="N5423" s="170">
        <v>32.499748485427979</v>
      </c>
      <c r="O5423" s="179" t="s">
        <v>3356</v>
      </c>
      <c r="P5423" s="108">
        <v>60</v>
      </c>
      <c r="Q5423" s="91"/>
    </row>
    <row r="5424" spans="1:18">
      <c r="A5424" s="118" t="s">
        <v>7297</v>
      </c>
      <c r="B5424" s="166"/>
      <c r="C5424" s="169" t="s">
        <v>3817</v>
      </c>
      <c r="D5424" s="165"/>
      <c r="E5424" s="169"/>
      <c r="F5424" s="169"/>
      <c r="G5424" s="169" t="s">
        <v>3618</v>
      </c>
      <c r="H5424" s="169" t="s">
        <v>3638</v>
      </c>
      <c r="I5424" s="169" t="s">
        <v>7214</v>
      </c>
      <c r="J5424" s="169" t="s">
        <v>6674</v>
      </c>
      <c r="K5424" s="141"/>
      <c r="L5424" s="135" t="str">
        <f t="shared" si="298"/>
        <v>Akodon molinae</v>
      </c>
      <c r="M5424" s="133">
        <f t="shared" si="297"/>
        <v>1.5185100000000002</v>
      </c>
      <c r="N5424" s="170">
        <v>32.999700628522916</v>
      </c>
      <c r="O5424" s="179" t="s">
        <v>3356</v>
      </c>
      <c r="P5424" s="108">
        <v>61</v>
      </c>
      <c r="Q5424" s="91"/>
    </row>
    <row r="5425" spans="1:18">
      <c r="A5425" s="118" t="s">
        <v>7297</v>
      </c>
      <c r="B5425" s="166"/>
      <c r="C5425" s="169" t="s">
        <v>3817</v>
      </c>
      <c r="D5425" s="165"/>
      <c r="E5425" s="169"/>
      <c r="F5425" s="169"/>
      <c r="G5425" s="169" t="s">
        <v>3618</v>
      </c>
      <c r="H5425" s="169" t="s">
        <v>3638</v>
      </c>
      <c r="I5425" s="169" t="s">
        <v>7214</v>
      </c>
      <c r="J5425" s="169" t="s">
        <v>4835</v>
      </c>
      <c r="K5425" s="141"/>
      <c r="L5425" s="135" t="str">
        <f t="shared" si="298"/>
        <v>Akodon urichi</v>
      </c>
      <c r="M5425" s="133">
        <f t="shared" si="297"/>
        <v>1.5314800000000002</v>
      </c>
      <c r="N5425" s="170">
        <v>34.000084782585944</v>
      </c>
      <c r="O5425" s="179" t="s">
        <v>3356</v>
      </c>
      <c r="P5425" s="108">
        <v>61</v>
      </c>
    </row>
    <row r="5426" spans="1:18">
      <c r="A5426" s="121" t="s">
        <v>7297</v>
      </c>
      <c r="B5426" s="166"/>
      <c r="C5426" s="169" t="s">
        <v>3817</v>
      </c>
      <c r="D5426" s="165"/>
      <c r="E5426" s="169"/>
      <c r="F5426" s="169"/>
      <c r="G5426" s="169" t="s">
        <v>3618</v>
      </c>
      <c r="H5426" s="169" t="s">
        <v>3638</v>
      </c>
      <c r="I5426" s="169" t="s">
        <v>7214</v>
      </c>
      <c r="J5426" s="169" t="s">
        <v>3853</v>
      </c>
      <c r="K5426" s="141"/>
      <c r="L5426" s="135" t="str">
        <f t="shared" si="298"/>
        <v>Akodon siberiae</v>
      </c>
      <c r="M5426" s="133">
        <f t="shared" si="297"/>
        <v>1.53908</v>
      </c>
      <c r="N5426" s="170">
        <v>34.600310808407244</v>
      </c>
      <c r="O5426" s="179" t="s">
        <v>7080</v>
      </c>
      <c r="P5426" s="108">
        <v>61</v>
      </c>
      <c r="Q5426" s="90" t="s">
        <v>6988</v>
      </c>
    </row>
    <row r="5427" spans="1:18">
      <c r="A5427" s="118" t="s">
        <v>7297</v>
      </c>
      <c r="B5427" s="166"/>
      <c r="C5427" s="169" t="s">
        <v>3817</v>
      </c>
      <c r="D5427" s="165"/>
      <c r="E5427" s="169"/>
      <c r="F5427" s="169"/>
      <c r="G5427" s="169" t="s">
        <v>3618</v>
      </c>
      <c r="H5427" s="169" t="s">
        <v>3638</v>
      </c>
      <c r="I5427" s="169" t="s">
        <v>7214</v>
      </c>
      <c r="J5427" s="169" t="s">
        <v>3450</v>
      </c>
      <c r="K5427" s="141"/>
      <c r="L5427" s="135" t="str">
        <f t="shared" si="298"/>
        <v>Akodon longipilis</v>
      </c>
      <c r="M5427" s="133">
        <f t="shared" si="297"/>
        <v>1.5746100000000003</v>
      </c>
      <c r="N5427" s="170">
        <v>37.55000507184922</v>
      </c>
      <c r="O5427" s="179" t="s">
        <v>3356</v>
      </c>
      <c r="P5427" s="108">
        <v>61</v>
      </c>
      <c r="Q5427" s="91"/>
    </row>
    <row r="5428" spans="1:18">
      <c r="A5428" s="118" t="s">
        <v>7297</v>
      </c>
      <c r="B5428" s="166"/>
      <c r="C5428" s="169" t="s">
        <v>3817</v>
      </c>
      <c r="D5428" s="165"/>
      <c r="E5428" s="169"/>
      <c r="F5428" s="169"/>
      <c r="G5428" s="169" t="s">
        <v>3618</v>
      </c>
      <c r="H5428" s="169" t="s">
        <v>3638</v>
      </c>
      <c r="I5428" s="169" t="s">
        <v>7214</v>
      </c>
      <c r="J5428" s="169" t="s">
        <v>6513</v>
      </c>
      <c r="K5428" s="141"/>
      <c r="L5428" s="135" t="str">
        <f t="shared" si="298"/>
        <v>Akodon juninensis</v>
      </c>
      <c r="M5428" s="133">
        <f t="shared" si="297"/>
        <v>1.5910600000000001</v>
      </c>
      <c r="N5428" s="170">
        <v>38.999586287443293</v>
      </c>
      <c r="O5428" s="179" t="s">
        <v>3356</v>
      </c>
      <c r="P5428" s="108">
        <v>61</v>
      </c>
      <c r="Q5428" s="91"/>
    </row>
    <row r="5429" spans="1:18">
      <c r="A5429" s="118" t="s">
        <v>7297</v>
      </c>
      <c r="B5429" s="166"/>
      <c r="C5429" s="169" t="s">
        <v>3817</v>
      </c>
      <c r="D5429" s="165"/>
      <c r="E5429" s="169"/>
      <c r="F5429" s="169"/>
      <c r="G5429" s="169" t="s">
        <v>3618</v>
      </c>
      <c r="H5429" s="169" t="s">
        <v>3638</v>
      </c>
      <c r="I5429" s="169" t="s">
        <v>7214</v>
      </c>
      <c r="J5429" s="169" t="s">
        <v>3897</v>
      </c>
      <c r="K5429" s="141"/>
      <c r="L5429" s="135" t="str">
        <f t="shared" si="298"/>
        <v>Akodon latebricola</v>
      </c>
      <c r="M5429" s="133">
        <f t="shared" ref="M5429:M5492" si="299">LOG(N5429)</f>
        <v>1.5910600000000001</v>
      </c>
      <c r="N5429" s="170">
        <v>38.999586287443293</v>
      </c>
      <c r="O5429" s="179" t="s">
        <v>3356</v>
      </c>
      <c r="P5429" s="108">
        <v>61</v>
      </c>
      <c r="Q5429" s="91"/>
    </row>
    <row r="5430" spans="1:18">
      <c r="A5430" s="121" t="s">
        <v>7297</v>
      </c>
      <c r="B5430" s="166"/>
      <c r="C5430" s="169" t="s">
        <v>3817</v>
      </c>
      <c r="D5430" s="165"/>
      <c r="E5430" s="169"/>
      <c r="F5430" s="169"/>
      <c r="G5430" s="169" t="s">
        <v>3618</v>
      </c>
      <c r="H5430" s="169" t="s">
        <v>3638</v>
      </c>
      <c r="I5430" s="169" t="s">
        <v>7214</v>
      </c>
      <c r="J5430" s="169" t="s">
        <v>6672</v>
      </c>
      <c r="K5430" s="141"/>
      <c r="L5430" s="135" t="str">
        <f t="shared" si="298"/>
        <v>Akodon mansoensis</v>
      </c>
      <c r="M5430" s="133">
        <f t="shared" si="299"/>
        <v>1.5910600000000001</v>
      </c>
      <c r="N5430" s="170">
        <v>38.999586287443293</v>
      </c>
      <c r="O5430" s="179" t="s">
        <v>3356</v>
      </c>
      <c r="P5430" s="108">
        <v>61</v>
      </c>
      <c r="Q5430" s="91"/>
    </row>
    <row r="5431" spans="1:18" ht="15" customHeight="1">
      <c r="A5431" s="118" t="s">
        <v>7297</v>
      </c>
      <c r="B5431" s="166"/>
      <c r="C5431" s="169" t="s">
        <v>3817</v>
      </c>
      <c r="D5431" s="165"/>
      <c r="E5431" s="169"/>
      <c r="F5431" s="169"/>
      <c r="G5431" s="169" t="s">
        <v>3618</v>
      </c>
      <c r="H5431" s="169" t="s">
        <v>3638</v>
      </c>
      <c r="I5431" s="169" t="s">
        <v>7214</v>
      </c>
      <c r="J5431" s="169" t="s">
        <v>4493</v>
      </c>
      <c r="K5431" s="141"/>
      <c r="L5431" s="135" t="str">
        <f t="shared" si="298"/>
        <v>Akodon orophilus</v>
      </c>
      <c r="M5431" s="133">
        <f t="shared" si="299"/>
        <v>1.5910600000000001</v>
      </c>
      <c r="N5431" s="133">
        <v>38.999586287443293</v>
      </c>
      <c r="O5431" s="179" t="s">
        <v>3356</v>
      </c>
      <c r="P5431" s="108">
        <v>61</v>
      </c>
      <c r="Q5431" s="91"/>
    </row>
    <row r="5432" spans="1:18">
      <c r="A5432" s="121" t="s">
        <v>7297</v>
      </c>
      <c r="B5432" s="166"/>
      <c r="C5432" s="169" t="s">
        <v>3817</v>
      </c>
      <c r="D5432" s="165"/>
      <c r="E5432" s="169"/>
      <c r="F5432" s="169"/>
      <c r="G5432" s="169" t="s">
        <v>3618</v>
      </c>
      <c r="H5432" s="169" t="s">
        <v>3638</v>
      </c>
      <c r="I5432" s="169" t="s">
        <v>7214</v>
      </c>
      <c r="J5432" s="169" t="s">
        <v>3857</v>
      </c>
      <c r="K5432" s="141"/>
      <c r="L5432" s="135" t="str">
        <f t="shared" si="298"/>
        <v>Akodon surdus</v>
      </c>
      <c r="M5432" s="133">
        <f t="shared" si="299"/>
        <v>1.5910600000000001</v>
      </c>
      <c r="N5432" s="170">
        <v>38.999586287443293</v>
      </c>
      <c r="O5432" s="179" t="s">
        <v>3356</v>
      </c>
      <c r="P5432" s="108">
        <v>61</v>
      </c>
    </row>
    <row r="5433" spans="1:18">
      <c r="A5433" s="118" t="s">
        <v>7297</v>
      </c>
      <c r="B5433" s="166"/>
      <c r="C5433" s="169" t="s">
        <v>3817</v>
      </c>
      <c r="D5433" s="165"/>
      <c r="E5433" s="169"/>
      <c r="F5433" s="169"/>
      <c r="G5433" s="169" t="s">
        <v>3618</v>
      </c>
      <c r="H5433" s="169" t="s">
        <v>3638</v>
      </c>
      <c r="I5433" s="169" t="s">
        <v>7214</v>
      </c>
      <c r="J5433" s="169" t="s">
        <v>8026</v>
      </c>
      <c r="K5433" s="141"/>
      <c r="L5433" s="135" t="str">
        <f t="shared" si="298"/>
        <v>Akodon sylvanus</v>
      </c>
      <c r="M5433" s="133">
        <f t="shared" si="299"/>
        <v>1.5910600000000001</v>
      </c>
      <c r="N5433" s="170">
        <v>38.999586287443293</v>
      </c>
      <c r="O5433" s="179" t="s">
        <v>3356</v>
      </c>
      <c r="P5433" s="108">
        <v>61</v>
      </c>
    </row>
    <row r="5434" spans="1:18">
      <c r="A5434" s="118" t="s">
        <v>7297</v>
      </c>
      <c r="B5434" s="166"/>
      <c r="C5434" s="169" t="s">
        <v>3817</v>
      </c>
      <c r="D5434" s="165"/>
      <c r="E5434" s="169"/>
      <c r="F5434" s="169"/>
      <c r="G5434" s="169" t="s">
        <v>3618</v>
      </c>
      <c r="H5434" s="169" t="s">
        <v>3638</v>
      </c>
      <c r="I5434" s="169" t="s">
        <v>7214</v>
      </c>
      <c r="J5434" s="169" t="s">
        <v>4068</v>
      </c>
      <c r="K5434" s="141"/>
      <c r="L5434" s="135" t="str">
        <f t="shared" si="298"/>
        <v>Akodon torques</v>
      </c>
      <c r="M5434" s="133">
        <f t="shared" si="299"/>
        <v>1.5910600000000001</v>
      </c>
      <c r="N5434" s="170">
        <v>38.999586287443293</v>
      </c>
      <c r="O5434" s="179" t="s">
        <v>3356</v>
      </c>
      <c r="P5434" s="108">
        <v>61</v>
      </c>
    </row>
    <row r="5435" spans="1:18">
      <c r="A5435" s="118" t="s">
        <v>7297</v>
      </c>
      <c r="B5435" s="166"/>
      <c r="C5435" s="169" t="s">
        <v>3817</v>
      </c>
      <c r="D5435" s="165"/>
      <c r="E5435" s="169"/>
      <c r="F5435" s="169"/>
      <c r="G5435" s="169" t="s">
        <v>3618</v>
      </c>
      <c r="H5435" s="169" t="s">
        <v>3638</v>
      </c>
      <c r="I5435" s="169" t="s">
        <v>7214</v>
      </c>
      <c r="J5435" s="169" t="s">
        <v>3407</v>
      </c>
      <c r="K5435" s="141"/>
      <c r="L5435" s="135" t="str">
        <f t="shared" si="298"/>
        <v>Akodon cursor</v>
      </c>
      <c r="M5435" s="133">
        <f t="shared" si="299"/>
        <v>1.6004300000000002</v>
      </c>
      <c r="N5435" s="170">
        <v>39.850153627793972</v>
      </c>
      <c r="O5435" s="179" t="s">
        <v>3356</v>
      </c>
      <c r="P5435" s="108">
        <v>60</v>
      </c>
      <c r="Q5435" s="91"/>
    </row>
    <row r="5436" spans="1:18">
      <c r="A5436" s="118" t="s">
        <v>7297</v>
      </c>
      <c r="B5436" s="166"/>
      <c r="C5436" s="169" t="s">
        <v>3817</v>
      </c>
      <c r="D5436" s="165"/>
      <c r="E5436" s="169"/>
      <c r="F5436" s="169"/>
      <c r="G5436" s="169" t="s">
        <v>3618</v>
      </c>
      <c r="H5436" s="169" t="s">
        <v>3638</v>
      </c>
      <c r="I5436" s="169" t="s">
        <v>7214</v>
      </c>
      <c r="J5436" s="169" t="s">
        <v>3711</v>
      </c>
      <c r="K5436" s="141"/>
      <c r="L5436" s="135" t="str">
        <f t="shared" si="298"/>
        <v>Akodon varius</v>
      </c>
      <c r="M5436" s="133">
        <f t="shared" si="299"/>
        <v>1.60206</v>
      </c>
      <c r="N5436" s="170">
        <v>40.000000798724201</v>
      </c>
      <c r="O5436" s="179" t="s">
        <v>3356</v>
      </c>
      <c r="P5436" s="108">
        <v>60</v>
      </c>
    </row>
    <row r="5437" spans="1:18">
      <c r="A5437" s="118" t="s">
        <v>7297</v>
      </c>
      <c r="B5437" s="166"/>
      <c r="C5437" s="169" t="s">
        <v>3817</v>
      </c>
      <c r="D5437" s="165"/>
      <c r="E5437" s="169"/>
      <c r="F5437" s="169"/>
      <c r="G5437" s="169" t="s">
        <v>3618</v>
      </c>
      <c r="H5437" s="169" t="s">
        <v>3638</v>
      </c>
      <c r="I5437" s="169" t="s">
        <v>7214</v>
      </c>
      <c r="J5437" s="169" t="s">
        <v>6676</v>
      </c>
      <c r="K5437" s="141"/>
      <c r="L5437" s="135" t="str">
        <f t="shared" si="298"/>
        <v>Akodon neocenus</v>
      </c>
      <c r="M5437" s="133">
        <f t="shared" si="299"/>
        <v>1.6273700000000002</v>
      </c>
      <c r="N5437" s="170">
        <v>42.400404521156752</v>
      </c>
      <c r="O5437" s="179" t="s">
        <v>3356</v>
      </c>
      <c r="P5437" s="108">
        <v>61</v>
      </c>
      <c r="Q5437" s="91"/>
    </row>
    <row r="5438" spans="1:18" ht="15.75">
      <c r="A5438" s="118" t="s">
        <v>7297</v>
      </c>
      <c r="B5438" s="166"/>
      <c r="C5438" s="169" t="s">
        <v>3817</v>
      </c>
      <c r="D5438" s="165"/>
      <c r="E5438" s="169"/>
      <c r="F5438" s="169"/>
      <c r="G5438" s="169" t="s">
        <v>3618</v>
      </c>
      <c r="H5438" s="169" t="s">
        <v>3638</v>
      </c>
      <c r="I5438" s="169" t="s">
        <v>7214</v>
      </c>
      <c r="J5438" s="169" t="s">
        <v>3854</v>
      </c>
      <c r="K5438" s="141"/>
      <c r="L5438" s="135" t="str">
        <f t="shared" si="298"/>
        <v>Akodon simulator</v>
      </c>
      <c r="M5438" s="133">
        <f t="shared" si="299"/>
        <v>1.6283900000000002</v>
      </c>
      <c r="N5438" s="170">
        <v>42.500104705262615</v>
      </c>
      <c r="O5438" s="179" t="s">
        <v>3356</v>
      </c>
      <c r="P5438" s="108">
        <v>61</v>
      </c>
      <c r="R5438" s="89"/>
    </row>
    <row r="5439" spans="1:18">
      <c r="A5439" s="118" t="s">
        <v>7297</v>
      </c>
      <c r="B5439" s="166"/>
      <c r="C5439" s="169" t="s">
        <v>3817</v>
      </c>
      <c r="D5439" s="165"/>
      <c r="E5439" s="169"/>
      <c r="F5439" s="169"/>
      <c r="G5439" s="169" t="s">
        <v>3618</v>
      </c>
      <c r="H5439" s="169" t="s">
        <v>3638</v>
      </c>
      <c r="I5439" s="169" t="s">
        <v>7214</v>
      </c>
      <c r="J5439" s="169" t="s">
        <v>4152</v>
      </c>
      <c r="K5439" s="141"/>
      <c r="L5439" s="135" t="str">
        <f t="shared" si="298"/>
        <v>Akodon illuteus</v>
      </c>
      <c r="M5439" s="133">
        <f t="shared" si="299"/>
        <v>1.6794300000000002</v>
      </c>
      <c r="N5439" s="170">
        <v>47.800231506934551</v>
      </c>
      <c r="O5439" s="179" t="s">
        <v>3356</v>
      </c>
      <c r="P5439" s="108">
        <v>61</v>
      </c>
      <c r="Q5439" s="91"/>
    </row>
    <row r="5440" spans="1:18">
      <c r="A5440" s="118" t="s">
        <v>7297</v>
      </c>
      <c r="B5440" s="166"/>
      <c r="C5440" s="169" t="s">
        <v>3817</v>
      </c>
      <c r="D5440" s="165"/>
      <c r="E5440" s="169"/>
      <c r="F5440" s="169"/>
      <c r="G5440" s="169" t="s">
        <v>3618</v>
      </c>
      <c r="H5440" s="169" t="s">
        <v>3638</v>
      </c>
      <c r="I5440" s="169" t="s">
        <v>7214</v>
      </c>
      <c r="J5440" s="169" t="s">
        <v>3406</v>
      </c>
      <c r="K5440" s="141"/>
      <c r="L5440" s="135" t="str">
        <f t="shared" si="298"/>
        <v>Akodon dolores</v>
      </c>
      <c r="M5440" s="133">
        <f t="shared" si="299"/>
        <v>1.7032900000000002</v>
      </c>
      <c r="N5440" s="170">
        <v>50.499839751862218</v>
      </c>
      <c r="O5440" s="179" t="s">
        <v>3356</v>
      </c>
      <c r="P5440" s="108">
        <v>61</v>
      </c>
      <c r="Q5440" s="91"/>
    </row>
    <row r="5441" spans="1:18">
      <c r="A5441" s="118" t="s">
        <v>7297</v>
      </c>
      <c r="B5441" s="166"/>
      <c r="C5441" s="169" t="s">
        <v>3817</v>
      </c>
      <c r="D5441" s="165"/>
      <c r="E5441" s="169"/>
      <c r="F5441" s="169"/>
      <c r="G5441" s="169" t="s">
        <v>3618</v>
      </c>
      <c r="H5441" s="169" t="s">
        <v>3638</v>
      </c>
      <c r="I5441" s="169" t="s">
        <v>7214</v>
      </c>
      <c r="J5441" s="169" t="s">
        <v>3858</v>
      </c>
      <c r="K5441" s="141"/>
      <c r="L5441" s="135" t="str">
        <f t="shared" si="298"/>
        <v>Akodon toba</v>
      </c>
      <c r="M5441" s="133">
        <f t="shared" si="299"/>
        <v>1.7092700000000003</v>
      </c>
      <c r="N5441" s="170">
        <v>51.200004600651511</v>
      </c>
      <c r="O5441" s="179" t="s">
        <v>3356</v>
      </c>
      <c r="P5441" s="108">
        <v>61</v>
      </c>
    </row>
    <row r="5442" spans="1:18">
      <c r="A5442" s="118" t="s">
        <v>7297</v>
      </c>
      <c r="B5442" s="166"/>
      <c r="C5442" s="169" t="s">
        <v>3817</v>
      </c>
      <c r="D5442" s="165"/>
      <c r="E5442" s="169"/>
      <c r="F5442" s="169"/>
      <c r="G5442" s="169" t="s">
        <v>3618</v>
      </c>
      <c r="H5442" s="169" t="s">
        <v>3638</v>
      </c>
      <c r="I5442" s="169" t="s">
        <v>7214</v>
      </c>
      <c r="J5442" s="169" t="s">
        <v>7452</v>
      </c>
      <c r="K5442" s="141"/>
      <c r="L5442" s="135" t="str">
        <f t="shared" si="298"/>
        <v>Akodon aerosus</v>
      </c>
      <c r="M5442" s="133">
        <f t="shared" si="299"/>
        <v>1.7781500000000001</v>
      </c>
      <c r="N5442" s="170">
        <v>59.999827253364401</v>
      </c>
      <c r="O5442" s="179" t="s">
        <v>3356</v>
      </c>
      <c r="P5442" s="108">
        <v>61</v>
      </c>
    </row>
    <row r="5443" spans="1:18">
      <c r="A5443" s="118" t="s">
        <v>7297</v>
      </c>
      <c r="B5443" s="166"/>
      <c r="C5443" s="169" t="s">
        <v>3817</v>
      </c>
      <c r="D5443" s="165"/>
      <c r="E5443" s="169"/>
      <c r="F5443" s="169"/>
      <c r="G5443" s="169" t="s">
        <v>3618</v>
      </c>
      <c r="H5443" s="169" t="s">
        <v>3638</v>
      </c>
      <c r="I5443" s="169" t="s">
        <v>4070</v>
      </c>
      <c r="J5443" s="169" t="s">
        <v>3670</v>
      </c>
      <c r="K5443" s="141"/>
      <c r="L5443" s="135" t="str">
        <f t="shared" si="298"/>
        <v>Andalgalomys pearsoni</v>
      </c>
      <c r="M5443" s="133">
        <f t="shared" si="299"/>
        <v>1.40483</v>
      </c>
      <c r="N5443" s="170">
        <v>25.399782631954999</v>
      </c>
      <c r="O5443" s="179" t="s">
        <v>3356</v>
      </c>
      <c r="P5443" s="108">
        <v>61</v>
      </c>
    </row>
    <row r="5444" spans="1:18" ht="15" customHeight="1">
      <c r="A5444" s="118" t="s">
        <v>7297</v>
      </c>
      <c r="B5444" s="166"/>
      <c r="C5444" s="169" t="s">
        <v>3817</v>
      </c>
      <c r="D5444" s="165"/>
      <c r="E5444" s="169"/>
      <c r="F5444" s="169"/>
      <c r="G5444" s="169" t="s">
        <v>3618</v>
      </c>
      <c r="H5444" s="169" t="s">
        <v>3638</v>
      </c>
      <c r="I5444" s="169" t="s">
        <v>4070</v>
      </c>
      <c r="J5444" s="169" t="s">
        <v>4071</v>
      </c>
      <c r="K5444" s="141"/>
      <c r="L5444" s="135" t="str">
        <f t="shared" si="298"/>
        <v>Andalgalomys olrogi</v>
      </c>
      <c r="M5444" s="133">
        <f t="shared" si="299"/>
        <v>1.5172000000000001</v>
      </c>
      <c r="N5444" s="170">
        <v>32.900310752470581</v>
      </c>
      <c r="O5444" s="179" t="s">
        <v>7080</v>
      </c>
      <c r="P5444" s="108">
        <v>61</v>
      </c>
      <c r="Q5444" s="90" t="s">
        <v>6988</v>
      </c>
    </row>
    <row r="5445" spans="1:18">
      <c r="A5445" s="118" t="s">
        <v>7297</v>
      </c>
      <c r="B5445" s="166"/>
      <c r="C5445" s="169" t="s">
        <v>3817</v>
      </c>
      <c r="D5445" s="165"/>
      <c r="E5445" s="169"/>
      <c r="F5445" s="169"/>
      <c r="G5445" s="169" t="s">
        <v>3618</v>
      </c>
      <c r="H5445" s="169" t="s">
        <v>3638</v>
      </c>
      <c r="I5445" s="169" t="s">
        <v>7470</v>
      </c>
      <c r="J5445" s="169" t="s">
        <v>4028</v>
      </c>
      <c r="K5445" s="141"/>
      <c r="L5445" s="135" t="str">
        <f t="shared" ref="L5445:L5508" si="300">I5445&amp;" "&amp;J5445</f>
        <v>Andinomys edax</v>
      </c>
      <c r="M5445" s="133">
        <f t="shared" si="299"/>
        <v>1.84354</v>
      </c>
      <c r="N5445" s="170">
        <v>69.749323542444841</v>
      </c>
      <c r="O5445" s="179" t="s">
        <v>3356</v>
      </c>
      <c r="P5445" s="108">
        <v>61</v>
      </c>
    </row>
    <row r="5446" spans="1:18" ht="15" customHeight="1">
      <c r="A5446" s="118" t="s">
        <v>7297</v>
      </c>
      <c r="B5446" s="166"/>
      <c r="C5446" s="169" t="s">
        <v>3817</v>
      </c>
      <c r="D5446" s="165"/>
      <c r="E5446" s="169"/>
      <c r="F5446" s="169"/>
      <c r="G5446" s="169" t="s">
        <v>3618</v>
      </c>
      <c r="H5446" s="169" t="s">
        <v>3638</v>
      </c>
      <c r="I5446" s="169" t="s">
        <v>7152</v>
      </c>
      <c r="J5446" s="169" t="s">
        <v>4130</v>
      </c>
      <c r="K5446" s="141"/>
      <c r="L5446" s="135" t="str">
        <f t="shared" si="300"/>
        <v>Anotomys leander</v>
      </c>
      <c r="M5446" s="133">
        <f t="shared" si="299"/>
        <v>1.8221700000000001</v>
      </c>
      <c r="N5446" s="170">
        <v>66.400293649242514</v>
      </c>
      <c r="O5446" s="179" t="s">
        <v>6641</v>
      </c>
      <c r="P5446" s="108">
        <v>61</v>
      </c>
      <c r="Q5446" s="90" t="s">
        <v>6640</v>
      </c>
    </row>
    <row r="5447" spans="1:18">
      <c r="A5447" s="118" t="s">
        <v>7297</v>
      </c>
      <c r="B5447" s="166"/>
      <c r="C5447" s="169" t="s">
        <v>3817</v>
      </c>
      <c r="D5447" s="165"/>
      <c r="E5447" s="169"/>
      <c r="F5447" s="169"/>
      <c r="G5447" s="169" t="s">
        <v>3618</v>
      </c>
      <c r="H5447" s="169" t="s">
        <v>3638</v>
      </c>
      <c r="I5447" s="169" t="s">
        <v>4131</v>
      </c>
      <c r="J5447" s="169" t="s">
        <v>3912</v>
      </c>
      <c r="K5447" s="141"/>
      <c r="L5447" s="135" t="str">
        <f t="shared" si="300"/>
        <v>Auliscomys sublimis</v>
      </c>
      <c r="M5447" s="133">
        <f t="shared" si="299"/>
        <v>1.5797800000000002</v>
      </c>
      <c r="N5447" s="170">
        <v>37.99968530368551</v>
      </c>
      <c r="O5447" s="179" t="s">
        <v>3356</v>
      </c>
      <c r="P5447" s="108">
        <v>60</v>
      </c>
    </row>
    <row r="5448" spans="1:18">
      <c r="A5448" s="118" t="s">
        <v>7297</v>
      </c>
      <c r="B5448" s="166"/>
      <c r="C5448" s="169" t="s">
        <v>3817</v>
      </c>
      <c r="D5448" s="165"/>
      <c r="E5448" s="169"/>
      <c r="F5448" s="169"/>
      <c r="G5448" s="169" t="s">
        <v>3618</v>
      </c>
      <c r="H5448" s="169" t="s">
        <v>3638</v>
      </c>
      <c r="I5448" s="169" t="s">
        <v>4131</v>
      </c>
      <c r="J5448" s="169" t="s">
        <v>7639</v>
      </c>
      <c r="K5448" s="141"/>
      <c r="L5448" s="135" t="str">
        <f t="shared" si="300"/>
        <v>Auliscomys pictus</v>
      </c>
      <c r="M5448" s="133">
        <f t="shared" si="299"/>
        <v>1.7379900000000004</v>
      </c>
      <c r="N5448" s="170">
        <v>54.700336753096408</v>
      </c>
      <c r="O5448" s="179" t="s">
        <v>3356</v>
      </c>
      <c r="P5448" s="108">
        <v>60</v>
      </c>
    </row>
    <row r="5449" spans="1:18">
      <c r="A5449" s="118" t="s">
        <v>7297</v>
      </c>
      <c r="B5449" s="166"/>
      <c r="C5449" s="169" t="s">
        <v>3817</v>
      </c>
      <c r="D5449" s="165"/>
      <c r="E5449" s="169"/>
      <c r="F5449" s="169"/>
      <c r="G5449" s="169" t="s">
        <v>3618</v>
      </c>
      <c r="H5449" s="169" t="s">
        <v>3638</v>
      </c>
      <c r="I5449" s="169" t="s">
        <v>4131</v>
      </c>
      <c r="J5449" s="169" t="s">
        <v>7496</v>
      </c>
      <c r="K5449" s="141"/>
      <c r="L5449" s="135" t="str">
        <f t="shared" si="300"/>
        <v>Auliscomys boliviensis</v>
      </c>
      <c r="M5449" s="133">
        <f t="shared" si="299"/>
        <v>1.8175700000000001</v>
      </c>
      <c r="N5449" s="170">
        <v>65.700700495992677</v>
      </c>
      <c r="O5449" s="179" t="s">
        <v>3356</v>
      </c>
      <c r="P5449" s="108">
        <v>61</v>
      </c>
    </row>
    <row r="5450" spans="1:18">
      <c r="A5450" s="118" t="s">
        <v>7297</v>
      </c>
      <c r="B5450" s="166"/>
      <c r="C5450" s="169" t="s">
        <v>3817</v>
      </c>
      <c r="D5450" s="165"/>
      <c r="E5450" s="169"/>
      <c r="F5450" s="169"/>
      <c r="G5450" s="169" t="s">
        <v>3618</v>
      </c>
      <c r="H5450" s="169" t="s">
        <v>3638</v>
      </c>
      <c r="I5450" s="169" t="s">
        <v>4131</v>
      </c>
      <c r="J5450" s="169" t="s">
        <v>3596</v>
      </c>
      <c r="K5450" s="141"/>
      <c r="L5450" s="135" t="str">
        <f t="shared" si="300"/>
        <v>Auliscomys micropus</v>
      </c>
      <c r="M5450" s="133">
        <f t="shared" si="299"/>
        <v>1.8615300000000001</v>
      </c>
      <c r="N5450" s="170">
        <v>72.69926163504951</v>
      </c>
      <c r="O5450" s="179" t="s">
        <v>3356</v>
      </c>
      <c r="P5450" s="108">
        <v>61</v>
      </c>
    </row>
    <row r="5451" spans="1:18">
      <c r="A5451" s="118" t="s">
        <v>7297</v>
      </c>
      <c r="B5451" s="166"/>
      <c r="C5451" s="169" t="s">
        <v>3817</v>
      </c>
      <c r="D5451" s="165"/>
      <c r="E5451" s="169"/>
      <c r="F5451" s="169"/>
      <c r="G5451" s="169" t="s">
        <v>3618</v>
      </c>
      <c r="H5451" s="169" t="s">
        <v>3638</v>
      </c>
      <c r="I5451" s="169" t="s">
        <v>3913</v>
      </c>
      <c r="J5451" s="169" t="s">
        <v>3914</v>
      </c>
      <c r="K5451" s="141"/>
      <c r="L5451" s="135" t="str">
        <f t="shared" si="300"/>
        <v>Bibimys chacoensis</v>
      </c>
      <c r="M5451" s="133">
        <f t="shared" si="299"/>
        <v>1.44716</v>
      </c>
      <c r="N5451" s="170">
        <v>28.000126924345338</v>
      </c>
      <c r="O5451" s="179" t="s">
        <v>3356</v>
      </c>
      <c r="P5451" s="108">
        <v>61</v>
      </c>
    </row>
    <row r="5452" spans="1:18">
      <c r="A5452" s="118" t="s">
        <v>7297</v>
      </c>
      <c r="B5452" s="166"/>
      <c r="C5452" s="169" t="s">
        <v>3817</v>
      </c>
      <c r="D5452" s="165"/>
      <c r="E5452" s="169"/>
      <c r="F5452" s="169"/>
      <c r="G5452" s="169" t="s">
        <v>3618</v>
      </c>
      <c r="H5452" s="169" t="s">
        <v>3638</v>
      </c>
      <c r="I5452" s="169" t="s">
        <v>3913</v>
      </c>
      <c r="J5452" s="169" t="s">
        <v>3915</v>
      </c>
      <c r="K5452" s="141"/>
      <c r="L5452" s="135" t="str">
        <f t="shared" si="300"/>
        <v>Bibimys torresi</v>
      </c>
      <c r="M5452" s="133">
        <f t="shared" si="299"/>
        <v>1.44716</v>
      </c>
      <c r="N5452" s="170">
        <v>28.000126924345338</v>
      </c>
      <c r="O5452" s="179" t="s">
        <v>6882</v>
      </c>
      <c r="P5452" s="108">
        <v>61</v>
      </c>
      <c r="Q5452" s="90" t="s">
        <v>6642</v>
      </c>
    </row>
    <row r="5453" spans="1:18" ht="15" customHeight="1">
      <c r="A5453" s="118" t="s">
        <v>7297</v>
      </c>
      <c r="B5453" s="166"/>
      <c r="C5453" s="169" t="s">
        <v>3817</v>
      </c>
      <c r="D5453" s="165"/>
      <c r="E5453" s="169"/>
      <c r="F5453" s="169"/>
      <c r="G5453" s="169" t="s">
        <v>3618</v>
      </c>
      <c r="H5453" s="169" t="s">
        <v>3638</v>
      </c>
      <c r="I5453" s="169" t="s">
        <v>3913</v>
      </c>
      <c r="J5453" s="169" t="s">
        <v>5420</v>
      </c>
      <c r="K5453" s="141"/>
      <c r="L5453" s="135" t="str">
        <f t="shared" si="300"/>
        <v>Bibimys labiosus</v>
      </c>
      <c r="M5453" s="133">
        <f t="shared" si="299"/>
        <v>1.4623979978989561</v>
      </c>
      <c r="N5453" s="170">
        <v>29</v>
      </c>
      <c r="O5453" s="198" t="s">
        <v>3356</v>
      </c>
      <c r="P5453" s="108" t="s">
        <v>8130</v>
      </c>
      <c r="Q5453" s="80"/>
    </row>
    <row r="5454" spans="1:18" ht="12" customHeight="1">
      <c r="A5454" s="118" t="s">
        <v>7297</v>
      </c>
      <c r="B5454" s="166"/>
      <c r="C5454" s="169" t="s">
        <v>3817</v>
      </c>
      <c r="D5454" s="165"/>
      <c r="E5454" s="169"/>
      <c r="F5454" s="169"/>
      <c r="G5454" s="169" t="s">
        <v>3618</v>
      </c>
      <c r="H5454" s="169" t="s">
        <v>3638</v>
      </c>
      <c r="I5454" s="169" t="s">
        <v>3916</v>
      </c>
      <c r="J5454" s="169" t="s">
        <v>4269</v>
      </c>
      <c r="K5454" s="141"/>
      <c r="L5454" s="135" t="str">
        <f t="shared" si="300"/>
        <v>Blarinomys breviceps</v>
      </c>
      <c r="M5454" s="133">
        <f t="shared" si="299"/>
        <v>1.5658500000000002</v>
      </c>
      <c r="N5454" s="170">
        <v>36.800184835450352</v>
      </c>
      <c r="O5454" s="198" t="s">
        <v>6641</v>
      </c>
      <c r="P5454" s="108">
        <v>61</v>
      </c>
      <c r="Q5454" s="90" t="s">
        <v>6642</v>
      </c>
      <c r="R5454" s="89"/>
    </row>
    <row r="5455" spans="1:18">
      <c r="A5455" s="118" t="s">
        <v>7297</v>
      </c>
      <c r="B5455" s="166"/>
      <c r="C5455" s="169" t="s">
        <v>3817</v>
      </c>
      <c r="D5455" s="165"/>
      <c r="E5455" s="169"/>
      <c r="F5455" s="169"/>
      <c r="G5455" s="169" t="s">
        <v>3618</v>
      </c>
      <c r="H5455" s="169" t="s">
        <v>3638</v>
      </c>
      <c r="I5455" s="169" t="s">
        <v>4136</v>
      </c>
      <c r="J5455" s="169" t="s">
        <v>4137</v>
      </c>
      <c r="K5455" s="141"/>
      <c r="L5455" s="135" t="str">
        <f t="shared" si="300"/>
        <v>Bolomys amoenus</v>
      </c>
      <c r="M5455" s="133">
        <f t="shared" si="299"/>
        <v>1.4624000000000001</v>
      </c>
      <c r="N5455" s="170">
        <v>29.000133690540697</v>
      </c>
      <c r="O5455" s="198" t="s">
        <v>3356</v>
      </c>
      <c r="P5455" s="108">
        <v>60</v>
      </c>
    </row>
    <row r="5456" spans="1:18">
      <c r="A5456" s="118" t="s">
        <v>7297</v>
      </c>
      <c r="B5456" s="166"/>
      <c r="C5456" s="169" t="s">
        <v>3817</v>
      </c>
      <c r="D5456" s="165"/>
      <c r="E5456" s="169"/>
      <c r="F5456" s="169"/>
      <c r="G5456" s="169" t="s">
        <v>3618</v>
      </c>
      <c r="H5456" s="169" t="s">
        <v>3638</v>
      </c>
      <c r="I5456" s="169" t="s">
        <v>4136</v>
      </c>
      <c r="J5456" s="169" t="s">
        <v>4119</v>
      </c>
      <c r="K5456" s="141"/>
      <c r="L5456" s="135" t="str">
        <f t="shared" si="300"/>
        <v>Bolomys lactens</v>
      </c>
      <c r="M5456" s="133">
        <f t="shared" si="299"/>
        <v>1.5172000000000001</v>
      </c>
      <c r="N5456" s="170">
        <v>32.900310752470581</v>
      </c>
      <c r="O5456" s="198" t="s">
        <v>3356</v>
      </c>
      <c r="P5456" s="108">
        <v>61</v>
      </c>
    </row>
    <row r="5457" spans="1:18">
      <c r="A5457" s="121" t="s">
        <v>7297</v>
      </c>
      <c r="B5457" s="166"/>
      <c r="C5457" s="169" t="s">
        <v>3817</v>
      </c>
      <c r="D5457" s="165"/>
      <c r="E5457" s="169"/>
      <c r="F5457" s="169"/>
      <c r="G5457" s="169" t="s">
        <v>3618</v>
      </c>
      <c r="H5457" s="169" t="s">
        <v>3638</v>
      </c>
      <c r="I5457" s="169" t="s">
        <v>4136</v>
      </c>
      <c r="J5457" s="169" t="s">
        <v>3867</v>
      </c>
      <c r="K5457" s="141"/>
      <c r="L5457" s="135" t="str">
        <f t="shared" si="300"/>
        <v>Bolomys punctulatus</v>
      </c>
      <c r="M5457" s="133">
        <f t="shared" si="299"/>
        <v>1.5717100000000002</v>
      </c>
      <c r="N5457" s="170">
        <v>37.300100331909285</v>
      </c>
      <c r="O5457" s="198" t="s">
        <v>3356</v>
      </c>
      <c r="P5457" s="108">
        <v>61</v>
      </c>
    </row>
    <row r="5458" spans="1:18" ht="12" customHeight="1">
      <c r="A5458" s="121" t="s">
        <v>7297</v>
      </c>
      <c r="B5458" s="166"/>
      <c r="C5458" s="169" t="s">
        <v>3817</v>
      </c>
      <c r="D5458" s="165"/>
      <c r="E5458" s="169"/>
      <c r="F5458" s="169"/>
      <c r="G5458" s="169" t="s">
        <v>3618</v>
      </c>
      <c r="H5458" s="169" t="s">
        <v>3638</v>
      </c>
      <c r="I5458" s="169" t="s">
        <v>4136</v>
      </c>
      <c r="J5458" s="169" t="s">
        <v>4395</v>
      </c>
      <c r="K5458" s="141"/>
      <c r="L5458" s="135" t="str">
        <f t="shared" si="300"/>
        <v>Bolomys lasiurus</v>
      </c>
      <c r="M5458" s="133">
        <f t="shared" si="299"/>
        <v>1.6013400000000002</v>
      </c>
      <c r="N5458" s="170">
        <v>39.933741286437503</v>
      </c>
      <c r="O5458" s="198" t="s">
        <v>3356</v>
      </c>
      <c r="P5458" s="108">
        <v>60</v>
      </c>
      <c r="R5458" s="89"/>
    </row>
    <row r="5459" spans="1:18">
      <c r="A5459" s="118" t="s">
        <v>7297</v>
      </c>
      <c r="B5459" s="166"/>
      <c r="C5459" s="169" t="s">
        <v>3817</v>
      </c>
      <c r="D5459" s="165"/>
      <c r="E5459" s="169"/>
      <c r="F5459" s="169"/>
      <c r="G5459" s="169" t="s">
        <v>3618</v>
      </c>
      <c r="H5459" s="169" t="s">
        <v>3638</v>
      </c>
      <c r="I5459" s="169" t="s">
        <v>4136</v>
      </c>
      <c r="J5459" s="169" t="s">
        <v>7543</v>
      </c>
      <c r="K5459" s="141"/>
      <c r="L5459" s="135" t="str">
        <f t="shared" si="300"/>
        <v>Bolomys obscurus</v>
      </c>
      <c r="M5459" s="133">
        <f t="shared" si="299"/>
        <v>1.6095944092252201</v>
      </c>
      <c r="N5459" s="170">
        <v>40.700000000000003</v>
      </c>
      <c r="O5459" s="198" t="s">
        <v>3356</v>
      </c>
      <c r="P5459" s="108">
        <v>61</v>
      </c>
    </row>
    <row r="5460" spans="1:18">
      <c r="A5460" s="118" t="s">
        <v>7297</v>
      </c>
      <c r="B5460" s="166"/>
      <c r="C5460" s="169" t="s">
        <v>3817</v>
      </c>
      <c r="D5460" s="165"/>
      <c r="E5460" s="169"/>
      <c r="F5460" s="169"/>
      <c r="G5460" s="169" t="s">
        <v>3618</v>
      </c>
      <c r="H5460" s="169" t="s">
        <v>3638</v>
      </c>
      <c r="I5460" s="169" t="s">
        <v>4136</v>
      </c>
      <c r="J5460" s="169" t="s">
        <v>3433</v>
      </c>
      <c r="K5460" s="141"/>
      <c r="L5460" s="135" t="str">
        <f t="shared" si="300"/>
        <v>Bolomys temchuki</v>
      </c>
      <c r="M5460" s="133">
        <f t="shared" si="299"/>
        <v>1.67394</v>
      </c>
      <c r="N5460" s="170">
        <v>47.199782784917133</v>
      </c>
      <c r="O5460" s="198" t="s">
        <v>3356</v>
      </c>
      <c r="P5460" s="108">
        <v>61</v>
      </c>
    </row>
    <row r="5461" spans="1:18">
      <c r="A5461" s="118" t="s">
        <v>7297</v>
      </c>
      <c r="B5461" s="166"/>
      <c r="C5461" s="169" t="s">
        <v>3817</v>
      </c>
      <c r="D5461" s="165"/>
      <c r="E5461" s="169"/>
      <c r="F5461" s="169"/>
      <c r="G5461" s="169" t="s">
        <v>3618</v>
      </c>
      <c r="H5461" s="169" t="s">
        <v>3638</v>
      </c>
      <c r="I5461" s="169" t="s">
        <v>3685</v>
      </c>
      <c r="J5461" s="169" t="s">
        <v>4107</v>
      </c>
      <c r="K5461" s="141"/>
      <c r="L5461" s="135" t="str">
        <f t="shared" si="300"/>
        <v>Calomys tener</v>
      </c>
      <c r="M5461" s="133">
        <f t="shared" si="299"/>
        <v>1.13988</v>
      </c>
      <c r="N5461" s="170">
        <v>13.80002903024727</v>
      </c>
      <c r="O5461" s="198" t="s">
        <v>3356</v>
      </c>
      <c r="P5461" s="108">
        <v>61</v>
      </c>
    </row>
    <row r="5462" spans="1:18">
      <c r="A5462" s="118" t="s">
        <v>7297</v>
      </c>
      <c r="B5462" s="166"/>
      <c r="C5462" s="169" t="s">
        <v>3817</v>
      </c>
      <c r="D5462" s="165"/>
      <c r="E5462" s="169"/>
      <c r="F5462" s="169"/>
      <c r="G5462" s="169" t="s">
        <v>3618</v>
      </c>
      <c r="H5462" s="169" t="s">
        <v>3638</v>
      </c>
      <c r="I5462" s="169" t="s">
        <v>3685</v>
      </c>
      <c r="J5462" s="169" t="s">
        <v>4318</v>
      </c>
      <c r="K5462" s="141"/>
      <c r="L5462" s="135" t="str">
        <f t="shared" si="300"/>
        <v>Calomys laucha</v>
      </c>
      <c r="M5462" s="133">
        <f t="shared" si="299"/>
        <v>1.1461300000000003</v>
      </c>
      <c r="N5462" s="170">
        <v>14.000063322395309</v>
      </c>
      <c r="O5462" s="198" t="s">
        <v>3356</v>
      </c>
      <c r="P5462" s="108">
        <v>61</v>
      </c>
    </row>
    <row r="5463" spans="1:18">
      <c r="A5463" s="118" t="s">
        <v>7297</v>
      </c>
      <c r="B5463" s="166"/>
      <c r="C5463" s="169" t="s">
        <v>3817</v>
      </c>
      <c r="D5463" s="165"/>
      <c r="E5463" s="169"/>
      <c r="F5463" s="169"/>
      <c r="G5463" s="169" t="s">
        <v>3618</v>
      </c>
      <c r="H5463" s="169" t="s">
        <v>3638</v>
      </c>
      <c r="I5463" s="169" t="s">
        <v>3685</v>
      </c>
      <c r="J5463" s="169" t="s">
        <v>4325</v>
      </c>
      <c r="K5463" s="141"/>
      <c r="L5463" s="135" t="str">
        <f t="shared" si="300"/>
        <v>Calomys sorellus</v>
      </c>
      <c r="M5463" s="133">
        <f t="shared" si="299"/>
        <v>1.3010300000000001</v>
      </c>
      <c r="N5463" s="170">
        <v>20.000000199681054</v>
      </c>
      <c r="O5463" s="198" t="s">
        <v>3356</v>
      </c>
      <c r="P5463" s="108">
        <v>60</v>
      </c>
    </row>
    <row r="5464" spans="1:18">
      <c r="A5464" s="118" t="s">
        <v>7297</v>
      </c>
      <c r="B5464" s="166"/>
      <c r="C5464" s="169" t="s">
        <v>3817</v>
      </c>
      <c r="D5464" s="165"/>
      <c r="E5464" s="169"/>
      <c r="F5464" s="169"/>
      <c r="G5464" s="169" t="s">
        <v>3618</v>
      </c>
      <c r="H5464" s="169" t="s">
        <v>3638</v>
      </c>
      <c r="I5464" s="169" t="s">
        <v>3685</v>
      </c>
      <c r="J5464" s="169" t="s">
        <v>4319</v>
      </c>
      <c r="K5464" s="141"/>
      <c r="L5464" s="135" t="str">
        <f t="shared" si="300"/>
        <v>Calomys musculinus</v>
      </c>
      <c r="M5464" s="133">
        <f t="shared" si="299"/>
        <v>1.3031999999999999</v>
      </c>
      <c r="N5464" s="170">
        <v>20.100182471136932</v>
      </c>
      <c r="O5464" s="198" t="s">
        <v>3356</v>
      </c>
      <c r="P5464" s="108">
        <v>60</v>
      </c>
    </row>
    <row r="5465" spans="1:18">
      <c r="A5465" s="118" t="s">
        <v>7297</v>
      </c>
      <c r="B5465" s="166"/>
      <c r="C5465" s="169" t="s">
        <v>3817</v>
      </c>
      <c r="D5465" s="165"/>
      <c r="E5465" s="169"/>
      <c r="F5465" s="169"/>
      <c r="G5465" s="169" t="s">
        <v>3618</v>
      </c>
      <c r="H5465" s="169" t="s">
        <v>3638</v>
      </c>
      <c r="I5465" s="169" t="s">
        <v>3685</v>
      </c>
      <c r="J5465" s="169" t="s">
        <v>2175</v>
      </c>
      <c r="K5465" s="141"/>
      <c r="L5465" s="135" t="str">
        <f t="shared" si="300"/>
        <v>Calomys lepidus</v>
      </c>
      <c r="M5465" s="133">
        <f t="shared" si="299"/>
        <v>1.4248799999999999</v>
      </c>
      <c r="N5465" s="170">
        <v>26.599899758559765</v>
      </c>
      <c r="O5465" s="198" t="s">
        <v>3356</v>
      </c>
      <c r="P5465" s="108">
        <v>60</v>
      </c>
    </row>
    <row r="5466" spans="1:18">
      <c r="A5466" s="118" t="s">
        <v>7297</v>
      </c>
      <c r="B5466" s="166"/>
      <c r="C5466" s="169" t="s">
        <v>3817</v>
      </c>
      <c r="D5466" s="165"/>
      <c r="E5466" s="169"/>
      <c r="F5466" s="169"/>
      <c r="G5466" s="169" t="s">
        <v>3618</v>
      </c>
      <c r="H5466" s="169" t="s">
        <v>3638</v>
      </c>
      <c r="I5466" s="169" t="s">
        <v>3685</v>
      </c>
      <c r="J5466" s="169" t="s">
        <v>3686</v>
      </c>
      <c r="K5466" s="141"/>
      <c r="L5466" s="135" t="str">
        <f t="shared" si="300"/>
        <v>Calomys boliviae</v>
      </c>
      <c r="M5466" s="133">
        <f t="shared" si="299"/>
        <v>1.43136</v>
      </c>
      <c r="N5466" s="170">
        <v>26.999765984012107</v>
      </c>
      <c r="O5466" s="198" t="s">
        <v>3356</v>
      </c>
      <c r="P5466" s="108">
        <v>61</v>
      </c>
    </row>
    <row r="5467" spans="1:18">
      <c r="A5467" s="118" t="s">
        <v>7297</v>
      </c>
      <c r="B5467" s="166"/>
      <c r="C5467" s="169" t="s">
        <v>3817</v>
      </c>
      <c r="D5467" s="165"/>
      <c r="E5467" s="169"/>
      <c r="F5467" s="169"/>
      <c r="G5467" s="169" t="s">
        <v>3618</v>
      </c>
      <c r="H5467" s="169" t="s">
        <v>3638</v>
      </c>
      <c r="I5467" s="169" t="s">
        <v>3685</v>
      </c>
      <c r="J5467" s="169" t="s">
        <v>3687</v>
      </c>
      <c r="K5467" s="141"/>
      <c r="L5467" s="135" t="str">
        <f t="shared" si="300"/>
        <v>Calomys callidus</v>
      </c>
      <c r="M5467" s="133">
        <f t="shared" si="299"/>
        <v>1.43136</v>
      </c>
      <c r="N5467" s="170">
        <v>26.999765984012107</v>
      </c>
      <c r="O5467" s="198" t="s">
        <v>3356</v>
      </c>
      <c r="P5467" s="108">
        <v>61</v>
      </c>
    </row>
    <row r="5468" spans="1:18">
      <c r="A5468" s="118" t="s">
        <v>7297</v>
      </c>
      <c r="B5468" s="166"/>
      <c r="C5468" s="169" t="s">
        <v>3817</v>
      </c>
      <c r="D5468" s="165"/>
      <c r="E5468" s="169"/>
      <c r="F5468" s="169"/>
      <c r="G5468" s="169" t="s">
        <v>3618</v>
      </c>
      <c r="H5468" s="169" t="s">
        <v>3638</v>
      </c>
      <c r="I5468" s="169" t="s">
        <v>3685</v>
      </c>
      <c r="J5468" s="169" t="s">
        <v>3654</v>
      </c>
      <c r="K5468" s="141"/>
      <c r="L5468" s="135" t="str">
        <f t="shared" si="300"/>
        <v>Calomys hummelincki</v>
      </c>
      <c r="M5468" s="133">
        <f t="shared" si="299"/>
        <v>1.43136</v>
      </c>
      <c r="N5468" s="170">
        <v>26.999765984012107</v>
      </c>
      <c r="O5468" s="198" t="s">
        <v>3356</v>
      </c>
      <c r="P5468" s="108">
        <v>61</v>
      </c>
    </row>
    <row r="5469" spans="1:18">
      <c r="A5469" s="118" t="s">
        <v>7297</v>
      </c>
      <c r="B5469" s="166"/>
      <c r="C5469" s="169" t="s">
        <v>3817</v>
      </c>
      <c r="D5469" s="165"/>
      <c r="E5469" s="169"/>
      <c r="F5469" s="169"/>
      <c r="G5469" s="169" t="s">
        <v>3618</v>
      </c>
      <c r="H5469" s="169" t="s">
        <v>3638</v>
      </c>
      <c r="I5469" s="169" t="s">
        <v>3685</v>
      </c>
      <c r="J5469" s="169" t="s">
        <v>3653</v>
      </c>
      <c r="K5469" s="141"/>
      <c r="L5469" s="135" t="str">
        <f t="shared" si="300"/>
        <v>Calomys callosus</v>
      </c>
      <c r="M5469" s="133">
        <f t="shared" si="299"/>
        <v>1.6527300000000003</v>
      </c>
      <c r="N5469" s="170">
        <v>44.950031457208595</v>
      </c>
      <c r="O5469" s="198" t="s">
        <v>3356</v>
      </c>
      <c r="P5469" s="108">
        <v>60</v>
      </c>
    </row>
    <row r="5470" spans="1:18" ht="15" customHeight="1">
      <c r="A5470" s="121" t="s">
        <v>7297</v>
      </c>
      <c r="B5470" s="166"/>
      <c r="C5470" s="169" t="s">
        <v>3817</v>
      </c>
      <c r="D5470" s="165"/>
      <c r="E5470" s="169"/>
      <c r="F5470" s="169"/>
      <c r="G5470" s="169" t="s">
        <v>3618</v>
      </c>
      <c r="H5470" s="169" t="s">
        <v>3638</v>
      </c>
      <c r="I5470" s="169" t="s">
        <v>3247</v>
      </c>
      <c r="J5470" s="169" t="s">
        <v>2938</v>
      </c>
      <c r="K5470" s="141"/>
      <c r="L5470" s="135" t="str">
        <f t="shared" si="300"/>
        <v>Chelemys megalonyx</v>
      </c>
      <c r="M5470" s="133">
        <f t="shared" si="299"/>
        <v>1.7058600000000002</v>
      </c>
      <c r="N5470" s="170">
        <v>50.799565771095516</v>
      </c>
      <c r="O5470" s="198" t="s">
        <v>3356</v>
      </c>
      <c r="P5470" s="108">
        <v>60</v>
      </c>
    </row>
    <row r="5471" spans="1:18">
      <c r="A5471" s="118" t="s">
        <v>7297</v>
      </c>
      <c r="B5471" s="166"/>
      <c r="C5471" s="169" t="s">
        <v>3817</v>
      </c>
      <c r="D5471" s="165"/>
      <c r="E5471" s="169"/>
      <c r="F5471" s="169"/>
      <c r="G5471" s="169" t="s">
        <v>3618</v>
      </c>
      <c r="H5471" s="169" t="s">
        <v>3638</v>
      </c>
      <c r="I5471" s="169" t="s">
        <v>3247</v>
      </c>
      <c r="J5471" s="169" t="s">
        <v>3248</v>
      </c>
      <c r="K5471" s="141"/>
      <c r="L5471" s="135" t="str">
        <f t="shared" si="300"/>
        <v>Chelemys macronyx</v>
      </c>
      <c r="M5471" s="133">
        <f t="shared" si="299"/>
        <v>1.8651</v>
      </c>
      <c r="N5471" s="170">
        <v>73.299329165177895</v>
      </c>
      <c r="O5471" s="198" t="s">
        <v>3356</v>
      </c>
      <c r="P5471" s="108">
        <v>61</v>
      </c>
    </row>
    <row r="5472" spans="1:18">
      <c r="A5472" s="118" t="s">
        <v>7297</v>
      </c>
      <c r="B5472" s="166"/>
      <c r="C5472" s="169" t="s">
        <v>3817</v>
      </c>
      <c r="D5472" s="165"/>
      <c r="E5472" s="169"/>
      <c r="F5472" s="169"/>
      <c r="G5472" s="169" t="s">
        <v>3618</v>
      </c>
      <c r="H5472" s="169" t="s">
        <v>3638</v>
      </c>
      <c r="I5472" s="169" t="s">
        <v>4109</v>
      </c>
      <c r="J5472" s="169" t="s">
        <v>4110</v>
      </c>
      <c r="K5472" s="141"/>
      <c r="L5472" s="135" t="str">
        <f t="shared" si="300"/>
        <v>Chibchanomys trichotis</v>
      </c>
      <c r="M5472" s="133">
        <f t="shared" si="299"/>
        <v>1.6989700000000001</v>
      </c>
      <c r="N5472" s="170">
        <v>49.999999500797408</v>
      </c>
      <c r="O5472" s="198" t="s">
        <v>6882</v>
      </c>
      <c r="P5472" s="108">
        <v>61</v>
      </c>
      <c r="Q5472" s="90" t="s">
        <v>6642</v>
      </c>
    </row>
    <row r="5473" spans="1:19">
      <c r="A5473" s="118" t="s">
        <v>7297</v>
      </c>
      <c r="B5473" s="166"/>
      <c r="C5473" s="169" t="s">
        <v>3817</v>
      </c>
      <c r="D5473" s="165"/>
      <c r="E5473" s="169"/>
      <c r="F5473" s="169"/>
      <c r="G5473" s="169" t="s">
        <v>3618</v>
      </c>
      <c r="H5473" s="169" t="s">
        <v>3638</v>
      </c>
      <c r="I5473" s="169" t="s">
        <v>4111</v>
      </c>
      <c r="J5473" s="169" t="s">
        <v>3511</v>
      </c>
      <c r="K5473" s="156"/>
      <c r="L5473" s="135" t="str">
        <f t="shared" si="300"/>
        <v>Chilomys instans</v>
      </c>
      <c r="M5473" s="133">
        <f t="shared" si="299"/>
        <v>1.2787500000000001</v>
      </c>
      <c r="N5473" s="170">
        <v>18.999842462147331</v>
      </c>
      <c r="O5473" s="198" t="s">
        <v>3356</v>
      </c>
      <c r="P5473" s="108">
        <v>61</v>
      </c>
    </row>
    <row r="5474" spans="1:19">
      <c r="A5474" s="118" t="s">
        <v>7297</v>
      </c>
      <c r="B5474" s="166"/>
      <c r="C5474" s="169" t="s">
        <v>3817</v>
      </c>
      <c r="D5474" s="165"/>
      <c r="E5474" s="169"/>
      <c r="F5474" s="169"/>
      <c r="G5474" s="169" t="s">
        <v>3618</v>
      </c>
      <c r="H5474" s="169" t="s">
        <v>3638</v>
      </c>
      <c r="I5474" s="169" t="s">
        <v>3512</v>
      </c>
      <c r="J5474" s="169" t="s">
        <v>3681</v>
      </c>
      <c r="K5474" s="141"/>
      <c r="L5474" s="135" t="str">
        <f t="shared" si="300"/>
        <v>Chinchillula sahamae</v>
      </c>
      <c r="M5474" s="133">
        <f t="shared" si="299"/>
        <v>2.2298100000000005</v>
      </c>
      <c r="N5474" s="170">
        <v>169.75008483602085</v>
      </c>
      <c r="O5474" s="198" t="s">
        <v>3356</v>
      </c>
      <c r="P5474" s="111">
        <v>61</v>
      </c>
      <c r="S5474" s="92"/>
    </row>
    <row r="5475" spans="1:19">
      <c r="A5475" s="118" t="s">
        <v>7297</v>
      </c>
      <c r="B5475" s="166"/>
      <c r="C5475" s="169" t="s">
        <v>3817</v>
      </c>
      <c r="D5475" s="165"/>
      <c r="E5475" s="169"/>
      <c r="F5475" s="169"/>
      <c r="G5475" s="169" t="s">
        <v>3618</v>
      </c>
      <c r="H5475" s="169" t="s">
        <v>3638</v>
      </c>
      <c r="I5475" s="169" t="s">
        <v>3682</v>
      </c>
      <c r="J5475" s="169" t="s">
        <v>3946</v>
      </c>
      <c r="K5475" s="141"/>
      <c r="L5475" s="135" t="str">
        <f t="shared" si="300"/>
        <v>Chroeomys andinus</v>
      </c>
      <c r="M5475" s="133">
        <f t="shared" si="299"/>
        <v>1.2552700000000003</v>
      </c>
      <c r="N5475" s="170">
        <v>17.999896172455941</v>
      </c>
      <c r="O5475" s="198" t="s">
        <v>3356</v>
      </c>
      <c r="P5475" s="108">
        <v>60</v>
      </c>
    </row>
    <row r="5476" spans="1:19">
      <c r="A5476" s="118" t="s">
        <v>7297</v>
      </c>
      <c r="B5476" s="166"/>
      <c r="C5476" s="169" t="s">
        <v>3817</v>
      </c>
      <c r="D5476" s="165"/>
      <c r="E5476" s="169"/>
      <c r="F5476" s="169"/>
      <c r="G5476" s="169" t="s">
        <v>3618</v>
      </c>
      <c r="H5476" s="169" t="s">
        <v>3638</v>
      </c>
      <c r="I5476" s="169" t="s">
        <v>3682</v>
      </c>
      <c r="J5476" s="169" t="s">
        <v>3947</v>
      </c>
      <c r="K5476" s="141"/>
      <c r="L5476" s="135" t="str">
        <f t="shared" si="300"/>
        <v>Chroeomys jelskii</v>
      </c>
      <c r="M5476" s="133">
        <f t="shared" si="299"/>
        <v>1.5378200000000002</v>
      </c>
      <c r="N5476" s="170">
        <v>34.50007188671713</v>
      </c>
      <c r="O5476" s="198" t="s">
        <v>3356</v>
      </c>
      <c r="P5476" s="108">
        <v>60</v>
      </c>
    </row>
    <row r="5477" spans="1:19">
      <c r="A5477" s="118" t="s">
        <v>7297</v>
      </c>
      <c r="B5477" s="166"/>
      <c r="C5477" s="169" t="s">
        <v>3817</v>
      </c>
      <c r="D5477" s="165"/>
      <c r="E5477" s="169"/>
      <c r="F5477" s="169"/>
      <c r="G5477" s="169" t="s">
        <v>3618</v>
      </c>
      <c r="H5477" s="169" t="s">
        <v>3638</v>
      </c>
      <c r="I5477" s="169" t="s">
        <v>3250</v>
      </c>
      <c r="J5477" s="169" t="s">
        <v>3630</v>
      </c>
      <c r="K5477" s="141"/>
      <c r="L5477" s="135" t="str">
        <f t="shared" si="300"/>
        <v>Delomys dorsalis</v>
      </c>
      <c r="M5477" s="133">
        <f t="shared" si="299"/>
        <v>1.8292999999999999</v>
      </c>
      <c r="N5477" s="170">
        <v>67.499413612194886</v>
      </c>
      <c r="O5477" s="198" t="s">
        <v>3356</v>
      </c>
      <c r="P5477" s="108">
        <v>60</v>
      </c>
    </row>
    <row r="5478" spans="1:19">
      <c r="A5478" s="118" t="s">
        <v>7297</v>
      </c>
      <c r="B5478" s="166"/>
      <c r="C5478" s="169" t="s">
        <v>3817</v>
      </c>
      <c r="D5478" s="165"/>
      <c r="E5478" s="169"/>
      <c r="F5478" s="169"/>
      <c r="G5478" s="169" t="s">
        <v>3618</v>
      </c>
      <c r="H5478" s="169" t="s">
        <v>3638</v>
      </c>
      <c r="I5478" s="169" t="s">
        <v>3250</v>
      </c>
      <c r="J5478" s="169" t="s">
        <v>3706</v>
      </c>
      <c r="K5478" s="156"/>
      <c r="L5478" s="135" t="str">
        <f t="shared" si="300"/>
        <v>Delomys sublineatus</v>
      </c>
      <c r="M5478" s="133">
        <f t="shared" si="299"/>
        <v>1.9542400000000002</v>
      </c>
      <c r="N5478" s="170">
        <v>89.999479963720162</v>
      </c>
      <c r="O5478" s="198" t="s">
        <v>3356</v>
      </c>
      <c r="P5478" s="117">
        <v>61</v>
      </c>
    </row>
    <row r="5479" spans="1:19" ht="12" customHeight="1">
      <c r="A5479" s="118" t="s">
        <v>7297</v>
      </c>
      <c r="B5479" s="166"/>
      <c r="C5479" s="169" t="s">
        <v>3817</v>
      </c>
      <c r="D5479" s="165"/>
      <c r="E5479" s="169"/>
      <c r="F5479" s="169"/>
      <c r="G5479" s="169" t="s">
        <v>3618</v>
      </c>
      <c r="H5479" s="169" t="s">
        <v>3638</v>
      </c>
      <c r="I5479" s="169" t="s">
        <v>3506</v>
      </c>
      <c r="J5479" s="169" t="s">
        <v>3707</v>
      </c>
      <c r="K5479" s="141"/>
      <c r="L5479" s="135" t="str">
        <f t="shared" si="300"/>
        <v>Eligmodontia morgani</v>
      </c>
      <c r="M5479" s="133">
        <f t="shared" si="299"/>
        <v>1.2174799999999999</v>
      </c>
      <c r="N5479" s="170">
        <v>16.499850149526083</v>
      </c>
      <c r="O5479" s="198" t="s">
        <v>3356</v>
      </c>
      <c r="P5479" s="117">
        <v>61</v>
      </c>
      <c r="R5479" s="89"/>
    </row>
    <row r="5480" spans="1:19">
      <c r="A5480" s="118" t="s">
        <v>7297</v>
      </c>
      <c r="B5480" s="166"/>
      <c r="C5480" s="169" t="s">
        <v>3817</v>
      </c>
      <c r="D5480" s="165"/>
      <c r="E5480" s="169"/>
      <c r="F5480" s="169"/>
      <c r="G5480" s="169" t="s">
        <v>3618</v>
      </c>
      <c r="H5480" s="169" t="s">
        <v>3638</v>
      </c>
      <c r="I5480" s="169" t="s">
        <v>3506</v>
      </c>
      <c r="J5480" s="169" t="s">
        <v>3509</v>
      </c>
      <c r="K5480" s="141"/>
      <c r="L5480" s="135" t="str">
        <f t="shared" si="300"/>
        <v>Eligmodontia typus</v>
      </c>
      <c r="M5480" s="133">
        <f t="shared" si="299"/>
        <v>1.2380500000000003</v>
      </c>
      <c r="N5480" s="170">
        <v>17.300155231477973</v>
      </c>
      <c r="O5480" s="198" t="s">
        <v>3356</v>
      </c>
      <c r="P5480" s="108">
        <v>60</v>
      </c>
    </row>
    <row r="5481" spans="1:19">
      <c r="A5481" s="118" t="s">
        <v>7297</v>
      </c>
      <c r="B5481" s="166"/>
      <c r="C5481" s="169" t="s">
        <v>3817</v>
      </c>
      <c r="D5481" s="165"/>
      <c r="E5481" s="169"/>
      <c r="F5481" s="169"/>
      <c r="G5481" s="169" t="s">
        <v>3618</v>
      </c>
      <c r="H5481" s="169" t="s">
        <v>3638</v>
      </c>
      <c r="I5481" s="169" t="s">
        <v>3506</v>
      </c>
      <c r="J5481" s="169" t="s">
        <v>3938</v>
      </c>
      <c r="K5481" s="141"/>
      <c r="L5481" s="135" t="str">
        <f t="shared" si="300"/>
        <v>Eligmodontia moreni</v>
      </c>
      <c r="M5481" s="133">
        <f t="shared" si="299"/>
        <v>1.2552700000000003</v>
      </c>
      <c r="N5481" s="170">
        <v>17.999896172455941</v>
      </c>
      <c r="O5481" s="198" t="s">
        <v>3356</v>
      </c>
      <c r="P5481" s="117">
        <v>61</v>
      </c>
    </row>
    <row r="5482" spans="1:19">
      <c r="A5482" s="118" t="s">
        <v>7297</v>
      </c>
      <c r="B5482" s="166"/>
      <c r="C5482" s="169" t="s">
        <v>3817</v>
      </c>
      <c r="D5482" s="165"/>
      <c r="E5482" s="169"/>
      <c r="F5482" s="169"/>
      <c r="G5482" s="169" t="s">
        <v>3618</v>
      </c>
      <c r="H5482" s="169" t="s">
        <v>3638</v>
      </c>
      <c r="I5482" s="169" t="s">
        <v>3506</v>
      </c>
      <c r="J5482" s="169" t="s">
        <v>3508</v>
      </c>
      <c r="K5482" s="141"/>
      <c r="L5482" s="135" t="str">
        <f t="shared" si="300"/>
        <v>Eligmodontia puerulus</v>
      </c>
      <c r="M5482" s="133">
        <f t="shared" si="299"/>
        <v>1.4548400000000001</v>
      </c>
      <c r="N5482" s="170">
        <v>28.499681070164815</v>
      </c>
      <c r="O5482" s="198" t="s">
        <v>3356</v>
      </c>
      <c r="P5482" s="117">
        <v>61</v>
      </c>
    </row>
    <row r="5483" spans="1:19">
      <c r="A5483" s="121" t="s">
        <v>7297</v>
      </c>
      <c r="B5483" s="166"/>
      <c r="C5483" s="169" t="s">
        <v>3817</v>
      </c>
      <c r="D5483" s="165"/>
      <c r="E5483" s="169"/>
      <c r="F5483" s="169"/>
      <c r="G5483" s="169" t="s">
        <v>3618</v>
      </c>
      <c r="H5483" s="169" t="s">
        <v>3638</v>
      </c>
      <c r="I5483" s="169" t="s">
        <v>3516</v>
      </c>
      <c r="J5483" s="169" t="s">
        <v>6743</v>
      </c>
      <c r="K5483" s="141"/>
      <c r="L5483" s="135" t="str">
        <f t="shared" si="300"/>
        <v>Euneomys mordax</v>
      </c>
      <c r="M5483" s="133">
        <f t="shared" si="299"/>
        <v>1.9138100000000002</v>
      </c>
      <c r="N5483" s="170">
        <v>81.999272627037982</v>
      </c>
      <c r="O5483" s="198" t="s">
        <v>3356</v>
      </c>
      <c r="P5483" s="117">
        <v>61</v>
      </c>
    </row>
    <row r="5484" spans="1:19">
      <c r="A5484" s="118" t="s">
        <v>7297</v>
      </c>
      <c r="B5484" s="166"/>
      <c r="C5484" s="169" t="s">
        <v>3817</v>
      </c>
      <c r="D5484" s="165"/>
      <c r="E5484" s="169"/>
      <c r="F5484" s="169"/>
      <c r="G5484" s="169" t="s">
        <v>3618</v>
      </c>
      <c r="H5484" s="169" t="s">
        <v>3638</v>
      </c>
      <c r="I5484" s="169" t="s">
        <v>3516</v>
      </c>
      <c r="J5484" s="169" t="s">
        <v>3261</v>
      </c>
      <c r="K5484" s="141"/>
      <c r="L5484" s="135" t="str">
        <f t="shared" si="300"/>
        <v>Euneomys fossor</v>
      </c>
      <c r="M5484" s="133">
        <f t="shared" si="299"/>
        <v>1.9190800000000001</v>
      </c>
      <c r="N5484" s="170">
        <v>83.000364575513203</v>
      </c>
      <c r="O5484" s="198" t="s">
        <v>3356</v>
      </c>
      <c r="P5484" s="117">
        <v>61</v>
      </c>
    </row>
    <row r="5485" spans="1:19">
      <c r="A5485" s="118" t="s">
        <v>7297</v>
      </c>
      <c r="B5485" s="166"/>
      <c r="C5485" s="169" t="s">
        <v>3817</v>
      </c>
      <c r="D5485" s="165"/>
      <c r="E5485" s="169"/>
      <c r="F5485" s="169"/>
      <c r="G5485" s="169" t="s">
        <v>3618</v>
      </c>
      <c r="H5485" s="169" t="s">
        <v>3638</v>
      </c>
      <c r="I5485" s="169" t="s">
        <v>3516</v>
      </c>
      <c r="J5485" s="169" t="s">
        <v>3262</v>
      </c>
      <c r="K5485" s="141"/>
      <c r="L5485" s="135" t="str">
        <f t="shared" si="300"/>
        <v>Euneomys petersoni</v>
      </c>
      <c r="M5485" s="133">
        <f t="shared" si="299"/>
        <v>1.9190800000000001</v>
      </c>
      <c r="N5485" s="170">
        <v>83.000364575513203</v>
      </c>
      <c r="O5485" s="198" t="s">
        <v>3356</v>
      </c>
      <c r="P5485" s="117">
        <v>61</v>
      </c>
    </row>
    <row r="5486" spans="1:19" ht="15" customHeight="1">
      <c r="A5486" s="118" t="s">
        <v>7297</v>
      </c>
      <c r="B5486" s="166"/>
      <c r="C5486" s="169" t="s">
        <v>3817</v>
      </c>
      <c r="D5486" s="165"/>
      <c r="E5486" s="169"/>
      <c r="F5486" s="169"/>
      <c r="G5486" s="169" t="s">
        <v>3618</v>
      </c>
      <c r="H5486" s="169" t="s">
        <v>3638</v>
      </c>
      <c r="I5486" s="169" t="s">
        <v>3516</v>
      </c>
      <c r="J5486" s="169" t="s">
        <v>3517</v>
      </c>
      <c r="K5486" s="141"/>
      <c r="L5486" s="135" t="str">
        <f t="shared" si="300"/>
        <v>Euneomys chinchilloides</v>
      </c>
      <c r="M5486" s="133">
        <f t="shared" si="299"/>
        <v>1.9426300000000001</v>
      </c>
      <c r="N5486" s="170">
        <v>87.62539727935517</v>
      </c>
      <c r="O5486" s="198" t="s">
        <v>3356</v>
      </c>
      <c r="P5486" s="108">
        <v>60</v>
      </c>
    </row>
    <row r="5487" spans="1:19" ht="12" customHeight="1">
      <c r="A5487" s="118" t="s">
        <v>7297</v>
      </c>
      <c r="B5487" s="166"/>
      <c r="C5487" s="169" t="s">
        <v>3817</v>
      </c>
      <c r="D5487" s="165"/>
      <c r="E5487" s="169"/>
      <c r="F5487" s="169"/>
      <c r="G5487" s="169" t="s">
        <v>3618</v>
      </c>
      <c r="H5487" s="169" t="s">
        <v>3638</v>
      </c>
      <c r="I5487" s="169" t="s">
        <v>3263</v>
      </c>
      <c r="J5487" s="169" t="s">
        <v>3264</v>
      </c>
      <c r="K5487" s="141"/>
      <c r="L5487" s="135" t="str">
        <f t="shared" si="300"/>
        <v>Galenomys garleppi</v>
      </c>
      <c r="M5487" s="133">
        <f t="shared" si="299"/>
        <v>1.7730500000000002</v>
      </c>
      <c r="N5487" s="170">
        <v>59.299359156036971</v>
      </c>
      <c r="O5487" s="198" t="s">
        <v>3356</v>
      </c>
      <c r="P5487" s="117">
        <v>61</v>
      </c>
      <c r="R5487" s="89"/>
    </row>
    <row r="5488" spans="1:19" ht="12" customHeight="1">
      <c r="A5488" s="118" t="s">
        <v>7297</v>
      </c>
      <c r="B5488" s="166"/>
      <c r="C5488" s="169" t="s">
        <v>3817</v>
      </c>
      <c r="D5488" s="165"/>
      <c r="E5488" s="169"/>
      <c r="F5488" s="169"/>
      <c r="G5488" s="169" t="s">
        <v>3618</v>
      </c>
      <c r="H5488" s="169" t="s">
        <v>3638</v>
      </c>
      <c r="I5488" s="169" t="s">
        <v>3265</v>
      </c>
      <c r="J5488" s="169" t="s">
        <v>3487</v>
      </c>
      <c r="K5488" s="141"/>
      <c r="L5488" s="135" t="str">
        <f t="shared" si="300"/>
        <v>Geoxus valdivianus</v>
      </c>
      <c r="M5488" s="133">
        <f t="shared" si="299"/>
        <v>1.4983100000000003</v>
      </c>
      <c r="N5488" s="170">
        <v>31.499959832873742</v>
      </c>
      <c r="O5488" s="198" t="s">
        <v>3356</v>
      </c>
      <c r="P5488" s="108">
        <v>60</v>
      </c>
      <c r="R5488" s="89"/>
    </row>
    <row r="5489" spans="1:22">
      <c r="A5489" s="118" t="s">
        <v>7297</v>
      </c>
      <c r="B5489" s="166"/>
      <c r="C5489" s="169" t="s">
        <v>3817</v>
      </c>
      <c r="D5489" s="165"/>
      <c r="E5489" s="169"/>
      <c r="F5489" s="169"/>
      <c r="G5489" s="169" t="s">
        <v>3618</v>
      </c>
      <c r="H5489" s="169" t="s">
        <v>3638</v>
      </c>
      <c r="I5489" s="169" t="s">
        <v>3939</v>
      </c>
      <c r="J5489" s="169" t="s">
        <v>3309</v>
      </c>
      <c r="K5489" s="141"/>
      <c r="L5489" s="135" t="str">
        <f t="shared" si="300"/>
        <v>Graomys edithae</v>
      </c>
      <c r="M5489" s="133">
        <f t="shared" si="299"/>
        <v>1.6063800000000001</v>
      </c>
      <c r="N5489" s="170">
        <v>40.39987301155309</v>
      </c>
      <c r="O5489" s="198" t="s">
        <v>3356</v>
      </c>
      <c r="P5489" s="117">
        <v>61</v>
      </c>
    </row>
    <row r="5490" spans="1:22" ht="15" customHeight="1">
      <c r="A5490" s="118" t="s">
        <v>7297</v>
      </c>
      <c r="B5490" s="166"/>
      <c r="C5490" s="169" t="s">
        <v>3817</v>
      </c>
      <c r="D5490" s="165"/>
      <c r="E5490" s="169"/>
      <c r="F5490" s="169"/>
      <c r="G5490" s="169" t="s">
        <v>3618</v>
      </c>
      <c r="H5490" s="169" t="s">
        <v>3638</v>
      </c>
      <c r="I5490" s="169" t="s">
        <v>3939</v>
      </c>
      <c r="J5490" s="169" t="s">
        <v>3065</v>
      </c>
      <c r="K5490" s="141"/>
      <c r="L5490" s="135" t="str">
        <f t="shared" si="300"/>
        <v>Graomys griseoflavus</v>
      </c>
      <c r="M5490" s="133">
        <f t="shared" si="299"/>
        <v>1.8292999999999999</v>
      </c>
      <c r="N5490" s="170">
        <v>67.499413612194886</v>
      </c>
      <c r="O5490" s="198" t="s">
        <v>3356</v>
      </c>
      <c r="P5490" s="108">
        <v>60</v>
      </c>
    </row>
    <row r="5491" spans="1:22">
      <c r="A5491" s="118" t="s">
        <v>7297</v>
      </c>
      <c r="B5491" s="166"/>
      <c r="C5491" s="169" t="s">
        <v>3817</v>
      </c>
      <c r="D5491" s="165"/>
      <c r="E5491" s="169"/>
      <c r="F5491" s="169"/>
      <c r="G5491" s="169" t="s">
        <v>3618</v>
      </c>
      <c r="H5491" s="169" t="s">
        <v>3638</v>
      </c>
      <c r="I5491" s="169" t="s">
        <v>3939</v>
      </c>
      <c r="J5491" s="169" t="s">
        <v>3308</v>
      </c>
      <c r="K5491" s="141"/>
      <c r="L5491" s="135" t="str">
        <f t="shared" si="300"/>
        <v>Graomys domorum</v>
      </c>
      <c r="M5491" s="133">
        <f t="shared" si="299"/>
        <v>2.0085999999999999</v>
      </c>
      <c r="N5491" s="170">
        <v>101.99995965937205</v>
      </c>
      <c r="O5491" s="198" t="s">
        <v>3356</v>
      </c>
      <c r="P5491" s="108">
        <v>60</v>
      </c>
    </row>
    <row r="5492" spans="1:22">
      <c r="A5492" s="118" t="s">
        <v>7297</v>
      </c>
      <c r="B5492" s="166"/>
      <c r="C5492" s="169" t="s">
        <v>3817</v>
      </c>
      <c r="D5492" s="165"/>
      <c r="E5492" s="169"/>
      <c r="F5492" s="169"/>
      <c r="G5492" s="169" t="s">
        <v>3618</v>
      </c>
      <c r="H5492" s="169" t="s">
        <v>3638</v>
      </c>
      <c r="I5492" s="169" t="s">
        <v>6222</v>
      </c>
      <c r="J5492" s="169" t="s">
        <v>4467</v>
      </c>
      <c r="K5492" s="141"/>
      <c r="L5492" s="135" t="str">
        <f t="shared" si="300"/>
        <v>Holochilus brasiliensis</v>
      </c>
      <c r="M5492" s="133">
        <f t="shared" si="299"/>
        <v>2.1903300000000003</v>
      </c>
      <c r="N5492" s="170">
        <v>154.99939392303725</v>
      </c>
      <c r="O5492" s="198" t="s">
        <v>3356</v>
      </c>
      <c r="P5492" s="108">
        <v>60</v>
      </c>
    </row>
    <row r="5493" spans="1:22">
      <c r="A5493" s="118" t="s">
        <v>7297</v>
      </c>
      <c r="B5493" s="166"/>
      <c r="C5493" s="169" t="s">
        <v>3817</v>
      </c>
      <c r="D5493" s="165"/>
      <c r="E5493" s="169"/>
      <c r="F5493" s="169"/>
      <c r="G5493" s="169" t="s">
        <v>3618</v>
      </c>
      <c r="H5493" s="169" t="s">
        <v>3638</v>
      </c>
      <c r="I5493" s="169" t="s">
        <v>6222</v>
      </c>
      <c r="J5493" s="169" t="s">
        <v>7159</v>
      </c>
      <c r="K5493" s="141"/>
      <c r="L5493" s="135" t="str">
        <f t="shared" si="300"/>
        <v>Holochilus sciureus</v>
      </c>
      <c r="M5493" s="133">
        <f t="shared" ref="M5493:M5513" si="301">LOG(N5493)</f>
        <v>2.2328945091560128</v>
      </c>
      <c r="N5493" s="169">
        <f>AVERAGE(263.5, 131.5, 198.5, 131.1, 130.2)</f>
        <v>170.95999999999998</v>
      </c>
      <c r="O5493" s="198"/>
      <c r="P5493" s="117">
        <v>273</v>
      </c>
    </row>
    <row r="5494" spans="1:22">
      <c r="A5494" s="118" t="s">
        <v>7297</v>
      </c>
      <c r="B5494" s="166"/>
      <c r="C5494" s="169" t="s">
        <v>3817</v>
      </c>
      <c r="D5494" s="165"/>
      <c r="E5494" s="169"/>
      <c r="F5494" s="169"/>
      <c r="G5494" s="169" t="s">
        <v>3618</v>
      </c>
      <c r="H5494" s="169" t="s">
        <v>3638</v>
      </c>
      <c r="I5494" s="169" t="s">
        <v>6222</v>
      </c>
      <c r="J5494" s="169" t="s">
        <v>3067</v>
      </c>
      <c r="K5494" s="141"/>
      <c r="L5494" s="135" t="str">
        <f t="shared" si="300"/>
        <v>Holochilus chacarius</v>
      </c>
      <c r="M5494" s="133">
        <f t="shared" si="301"/>
        <v>2.3096299999999998</v>
      </c>
      <c r="N5494" s="170">
        <v>203.9999213554899</v>
      </c>
      <c r="O5494" s="198" t="s">
        <v>3356</v>
      </c>
      <c r="P5494" s="117">
        <v>61</v>
      </c>
    </row>
    <row r="5495" spans="1:22">
      <c r="A5495" s="118" t="s">
        <v>7297</v>
      </c>
      <c r="B5495" s="166"/>
      <c r="C5495" s="169" t="s">
        <v>3817</v>
      </c>
      <c r="D5495" s="165"/>
      <c r="E5495" s="169"/>
      <c r="F5495" s="169"/>
      <c r="G5495" s="169" t="s">
        <v>3618</v>
      </c>
      <c r="H5495" s="169" t="s">
        <v>3638</v>
      </c>
      <c r="I5495" s="169" t="s">
        <v>6222</v>
      </c>
      <c r="J5495" s="169" t="s">
        <v>3068</v>
      </c>
      <c r="K5495" s="141"/>
      <c r="L5495" s="135" t="str">
        <f t="shared" si="300"/>
        <v>Holochilus magnus</v>
      </c>
      <c r="M5495" s="133">
        <f t="shared" si="301"/>
        <v>2.3774900000000003</v>
      </c>
      <c r="N5495" s="170">
        <v>238.50088779739571</v>
      </c>
      <c r="O5495" s="198" t="s">
        <v>3356</v>
      </c>
      <c r="P5495" s="117">
        <v>61</v>
      </c>
    </row>
    <row r="5496" spans="1:22">
      <c r="A5496" s="121" t="s">
        <v>7297</v>
      </c>
      <c r="B5496" s="166"/>
      <c r="C5496" s="169" t="s">
        <v>3817</v>
      </c>
      <c r="D5496" s="165"/>
      <c r="E5496" s="169"/>
      <c r="F5496" s="169"/>
      <c r="G5496" s="169" t="s">
        <v>3618</v>
      </c>
      <c r="H5496" s="169" t="s">
        <v>3638</v>
      </c>
      <c r="I5496" s="169" t="s">
        <v>3268</v>
      </c>
      <c r="J5496" s="169" t="s">
        <v>3269</v>
      </c>
      <c r="K5496" s="141"/>
      <c r="L5496" s="135" t="str">
        <f t="shared" si="300"/>
        <v>Ichthyomys hydrobates</v>
      </c>
      <c r="M5496" s="133">
        <f t="shared" si="301"/>
        <v>1.8221700000000001</v>
      </c>
      <c r="N5496" s="170">
        <v>66.400293649242514</v>
      </c>
      <c r="O5496" s="198" t="s">
        <v>6882</v>
      </c>
      <c r="P5496" s="117">
        <v>61</v>
      </c>
      <c r="Q5496" s="90" t="s">
        <v>6642</v>
      </c>
    </row>
    <row r="5497" spans="1:22">
      <c r="A5497" s="118" t="s">
        <v>7297</v>
      </c>
      <c r="B5497" s="166"/>
      <c r="C5497" s="169" t="s">
        <v>3817</v>
      </c>
      <c r="D5497" s="165"/>
      <c r="E5497" s="169"/>
      <c r="F5497" s="169"/>
      <c r="G5497" s="169" t="s">
        <v>3618</v>
      </c>
      <c r="H5497" s="169" t="s">
        <v>3638</v>
      </c>
      <c r="I5497" s="169" t="s">
        <v>3268</v>
      </c>
      <c r="J5497" s="169" t="s">
        <v>3486</v>
      </c>
      <c r="K5497" s="141"/>
      <c r="L5497" s="135" t="str">
        <f t="shared" si="300"/>
        <v>Ichthyomys pittieri</v>
      </c>
      <c r="M5497" s="133">
        <f t="shared" si="301"/>
        <v>1.8394800000000002</v>
      </c>
      <c r="N5497" s="170">
        <v>69.100310680314522</v>
      </c>
      <c r="O5497" s="198" t="s">
        <v>6882</v>
      </c>
      <c r="P5497" s="117">
        <v>61</v>
      </c>
      <c r="Q5497" s="90" t="s">
        <v>6988</v>
      </c>
      <c r="U5497" s="20"/>
      <c r="V5497" s="20"/>
    </row>
    <row r="5498" spans="1:22">
      <c r="A5498" s="118" t="s">
        <v>7297</v>
      </c>
      <c r="B5498" s="166"/>
      <c r="C5498" s="169" t="s">
        <v>3817</v>
      </c>
      <c r="D5498" s="165"/>
      <c r="E5498" s="169"/>
      <c r="F5498" s="169"/>
      <c r="G5498" s="169" t="s">
        <v>3618</v>
      </c>
      <c r="H5498" s="169" t="s">
        <v>3638</v>
      </c>
      <c r="I5498" s="169" t="s">
        <v>3268</v>
      </c>
      <c r="J5498" s="169" t="s">
        <v>4551</v>
      </c>
      <c r="K5498" s="141"/>
      <c r="L5498" s="135" t="str">
        <f t="shared" si="300"/>
        <v>Ichthyomys stolzmanni</v>
      </c>
      <c r="M5498" s="133">
        <f t="shared" si="301"/>
        <v>1.9278800000000003</v>
      </c>
      <c r="N5498" s="170">
        <v>84.699334889369382</v>
      </c>
      <c r="O5498" s="198" t="s">
        <v>3356</v>
      </c>
      <c r="P5498" s="117">
        <v>61</v>
      </c>
      <c r="U5498" s="20"/>
      <c r="V5498" s="20"/>
    </row>
    <row r="5499" spans="1:22">
      <c r="A5499" s="118" t="s">
        <v>7297</v>
      </c>
      <c r="B5499" s="166"/>
      <c r="C5499" s="169" t="s">
        <v>3817</v>
      </c>
      <c r="D5499" s="165"/>
      <c r="E5499" s="169"/>
      <c r="F5499" s="169"/>
      <c r="G5499" s="169" t="s">
        <v>3618</v>
      </c>
      <c r="H5499" s="169" t="s">
        <v>3638</v>
      </c>
      <c r="I5499" s="169" t="s">
        <v>3268</v>
      </c>
      <c r="J5499" s="169" t="s">
        <v>4552</v>
      </c>
      <c r="K5499" s="141"/>
      <c r="L5499" s="135" t="str">
        <f t="shared" si="300"/>
        <v>Ichthyomys tweedii</v>
      </c>
      <c r="M5499" s="133">
        <f t="shared" si="301"/>
        <v>2.0737199999999998</v>
      </c>
      <c r="N5499" s="170">
        <v>118.50045011936339</v>
      </c>
      <c r="O5499" s="198" t="s">
        <v>3356</v>
      </c>
      <c r="P5499" s="117">
        <v>61</v>
      </c>
      <c r="U5499" s="20"/>
      <c r="V5499" s="20"/>
    </row>
    <row r="5500" spans="1:22">
      <c r="A5500" s="118" t="s">
        <v>7297</v>
      </c>
      <c r="B5500" s="166"/>
      <c r="C5500" s="169" t="s">
        <v>3817</v>
      </c>
      <c r="D5500" s="165"/>
      <c r="E5500" s="169"/>
      <c r="F5500" s="169"/>
      <c r="G5500" s="169" t="s">
        <v>3618</v>
      </c>
      <c r="H5500" s="169" t="s">
        <v>3638</v>
      </c>
      <c r="I5500" s="169" t="s">
        <v>4553</v>
      </c>
      <c r="J5500" s="169" t="s">
        <v>4554</v>
      </c>
      <c r="K5500" s="141"/>
      <c r="L5500" s="135" t="str">
        <f t="shared" si="300"/>
        <v>Irenomys tarsalis</v>
      </c>
      <c r="M5500" s="133">
        <f t="shared" si="301"/>
        <v>1.6349800000000003</v>
      </c>
      <c r="N5500" s="170">
        <v>43.149920509745968</v>
      </c>
      <c r="O5500" s="198" t="s">
        <v>3356</v>
      </c>
      <c r="P5500" s="108">
        <v>60</v>
      </c>
      <c r="U5500" s="20"/>
      <c r="V5500" s="20"/>
    </row>
    <row r="5501" spans="1:22">
      <c r="A5501" s="118" t="s">
        <v>7297</v>
      </c>
      <c r="B5501" s="166"/>
      <c r="C5501" s="169" t="s">
        <v>3817</v>
      </c>
      <c r="D5501" s="165"/>
      <c r="E5501" s="169"/>
      <c r="F5501" s="169"/>
      <c r="G5501" s="169" t="s">
        <v>3618</v>
      </c>
      <c r="H5501" s="169" t="s">
        <v>3638</v>
      </c>
      <c r="I5501" s="169" t="s">
        <v>3066</v>
      </c>
      <c r="J5501" s="169" t="s">
        <v>3948</v>
      </c>
      <c r="K5501" s="141"/>
      <c r="L5501" s="135" t="str">
        <f t="shared" si="300"/>
        <v>Isthmomys pirrensis</v>
      </c>
      <c r="M5501" s="133">
        <f t="shared" si="301"/>
        <v>2.1398799999999998</v>
      </c>
      <c r="N5501" s="170">
        <v>138.00029030247268</v>
      </c>
      <c r="O5501" s="198" t="s">
        <v>6882</v>
      </c>
      <c r="P5501" s="108">
        <v>60</v>
      </c>
      <c r="Q5501" s="90" t="s">
        <v>6642</v>
      </c>
      <c r="U5501" s="20"/>
      <c r="V5501" s="20"/>
    </row>
    <row r="5502" spans="1:22">
      <c r="A5502" s="118" t="s">
        <v>7297</v>
      </c>
      <c r="B5502" s="166"/>
      <c r="C5502" s="169" t="s">
        <v>3817</v>
      </c>
      <c r="D5502" s="165"/>
      <c r="E5502" s="169"/>
      <c r="F5502" s="169"/>
      <c r="G5502" s="169" t="s">
        <v>3618</v>
      </c>
      <c r="H5502" s="169" t="s">
        <v>3638</v>
      </c>
      <c r="I5502" s="169" t="s">
        <v>3521</v>
      </c>
      <c r="J5502" s="169" t="s">
        <v>3522</v>
      </c>
      <c r="K5502" s="141"/>
      <c r="L5502" s="135" t="str">
        <f t="shared" si="300"/>
        <v>Juscelinomys candango</v>
      </c>
      <c r="M5502" s="133">
        <f t="shared" si="301"/>
        <v>1.98811</v>
      </c>
      <c r="N5502" s="170">
        <v>97.299363664014919</v>
      </c>
      <c r="O5502" s="198" t="s">
        <v>6882</v>
      </c>
      <c r="P5502" s="117">
        <v>61</v>
      </c>
      <c r="Q5502" s="90" t="s">
        <v>6642</v>
      </c>
      <c r="U5502" s="20"/>
      <c r="V5502" s="20"/>
    </row>
    <row r="5503" spans="1:22">
      <c r="A5503" s="118" t="s">
        <v>7297</v>
      </c>
      <c r="B5503" s="166"/>
      <c r="C5503" s="169" t="s">
        <v>3817</v>
      </c>
      <c r="D5503" s="165"/>
      <c r="E5503" s="169"/>
      <c r="F5503" s="169"/>
      <c r="G5503" s="169" t="s">
        <v>3618</v>
      </c>
      <c r="H5503" s="169" t="s">
        <v>3638</v>
      </c>
      <c r="I5503" s="169" t="s">
        <v>3958</v>
      </c>
      <c r="J5503" s="169" t="s">
        <v>3960</v>
      </c>
      <c r="K5503" s="141"/>
      <c r="L5503" s="135" t="str">
        <f t="shared" si="300"/>
        <v>Kunsia tomentosus</v>
      </c>
      <c r="M5503" s="133">
        <f t="shared" si="301"/>
        <v>2.0629599999999999</v>
      </c>
      <c r="N5503" s="170">
        <v>115.60057652230319</v>
      </c>
      <c r="O5503" s="198" t="s">
        <v>6882</v>
      </c>
      <c r="P5503" s="117">
        <v>61</v>
      </c>
      <c r="Q5503" s="90" t="s">
        <v>6988</v>
      </c>
      <c r="U5503" s="20"/>
      <c r="V5503" s="20"/>
    </row>
    <row r="5504" spans="1:22">
      <c r="A5504" s="118" t="s">
        <v>7297</v>
      </c>
      <c r="B5504" s="166"/>
      <c r="C5504" s="169" t="s">
        <v>3817</v>
      </c>
      <c r="D5504" s="165"/>
      <c r="E5504" s="169"/>
      <c r="F5504" s="169"/>
      <c r="G5504" s="169" t="s">
        <v>3618</v>
      </c>
      <c r="H5504" s="169" t="s">
        <v>3638</v>
      </c>
      <c r="I5504" s="169" t="s">
        <v>3958</v>
      </c>
      <c r="J5504" s="169" t="s">
        <v>3959</v>
      </c>
      <c r="K5504" s="141"/>
      <c r="L5504" s="135" t="str">
        <f t="shared" si="300"/>
        <v>Kunsia fronto</v>
      </c>
      <c r="M5504" s="133">
        <f t="shared" si="301"/>
        <v>2.2253100000000003</v>
      </c>
      <c r="N5504" s="170">
        <v>168.00027785329974</v>
      </c>
      <c r="O5504" s="198" t="s">
        <v>6882</v>
      </c>
      <c r="P5504" s="108">
        <v>60</v>
      </c>
      <c r="Q5504" s="90" t="s">
        <v>6988</v>
      </c>
      <c r="U5504" s="20"/>
      <c r="V5504" s="20"/>
    </row>
    <row r="5505" spans="1:22">
      <c r="A5505" s="118" t="s">
        <v>7297</v>
      </c>
      <c r="B5505" s="166"/>
      <c r="C5505" s="169" t="s">
        <v>3817</v>
      </c>
      <c r="D5505" s="165"/>
      <c r="E5505" s="169"/>
      <c r="F5505" s="169"/>
      <c r="G5505" s="169" t="s">
        <v>3618</v>
      </c>
      <c r="H5505" s="169" t="s">
        <v>3638</v>
      </c>
      <c r="I5505" s="169" t="s">
        <v>3961</v>
      </c>
      <c r="J5505" s="169" t="s">
        <v>4328</v>
      </c>
      <c r="K5505" s="141"/>
      <c r="L5505" s="135" t="str">
        <f t="shared" si="300"/>
        <v>Lenoxus apicalis</v>
      </c>
      <c r="M5505" s="133">
        <f t="shared" si="301"/>
        <v>1.7291600000000003</v>
      </c>
      <c r="N5505" s="170">
        <v>53.599408866270522</v>
      </c>
      <c r="O5505" s="198" t="s">
        <v>6882</v>
      </c>
      <c r="P5505" s="117">
        <v>61</v>
      </c>
      <c r="Q5505" s="90" t="s">
        <v>6642</v>
      </c>
      <c r="U5505" s="20"/>
      <c r="V5505" s="20"/>
    </row>
    <row r="5506" spans="1:22">
      <c r="A5506" s="118" t="s">
        <v>7297</v>
      </c>
      <c r="B5506" s="166"/>
      <c r="C5506" s="169" t="s">
        <v>3817</v>
      </c>
      <c r="D5506" s="165"/>
      <c r="E5506" s="169"/>
      <c r="F5506" s="169"/>
      <c r="G5506" s="169" t="s">
        <v>3618</v>
      </c>
      <c r="H5506" s="169" t="s">
        <v>3638</v>
      </c>
      <c r="I5506" s="169" t="s">
        <v>3962</v>
      </c>
      <c r="J5506" s="169" t="s">
        <v>3963</v>
      </c>
      <c r="K5506" s="141"/>
      <c r="L5506" s="135" t="str">
        <f t="shared" si="300"/>
        <v>Melanomys caliginosus</v>
      </c>
      <c r="M5506" s="133">
        <f t="shared" si="301"/>
        <v>1.6127800000000003</v>
      </c>
      <c r="N5506" s="170">
        <v>40.999635904176493</v>
      </c>
      <c r="O5506" s="198" t="s">
        <v>3356</v>
      </c>
      <c r="P5506" s="108">
        <v>60</v>
      </c>
      <c r="U5506" s="20"/>
      <c r="V5506" s="20"/>
    </row>
    <row r="5507" spans="1:22">
      <c r="A5507" s="118" t="s">
        <v>7297</v>
      </c>
      <c r="B5507" s="166"/>
      <c r="C5507" s="169" t="s">
        <v>3817</v>
      </c>
      <c r="D5507" s="165"/>
      <c r="E5507" s="169"/>
      <c r="F5507" s="169"/>
      <c r="G5507" s="169" t="s">
        <v>3618</v>
      </c>
      <c r="H5507" s="169" t="s">
        <v>3638</v>
      </c>
      <c r="I5507" s="169" t="s">
        <v>3962</v>
      </c>
      <c r="J5507" s="169" t="s">
        <v>3964</v>
      </c>
      <c r="K5507" s="141"/>
      <c r="L5507" s="135" t="str">
        <f t="shared" si="300"/>
        <v>Melanomys robustulus</v>
      </c>
      <c r="M5507" s="133">
        <f t="shared" si="301"/>
        <v>1.7283500000000003</v>
      </c>
      <c r="N5507" s="170">
        <v>53.499534101253595</v>
      </c>
      <c r="O5507" s="198" t="s">
        <v>3356</v>
      </c>
      <c r="P5507" s="117">
        <v>61</v>
      </c>
      <c r="U5507" s="20"/>
      <c r="V5507" s="20"/>
    </row>
    <row r="5508" spans="1:22">
      <c r="A5508" s="118" t="s">
        <v>7297</v>
      </c>
      <c r="B5508" s="166"/>
      <c r="C5508" s="169" t="s">
        <v>3817</v>
      </c>
      <c r="D5508" s="165"/>
      <c r="E5508" s="169"/>
      <c r="F5508" s="169"/>
      <c r="G5508" s="169" t="s">
        <v>3618</v>
      </c>
      <c r="H5508" s="169" t="s">
        <v>3638</v>
      </c>
      <c r="I5508" s="169" t="s">
        <v>3962</v>
      </c>
      <c r="J5508" s="169" t="s">
        <v>4547</v>
      </c>
      <c r="K5508" s="141"/>
      <c r="L5508" s="135" t="str">
        <f t="shared" si="300"/>
        <v>Melanomys zunigae</v>
      </c>
      <c r="M5508" s="133">
        <f t="shared" si="301"/>
        <v>1.7283500000000003</v>
      </c>
      <c r="N5508" s="170">
        <v>53.499534101253595</v>
      </c>
      <c r="O5508" s="198" t="s">
        <v>3356</v>
      </c>
      <c r="P5508" s="117">
        <v>61</v>
      </c>
      <c r="U5508" s="20"/>
      <c r="V5508" s="20"/>
    </row>
    <row r="5509" spans="1:22">
      <c r="A5509" s="118" t="s">
        <v>7297</v>
      </c>
      <c r="B5509" s="166"/>
      <c r="C5509" s="169" t="s">
        <v>3817</v>
      </c>
      <c r="D5509" s="165"/>
      <c r="E5509" s="169"/>
      <c r="F5509" s="169"/>
      <c r="G5509" s="169" t="s">
        <v>3618</v>
      </c>
      <c r="H5509" s="169" t="s">
        <v>3638</v>
      </c>
      <c r="I5509" s="169" t="s">
        <v>4699</v>
      </c>
      <c r="J5509" s="169" t="s">
        <v>4678</v>
      </c>
      <c r="K5509" s="141"/>
      <c r="L5509" s="135" t="str">
        <f t="shared" ref="L5509:L5572" si="302">I5509&amp;" "&amp;J5509</f>
        <v>Microryzomys altissimus</v>
      </c>
      <c r="M5509" s="133">
        <f t="shared" si="301"/>
        <v>1.1303300000000003</v>
      </c>
      <c r="N5509" s="170">
        <v>13.499882857222524</v>
      </c>
      <c r="O5509" s="198" t="s">
        <v>3356</v>
      </c>
      <c r="P5509" s="117">
        <v>61</v>
      </c>
    </row>
    <row r="5510" spans="1:22">
      <c r="A5510" s="118" t="s">
        <v>7297</v>
      </c>
      <c r="B5510" s="166"/>
      <c r="C5510" s="169" t="s">
        <v>3817</v>
      </c>
      <c r="D5510" s="165"/>
      <c r="E5510" s="169"/>
      <c r="F5510" s="169"/>
      <c r="G5510" s="169" t="s">
        <v>3618</v>
      </c>
      <c r="H5510" s="169" t="s">
        <v>3638</v>
      </c>
      <c r="I5510" s="169" t="s">
        <v>4699</v>
      </c>
      <c r="J5510" s="169" t="s">
        <v>3876</v>
      </c>
      <c r="K5510" s="141"/>
      <c r="L5510" s="135" t="str">
        <f t="shared" si="302"/>
        <v>Microryzomys minutus</v>
      </c>
      <c r="M5510" s="133">
        <f t="shared" si="301"/>
        <v>1.1303300000000003</v>
      </c>
      <c r="N5510" s="170">
        <v>13.499882857222524</v>
      </c>
      <c r="O5510" s="198" t="s">
        <v>3356</v>
      </c>
      <c r="P5510" s="117">
        <v>61</v>
      </c>
    </row>
    <row r="5511" spans="1:22" ht="15.75">
      <c r="A5511" s="118" t="s">
        <v>7297</v>
      </c>
      <c r="B5511" s="166"/>
      <c r="C5511" s="169" t="s">
        <v>3817</v>
      </c>
      <c r="D5511" s="165"/>
      <c r="E5511" s="169"/>
      <c r="F5511" s="169"/>
      <c r="G5511" s="169" t="s">
        <v>3618</v>
      </c>
      <c r="H5511" s="169" t="s">
        <v>3638</v>
      </c>
      <c r="I5511" s="169" t="s">
        <v>7373</v>
      </c>
      <c r="J5511" s="169" t="s">
        <v>3731</v>
      </c>
      <c r="K5511" s="141"/>
      <c r="L5511" s="135" t="str">
        <f t="shared" si="302"/>
        <v>Neacomys guianae</v>
      </c>
      <c r="M5511" s="133">
        <f t="shared" si="301"/>
        <v>1.1522900000000003</v>
      </c>
      <c r="N5511" s="170">
        <v>14.200054133327482</v>
      </c>
      <c r="O5511" s="198" t="s">
        <v>3356</v>
      </c>
      <c r="P5511" s="117">
        <v>61</v>
      </c>
      <c r="R5511" s="89"/>
    </row>
    <row r="5512" spans="1:22">
      <c r="A5512" s="118" t="s">
        <v>7297</v>
      </c>
      <c r="B5512" s="166"/>
      <c r="C5512" s="169" t="s">
        <v>3817</v>
      </c>
      <c r="D5512" s="165"/>
      <c r="E5512" s="169"/>
      <c r="F5512" s="169"/>
      <c r="G5512" s="169" t="s">
        <v>3618</v>
      </c>
      <c r="H5512" s="169" t="s">
        <v>3638</v>
      </c>
      <c r="I5512" s="169" t="s">
        <v>7373</v>
      </c>
      <c r="J5512" s="169" t="s">
        <v>6589</v>
      </c>
      <c r="K5512" s="141"/>
      <c r="L5512" s="135" t="str">
        <f t="shared" si="302"/>
        <v>Neacomys spinosus</v>
      </c>
      <c r="M5512" s="133">
        <f t="shared" si="301"/>
        <v>1.2787500000000001</v>
      </c>
      <c r="N5512" s="170">
        <v>18.999842462147331</v>
      </c>
      <c r="O5512" s="198" t="s">
        <v>3356</v>
      </c>
      <c r="P5512" s="117">
        <v>61</v>
      </c>
    </row>
    <row r="5513" spans="1:22">
      <c r="A5513" s="118" t="s">
        <v>7297</v>
      </c>
      <c r="B5513" s="166"/>
      <c r="C5513" s="169" t="s">
        <v>3817</v>
      </c>
      <c r="D5513" s="165"/>
      <c r="E5513" s="169"/>
      <c r="F5513" s="169"/>
      <c r="G5513" s="169" t="s">
        <v>3618</v>
      </c>
      <c r="H5513" s="169" t="s">
        <v>3638</v>
      </c>
      <c r="I5513" s="169" t="s">
        <v>7373</v>
      </c>
      <c r="J5513" s="169" t="s">
        <v>3732</v>
      </c>
      <c r="K5513" s="141"/>
      <c r="L5513" s="135" t="str">
        <f t="shared" si="302"/>
        <v>Neacomys tenuipes</v>
      </c>
      <c r="M5513" s="133">
        <f t="shared" si="301"/>
        <v>1.2787500000000001</v>
      </c>
      <c r="N5513" s="170">
        <v>18.999842462147331</v>
      </c>
      <c r="O5513" s="198" t="s">
        <v>3356</v>
      </c>
      <c r="P5513" s="108">
        <v>60</v>
      </c>
    </row>
    <row r="5514" spans="1:22">
      <c r="A5514" s="118" t="s">
        <v>7297</v>
      </c>
      <c r="B5514" s="165" t="s">
        <v>7433</v>
      </c>
      <c r="C5514" s="169" t="s">
        <v>3817</v>
      </c>
      <c r="D5514" s="165"/>
      <c r="E5514" s="169"/>
      <c r="F5514" s="169"/>
      <c r="G5514" s="169" t="s">
        <v>3618</v>
      </c>
      <c r="H5514" s="169" t="s">
        <v>3638</v>
      </c>
      <c r="I5514" s="169" t="s">
        <v>3272</v>
      </c>
      <c r="J5514" s="169" t="s">
        <v>5294</v>
      </c>
      <c r="K5514" s="141"/>
      <c r="L5514" s="135" t="str">
        <f t="shared" si="302"/>
        <v>Nectomys palmipes</v>
      </c>
      <c r="M5514" s="133">
        <v>-999</v>
      </c>
      <c r="N5514" s="170">
        <v>-999</v>
      </c>
      <c r="O5514" s="198" t="s">
        <v>3356</v>
      </c>
      <c r="P5514" s="108">
        <v>-999</v>
      </c>
      <c r="Q5514" s="80"/>
    </row>
    <row r="5515" spans="1:22">
      <c r="A5515" s="121" t="s">
        <v>7297</v>
      </c>
      <c r="B5515" s="166"/>
      <c r="C5515" s="169" t="s">
        <v>3817</v>
      </c>
      <c r="D5515" s="165"/>
      <c r="E5515" s="169"/>
      <c r="F5515" s="169"/>
      <c r="G5515" s="169" t="s">
        <v>3618</v>
      </c>
      <c r="H5515" s="169" t="s">
        <v>3638</v>
      </c>
      <c r="I5515" s="169" t="s">
        <v>3272</v>
      </c>
      <c r="J5515" s="169" t="s">
        <v>4851</v>
      </c>
      <c r="K5515" s="156"/>
      <c r="L5515" s="135" t="str">
        <f t="shared" si="302"/>
        <v>Nectomys squamipes</v>
      </c>
      <c r="M5515" s="133">
        <f t="shared" ref="M5515:M5546" si="303">LOG(N5515)</f>
        <v>2.2804600000000002</v>
      </c>
      <c r="N5515" s="170">
        <v>190.74800304958731</v>
      </c>
      <c r="O5515" s="198" t="s">
        <v>3356</v>
      </c>
      <c r="P5515" s="108">
        <v>60</v>
      </c>
    </row>
    <row r="5516" spans="1:22">
      <c r="A5516" s="118" t="s">
        <v>7297</v>
      </c>
      <c r="B5516" s="166"/>
      <c r="C5516" s="169" t="s">
        <v>3817</v>
      </c>
      <c r="D5516" s="165"/>
      <c r="E5516" s="169"/>
      <c r="F5516" s="169"/>
      <c r="G5516" s="169" t="s">
        <v>3618</v>
      </c>
      <c r="H5516" s="169" t="s">
        <v>3638</v>
      </c>
      <c r="I5516" s="169" t="s">
        <v>3272</v>
      </c>
      <c r="J5516" s="169" t="s">
        <v>7291</v>
      </c>
      <c r="K5516" s="141"/>
      <c r="L5516" s="135" t="str">
        <f t="shared" si="302"/>
        <v>Nectomys parvipes</v>
      </c>
      <c r="M5516" s="133">
        <f t="shared" si="303"/>
        <v>2.3958499999999998</v>
      </c>
      <c r="N5516" s="170">
        <v>248.79978458526151</v>
      </c>
      <c r="O5516" s="198" t="s">
        <v>3356</v>
      </c>
      <c r="P5516" s="117">
        <v>61</v>
      </c>
      <c r="Q5516" s="90" t="s">
        <v>7071</v>
      </c>
    </row>
    <row r="5517" spans="1:22">
      <c r="A5517" s="121" t="s">
        <v>7297</v>
      </c>
      <c r="B5517" s="166"/>
      <c r="C5517" s="169" t="s">
        <v>3817</v>
      </c>
      <c r="D5517" s="165"/>
      <c r="E5517" s="169"/>
      <c r="F5517" s="169"/>
      <c r="G5517" s="169" t="s">
        <v>3618</v>
      </c>
      <c r="H5517" s="169" t="s">
        <v>3638</v>
      </c>
      <c r="I5517" s="169" t="s">
        <v>3273</v>
      </c>
      <c r="J5517" s="169" t="s">
        <v>3323</v>
      </c>
      <c r="K5517" s="141"/>
      <c r="L5517" s="135" t="str">
        <f t="shared" si="302"/>
        <v>Neotomys ebriosus</v>
      </c>
      <c r="M5517" s="133">
        <f t="shared" si="303"/>
        <v>1.8095600000000001</v>
      </c>
      <c r="N5517" s="170">
        <v>64.500042381453241</v>
      </c>
      <c r="O5517" s="198" t="s">
        <v>3356</v>
      </c>
      <c r="P5517" s="117">
        <v>61</v>
      </c>
    </row>
    <row r="5518" spans="1:22">
      <c r="A5518" s="118" t="s">
        <v>7297</v>
      </c>
      <c r="B5518" s="166"/>
      <c r="C5518" s="169" t="s">
        <v>3817</v>
      </c>
      <c r="D5518" s="165"/>
      <c r="E5518" s="169"/>
      <c r="F5518" s="169"/>
      <c r="G5518" s="169" t="s">
        <v>3618</v>
      </c>
      <c r="H5518" s="169" t="s">
        <v>3638</v>
      </c>
      <c r="I5518" s="169" t="s">
        <v>4702</v>
      </c>
      <c r="J5518" s="169" t="s">
        <v>7368</v>
      </c>
      <c r="K5518" s="141"/>
      <c r="L5518" s="135" t="str">
        <f t="shared" si="302"/>
        <v>Neusticomys oyapocki</v>
      </c>
      <c r="M5518" s="133">
        <f t="shared" si="303"/>
        <v>0.67210000000000014</v>
      </c>
      <c r="N5518" s="170">
        <v>4.7000231817980112</v>
      </c>
      <c r="O5518" s="198" t="s">
        <v>3356</v>
      </c>
      <c r="P5518" s="108">
        <v>60</v>
      </c>
      <c r="Q5518" s="90" t="s">
        <v>6640</v>
      </c>
    </row>
    <row r="5519" spans="1:22" ht="15" customHeight="1">
      <c r="A5519" s="118" t="s">
        <v>7297</v>
      </c>
      <c r="B5519" s="166"/>
      <c r="C5519" s="169" t="s">
        <v>3817</v>
      </c>
      <c r="D5519" s="165"/>
      <c r="E5519" s="169"/>
      <c r="F5519" s="169"/>
      <c r="G5519" s="169" t="s">
        <v>3618</v>
      </c>
      <c r="H5519" s="169" t="s">
        <v>3638</v>
      </c>
      <c r="I5519" s="169" t="s">
        <v>4702</v>
      </c>
      <c r="J5519" s="169" t="s">
        <v>2414</v>
      </c>
      <c r="K5519" s="141"/>
      <c r="L5519" s="135" t="str">
        <f t="shared" si="302"/>
        <v>Neusticomys monticolus</v>
      </c>
      <c r="M5519" s="133">
        <f t="shared" si="303"/>
        <v>1.5966000000000002</v>
      </c>
      <c r="N5519" s="170">
        <v>39.500264159788394</v>
      </c>
      <c r="O5519" s="198" t="s">
        <v>3356</v>
      </c>
      <c r="P5519" s="117">
        <v>61</v>
      </c>
    </row>
    <row r="5520" spans="1:22" ht="15" customHeight="1">
      <c r="A5520" s="118" t="s">
        <v>7297</v>
      </c>
      <c r="B5520" s="166"/>
      <c r="C5520" s="169" t="s">
        <v>3817</v>
      </c>
      <c r="D5520" s="165"/>
      <c r="E5520" s="169"/>
      <c r="F5520" s="169"/>
      <c r="G5520" s="169" t="s">
        <v>3618</v>
      </c>
      <c r="H5520" s="169" t="s">
        <v>3638</v>
      </c>
      <c r="I5520" s="169" t="s">
        <v>4702</v>
      </c>
      <c r="J5520" s="169" t="s">
        <v>4703</v>
      </c>
      <c r="K5520" s="141"/>
      <c r="L5520" s="135" t="str">
        <f t="shared" si="302"/>
        <v>Neusticomys mussoi</v>
      </c>
      <c r="M5520" s="133">
        <f t="shared" si="303"/>
        <v>1.60206</v>
      </c>
      <c r="N5520" s="170">
        <v>40.000000798724201</v>
      </c>
      <c r="O5520" s="198" t="s">
        <v>3356</v>
      </c>
      <c r="P5520" s="117">
        <v>61</v>
      </c>
      <c r="Q5520" s="90" t="s">
        <v>6640</v>
      </c>
    </row>
    <row r="5521" spans="1:18">
      <c r="A5521" s="118" t="s">
        <v>7297</v>
      </c>
      <c r="B5521" s="166"/>
      <c r="C5521" s="169" t="s">
        <v>3817</v>
      </c>
      <c r="D5521" s="165"/>
      <c r="E5521" s="169"/>
      <c r="F5521" s="169"/>
      <c r="G5521" s="169" t="s">
        <v>3618</v>
      </c>
      <c r="H5521" s="169" t="s">
        <v>3638</v>
      </c>
      <c r="I5521" s="169" t="s">
        <v>4702</v>
      </c>
      <c r="J5521" s="169" t="s">
        <v>7369</v>
      </c>
      <c r="K5521" s="141"/>
      <c r="L5521" s="135" t="str">
        <f t="shared" si="302"/>
        <v>Neusticomys peruviensis</v>
      </c>
      <c r="M5521" s="133">
        <f t="shared" si="303"/>
        <v>1.60206</v>
      </c>
      <c r="N5521" s="170">
        <v>40.000000798724201</v>
      </c>
      <c r="O5521" s="198" t="s">
        <v>3356</v>
      </c>
      <c r="P5521" s="117">
        <v>61</v>
      </c>
      <c r="Q5521" s="90" t="s">
        <v>6640</v>
      </c>
    </row>
    <row r="5522" spans="1:18">
      <c r="A5522" s="118" t="s">
        <v>7297</v>
      </c>
      <c r="B5522" s="166"/>
      <c r="C5522" s="169" t="s">
        <v>3817</v>
      </c>
      <c r="D5522" s="165"/>
      <c r="E5522" s="169"/>
      <c r="F5522" s="169"/>
      <c r="G5522" s="169" t="s">
        <v>3618</v>
      </c>
      <c r="H5522" s="169" t="s">
        <v>3638</v>
      </c>
      <c r="I5522" s="169" t="s">
        <v>4702</v>
      </c>
      <c r="J5522" s="169" t="s">
        <v>7370</v>
      </c>
      <c r="K5522" s="141"/>
      <c r="L5522" s="135" t="str">
        <f t="shared" si="302"/>
        <v>Neusticomys venezuelae</v>
      </c>
      <c r="M5522" s="133">
        <f t="shared" si="303"/>
        <v>1.6730200000000002</v>
      </c>
      <c r="N5522" s="170">
        <v>47.099901620379349</v>
      </c>
      <c r="O5522" s="198" t="s">
        <v>3356</v>
      </c>
      <c r="P5522" s="117">
        <v>61</v>
      </c>
      <c r="Q5522" s="90" t="s">
        <v>6640</v>
      </c>
    </row>
    <row r="5523" spans="1:18">
      <c r="A5523" s="118" t="s">
        <v>7297</v>
      </c>
      <c r="B5523" s="166"/>
      <c r="C5523" s="169" t="s">
        <v>3817</v>
      </c>
      <c r="D5523" s="165"/>
      <c r="E5523" s="169"/>
      <c r="F5523" s="169"/>
      <c r="G5523" s="169" t="s">
        <v>3618</v>
      </c>
      <c r="H5523" s="169" t="s">
        <v>3638</v>
      </c>
      <c r="I5523" s="169" t="s">
        <v>4662</v>
      </c>
      <c r="J5523" s="169" t="s">
        <v>4656</v>
      </c>
      <c r="K5523" s="141"/>
      <c r="L5523" s="135" t="str">
        <f t="shared" si="302"/>
        <v>Notiomys edwardsii</v>
      </c>
      <c r="M5523" s="133">
        <f t="shared" si="303"/>
        <v>1.3283799999999999</v>
      </c>
      <c r="N5523" s="170">
        <v>21.300019449380763</v>
      </c>
      <c r="O5523" s="198" t="s">
        <v>3356</v>
      </c>
      <c r="P5523" s="117">
        <v>61</v>
      </c>
    </row>
    <row r="5524" spans="1:18">
      <c r="A5524" s="118" t="s">
        <v>7297</v>
      </c>
      <c r="B5524" s="166"/>
      <c r="C5524" s="169" t="s">
        <v>3817</v>
      </c>
      <c r="D5524" s="165"/>
      <c r="E5524" s="169"/>
      <c r="F5524" s="169"/>
      <c r="G5524" s="169" t="s">
        <v>3618</v>
      </c>
      <c r="H5524" s="169" t="s">
        <v>3638</v>
      </c>
      <c r="I5524" s="169" t="s">
        <v>4657</v>
      </c>
      <c r="J5524" s="169" t="s">
        <v>4010</v>
      </c>
      <c r="K5524" s="141"/>
      <c r="L5524" s="135" t="str">
        <f t="shared" si="302"/>
        <v>Oecomys bicolor</v>
      </c>
      <c r="M5524" s="133">
        <f t="shared" si="303"/>
        <v>1.5314800000000002</v>
      </c>
      <c r="N5524" s="170">
        <v>34.000084782585944</v>
      </c>
      <c r="O5524" s="198" t="s">
        <v>3356</v>
      </c>
      <c r="P5524" s="108">
        <v>60</v>
      </c>
    </row>
    <row r="5525" spans="1:18" ht="12" customHeight="1">
      <c r="A5525" s="118" t="s">
        <v>7297</v>
      </c>
      <c r="B5525" s="166"/>
      <c r="C5525" s="169" t="s">
        <v>3817</v>
      </c>
      <c r="D5525" s="165"/>
      <c r="E5525" s="169"/>
      <c r="F5525" s="169"/>
      <c r="G5525" s="169" t="s">
        <v>3618</v>
      </c>
      <c r="H5525" s="169" t="s">
        <v>3638</v>
      </c>
      <c r="I5525" s="169" t="s">
        <v>4657</v>
      </c>
      <c r="J5525" s="169" t="s">
        <v>3569</v>
      </c>
      <c r="K5525" s="141"/>
      <c r="L5525" s="135" t="str">
        <f t="shared" si="302"/>
        <v>Oecomys concolor</v>
      </c>
      <c r="M5525" s="133">
        <f t="shared" si="303"/>
        <v>1.7892300000000003</v>
      </c>
      <c r="N5525" s="170">
        <v>61.550275332678588</v>
      </c>
      <c r="O5525" s="198" t="s">
        <v>3356</v>
      </c>
      <c r="P5525" s="108">
        <v>60</v>
      </c>
      <c r="R5525" s="89"/>
    </row>
    <row r="5526" spans="1:18">
      <c r="A5526" s="118" t="s">
        <v>7297</v>
      </c>
      <c r="B5526" s="166"/>
      <c r="C5526" s="169" t="s">
        <v>3817</v>
      </c>
      <c r="D5526" s="165"/>
      <c r="E5526" s="169"/>
      <c r="F5526" s="169"/>
      <c r="G5526" s="169" t="s">
        <v>3618</v>
      </c>
      <c r="H5526" s="169" t="s">
        <v>3638</v>
      </c>
      <c r="I5526" s="169" t="s">
        <v>4657</v>
      </c>
      <c r="J5526" s="169" t="s">
        <v>4660</v>
      </c>
      <c r="K5526" s="141"/>
      <c r="L5526" s="135" t="str">
        <f t="shared" si="302"/>
        <v>Oecomys mamorae</v>
      </c>
      <c r="M5526" s="133">
        <f t="shared" si="303"/>
        <v>1.7958800000000001</v>
      </c>
      <c r="N5526" s="170">
        <v>62.499997503987004</v>
      </c>
      <c r="O5526" s="198" t="s">
        <v>3356</v>
      </c>
      <c r="P5526" s="117">
        <v>61</v>
      </c>
    </row>
    <row r="5527" spans="1:18">
      <c r="A5527" s="118" t="s">
        <v>7297</v>
      </c>
      <c r="B5527" s="166"/>
      <c r="C5527" s="169" t="s">
        <v>3817</v>
      </c>
      <c r="D5527" s="165"/>
      <c r="E5527" s="169"/>
      <c r="F5527" s="169"/>
      <c r="G5527" s="169" t="s">
        <v>3618</v>
      </c>
      <c r="H5527" s="169" t="s">
        <v>3638</v>
      </c>
      <c r="I5527" s="169" t="s">
        <v>4657</v>
      </c>
      <c r="J5527" s="169" t="s">
        <v>4658</v>
      </c>
      <c r="K5527" s="141"/>
      <c r="L5527" s="135" t="str">
        <f t="shared" si="302"/>
        <v>Oecomys cleberi</v>
      </c>
      <c r="M5527" s="133">
        <f t="shared" si="303"/>
        <v>1.8657000000000001</v>
      </c>
      <c r="N5527" s="170">
        <v>73.400665915604193</v>
      </c>
      <c r="O5527" s="198" t="s">
        <v>3356</v>
      </c>
      <c r="P5527" s="117">
        <v>61</v>
      </c>
      <c r="Q5527" s="90" t="s">
        <v>6640</v>
      </c>
    </row>
    <row r="5528" spans="1:18">
      <c r="A5528" s="118" t="s">
        <v>7297</v>
      </c>
      <c r="B5528" s="166"/>
      <c r="C5528" s="169" t="s">
        <v>3817</v>
      </c>
      <c r="D5528" s="165"/>
      <c r="E5528" s="169"/>
      <c r="F5528" s="169"/>
      <c r="G5528" s="169" t="s">
        <v>3618</v>
      </c>
      <c r="H5528" s="169" t="s">
        <v>3638</v>
      </c>
      <c r="I5528" s="169" t="s">
        <v>4657</v>
      </c>
      <c r="J5528" s="169" t="s">
        <v>4659</v>
      </c>
      <c r="K5528" s="141"/>
      <c r="L5528" s="135" t="str">
        <f t="shared" si="302"/>
        <v>Oecomys flavicans</v>
      </c>
      <c r="M5528" s="133">
        <f t="shared" si="303"/>
        <v>1.8657000000000001</v>
      </c>
      <c r="N5528" s="170">
        <v>73.400665915604193</v>
      </c>
      <c r="O5528" s="198" t="s">
        <v>3356</v>
      </c>
      <c r="P5528" s="117">
        <v>61</v>
      </c>
    </row>
    <row r="5529" spans="1:18">
      <c r="A5529" s="118" t="s">
        <v>7297</v>
      </c>
      <c r="B5529" s="166"/>
      <c r="C5529" s="169" t="s">
        <v>3817</v>
      </c>
      <c r="D5529" s="165"/>
      <c r="E5529" s="169"/>
      <c r="F5529" s="169"/>
      <c r="G5529" s="169" t="s">
        <v>3618</v>
      </c>
      <c r="H5529" s="169" t="s">
        <v>3638</v>
      </c>
      <c r="I5529" s="169" t="s">
        <v>4657</v>
      </c>
      <c r="J5529" s="169" t="s">
        <v>4661</v>
      </c>
      <c r="K5529" s="141"/>
      <c r="L5529" s="135" t="str">
        <f t="shared" si="302"/>
        <v>Oecomys paricola</v>
      </c>
      <c r="M5529" s="133">
        <f t="shared" si="303"/>
        <v>1.8657000000000001</v>
      </c>
      <c r="N5529" s="170">
        <v>73.400665915604193</v>
      </c>
      <c r="O5529" s="198" t="s">
        <v>3356</v>
      </c>
      <c r="P5529" s="117">
        <v>61</v>
      </c>
    </row>
    <row r="5530" spans="1:18">
      <c r="A5530" s="118" t="s">
        <v>7297</v>
      </c>
      <c r="B5530" s="166"/>
      <c r="C5530" s="169" t="s">
        <v>3817</v>
      </c>
      <c r="D5530" s="165"/>
      <c r="E5530" s="169"/>
      <c r="F5530" s="169"/>
      <c r="G5530" s="169" t="s">
        <v>3618</v>
      </c>
      <c r="H5530" s="169" t="s">
        <v>3638</v>
      </c>
      <c r="I5530" s="169" t="s">
        <v>4657</v>
      </c>
      <c r="J5530" s="169" t="s">
        <v>2049</v>
      </c>
      <c r="K5530" s="141"/>
      <c r="L5530" s="135" t="str">
        <f t="shared" si="302"/>
        <v>Oecomys phaeotis</v>
      </c>
      <c r="M5530" s="133">
        <f t="shared" si="303"/>
        <v>1.8657000000000001</v>
      </c>
      <c r="N5530" s="170">
        <v>73.400665915604193</v>
      </c>
      <c r="O5530" s="198" t="s">
        <v>3356</v>
      </c>
      <c r="P5530" s="117">
        <v>61</v>
      </c>
    </row>
    <row r="5531" spans="1:18">
      <c r="A5531" s="121" t="s">
        <v>7297</v>
      </c>
      <c r="B5531" s="166"/>
      <c r="C5531" s="169" t="s">
        <v>3817</v>
      </c>
      <c r="D5531" s="165"/>
      <c r="E5531" s="169"/>
      <c r="F5531" s="169"/>
      <c r="G5531" s="169" t="s">
        <v>3618</v>
      </c>
      <c r="H5531" s="169" t="s">
        <v>3638</v>
      </c>
      <c r="I5531" s="169" t="s">
        <v>4657</v>
      </c>
      <c r="J5531" s="169" t="s">
        <v>2050</v>
      </c>
      <c r="K5531" s="141"/>
      <c r="L5531" s="135" t="str">
        <f t="shared" si="302"/>
        <v>Oecomys rex</v>
      </c>
      <c r="M5531" s="133">
        <f t="shared" si="303"/>
        <v>1.8657000000000001</v>
      </c>
      <c r="N5531" s="170">
        <v>73.400665915604193</v>
      </c>
      <c r="O5531" s="198" t="s">
        <v>3356</v>
      </c>
      <c r="P5531" s="117">
        <v>61</v>
      </c>
    </row>
    <row r="5532" spans="1:18">
      <c r="A5532" s="118" t="s">
        <v>7297</v>
      </c>
      <c r="B5532" s="166"/>
      <c r="C5532" s="169" t="s">
        <v>3817</v>
      </c>
      <c r="D5532" s="165"/>
      <c r="E5532" s="169"/>
      <c r="F5532" s="169"/>
      <c r="G5532" s="169" t="s">
        <v>3618</v>
      </c>
      <c r="H5532" s="169" t="s">
        <v>3638</v>
      </c>
      <c r="I5532" s="169" t="s">
        <v>4657</v>
      </c>
      <c r="J5532" s="169" t="s">
        <v>4665</v>
      </c>
      <c r="K5532" s="141"/>
      <c r="L5532" s="135" t="str">
        <f t="shared" si="302"/>
        <v>Oecomys roberti</v>
      </c>
      <c r="M5532" s="133">
        <f t="shared" si="303"/>
        <v>1.8657000000000001</v>
      </c>
      <c r="N5532" s="170">
        <v>73.400665915604193</v>
      </c>
      <c r="O5532" s="198" t="s">
        <v>3356</v>
      </c>
      <c r="P5532" s="117">
        <v>61</v>
      </c>
    </row>
    <row r="5533" spans="1:18">
      <c r="A5533" s="118" t="s">
        <v>7297</v>
      </c>
      <c r="B5533" s="166"/>
      <c r="C5533" s="169" t="s">
        <v>3817</v>
      </c>
      <c r="D5533" s="165"/>
      <c r="E5533" s="169"/>
      <c r="F5533" s="169"/>
      <c r="G5533" s="169" t="s">
        <v>3618</v>
      </c>
      <c r="H5533" s="169" t="s">
        <v>3638</v>
      </c>
      <c r="I5533" s="169" t="s">
        <v>4657</v>
      </c>
      <c r="J5533" s="169" t="s">
        <v>4407</v>
      </c>
      <c r="K5533" s="141"/>
      <c r="L5533" s="135" t="str">
        <f t="shared" si="302"/>
        <v>Oecomys rutilus</v>
      </c>
      <c r="M5533" s="133">
        <f t="shared" si="303"/>
        <v>1.8657000000000001</v>
      </c>
      <c r="N5533" s="170">
        <v>73.400665915604193</v>
      </c>
      <c r="O5533" s="198" t="s">
        <v>3356</v>
      </c>
      <c r="P5533" s="117">
        <v>61</v>
      </c>
    </row>
    <row r="5534" spans="1:18">
      <c r="A5534" s="118" t="s">
        <v>7297</v>
      </c>
      <c r="B5534" s="166"/>
      <c r="C5534" s="169" t="s">
        <v>3817</v>
      </c>
      <c r="D5534" s="165"/>
      <c r="E5534" s="169"/>
      <c r="F5534" s="169"/>
      <c r="G5534" s="169" t="s">
        <v>3618</v>
      </c>
      <c r="H5534" s="169" t="s">
        <v>3638</v>
      </c>
      <c r="I5534" s="169" t="s">
        <v>4657</v>
      </c>
      <c r="J5534" s="169" t="s">
        <v>4666</v>
      </c>
      <c r="K5534" s="141"/>
      <c r="L5534" s="135" t="str">
        <f t="shared" si="302"/>
        <v>Oecomys speciosus</v>
      </c>
      <c r="M5534" s="133">
        <f t="shared" si="303"/>
        <v>1.8657000000000001</v>
      </c>
      <c r="N5534" s="170">
        <v>73.400665915604193</v>
      </c>
      <c r="O5534" s="198" t="s">
        <v>3356</v>
      </c>
      <c r="P5534" s="117">
        <v>61</v>
      </c>
    </row>
    <row r="5535" spans="1:18">
      <c r="A5535" s="118" t="s">
        <v>7297</v>
      </c>
      <c r="B5535" s="166"/>
      <c r="C5535" s="169" t="s">
        <v>3817</v>
      </c>
      <c r="D5535" s="165"/>
      <c r="E5535" s="169"/>
      <c r="F5535" s="169"/>
      <c r="G5535" s="169" t="s">
        <v>3618</v>
      </c>
      <c r="H5535" s="169" t="s">
        <v>3638</v>
      </c>
      <c r="I5535" s="169" t="s">
        <v>4657</v>
      </c>
      <c r="J5535" s="169" t="s">
        <v>4668</v>
      </c>
      <c r="K5535" s="141"/>
      <c r="L5535" s="135" t="str">
        <f t="shared" si="302"/>
        <v>Oecomys superans</v>
      </c>
      <c r="M5535" s="133">
        <f t="shared" si="303"/>
        <v>1.8657000000000001</v>
      </c>
      <c r="N5535" s="170">
        <v>73.400665915604193</v>
      </c>
      <c r="O5535" s="198" t="s">
        <v>3356</v>
      </c>
      <c r="P5535" s="117">
        <v>61</v>
      </c>
    </row>
    <row r="5536" spans="1:18">
      <c r="A5536" s="118" t="s">
        <v>7297</v>
      </c>
      <c r="B5536" s="166"/>
      <c r="C5536" s="169" t="s">
        <v>3817</v>
      </c>
      <c r="D5536" s="165"/>
      <c r="E5536" s="169"/>
      <c r="F5536" s="169"/>
      <c r="G5536" s="169" t="s">
        <v>3618</v>
      </c>
      <c r="H5536" s="169" t="s">
        <v>3638</v>
      </c>
      <c r="I5536" s="169" t="s">
        <v>4657</v>
      </c>
      <c r="J5536" s="169" t="s">
        <v>4848</v>
      </c>
      <c r="K5536" s="141"/>
      <c r="L5536" s="135" t="str">
        <f t="shared" si="302"/>
        <v>Oecomys trinitatis</v>
      </c>
      <c r="M5536" s="133">
        <f t="shared" si="303"/>
        <v>1.8657000000000001</v>
      </c>
      <c r="N5536" s="170">
        <v>73.400665915604193</v>
      </c>
      <c r="O5536" s="198" t="s">
        <v>3356</v>
      </c>
      <c r="P5536" s="117">
        <v>61</v>
      </c>
    </row>
    <row r="5537" spans="1:18">
      <c r="A5537" s="118" t="s">
        <v>7297</v>
      </c>
      <c r="B5537" s="166"/>
      <c r="C5537" s="169" t="s">
        <v>3817</v>
      </c>
      <c r="D5537" s="165"/>
      <c r="E5537" s="169"/>
      <c r="F5537" s="169"/>
      <c r="G5537" s="169" t="s">
        <v>3618</v>
      </c>
      <c r="H5537" s="169" t="s">
        <v>3638</v>
      </c>
      <c r="I5537" s="169" t="s">
        <v>3827</v>
      </c>
      <c r="J5537" s="169" t="s">
        <v>4856</v>
      </c>
      <c r="K5537" s="141"/>
      <c r="L5537" s="135" t="str">
        <f t="shared" si="302"/>
        <v>Oligoryzomys nigripes</v>
      </c>
      <c r="M5537" s="133">
        <f t="shared" si="303"/>
        <v>1.3117500000000002</v>
      </c>
      <c r="N5537" s="170">
        <v>20.499817747416984</v>
      </c>
      <c r="O5537" s="198" t="s">
        <v>3356</v>
      </c>
      <c r="P5537" s="108">
        <v>60</v>
      </c>
    </row>
    <row r="5538" spans="1:18">
      <c r="A5538" s="118" t="s">
        <v>7297</v>
      </c>
      <c r="B5538" s="166"/>
      <c r="C5538" s="169" t="s">
        <v>3817</v>
      </c>
      <c r="D5538" s="165"/>
      <c r="E5538" s="169"/>
      <c r="F5538" s="169"/>
      <c r="G5538" s="169" t="s">
        <v>3618</v>
      </c>
      <c r="H5538" s="169" t="s">
        <v>3638</v>
      </c>
      <c r="I5538" s="169" t="s">
        <v>3827</v>
      </c>
      <c r="J5538" s="169" t="s">
        <v>7584</v>
      </c>
      <c r="K5538" s="141"/>
      <c r="L5538" s="135" t="str">
        <f t="shared" si="302"/>
        <v>Oligoryzomys flavescens</v>
      </c>
      <c r="M5538" s="133">
        <f t="shared" si="303"/>
        <v>1.3283799999999999</v>
      </c>
      <c r="N5538" s="170">
        <v>21.300019449380763</v>
      </c>
      <c r="O5538" s="198" t="s">
        <v>3356</v>
      </c>
      <c r="P5538" s="108">
        <v>60</v>
      </c>
    </row>
    <row r="5539" spans="1:18">
      <c r="A5539" s="118" t="s">
        <v>7297</v>
      </c>
      <c r="B5539" s="166"/>
      <c r="C5539" s="169" t="s">
        <v>3817</v>
      </c>
      <c r="D5539" s="165"/>
      <c r="E5539" s="169"/>
      <c r="F5539" s="169"/>
      <c r="G5539" s="169" t="s">
        <v>3618</v>
      </c>
      <c r="H5539" s="169" t="s">
        <v>3638</v>
      </c>
      <c r="I5539" s="169" t="s">
        <v>3827</v>
      </c>
      <c r="J5539" s="169" t="s">
        <v>2311</v>
      </c>
      <c r="K5539" s="141"/>
      <c r="L5539" s="135" t="str">
        <f t="shared" si="302"/>
        <v>Oligoryzomys microtis</v>
      </c>
      <c r="M5539" s="133">
        <f t="shared" si="303"/>
        <v>1.3521800000000002</v>
      </c>
      <c r="N5539" s="170">
        <v>22.499869541650284</v>
      </c>
      <c r="O5539" s="198" t="s">
        <v>3356</v>
      </c>
      <c r="P5539" s="108">
        <v>60</v>
      </c>
    </row>
    <row r="5540" spans="1:18" ht="12" customHeight="1">
      <c r="A5540" s="118" t="s">
        <v>7297</v>
      </c>
      <c r="B5540" s="166"/>
      <c r="C5540" s="169" t="s">
        <v>3817</v>
      </c>
      <c r="D5540" s="165"/>
      <c r="E5540" s="169"/>
      <c r="F5540" s="169"/>
      <c r="G5540" s="169" t="s">
        <v>3618</v>
      </c>
      <c r="H5540" s="169" t="s">
        <v>3638</v>
      </c>
      <c r="I5540" s="169" t="s">
        <v>3827</v>
      </c>
      <c r="J5540" s="169" t="s">
        <v>3914</v>
      </c>
      <c r="K5540" s="141"/>
      <c r="L5540" s="135" t="str">
        <f t="shared" si="302"/>
        <v>Oligoryzomys chacoensis</v>
      </c>
      <c r="M5540" s="133">
        <f t="shared" si="303"/>
        <v>1.3617300000000003</v>
      </c>
      <c r="N5540" s="170">
        <v>23.000114603619075</v>
      </c>
      <c r="O5540" s="198" t="s">
        <v>3356</v>
      </c>
      <c r="P5540" s="108">
        <v>60</v>
      </c>
      <c r="R5540" s="89"/>
    </row>
    <row r="5541" spans="1:18">
      <c r="A5541" s="118" t="s">
        <v>7297</v>
      </c>
      <c r="B5541" s="166"/>
      <c r="C5541" s="169" t="s">
        <v>3817</v>
      </c>
      <c r="D5541" s="165"/>
      <c r="E5541" s="169"/>
      <c r="F5541" s="169"/>
      <c r="G5541" s="169" t="s">
        <v>3618</v>
      </c>
      <c r="H5541" s="169" t="s">
        <v>3638</v>
      </c>
      <c r="I5541" s="169" t="s">
        <v>3827</v>
      </c>
      <c r="J5541" s="169" t="s">
        <v>3368</v>
      </c>
      <c r="K5541" s="141"/>
      <c r="L5541" s="135" t="str">
        <f t="shared" si="302"/>
        <v>Oligoryzomys fulvescens</v>
      </c>
      <c r="M5541" s="133">
        <f t="shared" si="303"/>
        <v>1.3979400000000002</v>
      </c>
      <c r="N5541" s="170">
        <v>24.999999500797397</v>
      </c>
      <c r="O5541" s="198" t="s">
        <v>3356</v>
      </c>
      <c r="P5541" s="108">
        <v>60</v>
      </c>
    </row>
    <row r="5542" spans="1:18">
      <c r="A5542" s="118" t="s">
        <v>7297</v>
      </c>
      <c r="B5542" s="166"/>
      <c r="C5542" s="169" t="s">
        <v>3817</v>
      </c>
      <c r="D5542" s="165"/>
      <c r="E5542" s="169"/>
      <c r="F5542" s="169"/>
      <c r="G5542" s="169" t="s">
        <v>3618</v>
      </c>
      <c r="H5542" s="169" t="s">
        <v>3638</v>
      </c>
      <c r="I5542" s="169" t="s">
        <v>3827</v>
      </c>
      <c r="J5542" s="169" t="s">
        <v>3946</v>
      </c>
      <c r="K5542" s="141"/>
      <c r="L5542" s="135" t="str">
        <f t="shared" si="302"/>
        <v>Oligoryzomys andinus</v>
      </c>
      <c r="M5542" s="133">
        <f t="shared" si="303"/>
        <v>1.4014</v>
      </c>
      <c r="N5542" s="170">
        <v>25.199968621092381</v>
      </c>
      <c r="O5542" s="198" t="s">
        <v>3356</v>
      </c>
      <c r="P5542" s="117">
        <v>61</v>
      </c>
    </row>
    <row r="5543" spans="1:18" ht="15" customHeight="1">
      <c r="A5543" s="118" t="s">
        <v>7297</v>
      </c>
      <c r="B5543" s="166"/>
      <c r="C5543" s="169" t="s">
        <v>3817</v>
      </c>
      <c r="D5543" s="165"/>
      <c r="E5543" s="169"/>
      <c r="F5543" s="169"/>
      <c r="G5543" s="169" t="s">
        <v>3618</v>
      </c>
      <c r="H5543" s="169" t="s">
        <v>3638</v>
      </c>
      <c r="I5543" s="169" t="s">
        <v>3827</v>
      </c>
      <c r="J5543" s="169" t="s">
        <v>4849</v>
      </c>
      <c r="K5543" s="141"/>
      <c r="L5543" s="135" t="str">
        <f t="shared" si="302"/>
        <v>Oligoryzomys arenalis</v>
      </c>
      <c r="M5543" s="133">
        <f t="shared" si="303"/>
        <v>1.4014</v>
      </c>
      <c r="N5543" s="170">
        <v>25.199968621092381</v>
      </c>
      <c r="O5543" s="198" t="s">
        <v>3356</v>
      </c>
      <c r="P5543" s="117">
        <v>61</v>
      </c>
    </row>
    <row r="5544" spans="1:18">
      <c r="A5544" s="118" t="s">
        <v>7297</v>
      </c>
      <c r="B5544" s="166"/>
      <c r="C5544" s="169" t="s">
        <v>3817</v>
      </c>
      <c r="D5544" s="165"/>
      <c r="E5544" s="169"/>
      <c r="F5544" s="169"/>
      <c r="G5544" s="169" t="s">
        <v>3618</v>
      </c>
      <c r="H5544" s="169" t="s">
        <v>3638</v>
      </c>
      <c r="I5544" s="169" t="s">
        <v>3827</v>
      </c>
      <c r="J5544" s="169" t="s">
        <v>4850</v>
      </c>
      <c r="K5544" s="141"/>
      <c r="L5544" s="135" t="str">
        <f t="shared" si="302"/>
        <v>Oligoryzomys destructor</v>
      </c>
      <c r="M5544" s="133">
        <f t="shared" si="303"/>
        <v>1.4014</v>
      </c>
      <c r="N5544" s="170">
        <v>25.199968621092381</v>
      </c>
      <c r="O5544" s="198" t="s">
        <v>3356</v>
      </c>
      <c r="P5544" s="117">
        <v>61</v>
      </c>
      <c r="Q5544" s="90" t="s">
        <v>6987</v>
      </c>
    </row>
    <row r="5545" spans="1:18">
      <c r="A5545" s="118" t="s">
        <v>7297</v>
      </c>
      <c r="B5545" s="166"/>
      <c r="C5545" s="169" t="s">
        <v>3817</v>
      </c>
      <c r="D5545" s="165"/>
      <c r="E5545" s="169"/>
      <c r="F5545" s="169"/>
      <c r="G5545" s="169" t="s">
        <v>3618</v>
      </c>
      <c r="H5545" s="169" t="s">
        <v>3638</v>
      </c>
      <c r="I5545" s="169" t="s">
        <v>3827</v>
      </c>
      <c r="J5545" s="169" t="s">
        <v>3733</v>
      </c>
      <c r="K5545" s="141"/>
      <c r="L5545" s="135" t="str">
        <f t="shared" si="302"/>
        <v>Oligoryzomys griseolus</v>
      </c>
      <c r="M5545" s="133">
        <f t="shared" si="303"/>
        <v>1.4014</v>
      </c>
      <c r="N5545" s="170">
        <v>25.199968621092381</v>
      </c>
      <c r="O5545" s="198" t="s">
        <v>3356</v>
      </c>
      <c r="P5545" s="117">
        <v>61</v>
      </c>
    </row>
    <row r="5546" spans="1:18">
      <c r="A5546" s="118" t="s">
        <v>7297</v>
      </c>
      <c r="B5546" s="166"/>
      <c r="C5546" s="169" t="s">
        <v>3817</v>
      </c>
      <c r="D5546" s="165"/>
      <c r="E5546" s="169"/>
      <c r="F5546" s="169"/>
      <c r="G5546" s="169" t="s">
        <v>3618</v>
      </c>
      <c r="H5546" s="169" t="s">
        <v>3638</v>
      </c>
      <c r="I5546" s="169" t="s">
        <v>3827</v>
      </c>
      <c r="J5546" s="169" t="s">
        <v>3688</v>
      </c>
      <c r="K5546" s="141"/>
      <c r="L5546" s="135" t="str">
        <f t="shared" si="302"/>
        <v>Oligoryzomys magellanicus</v>
      </c>
      <c r="M5546" s="133">
        <f t="shared" si="303"/>
        <v>1.4014</v>
      </c>
      <c r="N5546" s="170">
        <v>25.199968621092381</v>
      </c>
      <c r="O5546" s="198" t="s">
        <v>3356</v>
      </c>
      <c r="P5546" s="117">
        <v>61</v>
      </c>
    </row>
    <row r="5547" spans="1:18" ht="12" customHeight="1">
      <c r="A5547" s="121" t="s">
        <v>7297</v>
      </c>
      <c r="B5547" s="166"/>
      <c r="C5547" s="169" t="s">
        <v>3817</v>
      </c>
      <c r="D5547" s="165"/>
      <c r="E5547" s="169"/>
      <c r="F5547" s="169"/>
      <c r="G5547" s="169" t="s">
        <v>3618</v>
      </c>
      <c r="H5547" s="169" t="s">
        <v>3638</v>
      </c>
      <c r="I5547" s="169" t="s">
        <v>3827</v>
      </c>
      <c r="J5547" s="169" t="s">
        <v>3295</v>
      </c>
      <c r="K5547" s="141"/>
      <c r="L5547" s="135" t="str">
        <f t="shared" si="302"/>
        <v>Oligoryzomys longicaudatus</v>
      </c>
      <c r="M5547" s="133">
        <f t="shared" ref="M5547:M5578" si="304">LOG(N5547)</f>
        <v>1.4313637641589874</v>
      </c>
      <c r="N5547" s="170">
        <v>27</v>
      </c>
      <c r="O5547" s="198" t="s">
        <v>3356</v>
      </c>
      <c r="P5547" s="117">
        <v>61</v>
      </c>
      <c r="R5547" s="89"/>
    </row>
    <row r="5548" spans="1:18" ht="12" customHeight="1">
      <c r="A5548" s="118" t="s">
        <v>7297</v>
      </c>
      <c r="B5548" s="166"/>
      <c r="C5548" s="169" t="s">
        <v>3817</v>
      </c>
      <c r="D5548" s="165"/>
      <c r="E5548" s="169"/>
      <c r="F5548" s="169"/>
      <c r="G5548" s="169" t="s">
        <v>3618</v>
      </c>
      <c r="H5548" s="169" t="s">
        <v>3638</v>
      </c>
      <c r="I5548" s="169" t="s">
        <v>3827</v>
      </c>
      <c r="J5548" s="169" t="s">
        <v>7327</v>
      </c>
      <c r="K5548" s="141"/>
      <c r="L5548" s="135" t="str">
        <f t="shared" si="302"/>
        <v>Oligoryzomys delticola</v>
      </c>
      <c r="M5548" s="133">
        <f t="shared" si="304"/>
        <v>1.4683500000000003</v>
      </c>
      <c r="N5548" s="170">
        <v>29.400180720978682</v>
      </c>
      <c r="O5548" s="198" t="s">
        <v>3356</v>
      </c>
      <c r="P5548" s="117">
        <v>61</v>
      </c>
      <c r="R5548" s="89"/>
    </row>
    <row r="5549" spans="1:18">
      <c r="A5549" s="118" t="s">
        <v>7297</v>
      </c>
      <c r="B5549" s="166"/>
      <c r="C5549" s="169" t="s">
        <v>3817</v>
      </c>
      <c r="D5549" s="165"/>
      <c r="E5549" s="169"/>
      <c r="F5549" s="169"/>
      <c r="G5549" s="169" t="s">
        <v>3618</v>
      </c>
      <c r="H5549" s="169" t="s">
        <v>3638</v>
      </c>
      <c r="I5549" s="169" t="s">
        <v>3827</v>
      </c>
      <c r="J5549" s="169" t="s">
        <v>7363</v>
      </c>
      <c r="K5549" s="141"/>
      <c r="L5549" s="135" t="str">
        <f t="shared" si="302"/>
        <v>Oligoryzomys eliurus</v>
      </c>
      <c r="M5549" s="133">
        <f t="shared" si="304"/>
        <v>1.4771200000000002</v>
      </c>
      <c r="N5549" s="170">
        <v>29.999913327161494</v>
      </c>
      <c r="O5549" s="198" t="s">
        <v>3356</v>
      </c>
      <c r="P5549" s="117">
        <v>61</v>
      </c>
    </row>
    <row r="5550" spans="1:18">
      <c r="A5550" s="118" t="s">
        <v>7297</v>
      </c>
      <c r="B5550" s="166"/>
      <c r="C5550" s="169" t="s">
        <v>3817</v>
      </c>
      <c r="D5550" s="165"/>
      <c r="E5550" s="169"/>
      <c r="F5550" s="169"/>
      <c r="G5550" s="169" t="s">
        <v>3618</v>
      </c>
      <c r="H5550" s="169" t="s">
        <v>3638</v>
      </c>
      <c r="I5550" s="169" t="s">
        <v>3398</v>
      </c>
      <c r="J5550" s="169" t="s">
        <v>3399</v>
      </c>
      <c r="K5550" s="141"/>
      <c r="L5550" s="135" t="str">
        <f t="shared" si="302"/>
        <v>Oryzomys alfaroi</v>
      </c>
      <c r="M5550" s="133">
        <f t="shared" si="304"/>
        <v>1.5224400000000002</v>
      </c>
      <c r="N5550" s="170">
        <v>33.299675392897669</v>
      </c>
      <c r="O5550" s="198" t="s">
        <v>3356</v>
      </c>
      <c r="P5550" s="117">
        <v>61</v>
      </c>
    </row>
    <row r="5551" spans="1:18">
      <c r="A5551" s="118" t="s">
        <v>7297</v>
      </c>
      <c r="B5551" s="166"/>
      <c r="C5551" s="169" t="s">
        <v>3817</v>
      </c>
      <c r="D5551" s="165"/>
      <c r="E5551" s="169"/>
      <c r="F5551" s="169"/>
      <c r="G5551" s="169" t="s">
        <v>3618</v>
      </c>
      <c r="H5551" s="169" t="s">
        <v>3638</v>
      </c>
      <c r="I5551" s="169" t="s">
        <v>3398</v>
      </c>
      <c r="J5551" s="169" t="s">
        <v>3302</v>
      </c>
      <c r="K5551" s="141"/>
      <c r="L5551" s="135" t="str">
        <f t="shared" si="302"/>
        <v>Oryzomys subflavus</v>
      </c>
      <c r="M5551" s="133">
        <f t="shared" si="304"/>
        <v>1.6989700000000001</v>
      </c>
      <c r="N5551" s="170">
        <v>49.999999500797408</v>
      </c>
      <c r="O5551" s="198" t="s">
        <v>3356</v>
      </c>
      <c r="P5551" s="117">
        <v>61</v>
      </c>
    </row>
    <row r="5552" spans="1:18">
      <c r="A5552" s="121" t="s">
        <v>7297</v>
      </c>
      <c r="B5552" s="166"/>
      <c r="C5552" s="169" t="s">
        <v>3817</v>
      </c>
      <c r="D5552" s="165"/>
      <c r="E5552" s="169"/>
      <c r="F5552" s="169"/>
      <c r="G5552" s="169" t="s">
        <v>3618</v>
      </c>
      <c r="H5552" s="169" t="s">
        <v>3638</v>
      </c>
      <c r="I5552" s="169" t="s">
        <v>3398</v>
      </c>
      <c r="J5552" s="169" t="s">
        <v>3567</v>
      </c>
      <c r="K5552" s="141"/>
      <c r="L5552" s="135" t="str">
        <f t="shared" si="302"/>
        <v>Oryzomys talamancae</v>
      </c>
      <c r="M5552" s="133">
        <f t="shared" si="304"/>
        <v>1.7403600000000001</v>
      </c>
      <c r="N5552" s="170">
        <v>54.999659397640222</v>
      </c>
      <c r="O5552" s="198" t="s">
        <v>3356</v>
      </c>
      <c r="P5552" s="117">
        <v>61</v>
      </c>
    </row>
    <row r="5553" spans="1:18">
      <c r="A5553" s="118" t="s">
        <v>7297</v>
      </c>
      <c r="B5553" s="166"/>
      <c r="C5553" s="169" t="s">
        <v>3817</v>
      </c>
      <c r="D5553" s="165"/>
      <c r="E5553" s="169"/>
      <c r="F5553" s="169"/>
      <c r="G5553" s="169" t="s">
        <v>3618</v>
      </c>
      <c r="H5553" s="169" t="s">
        <v>3638</v>
      </c>
      <c r="I5553" s="169" t="s">
        <v>3398</v>
      </c>
      <c r="J5553" s="169" t="s">
        <v>4026</v>
      </c>
      <c r="K5553" s="141"/>
      <c r="L5553" s="135" t="str">
        <f t="shared" si="302"/>
        <v>Oryzomys nitidus</v>
      </c>
      <c r="M5553" s="133">
        <f t="shared" si="304"/>
        <v>1.7419400000000003</v>
      </c>
      <c r="N5553" s="170">
        <v>55.200117223230812</v>
      </c>
      <c r="O5553" s="198" t="s">
        <v>3356</v>
      </c>
      <c r="P5553" s="117">
        <v>61</v>
      </c>
    </row>
    <row r="5554" spans="1:18">
      <c r="A5554" s="118" t="s">
        <v>7297</v>
      </c>
      <c r="B5554" s="166"/>
      <c r="C5554" s="169" t="s">
        <v>3817</v>
      </c>
      <c r="D5554" s="165"/>
      <c r="E5554" s="169"/>
      <c r="F5554" s="169"/>
      <c r="G5554" s="169" t="s">
        <v>3618</v>
      </c>
      <c r="H5554" s="169" t="s">
        <v>3638</v>
      </c>
      <c r="I5554" s="169" t="s">
        <v>3398</v>
      </c>
      <c r="J5554" s="169" t="s">
        <v>4207</v>
      </c>
      <c r="K5554" s="141"/>
      <c r="L5554" s="135" t="str">
        <f t="shared" si="302"/>
        <v>Oryzomys capito</v>
      </c>
      <c r="M5554" s="133">
        <f t="shared" si="304"/>
        <v>1.7619300000000002</v>
      </c>
      <c r="N5554" s="170">
        <v>57.800287684070526</v>
      </c>
      <c r="O5554" s="198" t="s">
        <v>3356</v>
      </c>
      <c r="P5554" s="108">
        <v>60</v>
      </c>
    </row>
    <row r="5555" spans="1:18">
      <c r="A5555" s="118" t="s">
        <v>7297</v>
      </c>
      <c r="B5555" s="166"/>
      <c r="C5555" s="169" t="s">
        <v>3817</v>
      </c>
      <c r="D5555" s="165"/>
      <c r="E5555" s="169"/>
      <c r="F5555" s="169"/>
      <c r="G5555" s="169" t="s">
        <v>3618</v>
      </c>
      <c r="H5555" s="169" t="s">
        <v>3638</v>
      </c>
      <c r="I5555" s="169" t="s">
        <v>3398</v>
      </c>
      <c r="J5555" s="169" t="s">
        <v>4025</v>
      </c>
      <c r="K5555" s="141"/>
      <c r="L5555" s="135" t="str">
        <f t="shared" si="302"/>
        <v>Oryzomys macconnelli</v>
      </c>
      <c r="M5555" s="133">
        <f t="shared" si="304"/>
        <v>1.7634300000000003</v>
      </c>
      <c r="N5555" s="170">
        <v>58.000267960159121</v>
      </c>
      <c r="O5555" s="198" t="s">
        <v>3356</v>
      </c>
      <c r="P5555" s="117">
        <v>61</v>
      </c>
    </row>
    <row r="5556" spans="1:18" ht="12" customHeight="1">
      <c r="A5556" s="118" t="s">
        <v>7297</v>
      </c>
      <c r="B5556" s="166"/>
      <c r="C5556" s="169" t="s">
        <v>3817</v>
      </c>
      <c r="D5556" s="165"/>
      <c r="E5556" s="169"/>
      <c r="F5556" s="169"/>
      <c r="G5556" s="169" t="s">
        <v>3618</v>
      </c>
      <c r="H5556" s="169" t="s">
        <v>3638</v>
      </c>
      <c r="I5556" s="169" t="s">
        <v>3398</v>
      </c>
      <c r="J5556" s="169" t="s">
        <v>3744</v>
      </c>
      <c r="K5556" s="141"/>
      <c r="L5556" s="135" t="str">
        <f t="shared" si="302"/>
        <v>Oryzomys keaysi</v>
      </c>
      <c r="M5556" s="133">
        <f t="shared" si="304"/>
        <v>1.7656700000000003</v>
      </c>
      <c r="N5556" s="170">
        <v>58.300194010500242</v>
      </c>
      <c r="O5556" s="198" t="s">
        <v>3356</v>
      </c>
      <c r="P5556" s="117">
        <v>61</v>
      </c>
      <c r="R5556" s="89"/>
    </row>
    <row r="5557" spans="1:18" ht="15" customHeight="1">
      <c r="A5557" s="118" t="s">
        <v>7297</v>
      </c>
      <c r="B5557" s="166"/>
      <c r="C5557" s="169" t="s">
        <v>3817</v>
      </c>
      <c r="D5557" s="165"/>
      <c r="E5557" s="169"/>
      <c r="F5557" s="169"/>
      <c r="G5557" s="169" t="s">
        <v>3618</v>
      </c>
      <c r="H5557" s="169" t="s">
        <v>3638</v>
      </c>
      <c r="I5557" s="169" t="s">
        <v>3398</v>
      </c>
      <c r="J5557" s="169" t="s">
        <v>3734</v>
      </c>
      <c r="K5557" s="141"/>
      <c r="L5557" s="135" t="str">
        <f t="shared" si="302"/>
        <v>Oryzomys albigularis</v>
      </c>
      <c r="M5557" s="133">
        <f t="shared" si="304"/>
        <v>1.78176</v>
      </c>
      <c r="N5557" s="170">
        <v>60.500644343935861</v>
      </c>
      <c r="O5557" s="198" t="s">
        <v>3356</v>
      </c>
      <c r="P5557" s="117">
        <v>61</v>
      </c>
    </row>
    <row r="5558" spans="1:18">
      <c r="A5558" s="118" t="s">
        <v>7297</v>
      </c>
      <c r="B5558" s="166"/>
      <c r="C5558" s="169" t="s">
        <v>3817</v>
      </c>
      <c r="D5558" s="165"/>
      <c r="E5558" s="169"/>
      <c r="F5558" s="169"/>
      <c r="G5558" s="169" t="s">
        <v>3618</v>
      </c>
      <c r="H5558" s="169" t="s">
        <v>3638</v>
      </c>
      <c r="I5558" s="169" t="s">
        <v>3398</v>
      </c>
      <c r="J5558" s="169" t="s">
        <v>7322</v>
      </c>
      <c r="K5558" s="141"/>
      <c r="L5558" s="135" t="str">
        <f t="shared" si="302"/>
        <v>Oryzomys auriventer</v>
      </c>
      <c r="M5558" s="133">
        <f t="shared" si="304"/>
        <v>1.78176</v>
      </c>
      <c r="N5558" s="170">
        <v>60.500644343935861</v>
      </c>
      <c r="O5558" s="198" t="s">
        <v>3356</v>
      </c>
      <c r="P5558" s="117">
        <v>61</v>
      </c>
    </row>
    <row r="5559" spans="1:18">
      <c r="A5559" s="118" t="s">
        <v>7297</v>
      </c>
      <c r="B5559" s="166"/>
      <c r="C5559" s="169" t="s">
        <v>3817</v>
      </c>
      <c r="D5559" s="165"/>
      <c r="E5559" s="169"/>
      <c r="F5559" s="169"/>
      <c r="G5559" s="169" t="s">
        <v>3618</v>
      </c>
      <c r="H5559" s="169" t="s">
        <v>3638</v>
      </c>
      <c r="I5559" s="169" t="s">
        <v>3398</v>
      </c>
      <c r="J5559" s="169" t="s">
        <v>7323</v>
      </c>
      <c r="K5559" s="156"/>
      <c r="L5559" s="135" t="str">
        <f t="shared" si="302"/>
        <v>Oryzomys balneator</v>
      </c>
      <c r="M5559" s="133">
        <f t="shared" si="304"/>
        <v>1.78176</v>
      </c>
      <c r="N5559" s="170">
        <v>60.500644343935861</v>
      </c>
      <c r="O5559" s="198" t="s">
        <v>3356</v>
      </c>
      <c r="P5559" s="117">
        <v>61</v>
      </c>
    </row>
    <row r="5560" spans="1:18" ht="12" customHeight="1">
      <c r="A5560" s="118" t="s">
        <v>7297</v>
      </c>
      <c r="B5560" s="166"/>
      <c r="C5560" s="169" t="s">
        <v>3817</v>
      </c>
      <c r="D5560" s="165"/>
      <c r="E5560" s="169"/>
      <c r="F5560" s="169"/>
      <c r="G5560" s="169" t="s">
        <v>3618</v>
      </c>
      <c r="H5560" s="169" t="s">
        <v>3638</v>
      </c>
      <c r="I5560" s="169" t="s">
        <v>3398</v>
      </c>
      <c r="J5560" s="169" t="s">
        <v>3944</v>
      </c>
      <c r="K5560" s="141"/>
      <c r="L5560" s="135" t="str">
        <f t="shared" si="302"/>
        <v>Oryzomys bolivaris</v>
      </c>
      <c r="M5560" s="133">
        <f t="shared" si="304"/>
        <v>1.78176</v>
      </c>
      <c r="N5560" s="170">
        <v>60.500644343935861</v>
      </c>
      <c r="O5560" s="198" t="s">
        <v>3356</v>
      </c>
      <c r="P5560" s="117">
        <v>61</v>
      </c>
      <c r="R5560" s="89"/>
    </row>
    <row r="5561" spans="1:18">
      <c r="A5561" s="118" t="s">
        <v>7297</v>
      </c>
      <c r="B5561" s="166"/>
      <c r="C5561" s="169" t="s">
        <v>3817</v>
      </c>
      <c r="D5561" s="165"/>
      <c r="E5561" s="169"/>
      <c r="F5561" s="169"/>
      <c r="G5561" s="169" t="s">
        <v>3618</v>
      </c>
      <c r="H5561" s="169" t="s">
        <v>3638</v>
      </c>
      <c r="I5561" s="169" t="s">
        <v>3398</v>
      </c>
      <c r="J5561" s="169" t="s">
        <v>7374</v>
      </c>
      <c r="K5561" s="141"/>
      <c r="L5561" s="135" t="str">
        <f t="shared" si="302"/>
        <v>Oryzomys gorgasi</v>
      </c>
      <c r="M5561" s="133">
        <f t="shared" si="304"/>
        <v>1.78176</v>
      </c>
      <c r="N5561" s="170">
        <v>60.500644343935861</v>
      </c>
      <c r="O5561" s="198" t="s">
        <v>3356</v>
      </c>
      <c r="P5561" s="117">
        <v>61</v>
      </c>
      <c r="Q5561" s="90" t="s">
        <v>7071</v>
      </c>
    </row>
    <row r="5562" spans="1:18">
      <c r="A5562" s="118" t="s">
        <v>7297</v>
      </c>
      <c r="B5562" s="166"/>
      <c r="C5562" s="169" t="s">
        <v>3817</v>
      </c>
      <c r="D5562" s="165"/>
      <c r="E5562" s="169"/>
      <c r="F5562" s="169"/>
      <c r="G5562" s="169" t="s">
        <v>3618</v>
      </c>
      <c r="H5562" s="169" t="s">
        <v>3638</v>
      </c>
      <c r="I5562" s="169" t="s">
        <v>3398</v>
      </c>
      <c r="J5562" s="169" t="s">
        <v>7375</v>
      </c>
      <c r="K5562" s="141"/>
      <c r="L5562" s="135" t="str">
        <f t="shared" si="302"/>
        <v>Oryzomys hammondi</v>
      </c>
      <c r="M5562" s="133">
        <f t="shared" si="304"/>
        <v>1.78176</v>
      </c>
      <c r="N5562" s="170">
        <v>60.500644343935861</v>
      </c>
      <c r="O5562" s="198" t="s">
        <v>3356</v>
      </c>
      <c r="P5562" s="117">
        <v>61</v>
      </c>
    </row>
    <row r="5563" spans="1:18" ht="12" customHeight="1">
      <c r="A5563" s="118" t="s">
        <v>7297</v>
      </c>
      <c r="B5563" s="166"/>
      <c r="C5563" s="169" t="s">
        <v>3817</v>
      </c>
      <c r="D5563" s="165"/>
      <c r="E5563" s="169"/>
      <c r="F5563" s="169"/>
      <c r="G5563" s="169" t="s">
        <v>3618</v>
      </c>
      <c r="H5563" s="169" t="s">
        <v>3638</v>
      </c>
      <c r="I5563" s="169" t="s">
        <v>3398</v>
      </c>
      <c r="J5563" s="169" t="s">
        <v>7376</v>
      </c>
      <c r="K5563" s="141"/>
      <c r="L5563" s="135" t="str">
        <f t="shared" si="302"/>
        <v>Oryzomys intectus</v>
      </c>
      <c r="M5563" s="133">
        <f t="shared" si="304"/>
        <v>1.78176</v>
      </c>
      <c r="N5563" s="170">
        <v>60.500644343935861</v>
      </c>
      <c r="O5563" s="198" t="s">
        <v>3356</v>
      </c>
      <c r="P5563" s="117">
        <v>61</v>
      </c>
      <c r="R5563" s="89"/>
    </row>
    <row r="5564" spans="1:18">
      <c r="A5564" s="118" t="s">
        <v>7297</v>
      </c>
      <c r="B5564" s="166"/>
      <c r="C5564" s="169" t="s">
        <v>3817</v>
      </c>
      <c r="D5564" s="165"/>
      <c r="E5564" s="169"/>
      <c r="F5564" s="169"/>
      <c r="G5564" s="169" t="s">
        <v>3618</v>
      </c>
      <c r="H5564" s="169" t="s">
        <v>3638</v>
      </c>
      <c r="I5564" s="169" t="s">
        <v>3398</v>
      </c>
      <c r="J5564" s="169" t="s">
        <v>3587</v>
      </c>
      <c r="K5564" s="141"/>
      <c r="L5564" s="135" t="str">
        <f t="shared" si="302"/>
        <v>Oryzomys intermedius</v>
      </c>
      <c r="M5564" s="133">
        <f t="shared" si="304"/>
        <v>1.78176</v>
      </c>
      <c r="N5564" s="170">
        <v>60.500644343935861</v>
      </c>
      <c r="O5564" s="198" t="s">
        <v>3356</v>
      </c>
      <c r="P5564" s="117">
        <v>61</v>
      </c>
    </row>
    <row r="5565" spans="1:18" ht="12" customHeight="1">
      <c r="A5565" s="121" t="s">
        <v>7297</v>
      </c>
      <c r="B5565" s="166"/>
      <c r="C5565" s="169" t="s">
        <v>3817</v>
      </c>
      <c r="D5565" s="165"/>
      <c r="E5565" s="169"/>
      <c r="F5565" s="169"/>
      <c r="G5565" s="169" t="s">
        <v>3618</v>
      </c>
      <c r="H5565" s="169" t="s">
        <v>3638</v>
      </c>
      <c r="I5565" s="169" t="s">
        <v>3398</v>
      </c>
      <c r="J5565" s="169" t="s">
        <v>7380</v>
      </c>
      <c r="K5565" s="141"/>
      <c r="L5565" s="135" t="str">
        <f t="shared" si="302"/>
        <v>Oryzomys kelloggi</v>
      </c>
      <c r="M5565" s="133">
        <f t="shared" si="304"/>
        <v>1.78176</v>
      </c>
      <c r="N5565" s="170">
        <v>60.500644343935861</v>
      </c>
      <c r="O5565" s="198" t="s">
        <v>3356</v>
      </c>
      <c r="P5565" s="117">
        <v>61</v>
      </c>
      <c r="R5565" s="89"/>
    </row>
    <row r="5566" spans="1:18" ht="12" customHeight="1">
      <c r="A5566" s="118" t="s">
        <v>7297</v>
      </c>
      <c r="B5566" s="166"/>
      <c r="C5566" s="169" t="s">
        <v>3817</v>
      </c>
      <c r="D5566" s="165"/>
      <c r="E5566" s="169"/>
      <c r="F5566" s="169"/>
      <c r="G5566" s="169" t="s">
        <v>3618</v>
      </c>
      <c r="H5566" s="169" t="s">
        <v>3638</v>
      </c>
      <c r="I5566" s="169" t="s">
        <v>3398</v>
      </c>
      <c r="J5566" s="169" t="s">
        <v>7328</v>
      </c>
      <c r="K5566" s="141"/>
      <c r="L5566" s="135" t="str">
        <f t="shared" si="302"/>
        <v>Oryzomys lamia</v>
      </c>
      <c r="M5566" s="133">
        <f t="shared" si="304"/>
        <v>1.78176</v>
      </c>
      <c r="N5566" s="170">
        <v>60.500644343935861</v>
      </c>
      <c r="O5566" s="198" t="s">
        <v>3356</v>
      </c>
      <c r="P5566" s="117">
        <v>61</v>
      </c>
      <c r="R5566" s="89"/>
    </row>
    <row r="5567" spans="1:18" ht="12" customHeight="1">
      <c r="A5567" s="118" t="s">
        <v>7297</v>
      </c>
      <c r="B5567" s="166"/>
      <c r="C5567" s="169" t="s">
        <v>3817</v>
      </c>
      <c r="D5567" s="165"/>
      <c r="E5567" s="169"/>
      <c r="F5567" s="169"/>
      <c r="G5567" s="169" t="s">
        <v>3618</v>
      </c>
      <c r="H5567" s="169" t="s">
        <v>3638</v>
      </c>
      <c r="I5567" s="169" t="s">
        <v>3398</v>
      </c>
      <c r="J5567" s="169" t="s">
        <v>2183</v>
      </c>
      <c r="K5567" s="141"/>
      <c r="L5567" s="135" t="str">
        <f t="shared" si="302"/>
        <v>Oryzomys levipes</v>
      </c>
      <c r="M5567" s="133">
        <f t="shared" si="304"/>
        <v>1.78176</v>
      </c>
      <c r="N5567" s="170">
        <v>60.500644343935861</v>
      </c>
      <c r="O5567" s="198" t="s">
        <v>3356</v>
      </c>
      <c r="P5567" s="117">
        <v>61</v>
      </c>
      <c r="Q5567" s="90" t="s">
        <v>6642</v>
      </c>
      <c r="R5567" s="89"/>
    </row>
    <row r="5568" spans="1:18" ht="12" customHeight="1">
      <c r="A5568" s="121" t="s">
        <v>7297</v>
      </c>
      <c r="B5568" s="166"/>
      <c r="C5568" s="169" t="s">
        <v>3817</v>
      </c>
      <c r="D5568" s="165"/>
      <c r="E5568" s="169"/>
      <c r="F5568" s="169"/>
      <c r="G5568" s="169" t="s">
        <v>3618</v>
      </c>
      <c r="H5568" s="169" t="s">
        <v>3638</v>
      </c>
      <c r="I5568" s="169" t="s">
        <v>3398</v>
      </c>
      <c r="J5568" s="169" t="s">
        <v>3750</v>
      </c>
      <c r="K5568" s="141"/>
      <c r="L5568" s="135" t="str">
        <f t="shared" si="302"/>
        <v>Oryzomys oniscus</v>
      </c>
      <c r="M5568" s="133">
        <f t="shared" si="304"/>
        <v>1.78176</v>
      </c>
      <c r="N5568" s="170">
        <v>60.500644343935861</v>
      </c>
      <c r="O5568" s="198" t="s">
        <v>3356</v>
      </c>
      <c r="P5568" s="117">
        <v>61</v>
      </c>
      <c r="Q5568" s="90" t="s">
        <v>6642</v>
      </c>
      <c r="R5568" s="89"/>
    </row>
    <row r="5569" spans="1:18" ht="12" customHeight="1">
      <c r="A5569" s="118" t="s">
        <v>7297</v>
      </c>
      <c r="B5569" s="166"/>
      <c r="C5569" s="169" t="s">
        <v>3817</v>
      </c>
      <c r="D5569" s="165"/>
      <c r="E5569" s="169"/>
      <c r="F5569" s="169"/>
      <c r="G5569" s="169" t="s">
        <v>3618</v>
      </c>
      <c r="H5569" s="169" t="s">
        <v>3638</v>
      </c>
      <c r="I5569" s="169" t="s">
        <v>3398</v>
      </c>
      <c r="J5569" s="169" t="s">
        <v>4624</v>
      </c>
      <c r="K5569" s="141"/>
      <c r="L5569" s="135" t="str">
        <f t="shared" si="302"/>
        <v>Oryzomys polius</v>
      </c>
      <c r="M5569" s="133">
        <f t="shared" si="304"/>
        <v>1.78176</v>
      </c>
      <c r="N5569" s="170">
        <v>60.500644343935861</v>
      </c>
      <c r="O5569" s="198" t="s">
        <v>3356</v>
      </c>
      <c r="P5569" s="117">
        <v>61</v>
      </c>
      <c r="R5569" s="89"/>
    </row>
    <row r="5570" spans="1:18" ht="12" customHeight="1">
      <c r="A5570" s="118" t="s">
        <v>7297</v>
      </c>
      <c r="B5570" s="166"/>
      <c r="C5570" s="169" t="s">
        <v>3817</v>
      </c>
      <c r="D5570" s="165"/>
      <c r="E5570" s="169"/>
      <c r="F5570" s="169"/>
      <c r="G5570" s="169" t="s">
        <v>3618</v>
      </c>
      <c r="H5570" s="169" t="s">
        <v>3638</v>
      </c>
      <c r="I5570" s="169" t="s">
        <v>3398</v>
      </c>
      <c r="J5570" s="169" t="s">
        <v>4706</v>
      </c>
      <c r="K5570" s="141"/>
      <c r="L5570" s="135" t="str">
        <f t="shared" si="302"/>
        <v>Oryzomys yunganus</v>
      </c>
      <c r="M5570" s="133">
        <f t="shared" si="304"/>
        <v>1.78176</v>
      </c>
      <c r="N5570" s="170">
        <v>60.500644343935861</v>
      </c>
      <c r="O5570" s="198" t="s">
        <v>3356</v>
      </c>
      <c r="P5570" s="117">
        <v>61</v>
      </c>
      <c r="R5570" s="89"/>
    </row>
    <row r="5571" spans="1:18" ht="12" customHeight="1">
      <c r="A5571" s="118" t="s">
        <v>7297</v>
      </c>
      <c r="B5571" s="166"/>
      <c r="C5571" s="169" t="s">
        <v>3817</v>
      </c>
      <c r="D5571" s="165"/>
      <c r="E5571" s="169"/>
      <c r="F5571" s="169"/>
      <c r="G5571" s="169" t="s">
        <v>3618</v>
      </c>
      <c r="H5571" s="169" t="s">
        <v>3638</v>
      </c>
      <c r="I5571" s="169" t="s">
        <v>3398</v>
      </c>
      <c r="J5571" s="169" t="s">
        <v>7329</v>
      </c>
      <c r="K5571" s="141"/>
      <c r="L5571" s="135" t="str">
        <f t="shared" si="302"/>
        <v>Oryzomys legatus</v>
      </c>
      <c r="M5571" s="133">
        <f t="shared" si="304"/>
        <v>1.7888800000000002</v>
      </c>
      <c r="N5571" s="170">
        <v>61.500691653966378</v>
      </c>
      <c r="O5571" s="198" t="s">
        <v>3356</v>
      </c>
      <c r="P5571" s="117">
        <v>61</v>
      </c>
      <c r="R5571" s="89"/>
    </row>
    <row r="5572" spans="1:18" ht="15" customHeight="1">
      <c r="A5572" s="118" t="s">
        <v>7297</v>
      </c>
      <c r="B5572" s="166"/>
      <c r="C5572" s="169" t="s">
        <v>3817</v>
      </c>
      <c r="D5572" s="165"/>
      <c r="E5572" s="169"/>
      <c r="F5572" s="169"/>
      <c r="G5572" s="169" t="s">
        <v>3618</v>
      </c>
      <c r="H5572" s="169" t="s">
        <v>3638</v>
      </c>
      <c r="I5572" s="169" t="s">
        <v>3398</v>
      </c>
      <c r="J5572" s="169" t="s">
        <v>3162</v>
      </c>
      <c r="K5572" s="141"/>
      <c r="L5572" s="135" t="str">
        <f t="shared" si="302"/>
        <v>Oryzomys couesi</v>
      </c>
      <c r="M5572" s="133">
        <f t="shared" si="304"/>
        <v>1.8407300000000002</v>
      </c>
      <c r="N5572" s="170">
        <v>69.299483857675455</v>
      </c>
      <c r="O5572" s="198" t="s">
        <v>3356</v>
      </c>
      <c r="P5572" s="108">
        <v>60</v>
      </c>
    </row>
    <row r="5573" spans="1:18">
      <c r="A5573" s="118" t="s">
        <v>7297</v>
      </c>
      <c r="B5573" s="166"/>
      <c r="C5573" s="169" t="s">
        <v>3817</v>
      </c>
      <c r="D5573" s="165"/>
      <c r="E5573" s="169"/>
      <c r="F5573" s="169"/>
      <c r="G5573" s="169" t="s">
        <v>3618</v>
      </c>
      <c r="H5573" s="169" t="s">
        <v>3638</v>
      </c>
      <c r="I5573" s="169" t="s">
        <v>3398</v>
      </c>
      <c r="J5573" s="169" t="s">
        <v>4863</v>
      </c>
      <c r="K5573" s="141"/>
      <c r="L5573" s="135" t="str">
        <f t="shared" ref="L5573:L5636" si="305">I5573&amp;" "&amp;J5573</f>
        <v>Oryzomys xantheolus</v>
      </c>
      <c r="M5573" s="133">
        <f t="shared" si="304"/>
        <v>1.9020000000000001</v>
      </c>
      <c r="N5573" s="170">
        <v>79.79946872679767</v>
      </c>
      <c r="O5573" s="198" t="s">
        <v>3356</v>
      </c>
      <c r="P5573" s="117">
        <v>61</v>
      </c>
    </row>
    <row r="5574" spans="1:18">
      <c r="A5574" s="118" t="s">
        <v>7297</v>
      </c>
      <c r="B5574" s="166"/>
      <c r="C5574" s="169" t="s">
        <v>3817</v>
      </c>
      <c r="D5574" s="165"/>
      <c r="E5574" s="169"/>
      <c r="F5574" s="169"/>
      <c r="G5574" s="169" t="s">
        <v>3618</v>
      </c>
      <c r="H5574" s="169" t="s">
        <v>3638</v>
      </c>
      <c r="I5574" s="169" t="s">
        <v>3398</v>
      </c>
      <c r="J5574" s="169" t="s">
        <v>4841</v>
      </c>
      <c r="K5574" s="141"/>
      <c r="L5574" s="135" t="str">
        <f t="shared" si="305"/>
        <v>Oryzomys buccinatus</v>
      </c>
      <c r="M5574" s="133">
        <f t="shared" si="304"/>
        <v>2.0013000000000001</v>
      </c>
      <c r="N5574" s="170">
        <v>100.29978451983322</v>
      </c>
      <c r="O5574" s="198" t="s">
        <v>3356</v>
      </c>
      <c r="P5574" s="117">
        <v>61</v>
      </c>
    </row>
    <row r="5575" spans="1:18">
      <c r="A5575" s="118" t="s">
        <v>7297</v>
      </c>
      <c r="B5575" s="166"/>
      <c r="C5575" s="169" t="s">
        <v>3817</v>
      </c>
      <c r="D5575" s="165"/>
      <c r="E5575" s="169"/>
      <c r="F5575" s="169"/>
      <c r="G5575" s="169" t="s">
        <v>3618</v>
      </c>
      <c r="H5575" s="169" t="s">
        <v>3638</v>
      </c>
      <c r="I5575" s="169" t="s">
        <v>3398</v>
      </c>
      <c r="J5575" s="169" t="s">
        <v>7381</v>
      </c>
      <c r="K5575" s="141"/>
      <c r="L5575" s="135" t="str">
        <f t="shared" si="305"/>
        <v>Oryzomys ratticeps</v>
      </c>
      <c r="M5575" s="133">
        <f t="shared" si="304"/>
        <v>2.1583600000000001</v>
      </c>
      <c r="N5575" s="170">
        <v>143.99917369273325</v>
      </c>
      <c r="O5575" s="198" t="s">
        <v>3356</v>
      </c>
      <c r="P5575" s="117">
        <v>61</v>
      </c>
    </row>
    <row r="5576" spans="1:18" ht="12" customHeight="1">
      <c r="A5576" s="118" t="s">
        <v>7297</v>
      </c>
      <c r="B5576" s="166"/>
      <c r="C5576" s="169" t="s">
        <v>3817</v>
      </c>
      <c r="D5576" s="165"/>
      <c r="E5576" s="169"/>
      <c r="F5576" s="169"/>
      <c r="G5576" s="169" t="s">
        <v>3618</v>
      </c>
      <c r="H5576" s="169" t="s">
        <v>3638</v>
      </c>
      <c r="I5576" s="169" t="s">
        <v>3563</v>
      </c>
      <c r="J5576" s="169" t="s">
        <v>2233</v>
      </c>
      <c r="K5576" s="141"/>
      <c r="L5576" s="135" t="str">
        <f t="shared" si="305"/>
        <v>Oxymycterus inca</v>
      </c>
      <c r="M5576" s="133">
        <f t="shared" si="304"/>
        <v>1.5440700000000003</v>
      </c>
      <c r="N5576" s="170">
        <v>35.000157607101464</v>
      </c>
      <c r="O5576" s="198" t="s">
        <v>3356</v>
      </c>
      <c r="P5576" s="108">
        <v>60</v>
      </c>
      <c r="R5576" s="89"/>
    </row>
    <row r="5577" spans="1:18">
      <c r="A5577" s="118" t="s">
        <v>7297</v>
      </c>
      <c r="B5577" s="166"/>
      <c r="C5577" s="169" t="s">
        <v>3817</v>
      </c>
      <c r="D5577" s="165"/>
      <c r="E5577" s="169"/>
      <c r="F5577" s="169"/>
      <c r="G5577" s="169" t="s">
        <v>3618</v>
      </c>
      <c r="H5577" s="169" t="s">
        <v>3638</v>
      </c>
      <c r="I5577" s="169" t="s">
        <v>3563</v>
      </c>
      <c r="J5577" s="169" t="s">
        <v>4174</v>
      </c>
      <c r="K5577" s="141"/>
      <c r="L5577" s="135" t="str">
        <f t="shared" si="305"/>
        <v>Oxymycterus hispidus</v>
      </c>
      <c r="M5577" s="133">
        <f t="shared" si="304"/>
        <v>1.5652600000000003</v>
      </c>
      <c r="N5577" s="170">
        <v>36.750224800474854</v>
      </c>
      <c r="O5577" s="198" t="s">
        <v>3356</v>
      </c>
      <c r="P5577" s="117">
        <v>61</v>
      </c>
    </row>
    <row r="5578" spans="1:18">
      <c r="A5578" s="118" t="s">
        <v>7297</v>
      </c>
      <c r="B5578" s="166"/>
      <c r="C5578" s="169" t="s">
        <v>3817</v>
      </c>
      <c r="D5578" s="165"/>
      <c r="E5578" s="169"/>
      <c r="F5578" s="169"/>
      <c r="G5578" s="169" t="s">
        <v>3618</v>
      </c>
      <c r="H5578" s="169" t="s">
        <v>3638</v>
      </c>
      <c r="I5578" s="169" t="s">
        <v>3563</v>
      </c>
      <c r="J5578" s="169" t="s">
        <v>3568</v>
      </c>
      <c r="K5578" s="141"/>
      <c r="L5578" s="135" t="str">
        <f t="shared" si="305"/>
        <v>Oxymycterus paramensis</v>
      </c>
      <c r="M5578" s="133">
        <f t="shared" si="304"/>
        <v>1.6232500000000003</v>
      </c>
      <c r="N5578" s="170">
        <v>42.000068624663172</v>
      </c>
      <c r="O5578" s="198" t="s">
        <v>3356</v>
      </c>
      <c r="P5578" s="108">
        <v>60</v>
      </c>
    </row>
    <row r="5579" spans="1:18" ht="15" customHeight="1">
      <c r="A5579" s="118" t="s">
        <v>7297</v>
      </c>
      <c r="B5579" s="166"/>
      <c r="C5579" s="169" t="s">
        <v>3817</v>
      </c>
      <c r="D5579" s="165"/>
      <c r="E5579" s="169"/>
      <c r="F5579" s="169"/>
      <c r="G5579" s="169" t="s">
        <v>3618</v>
      </c>
      <c r="H5579" s="169" t="s">
        <v>3638</v>
      </c>
      <c r="I5579" s="169" t="s">
        <v>3563</v>
      </c>
      <c r="J5579" s="169" t="s">
        <v>4681</v>
      </c>
      <c r="K5579" s="141"/>
      <c r="L5579" s="135" t="str">
        <f t="shared" si="305"/>
        <v>Oxymycterus iheringi</v>
      </c>
      <c r="M5579" s="133">
        <f t="shared" ref="M5579:M5610" si="306">LOG(N5579)</f>
        <v>1.6334700000000002</v>
      </c>
      <c r="N5579" s="170">
        <v>43.000152915127025</v>
      </c>
      <c r="O5579" s="198" t="s">
        <v>3356</v>
      </c>
      <c r="P5579" s="117">
        <v>61</v>
      </c>
    </row>
    <row r="5580" spans="1:18" ht="15" customHeight="1">
      <c r="A5580" s="118" t="s">
        <v>7297</v>
      </c>
      <c r="B5580" s="166"/>
      <c r="C5580" s="169" t="s">
        <v>3817</v>
      </c>
      <c r="D5580" s="165"/>
      <c r="E5580" s="169"/>
      <c r="F5580" s="169"/>
      <c r="G5580" s="169" t="s">
        <v>3618</v>
      </c>
      <c r="H5580" s="169" t="s">
        <v>3638</v>
      </c>
      <c r="I5580" s="169" t="s">
        <v>3563</v>
      </c>
      <c r="J5580" s="169" t="s">
        <v>3564</v>
      </c>
      <c r="K5580" s="141"/>
      <c r="L5580" s="135" t="str">
        <f t="shared" si="305"/>
        <v>Oxymycterus akodontius</v>
      </c>
      <c r="M5580" s="133">
        <f t="shared" si="306"/>
        <v>1.8325100000000001</v>
      </c>
      <c r="N5580" s="170">
        <v>68.000170244089148</v>
      </c>
      <c r="O5580" s="198" t="s">
        <v>3356</v>
      </c>
      <c r="P5580" s="117">
        <v>61</v>
      </c>
    </row>
    <row r="5581" spans="1:18">
      <c r="A5581" s="118" t="s">
        <v>7297</v>
      </c>
      <c r="B5581" s="166"/>
      <c r="C5581" s="169" t="s">
        <v>3817</v>
      </c>
      <c r="D5581" s="165"/>
      <c r="E5581" s="169"/>
      <c r="F5581" s="169"/>
      <c r="G5581" s="169" t="s">
        <v>3618</v>
      </c>
      <c r="H5581" s="169" t="s">
        <v>3638</v>
      </c>
      <c r="I5581" s="169" t="s">
        <v>3563</v>
      </c>
      <c r="J5581" s="169" t="s">
        <v>3746</v>
      </c>
      <c r="K5581" s="141"/>
      <c r="L5581" s="135" t="str">
        <f t="shared" si="305"/>
        <v>Oxymycterus angularis</v>
      </c>
      <c r="M5581" s="133">
        <f t="shared" si="306"/>
        <v>1.8325100000000001</v>
      </c>
      <c r="N5581" s="170">
        <v>68.000170244089148</v>
      </c>
      <c r="O5581" s="198" t="s">
        <v>3356</v>
      </c>
      <c r="P5581" s="117">
        <v>61</v>
      </c>
    </row>
    <row r="5582" spans="1:18">
      <c r="A5582" s="118" t="s">
        <v>7297</v>
      </c>
      <c r="B5582" s="166"/>
      <c r="C5582" s="169" t="s">
        <v>3817</v>
      </c>
      <c r="D5582" s="165"/>
      <c r="E5582" s="169"/>
      <c r="F5582" s="169"/>
      <c r="G5582" s="169" t="s">
        <v>3618</v>
      </c>
      <c r="H5582" s="169" t="s">
        <v>3638</v>
      </c>
      <c r="I5582" s="169" t="s">
        <v>3563</v>
      </c>
      <c r="J5582" s="169" t="s">
        <v>3748</v>
      </c>
      <c r="K5582" s="141"/>
      <c r="L5582" s="135" t="str">
        <f t="shared" si="305"/>
        <v>Oxymycterus hiska</v>
      </c>
      <c r="M5582" s="133">
        <f t="shared" si="306"/>
        <v>1.8325100000000001</v>
      </c>
      <c r="N5582" s="170">
        <v>68.000170244089148</v>
      </c>
      <c r="O5582" s="198" t="s">
        <v>3356</v>
      </c>
      <c r="P5582" s="117">
        <v>61</v>
      </c>
      <c r="Q5582" s="90" t="s">
        <v>6988</v>
      </c>
    </row>
    <row r="5583" spans="1:18">
      <c r="A5583" s="118" t="s">
        <v>7297</v>
      </c>
      <c r="B5583" s="166"/>
      <c r="C5583" s="169" t="s">
        <v>3817</v>
      </c>
      <c r="D5583" s="165"/>
      <c r="E5583" s="169"/>
      <c r="F5583" s="169"/>
      <c r="G5583" s="169" t="s">
        <v>3618</v>
      </c>
      <c r="H5583" s="169" t="s">
        <v>3638</v>
      </c>
      <c r="I5583" s="169" t="s">
        <v>3563</v>
      </c>
      <c r="J5583" s="169" t="s">
        <v>4704</v>
      </c>
      <c r="K5583" s="141"/>
      <c r="L5583" s="135" t="str">
        <f t="shared" si="305"/>
        <v>Oxymycterus hucucha</v>
      </c>
      <c r="M5583" s="133">
        <f t="shared" si="306"/>
        <v>1.8325100000000001</v>
      </c>
      <c r="N5583" s="170">
        <v>68.000170244089148</v>
      </c>
      <c r="O5583" s="198" t="s">
        <v>3356</v>
      </c>
      <c r="P5583" s="117">
        <v>61</v>
      </c>
      <c r="Q5583" s="90" t="s">
        <v>6988</v>
      </c>
    </row>
    <row r="5584" spans="1:18">
      <c r="A5584" s="118" t="s">
        <v>7297</v>
      </c>
      <c r="B5584" s="166"/>
      <c r="C5584" s="169" t="s">
        <v>3817</v>
      </c>
      <c r="D5584" s="165"/>
      <c r="E5584" s="169"/>
      <c r="F5584" s="169"/>
      <c r="G5584" s="169" t="s">
        <v>3618</v>
      </c>
      <c r="H5584" s="169" t="s">
        <v>3638</v>
      </c>
      <c r="I5584" s="169" t="s">
        <v>3563</v>
      </c>
      <c r="J5584" s="169" t="s">
        <v>4705</v>
      </c>
      <c r="K5584" s="141"/>
      <c r="L5584" s="135" t="str">
        <f t="shared" si="305"/>
        <v>Oxymycterus nasutus</v>
      </c>
      <c r="M5584" s="133">
        <f t="shared" si="306"/>
        <v>1.8325100000000001</v>
      </c>
      <c r="N5584" s="170">
        <v>68.000170244089148</v>
      </c>
      <c r="O5584" s="198" t="s">
        <v>3356</v>
      </c>
      <c r="P5584" s="117">
        <v>61</v>
      </c>
    </row>
    <row r="5585" spans="1:19">
      <c r="A5585" s="118" t="s">
        <v>7297</v>
      </c>
      <c r="B5585" s="166"/>
      <c r="C5585" s="169" t="s">
        <v>3817</v>
      </c>
      <c r="D5585" s="165"/>
      <c r="E5585" s="169"/>
      <c r="F5585" s="169"/>
      <c r="G5585" s="169" t="s">
        <v>3618</v>
      </c>
      <c r="H5585" s="169" t="s">
        <v>3638</v>
      </c>
      <c r="I5585" s="169" t="s">
        <v>3563</v>
      </c>
      <c r="J5585" s="169" t="s">
        <v>2329</v>
      </c>
      <c r="K5585" s="141"/>
      <c r="L5585" s="135" t="str">
        <f t="shared" si="305"/>
        <v>Oxymycterus rufus</v>
      </c>
      <c r="M5585" s="133">
        <f t="shared" si="306"/>
        <v>1.8773700000000002</v>
      </c>
      <c r="N5585" s="170">
        <v>75.399766337294324</v>
      </c>
      <c r="O5585" s="198" t="s">
        <v>3356</v>
      </c>
      <c r="P5585" s="117">
        <v>61</v>
      </c>
      <c r="S5585" s="92"/>
    </row>
    <row r="5586" spans="1:19">
      <c r="A5586" s="118" t="s">
        <v>7297</v>
      </c>
      <c r="B5586" s="166"/>
      <c r="C5586" s="169" t="s">
        <v>3817</v>
      </c>
      <c r="D5586" s="165"/>
      <c r="E5586" s="169"/>
      <c r="F5586" s="169"/>
      <c r="G5586" s="169" t="s">
        <v>3618</v>
      </c>
      <c r="H5586" s="169" t="s">
        <v>3638</v>
      </c>
      <c r="I5586" s="169" t="s">
        <v>3563</v>
      </c>
      <c r="J5586" s="169" t="s">
        <v>3747</v>
      </c>
      <c r="K5586" s="141"/>
      <c r="L5586" s="135" t="str">
        <f t="shared" si="305"/>
        <v>Oxymycterus delator</v>
      </c>
      <c r="M5586" s="133">
        <f t="shared" si="306"/>
        <v>1.9111600000000002</v>
      </c>
      <c r="N5586" s="170">
        <v>81.500448746729631</v>
      </c>
      <c r="O5586" s="198" t="s">
        <v>3356</v>
      </c>
      <c r="P5586" s="117">
        <v>61</v>
      </c>
    </row>
    <row r="5587" spans="1:19">
      <c r="A5587" s="118" t="s">
        <v>7297</v>
      </c>
      <c r="B5587" s="166"/>
      <c r="C5587" s="169" t="s">
        <v>3817</v>
      </c>
      <c r="D5587" s="165"/>
      <c r="E5587" s="169"/>
      <c r="F5587" s="169"/>
      <c r="G5587" s="169" t="s">
        <v>3618</v>
      </c>
      <c r="H5587" s="169" t="s">
        <v>3638</v>
      </c>
      <c r="I5587" s="169" t="s">
        <v>3563</v>
      </c>
      <c r="J5587" s="169" t="s">
        <v>4665</v>
      </c>
      <c r="K5587" s="141"/>
      <c r="L5587" s="135" t="str">
        <f t="shared" si="305"/>
        <v>Oxymycterus roberti</v>
      </c>
      <c r="M5587" s="133">
        <f t="shared" si="306"/>
        <v>1.92117</v>
      </c>
      <c r="N5587" s="170">
        <v>83.400758421587113</v>
      </c>
      <c r="O5587" s="198" t="s">
        <v>3356</v>
      </c>
      <c r="P5587" s="108">
        <v>60</v>
      </c>
    </row>
    <row r="5588" spans="1:19" ht="15" customHeight="1">
      <c r="A5588" s="118" t="s">
        <v>7297</v>
      </c>
      <c r="B5588" s="166"/>
      <c r="C5588" s="169" t="s">
        <v>3817</v>
      </c>
      <c r="D5588" s="165"/>
      <c r="E5588" s="169"/>
      <c r="F5588" s="169"/>
      <c r="G5588" s="169" t="s">
        <v>3618</v>
      </c>
      <c r="H5588" s="169" t="s">
        <v>3638</v>
      </c>
      <c r="I5588" s="169" t="s">
        <v>3772</v>
      </c>
      <c r="J5588" s="169" t="s">
        <v>3641</v>
      </c>
      <c r="K5588" s="141"/>
      <c r="L5588" s="135" t="str">
        <f t="shared" si="305"/>
        <v>Phaenomys ferrugineus</v>
      </c>
      <c r="M5588" s="133">
        <f t="shared" si="306"/>
        <v>1.9722000000000002</v>
      </c>
      <c r="N5588" s="170">
        <v>93.79938696184891</v>
      </c>
      <c r="O5588" s="198" t="s">
        <v>3356</v>
      </c>
      <c r="P5588" s="117">
        <v>61</v>
      </c>
      <c r="Q5588" s="90" t="s">
        <v>6640</v>
      </c>
    </row>
    <row r="5589" spans="1:19">
      <c r="A5589" s="118" t="s">
        <v>7297</v>
      </c>
      <c r="B5589" s="166"/>
      <c r="C5589" s="169" t="s">
        <v>3817</v>
      </c>
      <c r="D5589" s="165"/>
      <c r="E5589" s="169"/>
      <c r="F5589" s="169"/>
      <c r="G5589" s="169" t="s">
        <v>3618</v>
      </c>
      <c r="H5589" s="169" t="s">
        <v>3638</v>
      </c>
      <c r="I5589" s="169" t="s">
        <v>6744</v>
      </c>
      <c r="J5589" s="169" t="s">
        <v>3625</v>
      </c>
      <c r="K5589" s="141"/>
      <c r="L5589" s="135" t="str">
        <f t="shared" si="305"/>
        <v>Phyllotis gerbillus</v>
      </c>
      <c r="M5589" s="133">
        <f t="shared" si="306"/>
        <v>1.2405500000000003</v>
      </c>
      <c r="N5589" s="170">
        <v>17.400030117569148</v>
      </c>
      <c r="O5589" s="198" t="s">
        <v>3356</v>
      </c>
      <c r="P5589" s="117">
        <v>61</v>
      </c>
    </row>
    <row r="5590" spans="1:19">
      <c r="A5590" s="118" t="s">
        <v>7297</v>
      </c>
      <c r="B5590" s="166"/>
      <c r="C5590" s="169" t="s">
        <v>3817</v>
      </c>
      <c r="D5590" s="165"/>
      <c r="E5590" s="169"/>
      <c r="F5590" s="169"/>
      <c r="G5590" s="169" t="s">
        <v>3618</v>
      </c>
      <c r="H5590" s="169" t="s">
        <v>3638</v>
      </c>
      <c r="I5590" s="169" t="s">
        <v>6744</v>
      </c>
      <c r="J5590" s="169" t="s">
        <v>3573</v>
      </c>
      <c r="K5590" s="141"/>
      <c r="L5590" s="135" t="str">
        <f t="shared" si="305"/>
        <v>Phyllotis amicus</v>
      </c>
      <c r="M5590" s="133">
        <f t="shared" si="306"/>
        <v>1.3053500000000002</v>
      </c>
      <c r="N5590" s="170">
        <v>20.199936304099325</v>
      </c>
      <c r="O5590" s="198" t="s">
        <v>3356</v>
      </c>
      <c r="P5590" s="117">
        <v>61</v>
      </c>
    </row>
    <row r="5591" spans="1:19">
      <c r="A5591" s="118" t="s">
        <v>7297</v>
      </c>
      <c r="B5591" s="166"/>
      <c r="C5591" s="169" t="s">
        <v>3817</v>
      </c>
      <c r="D5591" s="165"/>
      <c r="E5591" s="169"/>
      <c r="F5591" s="169"/>
      <c r="G5591" s="169" t="s">
        <v>3618</v>
      </c>
      <c r="H5591" s="169" t="s">
        <v>3638</v>
      </c>
      <c r="I5591" s="169" t="s">
        <v>6744</v>
      </c>
      <c r="J5591" s="169" t="s">
        <v>3751</v>
      </c>
      <c r="K5591" s="141"/>
      <c r="L5591" s="135" t="str">
        <f t="shared" si="305"/>
        <v>Phyllotis bonaeriensis</v>
      </c>
      <c r="M5591" s="133">
        <f t="shared" si="306"/>
        <v>1.6283900000000002</v>
      </c>
      <c r="N5591" s="170">
        <v>42.500104705262615</v>
      </c>
      <c r="O5591" s="198" t="s">
        <v>3356</v>
      </c>
      <c r="P5591" s="117">
        <v>61</v>
      </c>
      <c r="Q5591" s="90" t="s">
        <v>6642</v>
      </c>
    </row>
    <row r="5592" spans="1:19" ht="15" customHeight="1">
      <c r="A5592" s="118" t="s">
        <v>7297</v>
      </c>
      <c r="B5592" s="166"/>
      <c r="C5592" s="169" t="s">
        <v>3817</v>
      </c>
      <c r="D5592" s="165"/>
      <c r="E5592" s="169"/>
      <c r="F5592" s="169"/>
      <c r="G5592" s="169" t="s">
        <v>3618</v>
      </c>
      <c r="H5592" s="169" t="s">
        <v>3638</v>
      </c>
      <c r="I5592" s="169" t="s">
        <v>6744</v>
      </c>
      <c r="J5592" s="169" t="s">
        <v>6747</v>
      </c>
      <c r="K5592" s="141"/>
      <c r="L5592" s="135" t="str">
        <f t="shared" si="305"/>
        <v>Phyllotis haggardi</v>
      </c>
      <c r="M5592" s="133">
        <f t="shared" si="306"/>
        <v>1.6283900000000002</v>
      </c>
      <c r="N5592" s="170">
        <v>42.500104705262615</v>
      </c>
      <c r="O5592" s="198" t="s">
        <v>3356</v>
      </c>
      <c r="P5592" s="117">
        <v>61</v>
      </c>
    </row>
    <row r="5593" spans="1:19">
      <c r="A5593" s="118" t="s">
        <v>7297</v>
      </c>
      <c r="B5593" s="166"/>
      <c r="C5593" s="169" t="s">
        <v>3817</v>
      </c>
      <c r="D5593" s="165"/>
      <c r="E5593" s="169"/>
      <c r="F5593" s="169"/>
      <c r="G5593" s="169" t="s">
        <v>3618</v>
      </c>
      <c r="H5593" s="169" t="s">
        <v>3638</v>
      </c>
      <c r="I5593" s="169" t="s">
        <v>6744</v>
      </c>
      <c r="J5593" s="169" t="s">
        <v>3427</v>
      </c>
      <c r="K5593" s="141"/>
      <c r="L5593" s="135" t="str">
        <f t="shared" si="305"/>
        <v>Phyllotis wolffsohni</v>
      </c>
      <c r="M5593" s="133">
        <f t="shared" si="306"/>
        <v>1.6283900000000002</v>
      </c>
      <c r="N5593" s="170">
        <v>42.500104705262615</v>
      </c>
      <c r="O5593" s="198" t="s">
        <v>3356</v>
      </c>
      <c r="P5593" s="117">
        <v>61</v>
      </c>
    </row>
    <row r="5594" spans="1:19">
      <c r="A5594" s="118" t="s">
        <v>7297</v>
      </c>
      <c r="B5594" s="166"/>
      <c r="C5594" s="169" t="s">
        <v>3817</v>
      </c>
      <c r="D5594" s="165"/>
      <c r="E5594" s="169"/>
      <c r="F5594" s="169"/>
      <c r="G5594" s="169" t="s">
        <v>3618</v>
      </c>
      <c r="H5594" s="169" t="s">
        <v>3638</v>
      </c>
      <c r="I5594" s="169" t="s">
        <v>6744</v>
      </c>
      <c r="J5594" s="169" t="s">
        <v>4683</v>
      </c>
      <c r="K5594" s="141"/>
      <c r="L5594" s="135" t="str">
        <f t="shared" si="305"/>
        <v>Phyllotis osgoodi</v>
      </c>
      <c r="M5594" s="133">
        <f t="shared" si="306"/>
        <v>1.6541800000000002</v>
      </c>
      <c r="N5594" s="170">
        <v>45.100359115603396</v>
      </c>
      <c r="O5594" s="198" t="s">
        <v>3356</v>
      </c>
      <c r="P5594" s="117">
        <v>61</v>
      </c>
      <c r="S5594" s="92"/>
    </row>
    <row r="5595" spans="1:19" ht="15" customHeight="1">
      <c r="A5595" s="118" t="s">
        <v>7297</v>
      </c>
      <c r="B5595" s="166"/>
      <c r="C5595" s="169" t="s">
        <v>3817</v>
      </c>
      <c r="D5595" s="165"/>
      <c r="E5595" s="169"/>
      <c r="F5595" s="169"/>
      <c r="G5595" s="169" t="s">
        <v>3618</v>
      </c>
      <c r="H5595" s="169" t="s">
        <v>3638</v>
      </c>
      <c r="I5595" s="169" t="s">
        <v>6744</v>
      </c>
      <c r="J5595" s="169" t="s">
        <v>4216</v>
      </c>
      <c r="K5595" s="141"/>
      <c r="L5595" s="135" t="str">
        <f t="shared" si="305"/>
        <v>Phyllotis osilae</v>
      </c>
      <c r="M5595" s="133">
        <f t="shared" si="306"/>
        <v>1.6901999999999999</v>
      </c>
      <c r="N5595" s="170">
        <v>49.000442279323579</v>
      </c>
      <c r="O5595" s="198" t="s">
        <v>3356</v>
      </c>
      <c r="P5595" s="117">
        <v>61</v>
      </c>
    </row>
    <row r="5596" spans="1:19">
      <c r="A5596" s="118" t="s">
        <v>7297</v>
      </c>
      <c r="B5596" s="166"/>
      <c r="C5596" s="169" t="s">
        <v>3817</v>
      </c>
      <c r="D5596" s="165"/>
      <c r="E5596" s="169"/>
      <c r="F5596" s="169"/>
      <c r="G5596" s="169" t="s">
        <v>3618</v>
      </c>
      <c r="H5596" s="169" t="s">
        <v>3638</v>
      </c>
      <c r="I5596" s="169" t="s">
        <v>6744</v>
      </c>
      <c r="J5596" s="169" t="s">
        <v>3752</v>
      </c>
      <c r="K5596" s="141"/>
      <c r="L5596" s="135" t="str">
        <f t="shared" si="305"/>
        <v>Phyllotis caprinus</v>
      </c>
      <c r="M5596" s="133">
        <f t="shared" si="306"/>
        <v>1.7058600000000002</v>
      </c>
      <c r="N5596" s="170">
        <v>50.799565771095516</v>
      </c>
      <c r="O5596" s="198" t="s">
        <v>3356</v>
      </c>
      <c r="P5596" s="117">
        <v>61</v>
      </c>
    </row>
    <row r="5597" spans="1:19" ht="15" customHeight="1">
      <c r="A5597" s="118" t="s">
        <v>7297</v>
      </c>
      <c r="B5597" s="166"/>
      <c r="C5597" s="169" t="s">
        <v>3817</v>
      </c>
      <c r="D5597" s="165"/>
      <c r="E5597" s="169"/>
      <c r="F5597" s="169"/>
      <c r="G5597" s="169" t="s">
        <v>3618</v>
      </c>
      <c r="H5597" s="169" t="s">
        <v>3638</v>
      </c>
      <c r="I5597" s="169" t="s">
        <v>6744</v>
      </c>
      <c r="J5597" s="169" t="s">
        <v>3753</v>
      </c>
      <c r="K5597" s="141"/>
      <c r="L5597" s="135" t="str">
        <f t="shared" si="305"/>
        <v>Phyllotis darwini</v>
      </c>
      <c r="M5597" s="133">
        <f t="shared" si="306"/>
        <v>1.7061500000000003</v>
      </c>
      <c r="N5597" s="170">
        <v>50.833498492750408</v>
      </c>
      <c r="O5597" s="198" t="s">
        <v>3356</v>
      </c>
      <c r="P5597" s="108">
        <v>60</v>
      </c>
    </row>
    <row r="5598" spans="1:19" ht="15" customHeight="1">
      <c r="A5598" s="118" t="s">
        <v>7297</v>
      </c>
      <c r="B5598" s="166"/>
      <c r="C5598" s="169" t="s">
        <v>3817</v>
      </c>
      <c r="D5598" s="165"/>
      <c r="E5598" s="169"/>
      <c r="F5598" s="169"/>
      <c r="G5598" s="169" t="s">
        <v>3618</v>
      </c>
      <c r="H5598" s="169" t="s">
        <v>3638</v>
      </c>
      <c r="I5598" s="169" t="s">
        <v>6744</v>
      </c>
      <c r="J5598" s="169" t="s">
        <v>3572</v>
      </c>
      <c r="K5598" s="141"/>
      <c r="L5598" s="135" t="str">
        <f t="shared" si="305"/>
        <v>Phyllotis andium</v>
      </c>
      <c r="M5598" s="133">
        <f t="shared" si="306"/>
        <v>1.72428</v>
      </c>
      <c r="N5598" s="170">
        <v>53.000504063966503</v>
      </c>
      <c r="O5598" s="198" t="s">
        <v>3356</v>
      </c>
      <c r="P5598" s="108">
        <v>60</v>
      </c>
    </row>
    <row r="5599" spans="1:19" ht="15.75">
      <c r="A5599" s="118" t="s">
        <v>7297</v>
      </c>
      <c r="B5599" s="166"/>
      <c r="C5599" s="169" t="s">
        <v>3817</v>
      </c>
      <c r="D5599" s="165"/>
      <c r="E5599" s="169"/>
      <c r="F5599" s="169"/>
      <c r="G5599" s="169" t="s">
        <v>3618</v>
      </c>
      <c r="H5599" s="169" t="s">
        <v>3638</v>
      </c>
      <c r="I5599" s="169" t="s">
        <v>6744</v>
      </c>
      <c r="J5599" s="169" t="s">
        <v>4217</v>
      </c>
      <c r="K5599" s="141"/>
      <c r="L5599" s="135" t="str">
        <f t="shared" si="305"/>
        <v>Phyllotis xanthopygus</v>
      </c>
      <c r="M5599" s="133">
        <f t="shared" si="306"/>
        <v>1.7505100000000002</v>
      </c>
      <c r="N5599" s="170">
        <v>56.300208084698262</v>
      </c>
      <c r="O5599" s="198" t="s">
        <v>3356</v>
      </c>
      <c r="P5599" s="108">
        <v>60</v>
      </c>
      <c r="R5599" s="89"/>
    </row>
    <row r="5600" spans="1:19" ht="15" customHeight="1">
      <c r="A5600" s="118" t="s">
        <v>7297</v>
      </c>
      <c r="B5600" s="166"/>
      <c r="C5600" s="169" t="s">
        <v>3817</v>
      </c>
      <c r="D5600" s="165"/>
      <c r="E5600" s="169"/>
      <c r="F5600" s="169"/>
      <c r="G5600" s="169" t="s">
        <v>3618</v>
      </c>
      <c r="H5600" s="169" t="s">
        <v>3638</v>
      </c>
      <c r="I5600" s="169" t="s">
        <v>6744</v>
      </c>
      <c r="J5600" s="169" t="s">
        <v>3574</v>
      </c>
      <c r="K5600" s="141"/>
      <c r="L5600" s="135" t="str">
        <f t="shared" si="305"/>
        <v>Phyllotis magister</v>
      </c>
      <c r="M5600" s="133">
        <f t="shared" si="306"/>
        <v>1.8356900000000003</v>
      </c>
      <c r="N5600" s="170">
        <v>68.49990986022847</v>
      </c>
      <c r="O5600" s="198" t="s">
        <v>3356</v>
      </c>
      <c r="P5600" s="117">
        <v>61</v>
      </c>
    </row>
    <row r="5601" spans="1:19" ht="15" customHeight="1">
      <c r="A5601" s="118" t="s">
        <v>7297</v>
      </c>
      <c r="B5601" s="166"/>
      <c r="C5601" s="169" t="s">
        <v>3817</v>
      </c>
      <c r="D5601" s="165"/>
      <c r="E5601" s="169"/>
      <c r="F5601" s="169"/>
      <c r="G5601" s="169" t="s">
        <v>3618</v>
      </c>
      <c r="H5601" s="169" t="s">
        <v>3638</v>
      </c>
      <c r="I5601" s="169" t="s">
        <v>6744</v>
      </c>
      <c r="J5601" s="169" t="s">
        <v>6455</v>
      </c>
      <c r="K5601" s="141"/>
      <c r="L5601" s="135" t="str">
        <f t="shared" si="305"/>
        <v>Phyllotis definitus</v>
      </c>
      <c r="M5601" s="133">
        <f t="shared" si="306"/>
        <v>1.9493900000000002</v>
      </c>
      <c r="N5601" s="170">
        <v>88.99999863825758</v>
      </c>
      <c r="O5601" s="198" t="s">
        <v>3356</v>
      </c>
      <c r="P5601" s="117">
        <v>61</v>
      </c>
    </row>
    <row r="5602" spans="1:19" ht="15" customHeight="1">
      <c r="A5602" s="118" t="s">
        <v>7297</v>
      </c>
      <c r="B5602" s="166"/>
      <c r="C5602" s="169" t="s">
        <v>3817</v>
      </c>
      <c r="D5602" s="165"/>
      <c r="E5602" s="169"/>
      <c r="F5602" s="169"/>
      <c r="G5602" s="169" t="s">
        <v>3618</v>
      </c>
      <c r="H5602" s="169" t="s">
        <v>3638</v>
      </c>
      <c r="I5602" s="169" t="s">
        <v>4218</v>
      </c>
      <c r="J5602" s="169" t="s">
        <v>4219</v>
      </c>
      <c r="K5602" s="141"/>
      <c r="L5602" s="135" t="str">
        <f t="shared" si="305"/>
        <v>Podoxymys roraimae</v>
      </c>
      <c r="M5602" s="133">
        <f t="shared" si="306"/>
        <v>1.5289200000000003</v>
      </c>
      <c r="N5602" s="170">
        <v>33.800256809707761</v>
      </c>
      <c r="O5602" s="198" t="s">
        <v>3356</v>
      </c>
      <c r="P5602" s="117">
        <v>61</v>
      </c>
      <c r="Q5602" s="90" t="s">
        <v>6642</v>
      </c>
    </row>
    <row r="5603" spans="1:19" ht="15" customHeight="1">
      <c r="A5603" s="118" t="s">
        <v>7297</v>
      </c>
      <c r="B5603" s="166"/>
      <c r="C5603" s="169" t="s">
        <v>3817</v>
      </c>
      <c r="D5603" s="165"/>
      <c r="E5603" s="169"/>
      <c r="F5603" s="169"/>
      <c r="G5603" s="169" t="s">
        <v>3618</v>
      </c>
      <c r="H5603" s="169" t="s">
        <v>3638</v>
      </c>
      <c r="I5603" s="169" t="s">
        <v>4993</v>
      </c>
      <c r="J5603" s="169" t="s">
        <v>7544</v>
      </c>
      <c r="K5603" s="141"/>
      <c r="L5603" s="135" t="str">
        <f t="shared" si="305"/>
        <v>Pseudoryzomys simplex</v>
      </c>
      <c r="M5603" s="133">
        <f t="shared" si="306"/>
        <v>1.7096900000000002</v>
      </c>
      <c r="N5603" s="170">
        <v>51.249543345186211</v>
      </c>
      <c r="O5603" s="198" t="s">
        <v>3356</v>
      </c>
      <c r="P5603" s="108">
        <v>60</v>
      </c>
      <c r="Q5603" s="91"/>
      <c r="S5603" s="92"/>
    </row>
    <row r="5604" spans="1:19">
      <c r="A5604" s="118" t="s">
        <v>7297</v>
      </c>
      <c r="B5604" s="166"/>
      <c r="C5604" s="169" t="s">
        <v>3817</v>
      </c>
      <c r="D5604" s="165"/>
      <c r="E5604" s="169"/>
      <c r="F5604" s="169"/>
      <c r="G5604" s="169" t="s">
        <v>3618</v>
      </c>
      <c r="H5604" s="169" t="s">
        <v>3638</v>
      </c>
      <c r="I5604" s="169" t="s">
        <v>7545</v>
      </c>
      <c r="J5604" s="169" t="s">
        <v>7546</v>
      </c>
      <c r="K5604" s="141"/>
      <c r="L5604" s="135" t="str">
        <f t="shared" si="305"/>
        <v>Punomys lemminus</v>
      </c>
      <c r="M5604" s="133">
        <f t="shared" si="306"/>
        <v>1.9283999999999999</v>
      </c>
      <c r="N5604" s="170">
        <v>84.800809888969184</v>
      </c>
      <c r="O5604" s="198" t="s">
        <v>3356</v>
      </c>
      <c r="P5604" s="117">
        <v>61</v>
      </c>
      <c r="Q5604" s="91"/>
    </row>
    <row r="5605" spans="1:19">
      <c r="A5605" s="118" t="s">
        <v>7297</v>
      </c>
      <c r="B5605" s="166"/>
      <c r="C5605" s="169" t="s">
        <v>3817</v>
      </c>
      <c r="D5605" s="165"/>
      <c r="E5605" s="169"/>
      <c r="F5605" s="169"/>
      <c r="G5605" s="169" t="s">
        <v>3618</v>
      </c>
      <c r="H5605" s="169" t="s">
        <v>3638</v>
      </c>
      <c r="I5605" s="169" t="s">
        <v>7384</v>
      </c>
      <c r="J5605" s="169" t="s">
        <v>7385</v>
      </c>
      <c r="K5605" s="141"/>
      <c r="L5605" s="135" t="str">
        <f t="shared" si="305"/>
        <v>Reithrodon auritus</v>
      </c>
      <c r="M5605" s="133">
        <f t="shared" si="306"/>
        <v>1.8503400000000001</v>
      </c>
      <c r="N5605" s="170">
        <v>70.850023722986734</v>
      </c>
      <c r="O5605" s="198" t="s">
        <v>3356</v>
      </c>
      <c r="P5605" s="108">
        <v>60</v>
      </c>
      <c r="Q5605" s="91"/>
    </row>
    <row r="5606" spans="1:19">
      <c r="A5606" s="118" t="s">
        <v>7297</v>
      </c>
      <c r="B5606" s="166"/>
      <c r="C5606" s="169" t="s">
        <v>3817</v>
      </c>
      <c r="D5606" s="165"/>
      <c r="E5606" s="169"/>
      <c r="F5606" s="169"/>
      <c r="G5606" s="169" t="s">
        <v>3618</v>
      </c>
      <c r="H5606" s="169" t="s">
        <v>3638</v>
      </c>
      <c r="I5606" s="169" t="s">
        <v>4890</v>
      </c>
      <c r="J5606" s="169" t="s">
        <v>7386</v>
      </c>
      <c r="K5606" s="141"/>
      <c r="L5606" s="135" t="str">
        <f t="shared" si="305"/>
        <v>Reithrodontomys darienensis</v>
      </c>
      <c r="M5606" s="133">
        <f t="shared" si="306"/>
        <v>1.1139400000000002</v>
      </c>
      <c r="N5606" s="170">
        <v>12.999899653754545</v>
      </c>
      <c r="O5606" s="198" t="s">
        <v>3356</v>
      </c>
      <c r="P5606" s="117">
        <v>61</v>
      </c>
      <c r="Q5606" s="91"/>
    </row>
    <row r="5607" spans="1:19">
      <c r="A5607" s="118" t="s">
        <v>7297</v>
      </c>
      <c r="B5607" s="166"/>
      <c r="C5607" s="169" t="s">
        <v>3817</v>
      </c>
      <c r="D5607" s="165"/>
      <c r="E5607" s="169"/>
      <c r="F5607" s="169"/>
      <c r="G5607" s="169" t="s">
        <v>3618</v>
      </c>
      <c r="H5607" s="169" t="s">
        <v>3638</v>
      </c>
      <c r="I5607" s="169" t="s">
        <v>4890</v>
      </c>
      <c r="J5607" s="169" t="s">
        <v>4014</v>
      </c>
      <c r="K5607" s="141"/>
      <c r="L5607" s="135" t="str">
        <f t="shared" si="305"/>
        <v>Reithrodontomys mexicanus</v>
      </c>
      <c r="M5607" s="133">
        <f t="shared" si="306"/>
        <v>1.1139400000000002</v>
      </c>
      <c r="N5607" s="170">
        <v>12.999899653754545</v>
      </c>
      <c r="O5607" s="198" t="s">
        <v>3356</v>
      </c>
      <c r="P5607" s="117">
        <v>61</v>
      </c>
      <c r="Q5607" s="91"/>
    </row>
    <row r="5608" spans="1:19" ht="15" customHeight="1">
      <c r="A5608" s="118" t="s">
        <v>7297</v>
      </c>
      <c r="B5608" s="166"/>
      <c r="C5608" s="169" t="s">
        <v>3817</v>
      </c>
      <c r="D5608" s="165"/>
      <c r="E5608" s="169"/>
      <c r="F5608" s="169"/>
      <c r="G5608" s="169" t="s">
        <v>3618</v>
      </c>
      <c r="H5608" s="169" t="s">
        <v>3638</v>
      </c>
      <c r="I5608" s="169" t="s">
        <v>7387</v>
      </c>
      <c r="J5608" s="169" t="s">
        <v>4446</v>
      </c>
      <c r="K5608" s="141"/>
      <c r="L5608" s="135" t="str">
        <f t="shared" si="305"/>
        <v>Rhagomys rufescens</v>
      </c>
      <c r="M5608" s="133">
        <f t="shared" si="306"/>
        <v>1.3263400000000001</v>
      </c>
      <c r="N5608" s="170">
        <v>21.200202048914448</v>
      </c>
      <c r="O5608" s="198" t="s">
        <v>3356</v>
      </c>
      <c r="P5608" s="117">
        <v>61</v>
      </c>
      <c r="Q5608" s="91" t="s">
        <v>7071</v>
      </c>
    </row>
    <row r="5609" spans="1:19">
      <c r="A5609" s="118" t="s">
        <v>7297</v>
      </c>
      <c r="B5609" s="166"/>
      <c r="C5609" s="169" t="s">
        <v>3817</v>
      </c>
      <c r="D5609" s="165"/>
      <c r="E5609" s="169"/>
      <c r="F5609" s="169"/>
      <c r="G5609" s="169" t="s">
        <v>3618</v>
      </c>
      <c r="H5609" s="169" t="s">
        <v>3638</v>
      </c>
      <c r="I5609" s="169" t="s">
        <v>1997</v>
      </c>
      <c r="J5609" s="169" t="s">
        <v>4232</v>
      </c>
      <c r="K5609" s="141"/>
      <c r="L5609" s="135" t="str">
        <f t="shared" si="305"/>
        <v>Rheomys raptor</v>
      </c>
      <c r="M5609" s="133">
        <f t="shared" si="306"/>
        <v>1.5797800000000002</v>
      </c>
      <c r="N5609" s="170">
        <v>37.99968530368551</v>
      </c>
      <c r="O5609" s="198" t="s">
        <v>3356</v>
      </c>
      <c r="P5609" s="117">
        <v>61</v>
      </c>
      <c r="Q5609" s="91"/>
    </row>
    <row r="5610" spans="1:19">
      <c r="A5610" s="118" t="s">
        <v>7297</v>
      </c>
      <c r="B5610" s="166"/>
      <c r="C5610" s="169" t="s">
        <v>3817</v>
      </c>
      <c r="D5610" s="165"/>
      <c r="E5610" s="169"/>
      <c r="F5610" s="169"/>
      <c r="G5610" s="169" t="s">
        <v>3618</v>
      </c>
      <c r="H5610" s="169" t="s">
        <v>3638</v>
      </c>
      <c r="I5610" s="169" t="s">
        <v>4233</v>
      </c>
      <c r="J5610" s="169" t="s">
        <v>4025</v>
      </c>
      <c r="K5610" s="141"/>
      <c r="L5610" s="135" t="str">
        <f t="shared" si="305"/>
        <v>Rhipidomys macconnelli</v>
      </c>
      <c r="M5610" s="133">
        <f t="shared" si="306"/>
        <v>1.6190900000000001</v>
      </c>
      <c r="N5610" s="170">
        <v>41.59968096868144</v>
      </c>
      <c r="O5610" s="198" t="s">
        <v>3356</v>
      </c>
      <c r="P5610" s="117">
        <v>61</v>
      </c>
      <c r="Q5610" s="91"/>
    </row>
    <row r="5611" spans="1:19">
      <c r="A5611" s="118" t="s">
        <v>7297</v>
      </c>
      <c r="B5611" s="166"/>
      <c r="C5611" s="169" t="s">
        <v>3817</v>
      </c>
      <c r="D5611" s="165"/>
      <c r="E5611" s="169"/>
      <c r="F5611" s="169"/>
      <c r="G5611" s="169" t="s">
        <v>3618</v>
      </c>
      <c r="H5611" s="169" t="s">
        <v>3638</v>
      </c>
      <c r="I5611" s="169" t="s">
        <v>4233</v>
      </c>
      <c r="J5611" s="169" t="s">
        <v>4242</v>
      </c>
      <c r="K5611" s="141"/>
      <c r="L5611" s="135" t="str">
        <f t="shared" si="305"/>
        <v>Rhipidomys latimanus</v>
      </c>
      <c r="M5611" s="133">
        <f t="shared" ref="M5611:M5625" si="307">LOG(N5611)</f>
        <v>1.7596700000000003</v>
      </c>
      <c r="N5611" s="170">
        <v>57.500285360875971</v>
      </c>
      <c r="O5611" s="198" t="s">
        <v>3356</v>
      </c>
      <c r="P5611" s="117">
        <v>61</v>
      </c>
      <c r="Q5611" s="91"/>
    </row>
    <row r="5612" spans="1:19">
      <c r="A5612" s="118" t="s">
        <v>7297</v>
      </c>
      <c r="B5612" s="166"/>
      <c r="C5612" s="169" t="s">
        <v>3817</v>
      </c>
      <c r="D5612" s="165"/>
      <c r="E5612" s="169"/>
      <c r="F5612" s="169"/>
      <c r="G5612" s="169" t="s">
        <v>3618</v>
      </c>
      <c r="H5612" s="169" t="s">
        <v>3638</v>
      </c>
      <c r="I5612" s="169" t="s">
        <v>4233</v>
      </c>
      <c r="J5612" s="169" t="s">
        <v>3972</v>
      </c>
      <c r="K5612" s="141"/>
      <c r="L5612" s="135" t="str">
        <f t="shared" si="305"/>
        <v>Rhipidomys mastacalis</v>
      </c>
      <c r="M5612" s="133">
        <f t="shared" si="307"/>
        <v>1.8893</v>
      </c>
      <c r="N5612" s="170">
        <v>77.499696187757564</v>
      </c>
      <c r="O5612" s="198" t="s">
        <v>3356</v>
      </c>
      <c r="P5612" s="108">
        <v>60</v>
      </c>
      <c r="Q5612" s="91"/>
    </row>
    <row r="5613" spans="1:19">
      <c r="A5613" s="121" t="s">
        <v>7297</v>
      </c>
      <c r="B5613" s="166"/>
      <c r="C5613" s="169" t="s">
        <v>3817</v>
      </c>
      <c r="D5613" s="165"/>
      <c r="E5613" s="169"/>
      <c r="F5613" s="169"/>
      <c r="G5613" s="169" t="s">
        <v>3618</v>
      </c>
      <c r="H5613" s="169" t="s">
        <v>3638</v>
      </c>
      <c r="I5613" s="169" t="s">
        <v>4233</v>
      </c>
      <c r="J5613" s="169" t="s">
        <v>3982</v>
      </c>
      <c r="K5613" s="141"/>
      <c r="L5613" s="135" t="str">
        <f t="shared" si="305"/>
        <v>Rhipidomys leucodactylus</v>
      </c>
      <c r="M5613" s="133">
        <f t="shared" si="307"/>
        <v>1.9030899999999999</v>
      </c>
      <c r="N5613" s="170">
        <v>80.000002396172576</v>
      </c>
      <c r="O5613" s="198" t="s">
        <v>3356</v>
      </c>
      <c r="P5613" s="117">
        <v>61</v>
      </c>
      <c r="Q5613" s="91"/>
    </row>
    <row r="5614" spans="1:19">
      <c r="A5614" s="118" t="s">
        <v>7297</v>
      </c>
      <c r="B5614" s="166"/>
      <c r="C5614" s="169" t="s">
        <v>3817</v>
      </c>
      <c r="D5614" s="165"/>
      <c r="E5614" s="169"/>
      <c r="F5614" s="169"/>
      <c r="G5614" s="169" t="s">
        <v>3618</v>
      </c>
      <c r="H5614" s="169" t="s">
        <v>3638</v>
      </c>
      <c r="I5614" s="169" t="s">
        <v>4233</v>
      </c>
      <c r="J5614" s="169" t="s">
        <v>4254</v>
      </c>
      <c r="K5614" s="141"/>
      <c r="L5614" s="135" t="str">
        <f t="shared" si="305"/>
        <v>Rhipidomys austrinus</v>
      </c>
      <c r="M5614" s="133">
        <f t="shared" si="307"/>
        <v>1.9493900000000002</v>
      </c>
      <c r="N5614" s="170">
        <v>88.99999863825758</v>
      </c>
      <c r="O5614" s="198" t="s">
        <v>3356</v>
      </c>
      <c r="P5614" s="117">
        <v>61</v>
      </c>
      <c r="Q5614" s="91"/>
    </row>
    <row r="5615" spans="1:19">
      <c r="A5615" s="118" t="s">
        <v>7297</v>
      </c>
      <c r="B5615" s="166"/>
      <c r="C5615" s="169" t="s">
        <v>3817</v>
      </c>
      <c r="D5615" s="165"/>
      <c r="E5615" s="169"/>
      <c r="F5615" s="169"/>
      <c r="G5615" s="169" t="s">
        <v>3618</v>
      </c>
      <c r="H5615" s="169" t="s">
        <v>3638</v>
      </c>
      <c r="I5615" s="169" t="s">
        <v>4233</v>
      </c>
      <c r="J5615" s="169" t="s">
        <v>3981</v>
      </c>
      <c r="K5615" s="141"/>
      <c r="L5615" s="135" t="str">
        <f t="shared" si="305"/>
        <v>Rhipidomys caucensis</v>
      </c>
      <c r="M5615" s="133">
        <f t="shared" si="307"/>
        <v>1.9493900000000002</v>
      </c>
      <c r="N5615" s="170">
        <v>88.99999863825758</v>
      </c>
      <c r="O5615" s="198" t="s">
        <v>3356</v>
      </c>
      <c r="P5615" s="117">
        <v>61</v>
      </c>
      <c r="Q5615" s="91" t="s">
        <v>6642</v>
      </c>
    </row>
    <row r="5616" spans="1:19">
      <c r="A5616" s="121" t="s">
        <v>7297</v>
      </c>
      <c r="B5616" s="166"/>
      <c r="C5616" s="169" t="s">
        <v>3817</v>
      </c>
      <c r="D5616" s="165"/>
      <c r="E5616" s="169"/>
      <c r="F5616" s="169"/>
      <c r="G5616" s="169" t="s">
        <v>3618</v>
      </c>
      <c r="H5616" s="169" t="s">
        <v>3638</v>
      </c>
      <c r="I5616" s="169" t="s">
        <v>4233</v>
      </c>
      <c r="J5616" s="169" t="s">
        <v>3162</v>
      </c>
      <c r="K5616" s="141"/>
      <c r="L5616" s="135" t="str">
        <f t="shared" si="305"/>
        <v>Rhipidomys couesi</v>
      </c>
      <c r="M5616" s="133">
        <f t="shared" si="307"/>
        <v>1.9493900000000002</v>
      </c>
      <c r="N5616" s="170">
        <v>88.99999863825758</v>
      </c>
      <c r="O5616" s="198" t="s">
        <v>3356</v>
      </c>
      <c r="P5616" s="117">
        <v>61</v>
      </c>
      <c r="Q5616" s="91"/>
    </row>
    <row r="5617" spans="1:18">
      <c r="A5617" s="118" t="s">
        <v>7297</v>
      </c>
      <c r="B5617" s="166"/>
      <c r="C5617" s="169" t="s">
        <v>3817</v>
      </c>
      <c r="D5617" s="165"/>
      <c r="E5617" s="169"/>
      <c r="F5617" s="169"/>
      <c r="G5617" s="169" t="s">
        <v>3618</v>
      </c>
      <c r="H5617" s="169" t="s">
        <v>3638</v>
      </c>
      <c r="I5617" s="169" t="s">
        <v>4233</v>
      </c>
      <c r="J5617" s="169" t="s">
        <v>2002</v>
      </c>
      <c r="K5617" s="141"/>
      <c r="L5617" s="135" t="str">
        <f t="shared" si="305"/>
        <v>Rhipidomys fulviventer</v>
      </c>
      <c r="M5617" s="133">
        <f t="shared" si="307"/>
        <v>1.9493900000000002</v>
      </c>
      <c r="N5617" s="170">
        <v>88.99999863825758</v>
      </c>
      <c r="O5617" s="198" t="s">
        <v>3356</v>
      </c>
      <c r="P5617" s="117">
        <v>61</v>
      </c>
      <c r="Q5617" s="91"/>
    </row>
    <row r="5618" spans="1:18">
      <c r="A5618" s="121" t="s">
        <v>7297</v>
      </c>
      <c r="B5618" s="166"/>
      <c r="C5618" s="169" t="s">
        <v>3817</v>
      </c>
      <c r="D5618" s="165"/>
      <c r="E5618" s="169"/>
      <c r="F5618" s="169"/>
      <c r="G5618" s="169" t="s">
        <v>3618</v>
      </c>
      <c r="H5618" s="169" t="s">
        <v>3638</v>
      </c>
      <c r="I5618" s="169" t="s">
        <v>4233</v>
      </c>
      <c r="J5618" s="169" t="s">
        <v>3529</v>
      </c>
      <c r="K5618" s="141"/>
      <c r="L5618" s="135" t="str">
        <f t="shared" si="305"/>
        <v>Rhipidomys nitela</v>
      </c>
      <c r="M5618" s="133">
        <f t="shared" si="307"/>
        <v>1.9493900000000002</v>
      </c>
      <c r="N5618" s="170">
        <v>88.99999863825758</v>
      </c>
      <c r="O5618" s="198" t="s">
        <v>3356</v>
      </c>
      <c r="P5618" s="117">
        <v>61</v>
      </c>
      <c r="Q5618" s="91"/>
    </row>
    <row r="5619" spans="1:18">
      <c r="A5619" s="118" t="s">
        <v>7297</v>
      </c>
      <c r="B5619" s="166"/>
      <c r="C5619" s="169" t="s">
        <v>3817</v>
      </c>
      <c r="D5619" s="165"/>
      <c r="E5619" s="169"/>
      <c r="F5619" s="169"/>
      <c r="G5619" s="169" t="s">
        <v>3618</v>
      </c>
      <c r="H5619" s="169" t="s">
        <v>3638</v>
      </c>
      <c r="I5619" s="169" t="s">
        <v>4233</v>
      </c>
      <c r="J5619" s="169" t="s">
        <v>7095</v>
      </c>
      <c r="K5619" s="141"/>
      <c r="L5619" s="135" t="str">
        <f t="shared" si="305"/>
        <v>Rhipidomys ochrogaster</v>
      </c>
      <c r="M5619" s="133">
        <f t="shared" si="307"/>
        <v>1.9493900000000002</v>
      </c>
      <c r="N5619" s="170">
        <v>88.99999863825758</v>
      </c>
      <c r="O5619" s="198" t="s">
        <v>3356</v>
      </c>
      <c r="P5619" s="117">
        <v>61</v>
      </c>
      <c r="Q5619" s="91" t="s">
        <v>6642</v>
      </c>
    </row>
    <row r="5620" spans="1:18">
      <c r="A5620" s="118" t="s">
        <v>7297</v>
      </c>
      <c r="B5620" s="166"/>
      <c r="C5620" s="169" t="s">
        <v>3817</v>
      </c>
      <c r="D5620" s="165"/>
      <c r="E5620" s="169"/>
      <c r="F5620" s="169"/>
      <c r="G5620" s="169" t="s">
        <v>3618</v>
      </c>
      <c r="H5620" s="169" t="s">
        <v>3638</v>
      </c>
      <c r="I5620" s="169" t="s">
        <v>4233</v>
      </c>
      <c r="J5620" s="169" t="s">
        <v>6382</v>
      </c>
      <c r="K5620" s="141"/>
      <c r="L5620" s="135" t="str">
        <f t="shared" si="305"/>
        <v>Rhipidomys venustus</v>
      </c>
      <c r="M5620" s="133">
        <f t="shared" si="307"/>
        <v>1.9493900000000002</v>
      </c>
      <c r="N5620" s="170">
        <v>88.99999863825758</v>
      </c>
      <c r="O5620" s="198" t="s">
        <v>3356</v>
      </c>
      <c r="P5620" s="117">
        <v>61</v>
      </c>
      <c r="Q5620" s="91"/>
    </row>
    <row r="5621" spans="1:18">
      <c r="A5621" s="118" t="s">
        <v>7297</v>
      </c>
      <c r="B5621" s="166"/>
      <c r="C5621" s="169" t="s">
        <v>3817</v>
      </c>
      <c r="D5621" s="165"/>
      <c r="E5621" s="169"/>
      <c r="F5621" s="169"/>
      <c r="G5621" s="169" t="s">
        <v>3618</v>
      </c>
      <c r="H5621" s="169" t="s">
        <v>3638</v>
      </c>
      <c r="I5621" s="169" t="s">
        <v>4233</v>
      </c>
      <c r="J5621" s="169" t="s">
        <v>3530</v>
      </c>
      <c r="K5621" s="141"/>
      <c r="L5621" s="135" t="str">
        <f t="shared" si="305"/>
        <v>Rhipidomys wetzeli</v>
      </c>
      <c r="M5621" s="133">
        <f t="shared" si="307"/>
        <v>1.9493900000000002</v>
      </c>
      <c r="N5621" s="170">
        <v>88.99999863825758</v>
      </c>
      <c r="O5621" s="198" t="s">
        <v>3356</v>
      </c>
      <c r="P5621" s="117">
        <v>61</v>
      </c>
      <c r="Q5621" s="91"/>
    </row>
    <row r="5622" spans="1:18">
      <c r="A5622" s="118" t="s">
        <v>7297</v>
      </c>
      <c r="B5622" s="166"/>
      <c r="C5622" s="169" t="s">
        <v>3817</v>
      </c>
      <c r="D5622" s="165"/>
      <c r="E5622" s="169"/>
      <c r="F5622" s="169"/>
      <c r="G5622" s="169" t="s">
        <v>3618</v>
      </c>
      <c r="H5622" s="169" t="s">
        <v>3638</v>
      </c>
      <c r="I5622" s="169" t="s">
        <v>4233</v>
      </c>
      <c r="J5622" s="169" t="s">
        <v>7370</v>
      </c>
      <c r="K5622" s="141"/>
      <c r="L5622" s="135" t="str">
        <f t="shared" si="305"/>
        <v>Rhipidomys venezuelae</v>
      </c>
      <c r="M5622" s="133">
        <f t="shared" si="307"/>
        <v>1.9542400000000002</v>
      </c>
      <c r="N5622" s="170">
        <v>89.999479963720162</v>
      </c>
      <c r="O5622" s="198" t="s">
        <v>3356</v>
      </c>
      <c r="P5622" s="117">
        <v>61</v>
      </c>
      <c r="Q5622" s="91"/>
    </row>
    <row r="5623" spans="1:18">
      <c r="A5623" s="118" t="s">
        <v>7297</v>
      </c>
      <c r="B5623" s="166"/>
      <c r="C5623" s="169" t="s">
        <v>3817</v>
      </c>
      <c r="D5623" s="165"/>
      <c r="E5623" s="169"/>
      <c r="F5623" s="169"/>
      <c r="G5623" s="169" t="s">
        <v>3618</v>
      </c>
      <c r="H5623" s="169" t="s">
        <v>3638</v>
      </c>
      <c r="I5623" s="169" t="s">
        <v>4277</v>
      </c>
      <c r="J5623" s="169" t="s">
        <v>4278</v>
      </c>
      <c r="K5623" s="141"/>
      <c r="L5623" s="135" t="str">
        <f t="shared" si="305"/>
        <v>Scapteromys tumidus</v>
      </c>
      <c r="M5623" s="133">
        <f t="shared" si="307"/>
        <v>2.1643500000000002</v>
      </c>
      <c r="N5623" s="170">
        <v>145.99903995290228</v>
      </c>
      <c r="O5623" s="198" t="s">
        <v>3356</v>
      </c>
      <c r="P5623" s="117">
        <v>61</v>
      </c>
      <c r="Q5623" s="91"/>
    </row>
    <row r="5624" spans="1:18">
      <c r="A5624" s="118" t="s">
        <v>7297</v>
      </c>
      <c r="B5624" s="166"/>
      <c r="C5624" s="169" t="s">
        <v>3817</v>
      </c>
      <c r="D5624" s="165"/>
      <c r="E5624" s="169"/>
      <c r="F5624" s="169"/>
      <c r="G5624" s="169" t="s">
        <v>3618</v>
      </c>
      <c r="H5624" s="169" t="s">
        <v>3638</v>
      </c>
      <c r="I5624" s="169" t="s">
        <v>3532</v>
      </c>
      <c r="J5624" s="169" t="s">
        <v>3533</v>
      </c>
      <c r="K5624" s="141"/>
      <c r="L5624" s="135" t="str">
        <f t="shared" si="305"/>
        <v>Scolomys melanops</v>
      </c>
      <c r="M5624" s="133">
        <f t="shared" si="307"/>
        <v>1.4232500000000001</v>
      </c>
      <c r="N5624" s="170">
        <v>26.500251767403348</v>
      </c>
      <c r="O5624" s="198" t="s">
        <v>3356</v>
      </c>
      <c r="P5624" s="117">
        <v>61</v>
      </c>
      <c r="Q5624" s="91" t="s">
        <v>6640</v>
      </c>
    </row>
    <row r="5625" spans="1:18">
      <c r="A5625" s="118" t="s">
        <v>7297</v>
      </c>
      <c r="B5625" s="166"/>
      <c r="C5625" s="169" t="s">
        <v>3817</v>
      </c>
      <c r="D5625" s="165"/>
      <c r="E5625" s="169"/>
      <c r="F5625" s="169"/>
      <c r="G5625" s="169" t="s">
        <v>3618</v>
      </c>
      <c r="H5625" s="169" t="s">
        <v>3638</v>
      </c>
      <c r="I5625" s="169" t="s">
        <v>3532</v>
      </c>
      <c r="J5625" s="169" t="s">
        <v>3534</v>
      </c>
      <c r="K5625" s="141"/>
      <c r="L5625" s="135" t="str">
        <f t="shared" si="305"/>
        <v>Scolomys ucayalensis</v>
      </c>
      <c r="M5625" s="133">
        <f t="shared" si="307"/>
        <v>1.4232500000000001</v>
      </c>
      <c r="N5625" s="170">
        <v>26.500251767403348</v>
      </c>
      <c r="O5625" s="198" t="s">
        <v>3356</v>
      </c>
      <c r="P5625" s="117">
        <v>61</v>
      </c>
      <c r="Q5625" s="91" t="s">
        <v>6640</v>
      </c>
    </row>
    <row r="5626" spans="1:18">
      <c r="A5626" s="118" t="s">
        <v>7297</v>
      </c>
      <c r="B5626" s="165" t="s">
        <v>7790</v>
      </c>
      <c r="C5626" s="169" t="s">
        <v>3817</v>
      </c>
      <c r="D5626" s="165"/>
      <c r="E5626" s="169"/>
      <c r="F5626" s="169"/>
      <c r="G5626" s="169" t="s">
        <v>3618</v>
      </c>
      <c r="H5626" s="169" t="s">
        <v>3638</v>
      </c>
      <c r="I5626" s="169" t="s">
        <v>4747</v>
      </c>
      <c r="J5626" s="169" t="s">
        <v>4382</v>
      </c>
      <c r="K5626" s="141"/>
      <c r="L5626" s="135" t="str">
        <f t="shared" si="305"/>
        <v>Sigmodon peruanus</v>
      </c>
      <c r="M5626" s="133">
        <v>-999</v>
      </c>
      <c r="N5626" s="170">
        <v>-999</v>
      </c>
      <c r="O5626" s="198" t="s">
        <v>3356</v>
      </c>
      <c r="P5626" s="108">
        <v>-999</v>
      </c>
      <c r="Q5626" s="80"/>
    </row>
    <row r="5627" spans="1:18">
      <c r="A5627" s="118" t="s">
        <v>7297</v>
      </c>
      <c r="B5627" s="166"/>
      <c r="C5627" s="169" t="s">
        <v>3817</v>
      </c>
      <c r="D5627" s="165"/>
      <c r="E5627" s="169"/>
      <c r="F5627" s="169"/>
      <c r="G5627" s="169" t="s">
        <v>3618</v>
      </c>
      <c r="H5627" s="169" t="s">
        <v>3638</v>
      </c>
      <c r="I5627" s="169" t="s">
        <v>4747</v>
      </c>
      <c r="J5627" s="169" t="s">
        <v>2328</v>
      </c>
      <c r="K5627" s="141"/>
      <c r="L5627" s="135" t="str">
        <f t="shared" si="305"/>
        <v>Sigmodon alstoni</v>
      </c>
      <c r="M5627" s="133">
        <f t="shared" ref="M5627:M5658" si="308">LOG(N5627)</f>
        <v>1.74586</v>
      </c>
      <c r="N5627" s="170">
        <v>55.700616241547877</v>
      </c>
      <c r="O5627" s="198" t="s">
        <v>3356</v>
      </c>
      <c r="P5627" s="108">
        <v>60</v>
      </c>
      <c r="Q5627" s="91"/>
    </row>
    <row r="5628" spans="1:18">
      <c r="A5628" s="118" t="s">
        <v>7297</v>
      </c>
      <c r="B5628" s="166"/>
      <c r="C5628" s="169" t="s">
        <v>3817</v>
      </c>
      <c r="D5628" s="165"/>
      <c r="E5628" s="169"/>
      <c r="F5628" s="169"/>
      <c r="G5628" s="169" t="s">
        <v>3618</v>
      </c>
      <c r="H5628" s="169" t="s">
        <v>3638</v>
      </c>
      <c r="I5628" s="169" t="s">
        <v>4747</v>
      </c>
      <c r="J5628" s="169" t="s">
        <v>4174</v>
      </c>
      <c r="K5628" s="141"/>
      <c r="L5628" s="135" t="str">
        <f t="shared" si="305"/>
        <v>Sigmodon hispidus</v>
      </c>
      <c r="M5628" s="133">
        <f t="shared" si="308"/>
        <v>1.9655900000000002</v>
      </c>
      <c r="N5628" s="170">
        <v>92.382561542213608</v>
      </c>
      <c r="O5628" s="198" t="s">
        <v>3356</v>
      </c>
      <c r="P5628" s="108">
        <v>60</v>
      </c>
      <c r="Q5628" s="91"/>
    </row>
    <row r="5629" spans="1:18">
      <c r="A5629" s="118" t="s">
        <v>7297</v>
      </c>
      <c r="B5629" s="166"/>
      <c r="C5629" s="169" t="s">
        <v>3817</v>
      </c>
      <c r="D5629" s="165"/>
      <c r="E5629" s="169"/>
      <c r="F5629" s="169"/>
      <c r="G5629" s="169" t="s">
        <v>3618</v>
      </c>
      <c r="H5629" s="169" t="s">
        <v>3638</v>
      </c>
      <c r="I5629" s="169" t="s">
        <v>4747</v>
      </c>
      <c r="J5629" s="169" t="s">
        <v>3535</v>
      </c>
      <c r="K5629" s="141"/>
      <c r="L5629" s="135" t="str">
        <f t="shared" si="305"/>
        <v>Sigmodon inopinatus</v>
      </c>
      <c r="M5629" s="133">
        <f t="shared" si="308"/>
        <v>2.1476799999999998</v>
      </c>
      <c r="N5629" s="170">
        <v>140.50118916157743</v>
      </c>
      <c r="O5629" s="198" t="s">
        <v>3356</v>
      </c>
      <c r="P5629" s="117">
        <v>61</v>
      </c>
      <c r="Q5629" s="91"/>
    </row>
    <row r="5630" spans="1:18" ht="25.5">
      <c r="A5630" s="118" t="s">
        <v>7297</v>
      </c>
      <c r="B5630" s="165" t="s">
        <v>8249</v>
      </c>
      <c r="C5630" s="169" t="s">
        <v>3817</v>
      </c>
      <c r="D5630" s="165"/>
      <c r="E5630" s="169"/>
      <c r="F5630" s="169"/>
      <c r="G5630" s="169" t="s">
        <v>3618</v>
      </c>
      <c r="H5630" s="169" t="s">
        <v>3638</v>
      </c>
      <c r="I5630" s="169" t="s">
        <v>5078</v>
      </c>
      <c r="J5630" s="169" t="s">
        <v>6233</v>
      </c>
      <c r="K5630" s="141"/>
      <c r="L5630" s="135" t="str">
        <f t="shared" si="305"/>
        <v>Sigmodontomys alfari</v>
      </c>
      <c r="M5630" s="133">
        <f t="shared" si="308"/>
        <v>1.6989700043360187</v>
      </c>
      <c r="N5630" s="170">
        <f>1000*0.05</f>
        <v>50</v>
      </c>
      <c r="O5630" s="198" t="s">
        <v>3356</v>
      </c>
      <c r="P5630" s="108" t="s">
        <v>7950</v>
      </c>
      <c r="Q5630" s="80"/>
    </row>
    <row r="5631" spans="1:18" ht="15.75">
      <c r="A5631" s="118" t="s">
        <v>7297</v>
      </c>
      <c r="B5631" s="166"/>
      <c r="C5631" s="169" t="s">
        <v>3817</v>
      </c>
      <c r="D5631" s="165"/>
      <c r="E5631" s="169"/>
      <c r="F5631" s="169"/>
      <c r="G5631" s="169" t="s">
        <v>3618</v>
      </c>
      <c r="H5631" s="169" t="s">
        <v>3638</v>
      </c>
      <c r="I5631" s="169" t="s">
        <v>3991</v>
      </c>
      <c r="J5631" s="169" t="s">
        <v>4427</v>
      </c>
      <c r="K5631" s="141"/>
      <c r="L5631" s="135" t="str">
        <f t="shared" si="305"/>
        <v>Thalpomys cerradensis</v>
      </c>
      <c r="M5631" s="133">
        <f t="shared" si="308"/>
        <v>1.3802100000000002</v>
      </c>
      <c r="N5631" s="170">
        <v>23.999931380578893</v>
      </c>
      <c r="O5631" s="198" t="s">
        <v>3356</v>
      </c>
      <c r="P5631" s="117">
        <v>61</v>
      </c>
      <c r="Q5631" s="91"/>
      <c r="R5631" s="89"/>
    </row>
    <row r="5632" spans="1:18">
      <c r="A5632" s="118" t="s">
        <v>7297</v>
      </c>
      <c r="B5632" s="166"/>
      <c r="C5632" s="169" t="s">
        <v>3817</v>
      </c>
      <c r="D5632" s="165"/>
      <c r="E5632" s="169"/>
      <c r="F5632" s="169"/>
      <c r="G5632" s="169" t="s">
        <v>3618</v>
      </c>
      <c r="H5632" s="169" t="s">
        <v>3638</v>
      </c>
      <c r="I5632" s="169" t="s">
        <v>3991</v>
      </c>
      <c r="J5632" s="169" t="s">
        <v>4425</v>
      </c>
      <c r="K5632" s="141"/>
      <c r="L5632" s="135" t="str">
        <f t="shared" si="305"/>
        <v>Thalpomys lasiotis</v>
      </c>
      <c r="M5632" s="133">
        <f t="shared" si="308"/>
        <v>1.3802100000000002</v>
      </c>
      <c r="N5632" s="170">
        <v>23.999931380578893</v>
      </c>
      <c r="O5632" s="198" t="s">
        <v>3356</v>
      </c>
      <c r="P5632" s="117">
        <v>61</v>
      </c>
      <c r="Q5632" s="91"/>
    </row>
    <row r="5633" spans="1:19">
      <c r="A5633" s="118" t="s">
        <v>7297</v>
      </c>
      <c r="B5633" s="166"/>
      <c r="C5633" s="169" t="s">
        <v>3817</v>
      </c>
      <c r="D5633" s="165"/>
      <c r="E5633" s="169"/>
      <c r="F5633" s="169"/>
      <c r="G5633" s="169" t="s">
        <v>3618</v>
      </c>
      <c r="H5633" s="169" t="s">
        <v>3638</v>
      </c>
      <c r="I5633" s="169" t="s">
        <v>4426</v>
      </c>
      <c r="J5633" s="169" t="s">
        <v>7488</v>
      </c>
      <c r="K5633" s="141"/>
      <c r="L5633" s="135" t="str">
        <f t="shared" si="305"/>
        <v>Thomasomys laniger</v>
      </c>
      <c r="M5633" s="133">
        <f t="shared" si="308"/>
        <v>1.5502300000000002</v>
      </c>
      <c r="N5633" s="170">
        <v>35.5001346244483</v>
      </c>
      <c r="O5633" s="198" t="s">
        <v>3356</v>
      </c>
      <c r="P5633" s="117">
        <v>61</v>
      </c>
      <c r="Q5633" s="91"/>
    </row>
    <row r="5634" spans="1:19">
      <c r="A5634" s="118" t="s">
        <v>7297</v>
      </c>
      <c r="B5634" s="166"/>
      <c r="C5634" s="169" t="s">
        <v>3817</v>
      </c>
      <c r="D5634" s="165"/>
      <c r="E5634" s="169"/>
      <c r="F5634" s="169"/>
      <c r="G5634" s="169" t="s">
        <v>3618</v>
      </c>
      <c r="H5634" s="169" t="s">
        <v>3638</v>
      </c>
      <c r="I5634" s="169" t="s">
        <v>4426</v>
      </c>
      <c r="J5634" s="169" t="s">
        <v>5523</v>
      </c>
      <c r="K5634" s="141"/>
      <c r="L5634" s="135" t="str">
        <f t="shared" si="305"/>
        <v>Thomasomys vestitus</v>
      </c>
      <c r="M5634" s="133">
        <f t="shared" si="308"/>
        <v>1.8836600000000003</v>
      </c>
      <c r="N5634" s="170">
        <v>76.499747201323302</v>
      </c>
      <c r="O5634" s="198" t="s">
        <v>3356</v>
      </c>
      <c r="P5634" s="117">
        <v>61</v>
      </c>
      <c r="Q5634" s="91"/>
    </row>
    <row r="5635" spans="1:19">
      <c r="A5635" s="121" t="s">
        <v>7297</v>
      </c>
      <c r="B5635" s="166"/>
      <c r="C5635" s="169" t="s">
        <v>3817</v>
      </c>
      <c r="D5635" s="165"/>
      <c r="E5635" s="169"/>
      <c r="F5635" s="169"/>
      <c r="G5635" s="169" t="s">
        <v>3618</v>
      </c>
      <c r="H5635" s="169" t="s">
        <v>3638</v>
      </c>
      <c r="I5635" s="169" t="s">
        <v>4426</v>
      </c>
      <c r="J5635" s="169" t="s">
        <v>4204</v>
      </c>
      <c r="K5635" s="141"/>
      <c r="L5635" s="135" t="str">
        <f t="shared" si="305"/>
        <v>Thomasomys baeops</v>
      </c>
      <c r="M5635" s="133">
        <f t="shared" si="308"/>
        <v>1.8864900000000004</v>
      </c>
      <c r="N5635" s="170">
        <v>76.999871427713714</v>
      </c>
      <c r="O5635" s="198" t="s">
        <v>3356</v>
      </c>
      <c r="P5635" s="117">
        <v>61</v>
      </c>
      <c r="Q5635" s="91"/>
    </row>
    <row r="5636" spans="1:19">
      <c r="A5636" s="118" t="s">
        <v>7297</v>
      </c>
      <c r="B5636" s="166"/>
      <c r="C5636" s="169" t="s">
        <v>3817</v>
      </c>
      <c r="D5636" s="165"/>
      <c r="E5636" s="169"/>
      <c r="F5636" s="169"/>
      <c r="G5636" s="169" t="s">
        <v>3618</v>
      </c>
      <c r="H5636" s="169" t="s">
        <v>3638</v>
      </c>
      <c r="I5636" s="169" t="s">
        <v>4426</v>
      </c>
      <c r="J5636" s="169" t="s">
        <v>3784</v>
      </c>
      <c r="K5636" s="141"/>
      <c r="L5636" s="135" t="str">
        <f t="shared" si="305"/>
        <v>Thomasomys cinereiventer</v>
      </c>
      <c r="M5636" s="133">
        <f t="shared" si="308"/>
        <v>1.8864900000000004</v>
      </c>
      <c r="N5636" s="170">
        <v>76.999871427713714</v>
      </c>
      <c r="O5636" s="198" t="s">
        <v>3356</v>
      </c>
      <c r="P5636" s="117">
        <v>61</v>
      </c>
      <c r="Q5636" s="91"/>
    </row>
    <row r="5637" spans="1:19">
      <c r="A5637" s="118" t="s">
        <v>7297</v>
      </c>
      <c r="B5637" s="166"/>
      <c r="C5637" s="169" t="s">
        <v>3817</v>
      </c>
      <c r="D5637" s="165"/>
      <c r="E5637" s="169"/>
      <c r="F5637" s="169"/>
      <c r="G5637" s="169" t="s">
        <v>3618</v>
      </c>
      <c r="H5637" s="169" t="s">
        <v>3638</v>
      </c>
      <c r="I5637" s="169" t="s">
        <v>4426</v>
      </c>
      <c r="J5637" s="169" t="s">
        <v>4485</v>
      </c>
      <c r="K5637" s="141"/>
      <c r="L5637" s="135" t="str">
        <f t="shared" ref="L5637:L5700" si="309">I5637&amp;" "&amp;J5637</f>
        <v>Thomasomys cinereus</v>
      </c>
      <c r="M5637" s="133">
        <f t="shared" si="308"/>
        <v>1.8864900000000004</v>
      </c>
      <c r="N5637" s="170">
        <v>76.999871427713714</v>
      </c>
      <c r="O5637" s="198" t="s">
        <v>3356</v>
      </c>
      <c r="P5637" s="117">
        <v>61</v>
      </c>
      <c r="Q5637" s="91"/>
    </row>
    <row r="5638" spans="1:19">
      <c r="A5638" s="118" t="s">
        <v>7297</v>
      </c>
      <c r="B5638" s="166"/>
      <c r="C5638" s="169" t="s">
        <v>3817</v>
      </c>
      <c r="D5638" s="165"/>
      <c r="E5638" s="169"/>
      <c r="F5638" s="169"/>
      <c r="G5638" s="169" t="s">
        <v>3618</v>
      </c>
      <c r="H5638" s="169" t="s">
        <v>3638</v>
      </c>
      <c r="I5638" s="169" t="s">
        <v>4426</v>
      </c>
      <c r="J5638" s="169" t="s">
        <v>3785</v>
      </c>
      <c r="K5638" s="141"/>
      <c r="L5638" s="135" t="str">
        <f t="shared" si="309"/>
        <v>Thomasomys daphne</v>
      </c>
      <c r="M5638" s="133">
        <f t="shared" si="308"/>
        <v>1.8864900000000004</v>
      </c>
      <c r="N5638" s="170">
        <v>76.999871427713714</v>
      </c>
      <c r="O5638" s="198" t="s">
        <v>3356</v>
      </c>
      <c r="P5638" s="117">
        <v>61</v>
      </c>
      <c r="Q5638" s="91"/>
    </row>
    <row r="5639" spans="1:19">
      <c r="A5639" s="118" t="s">
        <v>7297</v>
      </c>
      <c r="B5639" s="166"/>
      <c r="C5639" s="169" t="s">
        <v>3817</v>
      </c>
      <c r="D5639" s="165"/>
      <c r="E5639" s="169"/>
      <c r="F5639" s="169"/>
      <c r="G5639" s="169" t="s">
        <v>3618</v>
      </c>
      <c r="H5639" s="169" t="s">
        <v>3638</v>
      </c>
      <c r="I5639" s="169" t="s">
        <v>4426</v>
      </c>
      <c r="J5639" s="169" t="s">
        <v>8028</v>
      </c>
      <c r="K5639" s="141"/>
      <c r="L5639" s="135" t="str">
        <f t="shared" si="309"/>
        <v>Thomasomys eleusis</v>
      </c>
      <c r="M5639" s="133">
        <f t="shared" si="308"/>
        <v>1.8864900000000004</v>
      </c>
      <c r="N5639" s="170">
        <v>76.999871427713714</v>
      </c>
      <c r="O5639" s="198" t="s">
        <v>3356</v>
      </c>
      <c r="P5639" s="117">
        <v>61</v>
      </c>
      <c r="Q5639" s="91"/>
    </row>
    <row r="5640" spans="1:19">
      <c r="A5640" s="118" t="s">
        <v>7297</v>
      </c>
      <c r="B5640" s="166"/>
      <c r="C5640" s="169" t="s">
        <v>3817</v>
      </c>
      <c r="D5640" s="165"/>
      <c r="E5640" s="169"/>
      <c r="F5640" s="169"/>
      <c r="G5640" s="169" t="s">
        <v>3618</v>
      </c>
      <c r="H5640" s="169" t="s">
        <v>3638</v>
      </c>
      <c r="I5640" s="169" t="s">
        <v>4426</v>
      </c>
      <c r="J5640" s="169" t="s">
        <v>3786</v>
      </c>
      <c r="K5640" s="141"/>
      <c r="L5640" s="135" t="str">
        <f t="shared" si="309"/>
        <v>Thomasomys gracilis</v>
      </c>
      <c r="M5640" s="133">
        <f t="shared" si="308"/>
        <v>1.8864900000000004</v>
      </c>
      <c r="N5640" s="170">
        <v>76.999871427713714</v>
      </c>
      <c r="O5640" s="198" t="s">
        <v>3356</v>
      </c>
      <c r="P5640" s="117">
        <v>61</v>
      </c>
      <c r="Q5640" s="91"/>
    </row>
    <row r="5641" spans="1:19">
      <c r="A5641" s="118" t="s">
        <v>7297</v>
      </c>
      <c r="B5641" s="166"/>
      <c r="C5641" s="169" t="s">
        <v>3817</v>
      </c>
      <c r="D5641" s="165"/>
      <c r="E5641" s="169"/>
      <c r="F5641" s="169"/>
      <c r="G5641" s="169" t="s">
        <v>3618</v>
      </c>
      <c r="H5641" s="169" t="s">
        <v>3638</v>
      </c>
      <c r="I5641" s="169" t="s">
        <v>4426</v>
      </c>
      <c r="J5641" s="169" t="s">
        <v>8029</v>
      </c>
      <c r="K5641" s="141"/>
      <c r="L5641" s="135" t="str">
        <f t="shared" si="309"/>
        <v>Thomasomys hylophilus</v>
      </c>
      <c r="M5641" s="133">
        <f t="shared" si="308"/>
        <v>1.8864900000000004</v>
      </c>
      <c r="N5641" s="170">
        <v>76.999871427713714</v>
      </c>
      <c r="O5641" s="198" t="s">
        <v>3356</v>
      </c>
      <c r="P5641" s="117">
        <v>61</v>
      </c>
      <c r="Q5641" s="91"/>
    </row>
    <row r="5642" spans="1:19">
      <c r="A5642" s="118" t="s">
        <v>7297</v>
      </c>
      <c r="B5642" s="166"/>
      <c r="C5642" s="169" t="s">
        <v>3817</v>
      </c>
      <c r="D5642" s="165"/>
      <c r="E5642" s="169"/>
      <c r="F5642" s="169"/>
      <c r="G5642" s="169" t="s">
        <v>3618</v>
      </c>
      <c r="H5642" s="169" t="s">
        <v>3638</v>
      </c>
      <c r="I5642" s="169" t="s">
        <v>4426</v>
      </c>
      <c r="J5642" s="169" t="s">
        <v>2189</v>
      </c>
      <c r="K5642" s="141"/>
      <c r="L5642" s="135" t="str">
        <f t="shared" si="309"/>
        <v>Thomasomys incanus</v>
      </c>
      <c r="M5642" s="133">
        <f t="shared" si="308"/>
        <v>1.8864900000000004</v>
      </c>
      <c r="N5642" s="170">
        <v>76.999871427713714</v>
      </c>
      <c r="O5642" s="198" t="s">
        <v>3356</v>
      </c>
      <c r="P5642" s="117">
        <v>61</v>
      </c>
      <c r="Q5642" s="91"/>
    </row>
    <row r="5643" spans="1:19">
      <c r="A5643" s="118" t="s">
        <v>7297</v>
      </c>
      <c r="B5643" s="166"/>
      <c r="C5643" s="169" t="s">
        <v>3817</v>
      </c>
      <c r="D5643" s="165"/>
      <c r="E5643" s="169"/>
      <c r="F5643" s="169"/>
      <c r="G5643" s="169" t="s">
        <v>3618</v>
      </c>
      <c r="H5643" s="169" t="s">
        <v>3638</v>
      </c>
      <c r="I5643" s="169" t="s">
        <v>4426</v>
      </c>
      <c r="J5643" s="169" t="s">
        <v>8030</v>
      </c>
      <c r="K5643" s="141"/>
      <c r="L5643" s="135" t="str">
        <f t="shared" si="309"/>
        <v>Thomasomys ischyurus</v>
      </c>
      <c r="M5643" s="133">
        <f t="shared" si="308"/>
        <v>1.8864900000000004</v>
      </c>
      <c r="N5643" s="170">
        <v>76.999871427713714</v>
      </c>
      <c r="O5643" s="198" t="s">
        <v>3356</v>
      </c>
      <c r="P5643" s="117">
        <v>61</v>
      </c>
      <c r="Q5643" s="91"/>
    </row>
    <row r="5644" spans="1:19">
      <c r="A5644" s="121" t="s">
        <v>7297</v>
      </c>
      <c r="B5644" s="166"/>
      <c r="C5644" s="169" t="s">
        <v>3817</v>
      </c>
      <c r="D5644" s="165"/>
      <c r="E5644" s="169"/>
      <c r="F5644" s="169"/>
      <c r="G5644" s="169" t="s">
        <v>3618</v>
      </c>
      <c r="H5644" s="169" t="s">
        <v>3638</v>
      </c>
      <c r="I5644" s="169" t="s">
        <v>4426</v>
      </c>
      <c r="J5644" s="169" t="s">
        <v>2937</v>
      </c>
      <c r="K5644" s="141"/>
      <c r="L5644" s="135" t="str">
        <f t="shared" si="309"/>
        <v>Thomasomys kalinowskii</v>
      </c>
      <c r="M5644" s="133">
        <f t="shared" si="308"/>
        <v>1.8864900000000004</v>
      </c>
      <c r="N5644" s="170">
        <v>76.999871427713714</v>
      </c>
      <c r="O5644" s="198" t="s">
        <v>3356</v>
      </c>
      <c r="P5644" s="117">
        <v>61</v>
      </c>
      <c r="Q5644" s="91"/>
    </row>
    <row r="5645" spans="1:19">
      <c r="A5645" s="118" t="s">
        <v>7297</v>
      </c>
      <c r="B5645" s="166"/>
      <c r="C5645" s="169" t="s">
        <v>3817</v>
      </c>
      <c r="D5645" s="165"/>
      <c r="E5645" s="169"/>
      <c r="F5645" s="169"/>
      <c r="G5645" s="169" t="s">
        <v>3618</v>
      </c>
      <c r="H5645" s="169" t="s">
        <v>3638</v>
      </c>
      <c r="I5645" s="169" t="s">
        <v>4426</v>
      </c>
      <c r="J5645" s="169" t="s">
        <v>8031</v>
      </c>
      <c r="K5645" s="141"/>
      <c r="L5645" s="135" t="str">
        <f t="shared" si="309"/>
        <v>Thomasomys ladewi</v>
      </c>
      <c r="M5645" s="133">
        <f t="shared" si="308"/>
        <v>1.8864900000000004</v>
      </c>
      <c r="N5645" s="170">
        <v>76.999871427713714</v>
      </c>
      <c r="O5645" s="198" t="s">
        <v>3356</v>
      </c>
      <c r="P5645" s="117">
        <v>61</v>
      </c>
      <c r="Q5645" s="91"/>
    </row>
    <row r="5646" spans="1:19">
      <c r="A5646" s="118" t="s">
        <v>7297</v>
      </c>
      <c r="B5646" s="166"/>
      <c r="C5646" s="169" t="s">
        <v>3817</v>
      </c>
      <c r="D5646" s="165"/>
      <c r="E5646" s="169"/>
      <c r="F5646" s="169"/>
      <c r="G5646" s="169" t="s">
        <v>3618</v>
      </c>
      <c r="H5646" s="169" t="s">
        <v>3638</v>
      </c>
      <c r="I5646" s="169" t="s">
        <v>4426</v>
      </c>
      <c r="J5646" s="169" t="s">
        <v>8032</v>
      </c>
      <c r="K5646" s="141"/>
      <c r="L5646" s="135" t="str">
        <f t="shared" si="309"/>
        <v>Thomasomys monochromos</v>
      </c>
      <c r="M5646" s="133">
        <f t="shared" si="308"/>
        <v>1.8864900000000004</v>
      </c>
      <c r="N5646" s="170">
        <v>76.999871427713714</v>
      </c>
      <c r="O5646" s="198" t="s">
        <v>3356</v>
      </c>
      <c r="P5646" s="117">
        <v>61</v>
      </c>
      <c r="Q5646" s="91" t="s">
        <v>6642</v>
      </c>
    </row>
    <row r="5647" spans="1:19">
      <c r="A5647" s="121" t="s">
        <v>7297</v>
      </c>
      <c r="B5647" s="166"/>
      <c r="C5647" s="169" t="s">
        <v>3817</v>
      </c>
      <c r="D5647" s="165"/>
      <c r="E5647" s="169"/>
      <c r="F5647" s="169"/>
      <c r="G5647" s="169" t="s">
        <v>3618</v>
      </c>
      <c r="H5647" s="169" t="s">
        <v>3638</v>
      </c>
      <c r="I5647" s="169" t="s">
        <v>4426</v>
      </c>
      <c r="J5647" s="169" t="s">
        <v>8033</v>
      </c>
      <c r="K5647" s="141"/>
      <c r="L5647" s="135" t="str">
        <f t="shared" si="309"/>
        <v>Thomasomys niveipes</v>
      </c>
      <c r="M5647" s="133">
        <f t="shared" si="308"/>
        <v>1.8864900000000004</v>
      </c>
      <c r="N5647" s="170">
        <v>76.999871427713714</v>
      </c>
      <c r="O5647" s="198" t="s">
        <v>3356</v>
      </c>
      <c r="P5647" s="117">
        <v>61</v>
      </c>
      <c r="Q5647" s="91"/>
      <c r="S5647" s="92"/>
    </row>
    <row r="5648" spans="1:19">
      <c r="A5648" s="118" t="s">
        <v>7297</v>
      </c>
      <c r="B5648" s="166"/>
      <c r="C5648" s="169" t="s">
        <v>3817</v>
      </c>
      <c r="D5648" s="165"/>
      <c r="E5648" s="169"/>
      <c r="F5648" s="169"/>
      <c r="G5648" s="169" t="s">
        <v>3618</v>
      </c>
      <c r="H5648" s="169" t="s">
        <v>3638</v>
      </c>
      <c r="I5648" s="169" t="s">
        <v>4426</v>
      </c>
      <c r="J5648" s="169" t="s">
        <v>8034</v>
      </c>
      <c r="K5648" s="141"/>
      <c r="L5648" s="135" t="str">
        <f t="shared" si="309"/>
        <v>Thomasomys notatus</v>
      </c>
      <c r="M5648" s="133">
        <f t="shared" si="308"/>
        <v>1.8864900000000004</v>
      </c>
      <c r="N5648" s="170">
        <v>76.999871427713714</v>
      </c>
      <c r="O5648" s="198" t="s">
        <v>3356</v>
      </c>
      <c r="P5648" s="117">
        <v>61</v>
      </c>
      <c r="Q5648" s="91" t="s">
        <v>6642</v>
      </c>
      <c r="S5648" s="92"/>
    </row>
    <row r="5649" spans="1:19">
      <c r="A5649" s="118" t="s">
        <v>7297</v>
      </c>
      <c r="B5649" s="166"/>
      <c r="C5649" s="169" t="s">
        <v>3817</v>
      </c>
      <c r="D5649" s="165"/>
      <c r="E5649" s="169"/>
      <c r="F5649" s="169"/>
      <c r="G5649" s="169" t="s">
        <v>3618</v>
      </c>
      <c r="H5649" s="169" t="s">
        <v>3638</v>
      </c>
      <c r="I5649" s="169" t="s">
        <v>4426</v>
      </c>
      <c r="J5649" s="169" t="s">
        <v>8035</v>
      </c>
      <c r="K5649" s="141"/>
      <c r="L5649" s="135" t="str">
        <f t="shared" si="309"/>
        <v>Thomasomys oreas</v>
      </c>
      <c r="M5649" s="133">
        <f t="shared" si="308"/>
        <v>1.8864900000000004</v>
      </c>
      <c r="N5649" s="170">
        <v>76.999871427713714</v>
      </c>
      <c r="O5649" s="198" t="s">
        <v>3356</v>
      </c>
      <c r="P5649" s="124">
        <v>61</v>
      </c>
      <c r="Q5649" s="91"/>
      <c r="S5649" s="92"/>
    </row>
    <row r="5650" spans="1:19">
      <c r="A5650" s="118" t="s">
        <v>7297</v>
      </c>
      <c r="B5650" s="166"/>
      <c r="C5650" s="169" t="s">
        <v>3817</v>
      </c>
      <c r="D5650" s="165"/>
      <c r="E5650" s="169"/>
      <c r="F5650" s="169"/>
      <c r="G5650" s="169" t="s">
        <v>3618</v>
      </c>
      <c r="H5650" s="169" t="s">
        <v>3638</v>
      </c>
      <c r="I5650" s="169" t="s">
        <v>4426</v>
      </c>
      <c r="J5650" s="169" t="s">
        <v>6356</v>
      </c>
      <c r="K5650" s="141"/>
      <c r="L5650" s="135" t="str">
        <f t="shared" si="309"/>
        <v>Thomasomys paramorum</v>
      </c>
      <c r="M5650" s="133">
        <f t="shared" si="308"/>
        <v>1.8864900000000004</v>
      </c>
      <c r="N5650" s="170">
        <v>76.999871427713714</v>
      </c>
      <c r="O5650" s="198" t="s">
        <v>3356</v>
      </c>
      <c r="P5650" s="124">
        <v>61</v>
      </c>
      <c r="Q5650" s="91"/>
      <c r="S5650" s="92"/>
    </row>
    <row r="5651" spans="1:19">
      <c r="A5651" s="118" t="s">
        <v>7297</v>
      </c>
      <c r="B5651" s="166"/>
      <c r="C5651" s="169" t="s">
        <v>3817</v>
      </c>
      <c r="D5651" s="165"/>
      <c r="E5651" s="169"/>
      <c r="F5651" s="169"/>
      <c r="G5651" s="169" t="s">
        <v>3618</v>
      </c>
      <c r="H5651" s="169" t="s">
        <v>3638</v>
      </c>
      <c r="I5651" s="169" t="s">
        <v>4426</v>
      </c>
      <c r="J5651" s="169" t="s">
        <v>3228</v>
      </c>
      <c r="K5651" s="141"/>
      <c r="L5651" s="135" t="str">
        <f t="shared" si="309"/>
        <v>Thomasomys pyrrhonotus</v>
      </c>
      <c r="M5651" s="133">
        <f t="shared" si="308"/>
        <v>1.8864900000000004</v>
      </c>
      <c r="N5651" s="170">
        <v>76.999871427713714</v>
      </c>
      <c r="O5651" s="198" t="s">
        <v>3356</v>
      </c>
      <c r="P5651" s="124">
        <v>61</v>
      </c>
      <c r="Q5651" s="91"/>
      <c r="S5651" s="92"/>
    </row>
    <row r="5652" spans="1:19">
      <c r="A5652" s="118" t="s">
        <v>7297</v>
      </c>
      <c r="B5652" s="166"/>
      <c r="C5652" s="169" t="s">
        <v>3817</v>
      </c>
      <c r="D5652" s="165"/>
      <c r="E5652" s="169"/>
      <c r="F5652" s="169"/>
      <c r="G5652" s="169" t="s">
        <v>3618</v>
      </c>
      <c r="H5652" s="169" t="s">
        <v>3638</v>
      </c>
      <c r="I5652" s="169" t="s">
        <v>4426</v>
      </c>
      <c r="J5652" s="169" t="s">
        <v>3229</v>
      </c>
      <c r="K5652" s="141"/>
      <c r="L5652" s="135" t="str">
        <f t="shared" si="309"/>
        <v>Thomasomys rhoadsi</v>
      </c>
      <c r="M5652" s="133">
        <f t="shared" si="308"/>
        <v>1.8864900000000004</v>
      </c>
      <c r="N5652" s="170">
        <v>76.999871427713714</v>
      </c>
      <c r="O5652" s="198" t="s">
        <v>3356</v>
      </c>
      <c r="P5652" s="124">
        <v>61</v>
      </c>
      <c r="Q5652" s="91"/>
      <c r="S5652" s="92"/>
    </row>
    <row r="5653" spans="1:19">
      <c r="A5653" s="118" t="s">
        <v>7297</v>
      </c>
      <c r="B5653" s="166"/>
      <c r="C5653" s="169" t="s">
        <v>3817</v>
      </c>
      <c r="D5653" s="165"/>
      <c r="E5653" s="169"/>
      <c r="F5653" s="169"/>
      <c r="G5653" s="169" t="s">
        <v>3618</v>
      </c>
      <c r="H5653" s="169" t="s">
        <v>3638</v>
      </c>
      <c r="I5653" s="169" t="s">
        <v>4426</v>
      </c>
      <c r="J5653" s="169" t="s">
        <v>5476</v>
      </c>
      <c r="K5653" s="141"/>
      <c r="L5653" s="135" t="str">
        <f t="shared" si="309"/>
        <v>Thomasomys rosalinda</v>
      </c>
      <c r="M5653" s="133">
        <f t="shared" si="308"/>
        <v>1.8864900000000004</v>
      </c>
      <c r="N5653" s="170">
        <v>76.999871427713714</v>
      </c>
      <c r="O5653" s="198" t="s">
        <v>3356</v>
      </c>
      <c r="P5653" s="124">
        <v>61</v>
      </c>
      <c r="Q5653" s="91"/>
      <c r="S5653" s="92"/>
    </row>
    <row r="5654" spans="1:19">
      <c r="A5654" s="121" t="s">
        <v>7297</v>
      </c>
      <c r="B5654" s="166"/>
      <c r="C5654" s="169" t="s">
        <v>3817</v>
      </c>
      <c r="D5654" s="165"/>
      <c r="E5654" s="169"/>
      <c r="F5654" s="169"/>
      <c r="G5654" s="169" t="s">
        <v>3618</v>
      </c>
      <c r="H5654" s="169" t="s">
        <v>3638</v>
      </c>
      <c r="I5654" s="169" t="s">
        <v>4426</v>
      </c>
      <c r="J5654" s="169" t="s">
        <v>4857</v>
      </c>
      <c r="K5654" s="141"/>
      <c r="L5654" s="135" t="str">
        <f t="shared" si="309"/>
        <v>Thomasomys silvestris</v>
      </c>
      <c r="M5654" s="133">
        <f t="shared" si="308"/>
        <v>1.8864900000000004</v>
      </c>
      <c r="N5654" s="170">
        <v>76.999871427713714</v>
      </c>
      <c r="O5654" s="198" t="s">
        <v>3356</v>
      </c>
      <c r="P5654" s="124">
        <v>61</v>
      </c>
      <c r="Q5654" s="91"/>
      <c r="S5654" s="92"/>
    </row>
    <row r="5655" spans="1:19">
      <c r="A5655" s="118" t="s">
        <v>7297</v>
      </c>
      <c r="B5655" s="166"/>
      <c r="C5655" s="169" t="s">
        <v>3817</v>
      </c>
      <c r="D5655" s="165"/>
      <c r="E5655" s="169"/>
      <c r="F5655" s="169"/>
      <c r="G5655" s="169" t="s">
        <v>3618</v>
      </c>
      <c r="H5655" s="169" t="s">
        <v>3638</v>
      </c>
      <c r="I5655" s="169" t="s">
        <v>4426</v>
      </c>
      <c r="J5655" s="169" t="s">
        <v>3624</v>
      </c>
      <c r="K5655" s="141"/>
      <c r="L5655" s="135" t="str">
        <f t="shared" si="309"/>
        <v>Thomasomys taczanowskii</v>
      </c>
      <c r="M5655" s="133">
        <f t="shared" si="308"/>
        <v>1.8864900000000004</v>
      </c>
      <c r="N5655" s="170">
        <v>76.999871427713714</v>
      </c>
      <c r="O5655" s="198" t="s">
        <v>3356</v>
      </c>
      <c r="P5655" s="124">
        <v>61</v>
      </c>
      <c r="Q5655" s="91"/>
    </row>
    <row r="5656" spans="1:19">
      <c r="A5656" s="118" t="s">
        <v>7297</v>
      </c>
      <c r="B5656" s="166"/>
      <c r="C5656" s="169" t="s">
        <v>3817</v>
      </c>
      <c r="D5656" s="165"/>
      <c r="E5656" s="169"/>
      <c r="F5656" s="169"/>
      <c r="G5656" s="169" t="s">
        <v>3618</v>
      </c>
      <c r="H5656" s="169" t="s">
        <v>3638</v>
      </c>
      <c r="I5656" s="169" t="s">
        <v>4426</v>
      </c>
      <c r="J5656" s="169" t="s">
        <v>7364</v>
      </c>
      <c r="K5656" s="141"/>
      <c r="L5656" s="135" t="str">
        <f t="shared" si="309"/>
        <v>Thomasomys aureus</v>
      </c>
      <c r="M5656" s="133">
        <f t="shared" si="308"/>
        <v>1.9444800000000002</v>
      </c>
      <c r="N5656" s="170">
        <v>87.999458550589068</v>
      </c>
      <c r="O5656" s="198" t="s">
        <v>3356</v>
      </c>
      <c r="P5656" s="123">
        <v>60</v>
      </c>
      <c r="Q5656" s="91"/>
    </row>
    <row r="5657" spans="1:19">
      <c r="A5657" s="118" t="s">
        <v>7297</v>
      </c>
      <c r="B5657" s="166"/>
      <c r="C5657" s="169" t="s">
        <v>3817</v>
      </c>
      <c r="D5657" s="165"/>
      <c r="E5657" s="169"/>
      <c r="F5657" s="169"/>
      <c r="G5657" s="169" t="s">
        <v>3618</v>
      </c>
      <c r="H5657" s="169" t="s">
        <v>3638</v>
      </c>
      <c r="I5657" s="169" t="s">
        <v>4426</v>
      </c>
      <c r="J5657" s="169" t="s">
        <v>4205</v>
      </c>
      <c r="K5657" s="141"/>
      <c r="L5657" s="135" t="str">
        <f t="shared" si="309"/>
        <v>Thomasomys bombycinus</v>
      </c>
      <c r="M5657" s="133">
        <f t="shared" si="308"/>
        <v>2.0588099999999998</v>
      </c>
      <c r="N5657" s="170">
        <v>114.50118992599597</v>
      </c>
      <c r="O5657" s="198" t="s">
        <v>3356</v>
      </c>
      <c r="P5657" s="124">
        <v>61</v>
      </c>
      <c r="Q5657" s="91"/>
    </row>
    <row r="5658" spans="1:19">
      <c r="A5658" s="118" t="s">
        <v>7297</v>
      </c>
      <c r="B5658" s="166"/>
      <c r="C5658" s="169" t="s">
        <v>3817</v>
      </c>
      <c r="D5658" s="165"/>
      <c r="E5658" s="169"/>
      <c r="F5658" s="169"/>
      <c r="G5658" s="169" t="s">
        <v>3618</v>
      </c>
      <c r="H5658" s="169" t="s">
        <v>3638</v>
      </c>
      <c r="I5658" s="169" t="s">
        <v>4611</v>
      </c>
      <c r="J5658" s="169" t="s">
        <v>5477</v>
      </c>
      <c r="K5658" s="141"/>
      <c r="L5658" s="135" t="str">
        <f t="shared" si="309"/>
        <v>Tylomys mirae</v>
      </c>
      <c r="M5658" s="133">
        <f t="shared" si="308"/>
        <v>2.2638699999999998</v>
      </c>
      <c r="N5658" s="170">
        <v>183.59886834633892</v>
      </c>
      <c r="O5658" s="198" t="s">
        <v>3356</v>
      </c>
      <c r="P5658" s="124">
        <v>61</v>
      </c>
      <c r="Q5658" s="91"/>
    </row>
    <row r="5659" spans="1:19">
      <c r="A5659" s="118" t="s">
        <v>7297</v>
      </c>
      <c r="B5659" s="166"/>
      <c r="C5659" s="169" t="s">
        <v>3817</v>
      </c>
      <c r="D5659" s="165"/>
      <c r="E5659" s="169"/>
      <c r="F5659" s="169"/>
      <c r="G5659" s="169" t="s">
        <v>3618</v>
      </c>
      <c r="H5659" s="169" t="s">
        <v>3638</v>
      </c>
      <c r="I5659" s="169" t="s">
        <v>5478</v>
      </c>
      <c r="J5659" s="169" t="s">
        <v>5479</v>
      </c>
      <c r="K5659" s="141"/>
      <c r="L5659" s="135" t="str">
        <f t="shared" si="309"/>
        <v>Wiedomys pyrrhorhinos</v>
      </c>
      <c r="M5659" s="133">
        <f t="shared" ref="M5659:M5690" si="310">LOG(N5659)</f>
        <v>1.6693199999999999</v>
      </c>
      <c r="N5659" s="170">
        <v>46.700335436188617</v>
      </c>
      <c r="O5659" s="198" t="s">
        <v>3356</v>
      </c>
      <c r="P5659" s="124">
        <v>61</v>
      </c>
      <c r="Q5659" s="91"/>
      <c r="S5659" s="92"/>
    </row>
    <row r="5660" spans="1:19">
      <c r="A5660" s="118" t="s">
        <v>7297</v>
      </c>
      <c r="B5660" s="166"/>
      <c r="C5660" s="169" t="s">
        <v>3817</v>
      </c>
      <c r="D5660" s="165"/>
      <c r="E5660" s="169"/>
      <c r="F5660" s="169"/>
      <c r="G5660" s="169" t="s">
        <v>3618</v>
      </c>
      <c r="H5660" s="169" t="s">
        <v>3638</v>
      </c>
      <c r="I5660" s="169" t="s">
        <v>5432</v>
      </c>
      <c r="J5660" s="169" t="s">
        <v>5434</v>
      </c>
      <c r="K5660" s="141"/>
      <c r="L5660" s="135" t="str">
        <f t="shared" si="309"/>
        <v>Wilfredomys pictipes</v>
      </c>
      <c r="M5660" s="133">
        <f t="shared" si="310"/>
        <v>1.3598400000000002</v>
      </c>
      <c r="N5660" s="170">
        <v>22.900238213836374</v>
      </c>
      <c r="O5660" s="198" t="s">
        <v>3356</v>
      </c>
      <c r="P5660" s="124">
        <v>61</v>
      </c>
      <c r="Q5660" s="91"/>
    </row>
    <row r="5661" spans="1:19">
      <c r="A5661" s="118" t="s">
        <v>7297</v>
      </c>
      <c r="B5661" s="166"/>
      <c r="C5661" s="169" t="s">
        <v>3817</v>
      </c>
      <c r="D5661" s="165"/>
      <c r="E5661" s="169"/>
      <c r="F5661" s="169"/>
      <c r="G5661" s="169" t="s">
        <v>3618</v>
      </c>
      <c r="H5661" s="169" t="s">
        <v>3638</v>
      </c>
      <c r="I5661" s="169" t="s">
        <v>5432</v>
      </c>
      <c r="J5661" s="169" t="s">
        <v>5433</v>
      </c>
      <c r="K5661" s="141"/>
      <c r="L5661" s="135" t="str">
        <f t="shared" si="309"/>
        <v>Wilfredomys oenax</v>
      </c>
      <c r="M5661" s="133">
        <f t="shared" si="310"/>
        <v>1.67025</v>
      </c>
      <c r="N5661" s="170">
        <v>46.800446878939681</v>
      </c>
      <c r="O5661" s="198" t="s">
        <v>3356</v>
      </c>
      <c r="P5661" s="124">
        <v>61</v>
      </c>
      <c r="Q5661" s="91"/>
    </row>
    <row r="5662" spans="1:19">
      <c r="A5662" s="118" t="s">
        <v>7297</v>
      </c>
      <c r="B5662" s="166"/>
      <c r="C5662" s="169" t="s">
        <v>3817</v>
      </c>
      <c r="D5662" s="165"/>
      <c r="E5662" s="169"/>
      <c r="F5662" s="169"/>
      <c r="G5662" s="169" t="s">
        <v>3618</v>
      </c>
      <c r="H5662" s="169" t="s">
        <v>3638</v>
      </c>
      <c r="I5662" s="169" t="s">
        <v>5435</v>
      </c>
      <c r="J5662" s="169" t="s">
        <v>7354</v>
      </c>
      <c r="K5662" s="141"/>
      <c r="L5662" s="135" t="str">
        <f t="shared" si="309"/>
        <v>Zygodontomys brevicauda</v>
      </c>
      <c r="M5662" s="133">
        <f t="shared" si="310"/>
        <v>1.7179500000000003</v>
      </c>
      <c r="N5662" s="170">
        <v>52.233604937723022</v>
      </c>
      <c r="O5662" s="198" t="s">
        <v>3356</v>
      </c>
      <c r="P5662" s="123">
        <v>60</v>
      </c>
      <c r="Q5662" s="91"/>
    </row>
    <row r="5663" spans="1:19" ht="15" customHeight="1">
      <c r="A5663" s="118" t="s">
        <v>7297</v>
      </c>
      <c r="B5663" s="166"/>
      <c r="C5663" s="169" t="s">
        <v>3817</v>
      </c>
      <c r="D5663" s="165"/>
      <c r="E5663" s="169"/>
      <c r="F5663" s="169"/>
      <c r="G5663" s="169" t="s">
        <v>3618</v>
      </c>
      <c r="H5663" s="169" t="s">
        <v>3638</v>
      </c>
      <c r="I5663" s="169" t="s">
        <v>5435</v>
      </c>
      <c r="J5663" s="169" t="s">
        <v>4781</v>
      </c>
      <c r="K5663" s="141"/>
      <c r="L5663" s="135" t="str">
        <f t="shared" si="309"/>
        <v>Zygodontomys brunneus</v>
      </c>
      <c r="M5663" s="133">
        <f t="shared" si="310"/>
        <v>1.8785200000000002</v>
      </c>
      <c r="N5663" s="170">
        <v>75.599687447996104</v>
      </c>
      <c r="O5663" s="198" t="s">
        <v>3356</v>
      </c>
      <c r="P5663" s="123">
        <v>60</v>
      </c>
      <c r="Q5663" s="91"/>
      <c r="S5663" s="92"/>
    </row>
    <row r="5664" spans="1:19">
      <c r="A5664" s="121" t="s">
        <v>7297</v>
      </c>
      <c r="B5664" s="166"/>
      <c r="C5664" s="169" t="s">
        <v>3817</v>
      </c>
      <c r="D5664" s="165"/>
      <c r="E5664" s="169"/>
      <c r="F5664" s="169"/>
      <c r="G5664" s="169" t="s">
        <v>3618</v>
      </c>
      <c r="H5664" s="169" t="s">
        <v>5436</v>
      </c>
      <c r="I5664" s="169" t="s">
        <v>6057</v>
      </c>
      <c r="J5664" s="169" t="s">
        <v>6058</v>
      </c>
      <c r="K5664" s="141"/>
      <c r="L5664" s="135" t="str">
        <f t="shared" si="309"/>
        <v>Myocastor coypus</v>
      </c>
      <c r="M5664" s="133">
        <f t="shared" si="310"/>
        <v>3.8412000000000006</v>
      </c>
      <c r="N5664" s="170">
        <v>6937.4521394212425</v>
      </c>
      <c r="O5664" s="198" t="s">
        <v>3356</v>
      </c>
      <c r="P5664" s="123">
        <v>60</v>
      </c>
      <c r="S5664" s="92"/>
    </row>
    <row r="5665" spans="1:17">
      <c r="A5665" s="118" t="s">
        <v>7297</v>
      </c>
      <c r="B5665" s="166"/>
      <c r="C5665" s="169" t="s">
        <v>3817</v>
      </c>
      <c r="D5665" s="165"/>
      <c r="E5665" s="169"/>
      <c r="F5665" s="169"/>
      <c r="G5665" s="169" t="s">
        <v>3618</v>
      </c>
      <c r="H5665" s="169" t="s">
        <v>8046</v>
      </c>
      <c r="I5665" s="169" t="s">
        <v>8047</v>
      </c>
      <c r="J5665" s="169" t="s">
        <v>8048</v>
      </c>
      <c r="K5665" s="141"/>
      <c r="L5665" s="135" t="str">
        <f t="shared" si="309"/>
        <v>Aconaemys sagei</v>
      </c>
      <c r="M5665" s="133">
        <f t="shared" si="310"/>
        <v>1.9845300000000001</v>
      </c>
      <c r="N5665" s="170">
        <v>96.500596975408996</v>
      </c>
      <c r="O5665" s="198" t="s">
        <v>3356</v>
      </c>
      <c r="P5665" s="123">
        <v>61</v>
      </c>
    </row>
    <row r="5666" spans="1:17">
      <c r="A5666" s="121" t="s">
        <v>7297</v>
      </c>
      <c r="B5666" s="166"/>
      <c r="C5666" s="169" t="s">
        <v>3817</v>
      </c>
      <c r="D5666" s="165"/>
      <c r="E5666" s="169"/>
      <c r="F5666" s="169"/>
      <c r="G5666" s="169" t="s">
        <v>3618</v>
      </c>
      <c r="H5666" s="169" t="s">
        <v>8046</v>
      </c>
      <c r="I5666" s="169" t="s">
        <v>8047</v>
      </c>
      <c r="J5666" s="169" t="s">
        <v>4847</v>
      </c>
      <c r="K5666" s="141"/>
      <c r="L5666" s="135" t="str">
        <f t="shared" si="309"/>
        <v>Aconaemys fuscus</v>
      </c>
      <c r="M5666" s="133">
        <f t="shared" si="310"/>
        <v>2.12548</v>
      </c>
      <c r="N5666" s="170">
        <v>133.4996109303938</v>
      </c>
      <c r="O5666" s="198" t="s">
        <v>3356</v>
      </c>
      <c r="P5666" s="123">
        <v>60</v>
      </c>
    </row>
    <row r="5667" spans="1:17">
      <c r="A5667" s="121" t="s">
        <v>7297</v>
      </c>
      <c r="B5667" s="166"/>
      <c r="C5667" s="169" t="s">
        <v>3817</v>
      </c>
      <c r="D5667" s="165"/>
      <c r="E5667" s="169"/>
      <c r="F5667" s="169"/>
      <c r="G5667" s="169" t="s">
        <v>3618</v>
      </c>
      <c r="H5667" s="169" t="s">
        <v>8046</v>
      </c>
      <c r="I5667" s="169" t="s">
        <v>8049</v>
      </c>
      <c r="J5667" s="169" t="s">
        <v>8050</v>
      </c>
      <c r="K5667" s="141"/>
      <c r="L5667" s="135" t="str">
        <f t="shared" si="309"/>
        <v>Octodon bridgesi</v>
      </c>
      <c r="M5667" s="133">
        <f t="shared" si="310"/>
        <v>2.1760900000000003</v>
      </c>
      <c r="N5667" s="170">
        <v>149.99956513820399</v>
      </c>
      <c r="O5667" s="198" t="s">
        <v>3356</v>
      </c>
      <c r="P5667" s="123">
        <v>60</v>
      </c>
    </row>
    <row r="5668" spans="1:17">
      <c r="A5668" s="118" t="s">
        <v>7297</v>
      </c>
      <c r="B5668" s="166"/>
      <c r="C5668" s="169" t="s">
        <v>3817</v>
      </c>
      <c r="D5668" s="165"/>
      <c r="E5668" s="169"/>
      <c r="F5668" s="169"/>
      <c r="G5668" s="169" t="s">
        <v>3618</v>
      </c>
      <c r="H5668" s="169" t="s">
        <v>8046</v>
      </c>
      <c r="I5668" s="169" t="s">
        <v>8049</v>
      </c>
      <c r="J5668" s="169" t="s">
        <v>5922</v>
      </c>
      <c r="K5668" s="141"/>
      <c r="L5668" s="135" t="str">
        <f t="shared" si="309"/>
        <v>Octodon degus</v>
      </c>
      <c r="M5668" s="133">
        <f t="shared" si="310"/>
        <v>2.3222200000000002</v>
      </c>
      <c r="N5668" s="170">
        <v>210.00034102666152</v>
      </c>
      <c r="O5668" s="198" t="s">
        <v>3356</v>
      </c>
      <c r="P5668" s="123">
        <v>60</v>
      </c>
    </row>
    <row r="5669" spans="1:17">
      <c r="A5669" s="118" t="s">
        <v>7297</v>
      </c>
      <c r="B5669" s="166"/>
      <c r="C5669" s="169" t="s">
        <v>3817</v>
      </c>
      <c r="D5669" s="165"/>
      <c r="E5669" s="169"/>
      <c r="F5669" s="169"/>
      <c r="G5669" s="169" t="s">
        <v>3618</v>
      </c>
      <c r="H5669" s="169" t="s">
        <v>8046</v>
      </c>
      <c r="I5669" s="169" t="s">
        <v>8049</v>
      </c>
      <c r="J5669" s="169" t="s">
        <v>4620</v>
      </c>
      <c r="K5669" s="141"/>
      <c r="L5669" s="135" t="str">
        <f t="shared" si="309"/>
        <v>Octodon lunatus</v>
      </c>
      <c r="M5669" s="133">
        <f t="shared" si="310"/>
        <v>2.3673600000000001</v>
      </c>
      <c r="N5669" s="170">
        <v>233.0021883893082</v>
      </c>
      <c r="O5669" s="198" t="s">
        <v>3356</v>
      </c>
      <c r="P5669" s="124">
        <v>61</v>
      </c>
    </row>
    <row r="5670" spans="1:17">
      <c r="A5670" s="118" t="s">
        <v>7297</v>
      </c>
      <c r="B5670" s="166"/>
      <c r="C5670" s="169" t="s">
        <v>3817</v>
      </c>
      <c r="D5670" s="165"/>
      <c r="E5670" s="169"/>
      <c r="F5670" s="169"/>
      <c r="G5670" s="169" t="s">
        <v>3618</v>
      </c>
      <c r="H5670" s="169" t="s">
        <v>8046</v>
      </c>
      <c r="I5670" s="169" t="s">
        <v>8051</v>
      </c>
      <c r="J5670" s="169" t="s">
        <v>7265</v>
      </c>
      <c r="K5670" s="141"/>
      <c r="L5670" s="135" t="str">
        <f t="shared" si="309"/>
        <v>Octodontomys gliroides</v>
      </c>
      <c r="M5670" s="133">
        <f t="shared" si="310"/>
        <v>2.1760900000000003</v>
      </c>
      <c r="N5670" s="170">
        <v>149.99956513820399</v>
      </c>
      <c r="O5670" s="198" t="s">
        <v>3356</v>
      </c>
      <c r="P5670" s="123">
        <v>60</v>
      </c>
    </row>
    <row r="5671" spans="1:17">
      <c r="A5671" s="118" t="s">
        <v>7297</v>
      </c>
      <c r="B5671" s="166"/>
      <c r="C5671" s="169" t="s">
        <v>3817</v>
      </c>
      <c r="D5671" s="165"/>
      <c r="E5671" s="169"/>
      <c r="F5671" s="169"/>
      <c r="G5671" s="169" t="s">
        <v>3618</v>
      </c>
      <c r="H5671" s="169" t="s">
        <v>8046</v>
      </c>
      <c r="I5671" s="169" t="s">
        <v>8052</v>
      </c>
      <c r="J5671" s="169" t="s">
        <v>8053</v>
      </c>
      <c r="K5671" s="141"/>
      <c r="L5671" s="135" t="str">
        <f t="shared" si="309"/>
        <v>Octomys mimax</v>
      </c>
      <c r="M5671" s="133">
        <f t="shared" si="310"/>
        <v>2.11727</v>
      </c>
      <c r="N5671" s="170">
        <v>130.99960918073103</v>
      </c>
      <c r="O5671" s="198" t="s">
        <v>3356</v>
      </c>
      <c r="P5671" s="124">
        <v>61</v>
      </c>
    </row>
    <row r="5672" spans="1:17">
      <c r="A5672" s="118" t="s">
        <v>7297</v>
      </c>
      <c r="B5672" s="166"/>
      <c r="C5672" s="169" t="s">
        <v>3817</v>
      </c>
      <c r="D5672" s="165"/>
      <c r="E5672" s="169"/>
      <c r="F5672" s="169"/>
      <c r="G5672" s="169" t="s">
        <v>3618</v>
      </c>
      <c r="H5672" s="169" t="s">
        <v>8046</v>
      </c>
      <c r="I5672" s="169" t="s">
        <v>6328</v>
      </c>
      <c r="J5672" s="169" t="s">
        <v>5692</v>
      </c>
      <c r="K5672" s="141"/>
      <c r="L5672" s="135" t="str">
        <f t="shared" si="309"/>
        <v>Spalacopus cyanus</v>
      </c>
      <c r="M5672" s="133">
        <f t="shared" si="310"/>
        <v>2.1055100000000002</v>
      </c>
      <c r="N5672" s="170">
        <v>127.49994575531669</v>
      </c>
      <c r="O5672" s="198" t="s">
        <v>3356</v>
      </c>
      <c r="P5672" s="123">
        <v>60</v>
      </c>
      <c r="Q5672" s="91"/>
    </row>
    <row r="5673" spans="1:17">
      <c r="A5673" s="118" t="s">
        <v>7297</v>
      </c>
      <c r="B5673" s="166"/>
      <c r="C5673" s="169" t="s">
        <v>3817</v>
      </c>
      <c r="D5673" s="165"/>
      <c r="E5673" s="169"/>
      <c r="F5673" s="169"/>
      <c r="G5673" s="169" t="s">
        <v>3618</v>
      </c>
      <c r="H5673" s="169" t="s">
        <v>8046</v>
      </c>
      <c r="I5673" s="169" t="s">
        <v>6329</v>
      </c>
      <c r="J5673" s="169" t="s">
        <v>6330</v>
      </c>
      <c r="K5673" s="141"/>
      <c r="L5673" s="135" t="str">
        <f t="shared" si="309"/>
        <v>Tympanoctomys barrerae</v>
      </c>
      <c r="M5673" s="133">
        <f t="shared" si="310"/>
        <v>1.8451000000000002</v>
      </c>
      <c r="N5673" s="170">
        <v>70.000315913089707</v>
      </c>
      <c r="O5673" s="198" t="s">
        <v>7080</v>
      </c>
      <c r="P5673" s="124">
        <v>61</v>
      </c>
      <c r="Q5673" s="91" t="s">
        <v>6988</v>
      </c>
    </row>
    <row r="5674" spans="1:17">
      <c r="A5674" s="118" t="s">
        <v>7297</v>
      </c>
      <c r="B5674" s="166"/>
      <c r="C5674" s="169" t="s">
        <v>3817</v>
      </c>
      <c r="D5674" s="165"/>
      <c r="E5674" s="169"/>
      <c r="F5674" s="169"/>
      <c r="G5674" s="169" t="s">
        <v>3618</v>
      </c>
      <c r="H5674" s="169" t="s">
        <v>3438</v>
      </c>
      <c r="I5674" s="169" t="s">
        <v>6232</v>
      </c>
      <c r="J5674" s="169" t="s">
        <v>6233</v>
      </c>
      <c r="K5674" s="141"/>
      <c r="L5674" s="135" t="str">
        <f t="shared" si="309"/>
        <v>Microsciurus alfari</v>
      </c>
      <c r="M5674" s="133">
        <f t="shared" si="310"/>
        <v>1.9420100000000002</v>
      </c>
      <c r="N5674" s="170">
        <v>87.500392270536665</v>
      </c>
      <c r="O5674" s="198" t="s">
        <v>3356</v>
      </c>
      <c r="P5674" s="124">
        <v>61</v>
      </c>
    </row>
    <row r="5675" spans="1:17">
      <c r="A5675" s="118" t="s">
        <v>7297</v>
      </c>
      <c r="B5675" s="166"/>
      <c r="C5675" s="169" t="s">
        <v>3817</v>
      </c>
      <c r="D5675" s="165"/>
      <c r="E5675" s="169"/>
      <c r="F5675" s="169"/>
      <c r="G5675" s="169" t="s">
        <v>3618</v>
      </c>
      <c r="H5675" s="169" t="s">
        <v>3438</v>
      </c>
      <c r="I5675" s="169" t="s">
        <v>6232</v>
      </c>
      <c r="J5675" s="169" t="s">
        <v>6234</v>
      </c>
      <c r="K5675" s="141"/>
      <c r="L5675" s="135" t="str">
        <f t="shared" si="309"/>
        <v>Microsciurus flaviventer</v>
      </c>
      <c r="M5675" s="133">
        <f t="shared" si="310"/>
        <v>1.9637899999999999</v>
      </c>
      <c r="N5675" s="170">
        <v>92.000460251551033</v>
      </c>
      <c r="O5675" s="198" t="s">
        <v>3356</v>
      </c>
      <c r="P5675" s="124">
        <v>61</v>
      </c>
    </row>
    <row r="5676" spans="1:17">
      <c r="A5676" s="118" t="s">
        <v>7297</v>
      </c>
      <c r="B5676" s="166"/>
      <c r="C5676" s="169" t="s">
        <v>3817</v>
      </c>
      <c r="D5676" s="165"/>
      <c r="E5676" s="169"/>
      <c r="F5676" s="169"/>
      <c r="G5676" s="169" t="s">
        <v>3618</v>
      </c>
      <c r="H5676" s="169" t="s">
        <v>3438</v>
      </c>
      <c r="I5676" s="169" t="s">
        <v>6232</v>
      </c>
      <c r="J5676" s="169" t="s">
        <v>6236</v>
      </c>
      <c r="K5676" s="141"/>
      <c r="L5676" s="135" t="str">
        <f t="shared" si="309"/>
        <v>Microsciurus santanderensis</v>
      </c>
      <c r="M5676" s="133">
        <f t="shared" si="310"/>
        <v>1.9991300000000003</v>
      </c>
      <c r="N5676" s="170">
        <v>99.799875613326449</v>
      </c>
      <c r="O5676" s="198" t="s">
        <v>3356</v>
      </c>
      <c r="P5676" s="124">
        <v>61</v>
      </c>
    </row>
    <row r="5677" spans="1:17">
      <c r="A5677" s="118" t="s">
        <v>7297</v>
      </c>
      <c r="B5677" s="166"/>
      <c r="C5677" s="169" t="s">
        <v>3817</v>
      </c>
      <c r="D5677" s="165"/>
      <c r="E5677" s="169"/>
      <c r="F5677" s="169"/>
      <c r="G5677" s="169" t="s">
        <v>3618</v>
      </c>
      <c r="H5677" s="169" t="s">
        <v>3438</v>
      </c>
      <c r="I5677" s="169" t="s">
        <v>6232</v>
      </c>
      <c r="J5677" s="169" t="s">
        <v>6235</v>
      </c>
      <c r="K5677" s="141"/>
      <c r="L5677" s="135" t="str">
        <f t="shared" si="309"/>
        <v>Microsciurus mimulus</v>
      </c>
      <c r="M5677" s="133">
        <f t="shared" si="310"/>
        <v>2.0791800000000005</v>
      </c>
      <c r="N5677" s="170">
        <v>119.99965570481169</v>
      </c>
      <c r="O5677" s="198" t="s">
        <v>3356</v>
      </c>
      <c r="P5677" s="124">
        <v>61</v>
      </c>
    </row>
    <row r="5678" spans="1:17">
      <c r="A5678" s="118" t="s">
        <v>7297</v>
      </c>
      <c r="B5678" s="166"/>
      <c r="C5678" s="169" t="s">
        <v>3817</v>
      </c>
      <c r="D5678" s="165"/>
      <c r="E5678" s="169"/>
      <c r="F5678" s="169"/>
      <c r="G5678" s="169" t="s">
        <v>3618</v>
      </c>
      <c r="H5678" s="169" t="s">
        <v>3438</v>
      </c>
      <c r="I5678" s="169" t="s">
        <v>6237</v>
      </c>
      <c r="J5678" s="169" t="s">
        <v>4473</v>
      </c>
      <c r="K5678" s="141"/>
      <c r="L5678" s="135" t="str">
        <f t="shared" si="309"/>
        <v>Sciurillus pusillus</v>
      </c>
      <c r="M5678" s="133">
        <f t="shared" si="310"/>
        <v>1.5910600000000001</v>
      </c>
      <c r="N5678" s="170">
        <v>38.999586287443293</v>
      </c>
      <c r="O5678" s="198" t="s">
        <v>3356</v>
      </c>
      <c r="P5678" s="124">
        <v>61</v>
      </c>
      <c r="Q5678" s="91"/>
    </row>
    <row r="5679" spans="1:17">
      <c r="A5679" s="118" t="s">
        <v>7297</v>
      </c>
      <c r="B5679" s="166"/>
      <c r="C5679" s="169" t="s">
        <v>3817</v>
      </c>
      <c r="D5679" s="165"/>
      <c r="E5679" s="169"/>
      <c r="F5679" s="169"/>
      <c r="G5679" s="169" t="s">
        <v>3618</v>
      </c>
      <c r="H5679" s="169" t="s">
        <v>3438</v>
      </c>
      <c r="I5679" s="169" t="s">
        <v>3468</v>
      </c>
      <c r="J5679" s="169" t="s">
        <v>4300</v>
      </c>
      <c r="K5679" s="141"/>
      <c r="L5679" s="135" t="str">
        <f t="shared" si="309"/>
        <v>Sciurus sanborni</v>
      </c>
      <c r="M5679" s="133">
        <f t="shared" si="310"/>
        <v>2.1335400000000004</v>
      </c>
      <c r="N5679" s="170">
        <v>136.00034184601287</v>
      </c>
      <c r="O5679" s="198" t="s">
        <v>6882</v>
      </c>
      <c r="P5679" s="124">
        <v>61</v>
      </c>
      <c r="Q5679" s="91" t="s">
        <v>6642</v>
      </c>
    </row>
    <row r="5680" spans="1:17">
      <c r="A5680" s="118" t="s">
        <v>7297</v>
      </c>
      <c r="B5680" s="166"/>
      <c r="C5680" s="169" t="s">
        <v>3817</v>
      </c>
      <c r="D5680" s="165"/>
      <c r="E5680" s="169"/>
      <c r="F5680" s="169"/>
      <c r="G5680" s="169" t="s">
        <v>3618</v>
      </c>
      <c r="H5680" s="169" t="s">
        <v>3438</v>
      </c>
      <c r="I5680" s="169" t="s">
        <v>3468</v>
      </c>
      <c r="J5680" s="169" t="s">
        <v>6228</v>
      </c>
      <c r="K5680" s="141"/>
      <c r="L5680" s="135" t="str">
        <f t="shared" si="309"/>
        <v>Sciurus aestuans</v>
      </c>
      <c r="M5680" s="133">
        <f t="shared" si="310"/>
        <v>2.2671700000000006</v>
      </c>
      <c r="N5680" s="170">
        <v>184.99926373938769</v>
      </c>
      <c r="O5680" s="198" t="s">
        <v>3356</v>
      </c>
      <c r="P5680" s="124">
        <v>61</v>
      </c>
      <c r="Q5680" s="91"/>
    </row>
    <row r="5681" spans="1:19">
      <c r="A5681" s="118" t="s">
        <v>7297</v>
      </c>
      <c r="B5681" s="166"/>
      <c r="C5681" s="169" t="s">
        <v>3817</v>
      </c>
      <c r="D5681" s="165"/>
      <c r="E5681" s="169"/>
      <c r="F5681" s="169"/>
      <c r="G5681" s="169" t="s">
        <v>3618</v>
      </c>
      <c r="H5681" s="169" t="s">
        <v>3438</v>
      </c>
      <c r="I5681" s="169" t="s">
        <v>3468</v>
      </c>
      <c r="J5681" s="169" t="s">
        <v>7991</v>
      </c>
      <c r="K5681" s="141"/>
      <c r="L5681" s="135" t="str">
        <f t="shared" si="309"/>
        <v>Sciurus ignitus</v>
      </c>
      <c r="M5681" s="133">
        <f t="shared" si="310"/>
        <v>2.2787500000000001</v>
      </c>
      <c r="N5681" s="170">
        <v>189.99842462147336</v>
      </c>
      <c r="O5681" s="198" t="s">
        <v>3356</v>
      </c>
      <c r="P5681" s="124">
        <v>61</v>
      </c>
      <c r="Q5681" s="91"/>
    </row>
    <row r="5682" spans="1:19">
      <c r="A5682" s="118" t="s">
        <v>7297</v>
      </c>
      <c r="B5682" s="166"/>
      <c r="C5682" s="169" t="s">
        <v>3817</v>
      </c>
      <c r="D5682" s="165"/>
      <c r="E5682" s="169"/>
      <c r="F5682" s="169"/>
      <c r="G5682" s="169" t="s">
        <v>3618</v>
      </c>
      <c r="H5682" s="169" t="s">
        <v>3438</v>
      </c>
      <c r="I5682" s="169" t="s">
        <v>3468</v>
      </c>
      <c r="J5682" s="169" t="s">
        <v>7990</v>
      </c>
      <c r="K5682" s="141"/>
      <c r="L5682" s="135" t="str">
        <f t="shared" si="309"/>
        <v>Sciurus granatensis</v>
      </c>
      <c r="M5682" s="133">
        <f t="shared" si="310"/>
        <v>2.3979400000000002</v>
      </c>
      <c r="N5682" s="170">
        <v>249.99999500797404</v>
      </c>
      <c r="O5682" s="198" t="s">
        <v>3356</v>
      </c>
      <c r="P5682" s="123">
        <v>60</v>
      </c>
      <c r="Q5682" s="91"/>
    </row>
    <row r="5683" spans="1:19">
      <c r="A5683" s="118" t="s">
        <v>7297</v>
      </c>
      <c r="B5683" s="166"/>
      <c r="C5683" s="169" t="s">
        <v>3817</v>
      </c>
      <c r="D5683" s="165"/>
      <c r="E5683" s="169"/>
      <c r="F5683" s="169"/>
      <c r="G5683" s="169" t="s">
        <v>3618</v>
      </c>
      <c r="H5683" s="169" t="s">
        <v>3438</v>
      </c>
      <c r="I5683" s="169" t="s">
        <v>3468</v>
      </c>
      <c r="J5683" s="169" t="s">
        <v>6466</v>
      </c>
      <c r="K5683" s="141"/>
      <c r="L5683" s="135" t="str">
        <f t="shared" si="309"/>
        <v>Sciurus spadiceus</v>
      </c>
      <c r="M5683" s="133">
        <f t="shared" si="310"/>
        <v>2.6056600000000003</v>
      </c>
      <c r="N5683" s="170">
        <v>403.32951115834646</v>
      </c>
      <c r="O5683" s="198" t="s">
        <v>3356</v>
      </c>
      <c r="P5683" s="123">
        <v>60</v>
      </c>
      <c r="Q5683" s="91"/>
    </row>
    <row r="5684" spans="1:19">
      <c r="A5684" s="118" t="s">
        <v>7297</v>
      </c>
      <c r="B5684" s="166"/>
      <c r="C5684" s="169" t="s">
        <v>3817</v>
      </c>
      <c r="D5684" s="165"/>
      <c r="E5684" s="169"/>
      <c r="F5684" s="169"/>
      <c r="G5684" s="169" t="s">
        <v>3618</v>
      </c>
      <c r="H5684" s="169" t="s">
        <v>3438</v>
      </c>
      <c r="I5684" s="169" t="s">
        <v>3468</v>
      </c>
      <c r="J5684" s="169" t="s">
        <v>6467</v>
      </c>
      <c r="K5684" s="141"/>
      <c r="L5684" s="135" t="str">
        <f t="shared" si="309"/>
        <v>Sciurus stramineus</v>
      </c>
      <c r="M5684" s="133">
        <f t="shared" si="310"/>
        <v>2.63679</v>
      </c>
      <c r="N5684" s="170">
        <v>433.3013079656464</v>
      </c>
      <c r="O5684" s="198" t="s">
        <v>3356</v>
      </c>
      <c r="P5684" s="124">
        <v>61</v>
      </c>
      <c r="Q5684" s="91"/>
    </row>
    <row r="5685" spans="1:19">
      <c r="A5685" s="121" t="s">
        <v>7297</v>
      </c>
      <c r="B5685" s="166"/>
      <c r="C5685" s="169" t="s">
        <v>3817</v>
      </c>
      <c r="D5685" s="165"/>
      <c r="E5685" s="169"/>
      <c r="F5685" s="169"/>
      <c r="G5685" s="169" t="s">
        <v>3618</v>
      </c>
      <c r="H5685" s="169" t="s">
        <v>3438</v>
      </c>
      <c r="I5685" s="169" t="s">
        <v>3468</v>
      </c>
      <c r="J5685" s="169" t="s">
        <v>6465</v>
      </c>
      <c r="K5685" s="141"/>
      <c r="L5685" s="135" t="str">
        <f t="shared" si="309"/>
        <v>Sciurus pyrrhinus</v>
      </c>
      <c r="M5685" s="133">
        <f t="shared" si="310"/>
        <v>2.6830500000000002</v>
      </c>
      <c r="N5685" s="170">
        <v>482.00328711001845</v>
      </c>
      <c r="O5685" s="198" t="s">
        <v>3356</v>
      </c>
      <c r="P5685" s="124">
        <v>61</v>
      </c>
      <c r="Q5685" s="91"/>
    </row>
    <row r="5686" spans="1:19">
      <c r="A5686" s="121" t="s">
        <v>7297</v>
      </c>
      <c r="B5686" s="166"/>
      <c r="C5686" s="169" t="s">
        <v>3817</v>
      </c>
      <c r="D5686" s="165"/>
      <c r="E5686" s="169"/>
      <c r="F5686" s="169"/>
      <c r="G5686" s="169" t="s">
        <v>3618</v>
      </c>
      <c r="H5686" s="169" t="s">
        <v>3438</v>
      </c>
      <c r="I5686" s="169" t="s">
        <v>3468</v>
      </c>
      <c r="J5686" s="169" t="s">
        <v>7992</v>
      </c>
      <c r="K5686" s="141"/>
      <c r="L5686" s="135" t="str">
        <f t="shared" si="309"/>
        <v>Sciurus igniventris</v>
      </c>
      <c r="M5686" s="133">
        <f t="shared" si="310"/>
        <v>2.8451000000000004</v>
      </c>
      <c r="N5686" s="170">
        <v>700.0031591308973</v>
      </c>
      <c r="O5686" s="198" t="s">
        <v>3356</v>
      </c>
      <c r="P5686" s="124">
        <v>61</v>
      </c>
      <c r="Q5686" s="91"/>
    </row>
    <row r="5687" spans="1:19">
      <c r="A5687" s="121" t="s">
        <v>7297</v>
      </c>
      <c r="B5687" s="166"/>
      <c r="C5687" s="169" t="s">
        <v>3817</v>
      </c>
      <c r="D5687" s="165"/>
      <c r="E5687" s="169"/>
      <c r="F5687" s="169"/>
      <c r="G5687" s="169" t="s">
        <v>3618</v>
      </c>
      <c r="H5687" s="169" t="s">
        <v>3438</v>
      </c>
      <c r="I5687" s="169" t="s">
        <v>3468</v>
      </c>
      <c r="J5687" s="169" t="s">
        <v>7984</v>
      </c>
      <c r="K5687" s="141"/>
      <c r="L5687" s="135" t="str">
        <f t="shared" si="309"/>
        <v>Sciurus gilvigularis</v>
      </c>
      <c r="M5687" s="133">
        <f t="shared" si="310"/>
        <v>2.9047200000000006</v>
      </c>
      <c r="N5687" s="170">
        <v>803.00823671429134</v>
      </c>
      <c r="O5687" s="198" t="s">
        <v>3356</v>
      </c>
      <c r="P5687" s="124">
        <v>61</v>
      </c>
      <c r="Q5687" s="91"/>
    </row>
    <row r="5688" spans="1:19">
      <c r="A5688" s="118" t="s">
        <v>7297</v>
      </c>
      <c r="B5688" s="166"/>
      <c r="C5688" s="169" t="s">
        <v>3817</v>
      </c>
      <c r="D5688" s="165"/>
      <c r="E5688" s="169"/>
      <c r="F5688" s="169"/>
      <c r="G5688" s="169" t="s">
        <v>3618</v>
      </c>
      <c r="H5688" s="169" t="s">
        <v>3438</v>
      </c>
      <c r="I5688" s="169" t="s">
        <v>3468</v>
      </c>
      <c r="J5688" s="169" t="s">
        <v>7989</v>
      </c>
      <c r="K5688" s="141"/>
      <c r="L5688" s="135" t="str">
        <f t="shared" si="309"/>
        <v>Sciurus pucheranii</v>
      </c>
      <c r="M5688" s="133">
        <f t="shared" si="310"/>
        <v>2.9047200000000006</v>
      </c>
      <c r="N5688" s="170">
        <v>803.00823671429134</v>
      </c>
      <c r="O5688" s="198" t="s">
        <v>3356</v>
      </c>
      <c r="P5688" s="124">
        <v>61</v>
      </c>
      <c r="Q5688" s="91"/>
    </row>
    <row r="5689" spans="1:19">
      <c r="A5689" s="118" t="s">
        <v>7297</v>
      </c>
      <c r="B5689" s="166"/>
      <c r="C5689" s="169" t="s">
        <v>3817</v>
      </c>
      <c r="D5689" s="165"/>
      <c r="E5689" s="169"/>
      <c r="F5689" s="169"/>
      <c r="G5689" s="169" t="s">
        <v>3618</v>
      </c>
      <c r="H5689" s="169" t="s">
        <v>3438</v>
      </c>
      <c r="I5689" s="169" t="s">
        <v>3468</v>
      </c>
      <c r="J5689" s="169" t="s">
        <v>7983</v>
      </c>
      <c r="K5689" s="141"/>
      <c r="L5689" s="135" t="str">
        <f t="shared" si="309"/>
        <v>Sciurus flammifer</v>
      </c>
      <c r="M5689" s="133">
        <f t="shared" si="310"/>
        <v>3.6327600000000002</v>
      </c>
      <c r="N5689" s="170">
        <v>4292.9912173916864</v>
      </c>
      <c r="O5689" s="198" t="s">
        <v>3356</v>
      </c>
      <c r="P5689" s="124">
        <v>61</v>
      </c>
      <c r="Q5689" s="91"/>
      <c r="S5689" s="92"/>
    </row>
    <row r="5690" spans="1:19">
      <c r="A5690" s="118" t="s">
        <v>7297</v>
      </c>
      <c r="B5690" s="166"/>
      <c r="C5690" s="169" t="s">
        <v>3817</v>
      </c>
      <c r="D5690" s="165"/>
      <c r="E5690" s="169"/>
      <c r="F5690" s="169"/>
      <c r="G5690" s="169" t="s">
        <v>7361</v>
      </c>
      <c r="H5690" s="169" t="s">
        <v>3584</v>
      </c>
      <c r="I5690" s="169" t="s">
        <v>3556</v>
      </c>
      <c r="J5690" s="169" t="s">
        <v>4290</v>
      </c>
      <c r="K5690" s="141"/>
      <c r="L5690" s="135" t="str">
        <f t="shared" si="309"/>
        <v>Trichechus inunguis</v>
      </c>
      <c r="M5690" s="133">
        <f t="shared" si="310"/>
        <v>5.6812412373755876</v>
      </c>
      <c r="N5690" s="170">
        <v>480000</v>
      </c>
      <c r="O5690" s="198" t="s">
        <v>6736</v>
      </c>
      <c r="P5690" s="123">
        <v>68</v>
      </c>
      <c r="Q5690" s="91"/>
    </row>
    <row r="5691" spans="1:19">
      <c r="A5691" s="134" t="s">
        <v>7297</v>
      </c>
      <c r="B5691" s="290"/>
      <c r="C5691" s="291" t="s">
        <v>5092</v>
      </c>
      <c r="D5691" s="292"/>
      <c r="E5691" s="291"/>
      <c r="F5691" s="291"/>
      <c r="G5691" s="293" t="s">
        <v>6415</v>
      </c>
      <c r="H5691" s="293" t="s">
        <v>6594</v>
      </c>
      <c r="I5691" s="293" t="s">
        <v>4367</v>
      </c>
      <c r="J5691" s="293" t="s">
        <v>7388</v>
      </c>
      <c r="K5691" s="135"/>
      <c r="L5691" s="135" t="str">
        <f t="shared" si="309"/>
        <v>Eutatus spp.</v>
      </c>
      <c r="M5691" s="133">
        <f t="shared" ref="M5691:M5722" si="311">LOG(N5691)</f>
        <v>5.1595671932336202</v>
      </c>
      <c r="N5691" s="294">
        <v>144400</v>
      </c>
      <c r="O5691" s="295"/>
      <c r="P5691" s="125" t="s">
        <v>1123</v>
      </c>
    </row>
    <row r="5692" spans="1:19">
      <c r="A5692" s="134" t="s">
        <v>7297</v>
      </c>
      <c r="B5692" s="290"/>
      <c r="C5692" s="291" t="s">
        <v>5092</v>
      </c>
      <c r="D5692" s="292"/>
      <c r="E5692" s="291"/>
      <c r="F5692" s="291"/>
      <c r="G5692" s="293" t="s">
        <v>6415</v>
      </c>
      <c r="H5692" s="293" t="s">
        <v>6594</v>
      </c>
      <c r="I5692" s="293" t="s">
        <v>2326</v>
      </c>
      <c r="J5692" s="293" t="s">
        <v>7188</v>
      </c>
      <c r="K5692" s="135"/>
      <c r="L5692" s="135" t="str">
        <f t="shared" si="309"/>
        <v>Holmesina  paulacoutoi</v>
      </c>
      <c r="M5692" s="133">
        <f t="shared" si="311"/>
        <v>5.0969100130080562</v>
      </c>
      <c r="N5692" s="294">
        <v>125000</v>
      </c>
      <c r="O5692" s="295"/>
      <c r="P5692" s="125">
        <v>51</v>
      </c>
    </row>
    <row r="5693" spans="1:19">
      <c r="A5693" s="134" t="s">
        <v>7297</v>
      </c>
      <c r="B5693" s="290"/>
      <c r="C5693" s="291" t="s">
        <v>5092</v>
      </c>
      <c r="D5693" s="292"/>
      <c r="E5693" s="291"/>
      <c r="F5693" s="291"/>
      <c r="G5693" s="293" t="s">
        <v>6415</v>
      </c>
      <c r="H5693" s="293" t="s">
        <v>6594</v>
      </c>
      <c r="I5693" s="293" t="s">
        <v>2326</v>
      </c>
      <c r="J5693" s="293" t="s">
        <v>4843</v>
      </c>
      <c r="K5693" s="135"/>
      <c r="L5693" s="135" t="str">
        <f t="shared" si="309"/>
        <v>Holmesina  occidentalis</v>
      </c>
      <c r="M5693" s="133">
        <f t="shared" si="311"/>
        <v>5.3010299956639813</v>
      </c>
      <c r="N5693" s="294">
        <v>200000</v>
      </c>
      <c r="O5693" s="295"/>
      <c r="P5693" s="125">
        <v>51</v>
      </c>
    </row>
    <row r="5694" spans="1:19">
      <c r="A5694" s="134" t="s">
        <v>7297</v>
      </c>
      <c r="B5694" s="290"/>
      <c r="C5694" s="291" t="s">
        <v>5092</v>
      </c>
      <c r="D5694" s="292"/>
      <c r="E5694" s="291"/>
      <c r="F5694" s="291"/>
      <c r="G5694" s="293" t="s">
        <v>6415</v>
      </c>
      <c r="H5694" s="293" t="s">
        <v>6594</v>
      </c>
      <c r="I5694" s="293" t="s">
        <v>7186</v>
      </c>
      <c r="J5694" s="293" t="s">
        <v>4297</v>
      </c>
      <c r="K5694" s="135"/>
      <c r="L5694" s="135" t="str">
        <f t="shared" si="309"/>
        <v>Pampatherium humboldtii</v>
      </c>
      <c r="M5694" s="133">
        <f t="shared" si="311"/>
        <v>5.1760912590556813</v>
      </c>
      <c r="N5694" s="294">
        <v>150000</v>
      </c>
      <c r="O5694" s="295"/>
      <c r="P5694" s="125">
        <v>51</v>
      </c>
      <c r="Q5694" s="91"/>
    </row>
    <row r="5695" spans="1:19">
      <c r="A5695" s="134" t="s">
        <v>7297</v>
      </c>
      <c r="B5695" s="290"/>
      <c r="C5695" s="291" t="s">
        <v>5092</v>
      </c>
      <c r="D5695" s="292"/>
      <c r="E5695" s="291"/>
      <c r="F5695" s="291"/>
      <c r="G5695" s="293" t="s">
        <v>6415</v>
      </c>
      <c r="H5695" s="293" t="s">
        <v>6594</v>
      </c>
      <c r="I5695" s="293" t="s">
        <v>7186</v>
      </c>
      <c r="J5695" s="293" t="s">
        <v>7187</v>
      </c>
      <c r="K5695" s="135"/>
      <c r="L5695" s="135" t="str">
        <f t="shared" si="309"/>
        <v>Pampatherium typum</v>
      </c>
      <c r="M5695" s="133">
        <f t="shared" si="311"/>
        <v>5.3010299956639813</v>
      </c>
      <c r="N5695" s="294">
        <v>200000</v>
      </c>
      <c r="O5695" s="295"/>
      <c r="P5695" s="125" t="s">
        <v>1869</v>
      </c>
      <c r="Q5695" s="91"/>
    </row>
    <row r="5696" spans="1:19">
      <c r="A5696" s="134" t="s">
        <v>7297</v>
      </c>
      <c r="B5696" s="290"/>
      <c r="C5696" s="291" t="s">
        <v>5092</v>
      </c>
      <c r="D5696" s="292"/>
      <c r="E5696" s="291"/>
      <c r="F5696" s="291"/>
      <c r="G5696" s="293" t="s">
        <v>6415</v>
      </c>
      <c r="H5696" s="293" t="s">
        <v>6594</v>
      </c>
      <c r="I5696" s="293" t="s">
        <v>7191</v>
      </c>
      <c r="J5696" s="293" t="s">
        <v>6591</v>
      </c>
      <c r="K5696" s="135"/>
      <c r="L5696" s="135" t="str">
        <f t="shared" si="309"/>
        <v>Propraopus grandis</v>
      </c>
      <c r="M5696" s="133">
        <f t="shared" si="311"/>
        <v>4.6720978579357171</v>
      </c>
      <c r="N5696" s="294">
        <v>47000</v>
      </c>
      <c r="O5696" s="295"/>
      <c r="P5696" s="125" t="s">
        <v>4559</v>
      </c>
      <c r="Q5696" s="91"/>
    </row>
    <row r="5697" spans="1:19">
      <c r="A5697" s="134" t="s">
        <v>7297</v>
      </c>
      <c r="B5697" s="290"/>
      <c r="C5697" s="291" t="s">
        <v>5092</v>
      </c>
      <c r="D5697" s="292"/>
      <c r="E5697" s="291"/>
      <c r="F5697" s="291"/>
      <c r="G5697" s="293" t="s">
        <v>6415</v>
      </c>
      <c r="H5697" s="293" t="s">
        <v>2460</v>
      </c>
      <c r="I5697" s="293" t="s">
        <v>7194</v>
      </c>
      <c r="J5697" s="293" t="s">
        <v>7388</v>
      </c>
      <c r="K5697" s="135"/>
      <c r="L5697" s="135" t="str">
        <f t="shared" si="309"/>
        <v>Chlamydotherium spp.</v>
      </c>
      <c r="M5697" s="133">
        <f t="shared" si="311"/>
        <v>5.2430380486862944</v>
      </c>
      <c r="N5697" s="294">
        <v>175000</v>
      </c>
      <c r="O5697" s="295"/>
      <c r="P5697" s="125">
        <v>41</v>
      </c>
    </row>
    <row r="5698" spans="1:19">
      <c r="A5698" s="134" t="s">
        <v>7297</v>
      </c>
      <c r="B5698" s="290"/>
      <c r="C5698" s="291" t="s">
        <v>5092</v>
      </c>
      <c r="D5698" s="292"/>
      <c r="E5698" s="291"/>
      <c r="F5698" s="291"/>
      <c r="G5698" s="293" t="s">
        <v>6415</v>
      </c>
      <c r="H5698" s="293" t="s">
        <v>2460</v>
      </c>
      <c r="I5698" s="293" t="s">
        <v>7192</v>
      </c>
      <c r="J5698" s="293" t="s">
        <v>7193</v>
      </c>
      <c r="K5698" s="135"/>
      <c r="L5698" s="135" t="str">
        <f t="shared" si="309"/>
        <v>Doedicurus clavicaudatus</v>
      </c>
      <c r="M5698" s="133">
        <f t="shared" si="311"/>
        <v>6.1667260555800514</v>
      </c>
      <c r="N5698" s="294">
        <v>1468000</v>
      </c>
      <c r="O5698" s="295"/>
      <c r="P5698" s="125" t="s">
        <v>1260</v>
      </c>
    </row>
    <row r="5699" spans="1:19">
      <c r="A5699" s="134" t="s">
        <v>7297</v>
      </c>
      <c r="B5699" s="290"/>
      <c r="C5699" s="291" t="s">
        <v>5092</v>
      </c>
      <c r="D5699" s="292"/>
      <c r="E5699" s="291"/>
      <c r="F5699" s="291"/>
      <c r="G5699" s="293" t="s">
        <v>6415</v>
      </c>
      <c r="H5699" s="293" t="s">
        <v>2460</v>
      </c>
      <c r="I5699" s="293" t="s">
        <v>2485</v>
      </c>
      <c r="J5699" s="293" t="s">
        <v>2487</v>
      </c>
      <c r="K5699" s="135"/>
      <c r="L5699" s="135" t="str">
        <f t="shared" si="309"/>
        <v>Glyptodon reticulatus</v>
      </c>
      <c r="M5699" s="133">
        <f t="shared" si="311"/>
        <v>5.9355072658247128</v>
      </c>
      <c r="N5699" s="294">
        <v>862000</v>
      </c>
      <c r="O5699" s="295"/>
      <c r="P5699" s="125" t="s">
        <v>1260</v>
      </c>
    </row>
    <row r="5700" spans="1:19">
      <c r="A5700" s="134" t="s">
        <v>7297</v>
      </c>
      <c r="B5700" s="290"/>
      <c r="C5700" s="291" t="s">
        <v>5092</v>
      </c>
      <c r="D5700" s="292"/>
      <c r="E5700" s="291"/>
      <c r="F5700" s="291"/>
      <c r="G5700" s="293" t="s">
        <v>6415</v>
      </c>
      <c r="H5700" s="293" t="s">
        <v>2460</v>
      </c>
      <c r="I5700" s="293" t="s">
        <v>2485</v>
      </c>
      <c r="J5700" s="293" t="s">
        <v>2486</v>
      </c>
      <c r="K5700" s="135"/>
      <c r="L5700" s="135" t="str">
        <f t="shared" si="309"/>
        <v>Glyptodon clavipes</v>
      </c>
      <c r="M5700" s="133">
        <f t="shared" si="311"/>
        <v>6.3010299956639813</v>
      </c>
      <c r="N5700" s="294">
        <v>2000000</v>
      </c>
      <c r="O5700" s="295"/>
      <c r="P5700" s="125" t="s">
        <v>1126</v>
      </c>
    </row>
    <row r="5701" spans="1:19">
      <c r="A5701" s="134" t="s">
        <v>7297</v>
      </c>
      <c r="B5701" s="290"/>
      <c r="C5701" s="291" t="s">
        <v>5092</v>
      </c>
      <c r="D5701" s="292"/>
      <c r="E5701" s="291"/>
      <c r="F5701" s="291"/>
      <c r="G5701" s="293" t="s">
        <v>6415</v>
      </c>
      <c r="H5701" s="293" t="s">
        <v>2460</v>
      </c>
      <c r="I5701" s="293" t="s">
        <v>2488</v>
      </c>
      <c r="J5701" s="293" t="s">
        <v>7388</v>
      </c>
      <c r="K5701" s="135"/>
      <c r="L5701" s="135" t="str">
        <f t="shared" ref="L5701:L5751" si="312">I5701&amp;" "&amp;J5701</f>
        <v>Hoplophorus spp.</v>
      </c>
      <c r="M5701" s="133">
        <f t="shared" si="311"/>
        <v>5.4471580313422194</v>
      </c>
      <c r="N5701" s="294">
        <v>280000</v>
      </c>
      <c r="O5701" s="295"/>
      <c r="P5701" s="125" t="s">
        <v>1041</v>
      </c>
    </row>
    <row r="5702" spans="1:19">
      <c r="A5702" s="134" t="s">
        <v>7297</v>
      </c>
      <c r="B5702" s="290"/>
      <c r="C5702" s="291" t="s">
        <v>5092</v>
      </c>
      <c r="D5702" s="292"/>
      <c r="E5702" s="291"/>
      <c r="F5702" s="291"/>
      <c r="G5702" s="293" t="s">
        <v>6415</v>
      </c>
      <c r="H5702" s="293" t="s">
        <v>2460</v>
      </c>
      <c r="I5702" s="293" t="s">
        <v>2645</v>
      </c>
      <c r="J5702" s="293" t="s">
        <v>7388</v>
      </c>
      <c r="K5702" s="135"/>
      <c r="L5702" s="135" t="str">
        <f t="shared" si="312"/>
        <v>Lomaphorus spp.</v>
      </c>
      <c r="M5702" s="133">
        <f t="shared" si="311"/>
        <v>5.3979400086720375</v>
      </c>
      <c r="N5702" s="294">
        <v>250000</v>
      </c>
      <c r="O5702" s="295"/>
      <c r="P5702" s="125" t="s">
        <v>1041</v>
      </c>
    </row>
    <row r="5703" spans="1:19">
      <c r="A5703" s="134" t="s">
        <v>7297</v>
      </c>
      <c r="B5703" s="290"/>
      <c r="C5703" s="291" t="s">
        <v>5092</v>
      </c>
      <c r="D5703" s="292"/>
      <c r="E5703" s="291"/>
      <c r="F5703" s="291"/>
      <c r="G5703" s="293" t="s">
        <v>6415</v>
      </c>
      <c r="H5703" s="293" t="s">
        <v>2460</v>
      </c>
      <c r="I5703" s="293" t="s">
        <v>2431</v>
      </c>
      <c r="J5703" s="293" t="s">
        <v>7388</v>
      </c>
      <c r="K5703" s="135"/>
      <c r="L5703" s="135" t="str">
        <f t="shared" si="312"/>
        <v>Neosclerocalyptus spp.</v>
      </c>
      <c r="M5703" s="133">
        <f t="shared" si="311"/>
        <v>5.3010299956639813</v>
      </c>
      <c r="N5703" s="294">
        <v>200000</v>
      </c>
      <c r="O5703" s="295"/>
      <c r="P5703" s="125" t="s">
        <v>1259</v>
      </c>
      <c r="Q5703" s="91"/>
    </row>
    <row r="5704" spans="1:19">
      <c r="A5704" s="134" t="s">
        <v>7297</v>
      </c>
      <c r="B5704" s="290"/>
      <c r="C5704" s="291" t="s">
        <v>5092</v>
      </c>
      <c r="D5704" s="292"/>
      <c r="E5704" s="291"/>
      <c r="F5704" s="291"/>
      <c r="G5704" s="293" t="s">
        <v>6415</v>
      </c>
      <c r="H5704" s="293" t="s">
        <v>2460</v>
      </c>
      <c r="I5704" s="293" t="s">
        <v>2646</v>
      </c>
      <c r="J5704" s="293" t="s">
        <v>2430</v>
      </c>
      <c r="K5704" s="135"/>
      <c r="L5704" s="135" t="str">
        <f t="shared" si="312"/>
        <v>Neothoracophorus elevatus</v>
      </c>
      <c r="M5704" s="133">
        <f t="shared" si="311"/>
        <v>5.9030899869919438</v>
      </c>
      <c r="N5704" s="294">
        <v>800000</v>
      </c>
      <c r="O5704" s="295"/>
      <c r="P5704" s="125">
        <v>39</v>
      </c>
      <c r="Q5704" s="91"/>
    </row>
    <row r="5705" spans="1:19">
      <c r="A5705" s="134" t="s">
        <v>7297</v>
      </c>
      <c r="B5705" s="290"/>
      <c r="C5705" s="291" t="s">
        <v>5092</v>
      </c>
      <c r="D5705" s="292"/>
      <c r="E5705" s="291"/>
      <c r="F5705" s="291"/>
      <c r="G5705" s="293" t="s">
        <v>6415</v>
      </c>
      <c r="H5705" s="293" t="s">
        <v>2460</v>
      </c>
      <c r="I5705" s="293" t="s">
        <v>2646</v>
      </c>
      <c r="J5705" s="293" t="s">
        <v>2429</v>
      </c>
      <c r="K5705" s="135"/>
      <c r="L5705" s="135" t="str">
        <f t="shared" si="312"/>
        <v>Neothoracophorus depressus</v>
      </c>
      <c r="M5705" s="133">
        <f t="shared" si="311"/>
        <v>6.0413926851582254</v>
      </c>
      <c r="N5705" s="294">
        <v>1100000</v>
      </c>
      <c r="O5705" s="295"/>
      <c r="P5705" s="125" t="s">
        <v>1869</v>
      </c>
      <c r="Q5705" s="91"/>
    </row>
    <row r="5706" spans="1:19">
      <c r="A5706" s="134" t="s">
        <v>7297</v>
      </c>
      <c r="B5706" s="290"/>
      <c r="C5706" s="291" t="s">
        <v>5092</v>
      </c>
      <c r="D5706" s="292"/>
      <c r="E5706" s="291"/>
      <c r="F5706" s="291"/>
      <c r="G5706" s="293" t="s">
        <v>6415</v>
      </c>
      <c r="H5706" s="293" t="s">
        <v>2460</v>
      </c>
      <c r="I5706" s="293" t="s">
        <v>5796</v>
      </c>
      <c r="J5706" s="293" t="s">
        <v>5749</v>
      </c>
      <c r="K5706" s="135"/>
      <c r="L5706" s="135" t="str">
        <f t="shared" si="312"/>
        <v>Panochthus tuberculatus</v>
      </c>
      <c r="M5706" s="133">
        <f t="shared" si="311"/>
        <v>6.0257153839013409</v>
      </c>
      <c r="N5706" s="294">
        <v>1061000</v>
      </c>
      <c r="O5706" s="295"/>
      <c r="P5706" s="125" t="s">
        <v>1260</v>
      </c>
      <c r="Q5706" s="91"/>
    </row>
    <row r="5707" spans="1:19">
      <c r="A5707" s="134" t="s">
        <v>7297</v>
      </c>
      <c r="B5707" s="290"/>
      <c r="C5707" s="291" t="s">
        <v>5092</v>
      </c>
      <c r="D5707" s="292"/>
      <c r="E5707" s="291"/>
      <c r="F5707" s="291"/>
      <c r="G5707" s="293" t="s">
        <v>6415</v>
      </c>
      <c r="H5707" s="293" t="s">
        <v>2460</v>
      </c>
      <c r="I5707" s="293" t="s">
        <v>5797</v>
      </c>
      <c r="J5707" s="293" t="s">
        <v>4558</v>
      </c>
      <c r="K5707" s="135"/>
      <c r="L5707" s="135" t="str">
        <f t="shared" si="312"/>
        <v>Plaxhaplous canaliculatus</v>
      </c>
      <c r="M5707" s="133">
        <f t="shared" si="311"/>
        <v>6.1139433523068369</v>
      </c>
      <c r="N5707" s="294">
        <v>1300000</v>
      </c>
      <c r="O5707" s="295"/>
      <c r="P5707" s="125" t="s">
        <v>1079</v>
      </c>
      <c r="Q5707" s="91"/>
    </row>
    <row r="5708" spans="1:19">
      <c r="A5708" s="134" t="s">
        <v>7297</v>
      </c>
      <c r="B5708" s="290"/>
      <c r="C5708" s="291" t="s">
        <v>5092</v>
      </c>
      <c r="D5708" s="292"/>
      <c r="E5708" s="291"/>
      <c r="F5708" s="291"/>
      <c r="G5708" s="293" t="s">
        <v>6415</v>
      </c>
      <c r="H5708" s="293" t="s">
        <v>2460</v>
      </c>
      <c r="I5708" s="293" t="s">
        <v>2803</v>
      </c>
      <c r="J5708" s="293" t="s">
        <v>4907</v>
      </c>
      <c r="K5708" s="135"/>
      <c r="L5708" s="135" t="str">
        <f t="shared" si="312"/>
        <v>Sclerocalyptus ornatus</v>
      </c>
      <c r="M5708" s="133">
        <f t="shared" si="311"/>
        <v>5.4471580313422194</v>
      </c>
      <c r="N5708" s="294">
        <v>280000</v>
      </c>
      <c r="O5708" s="295"/>
      <c r="P5708" s="125" t="s">
        <v>922</v>
      </c>
    </row>
    <row r="5709" spans="1:19">
      <c r="A5709" s="134" t="s">
        <v>7297</v>
      </c>
      <c r="B5709" s="290"/>
      <c r="C5709" s="291" t="s">
        <v>5092</v>
      </c>
      <c r="D5709" s="292"/>
      <c r="E5709" s="291"/>
      <c r="F5709" s="291"/>
      <c r="G5709" s="293" t="s">
        <v>6415</v>
      </c>
      <c r="H5709" s="293" t="s">
        <v>3330</v>
      </c>
      <c r="I5709" s="293" t="s">
        <v>2694</v>
      </c>
      <c r="J5709" s="293" t="s">
        <v>7388</v>
      </c>
      <c r="K5709" s="135"/>
      <c r="L5709" s="135" t="str">
        <f t="shared" si="312"/>
        <v>Nothropus spp.</v>
      </c>
      <c r="M5709" s="133">
        <f t="shared" si="311"/>
        <v>5</v>
      </c>
      <c r="N5709" s="294">
        <v>100000</v>
      </c>
      <c r="O5709" s="295"/>
      <c r="P5709" s="125" t="s">
        <v>1041</v>
      </c>
      <c r="Q5709" s="91"/>
    </row>
    <row r="5710" spans="1:19">
      <c r="A5710" s="134" t="s">
        <v>7297</v>
      </c>
      <c r="B5710" s="290"/>
      <c r="C5710" s="291" t="s">
        <v>5092</v>
      </c>
      <c r="D5710" s="292"/>
      <c r="E5710" s="291"/>
      <c r="F5710" s="291"/>
      <c r="G5710" s="293" t="s">
        <v>6415</v>
      </c>
      <c r="H5710" s="293" t="s">
        <v>3330</v>
      </c>
      <c r="I5710" s="293" t="s">
        <v>2590</v>
      </c>
      <c r="J5710" s="293" t="s">
        <v>7388</v>
      </c>
      <c r="K5710" s="135"/>
      <c r="L5710" s="135" t="str">
        <f t="shared" si="312"/>
        <v>Nothrotherium spp.</v>
      </c>
      <c r="M5710" s="133">
        <f t="shared" si="311"/>
        <v>5.1760912590556813</v>
      </c>
      <c r="N5710" s="294">
        <v>150000</v>
      </c>
      <c r="O5710" s="295"/>
      <c r="P5710" s="125">
        <v>1</v>
      </c>
      <c r="Q5710" s="91"/>
      <c r="S5710" s="92"/>
    </row>
    <row r="5711" spans="1:19">
      <c r="A5711" s="134" t="s">
        <v>7297</v>
      </c>
      <c r="B5711" s="290"/>
      <c r="C5711" s="291" t="s">
        <v>5092</v>
      </c>
      <c r="D5711" s="292"/>
      <c r="E5711" s="291"/>
      <c r="F5711" s="291"/>
      <c r="G5711" s="293" t="s">
        <v>6415</v>
      </c>
      <c r="H5711" s="293" t="s">
        <v>3330</v>
      </c>
      <c r="I5711" s="293" t="s">
        <v>2591</v>
      </c>
      <c r="J5711" s="293" t="s">
        <v>7388</v>
      </c>
      <c r="K5711" s="135"/>
      <c r="L5711" s="135" t="str">
        <f t="shared" si="312"/>
        <v>Ocnopus spp.</v>
      </c>
      <c r="M5711" s="133">
        <f t="shared" si="311"/>
        <v>5.4771212547196626</v>
      </c>
      <c r="N5711" s="294">
        <v>300000</v>
      </c>
      <c r="O5711" s="295"/>
      <c r="P5711" s="125" t="s">
        <v>1041</v>
      </c>
      <c r="Q5711" s="91"/>
    </row>
    <row r="5712" spans="1:19">
      <c r="A5712" s="134" t="s">
        <v>7297</v>
      </c>
      <c r="B5712" s="290"/>
      <c r="C5712" s="291" t="s">
        <v>5092</v>
      </c>
      <c r="D5712" s="292"/>
      <c r="E5712" s="291"/>
      <c r="F5712" s="291"/>
      <c r="G5712" s="293" t="s">
        <v>6415</v>
      </c>
      <c r="H5712" s="293" t="s">
        <v>3330</v>
      </c>
      <c r="I5712" s="293" t="s">
        <v>2692</v>
      </c>
      <c r="J5712" s="293" t="s">
        <v>7388</v>
      </c>
      <c r="K5712" s="135"/>
      <c r="L5712" s="135" t="str">
        <f t="shared" si="312"/>
        <v>Valgipes spp.</v>
      </c>
      <c r="M5712" s="133">
        <f t="shared" si="311"/>
        <v>5.3010299956639813</v>
      </c>
      <c r="N5712" s="294">
        <v>200000</v>
      </c>
      <c r="O5712" s="295"/>
      <c r="P5712" s="125" t="s">
        <v>1123</v>
      </c>
      <c r="Q5712" s="91"/>
    </row>
    <row r="5713" spans="1:17">
      <c r="A5713" s="134" t="s">
        <v>7297</v>
      </c>
      <c r="B5713" s="290"/>
      <c r="C5713" s="291" t="s">
        <v>5092</v>
      </c>
      <c r="D5713" s="292"/>
      <c r="E5713" s="291"/>
      <c r="F5713" s="291"/>
      <c r="G5713" s="293" t="s">
        <v>6415</v>
      </c>
      <c r="H5713" s="293" t="s">
        <v>2359</v>
      </c>
      <c r="I5713" s="293" t="s">
        <v>2342</v>
      </c>
      <c r="J5713" s="293" t="s">
        <v>7066</v>
      </c>
      <c r="K5713" s="135"/>
      <c r="L5713" s="135" t="str">
        <f t="shared" si="312"/>
        <v>Eremotherium laurillardi</v>
      </c>
      <c r="M5713" s="133">
        <f t="shared" si="311"/>
        <v>5.9030899869919438</v>
      </c>
      <c r="N5713" s="294">
        <v>800000</v>
      </c>
      <c r="O5713" s="295"/>
      <c r="P5713" s="125">
        <v>54</v>
      </c>
    </row>
    <row r="5714" spans="1:17">
      <c r="A5714" s="134" t="s">
        <v>7297</v>
      </c>
      <c r="B5714" s="290"/>
      <c r="C5714" s="291" t="s">
        <v>5092</v>
      </c>
      <c r="D5714" s="292"/>
      <c r="E5714" s="291"/>
      <c r="F5714" s="291"/>
      <c r="G5714" s="293" t="s">
        <v>6415</v>
      </c>
      <c r="H5714" s="293" t="s">
        <v>2359</v>
      </c>
      <c r="I5714" s="293" t="s">
        <v>2342</v>
      </c>
      <c r="J5714" s="293" t="s">
        <v>2343</v>
      </c>
      <c r="K5714" s="135"/>
      <c r="L5714" s="135" t="str">
        <f t="shared" si="312"/>
        <v>Eremotherium rusconii</v>
      </c>
      <c r="M5714" s="133">
        <f t="shared" si="311"/>
        <v>6.5440680443502757</v>
      </c>
      <c r="N5714" s="294">
        <v>3500000</v>
      </c>
      <c r="O5714" s="295"/>
      <c r="P5714" s="125" t="s">
        <v>245</v>
      </c>
    </row>
    <row r="5715" spans="1:17">
      <c r="A5715" s="134" t="s">
        <v>7297</v>
      </c>
      <c r="B5715" s="290"/>
      <c r="C5715" s="291" t="s">
        <v>5092</v>
      </c>
      <c r="D5715" s="292"/>
      <c r="E5715" s="291"/>
      <c r="F5715" s="291"/>
      <c r="G5715" s="293" t="s">
        <v>6415</v>
      </c>
      <c r="H5715" s="293" t="s">
        <v>2359</v>
      </c>
      <c r="I5715" s="293" t="s">
        <v>7067</v>
      </c>
      <c r="J5715" s="293" t="s">
        <v>2271</v>
      </c>
      <c r="K5715" s="135"/>
      <c r="L5715" s="135" t="str">
        <f t="shared" si="312"/>
        <v>Megatherium americanum</v>
      </c>
      <c r="M5715" s="133">
        <f t="shared" si="311"/>
        <v>6.796921075330169</v>
      </c>
      <c r="N5715" s="294">
        <v>6265000</v>
      </c>
      <c r="O5715" s="295"/>
      <c r="P5715" s="125" t="s">
        <v>1859</v>
      </c>
    </row>
    <row r="5716" spans="1:17">
      <c r="A5716" s="134" t="s">
        <v>7297</v>
      </c>
      <c r="B5716" s="290"/>
      <c r="C5716" s="291" t="s">
        <v>5092</v>
      </c>
      <c r="D5716" s="292"/>
      <c r="E5716" s="291"/>
      <c r="F5716" s="291"/>
      <c r="G5716" s="293" t="s">
        <v>6415</v>
      </c>
      <c r="H5716" s="293" t="s">
        <v>2359</v>
      </c>
      <c r="I5716" s="293" t="s">
        <v>7263</v>
      </c>
      <c r="J5716" s="293" t="s">
        <v>7388</v>
      </c>
      <c r="K5716" s="135"/>
      <c r="L5716" s="135" t="str">
        <f t="shared" si="312"/>
        <v>Paramegatherium spp.</v>
      </c>
      <c r="M5716" s="133">
        <f t="shared" si="311"/>
        <v>6.5440680443502757</v>
      </c>
      <c r="N5716" s="294">
        <v>3500000</v>
      </c>
      <c r="O5716" s="295"/>
      <c r="P5716" s="125">
        <v>40</v>
      </c>
      <c r="Q5716" s="91"/>
    </row>
    <row r="5717" spans="1:17">
      <c r="A5717" s="134" t="s">
        <v>7297</v>
      </c>
      <c r="B5717" s="290"/>
      <c r="C5717" s="291" t="s">
        <v>5092</v>
      </c>
      <c r="D5717" s="292"/>
      <c r="E5717" s="291"/>
      <c r="F5717" s="291"/>
      <c r="G5717" s="293" t="s">
        <v>6415</v>
      </c>
      <c r="H5717" s="293" t="s">
        <v>7290</v>
      </c>
      <c r="I5717" s="293" t="s">
        <v>5048</v>
      </c>
      <c r="J5717" s="293" t="s">
        <v>2805</v>
      </c>
      <c r="K5717" s="135"/>
      <c r="L5717" s="135" t="str">
        <f t="shared" si="312"/>
        <v>Glossotherium myloides</v>
      </c>
      <c r="M5717" s="133">
        <f t="shared" si="311"/>
        <v>6.0791812460476251</v>
      </c>
      <c r="N5717" s="294">
        <v>1200000</v>
      </c>
      <c r="O5717" s="295"/>
      <c r="P5717" s="125">
        <v>39</v>
      </c>
    </row>
    <row r="5718" spans="1:17">
      <c r="A5718" s="134" t="s">
        <v>7297</v>
      </c>
      <c r="B5718" s="290"/>
      <c r="C5718" s="291" t="s">
        <v>5092</v>
      </c>
      <c r="D5718" s="292"/>
      <c r="E5718" s="291"/>
      <c r="F5718" s="291"/>
      <c r="G5718" s="293" t="s">
        <v>6415</v>
      </c>
      <c r="H5718" s="293" t="s">
        <v>7290</v>
      </c>
      <c r="I5718" s="293" t="s">
        <v>5048</v>
      </c>
      <c r="J5718" s="293" t="s">
        <v>7264</v>
      </c>
      <c r="K5718" s="135"/>
      <c r="L5718" s="135" t="str">
        <f t="shared" si="312"/>
        <v>Glossotherium robustum</v>
      </c>
      <c r="M5718" s="133">
        <f t="shared" si="311"/>
        <v>6.2337573629655108</v>
      </c>
      <c r="N5718" s="294">
        <v>1713000</v>
      </c>
      <c r="O5718" s="295"/>
      <c r="P5718" s="125" t="s">
        <v>1125</v>
      </c>
    </row>
    <row r="5719" spans="1:17">
      <c r="A5719" s="134" t="s">
        <v>7297</v>
      </c>
      <c r="B5719" s="290"/>
      <c r="C5719" s="291" t="s">
        <v>5092</v>
      </c>
      <c r="D5719" s="292"/>
      <c r="E5719" s="291"/>
      <c r="F5719" s="291"/>
      <c r="G5719" s="293" t="s">
        <v>6415</v>
      </c>
      <c r="H5719" s="293" t="s">
        <v>7290</v>
      </c>
      <c r="I5719" s="293" t="s">
        <v>2691</v>
      </c>
      <c r="J5719" s="293" t="s">
        <v>6386</v>
      </c>
      <c r="K5719" s="135"/>
      <c r="L5719" s="135" t="str">
        <f t="shared" si="312"/>
        <v>Lestodon armatus</v>
      </c>
      <c r="M5719" s="133">
        <f t="shared" si="311"/>
        <v>6.531095546870028</v>
      </c>
      <c r="N5719" s="294">
        <v>3397000</v>
      </c>
      <c r="O5719" s="295"/>
      <c r="P5719" s="125" t="s">
        <v>1865</v>
      </c>
    </row>
    <row r="5720" spans="1:17">
      <c r="A5720" s="134" t="s">
        <v>7297</v>
      </c>
      <c r="B5720" s="290"/>
      <c r="C5720" s="291" t="s">
        <v>5092</v>
      </c>
      <c r="D5720" s="292"/>
      <c r="E5720" s="291"/>
      <c r="F5720" s="291"/>
      <c r="G5720" s="293" t="s">
        <v>6415</v>
      </c>
      <c r="H5720" s="293" t="s">
        <v>7290</v>
      </c>
      <c r="I5720" s="293" t="s">
        <v>7063</v>
      </c>
      <c r="J5720" s="293" t="s">
        <v>7064</v>
      </c>
      <c r="K5720" s="135"/>
      <c r="L5720" s="135" t="str">
        <f t="shared" si="312"/>
        <v>Mylodon listai</v>
      </c>
      <c r="M5720" s="133">
        <f t="shared" si="311"/>
        <v>6</v>
      </c>
      <c r="N5720" s="294">
        <v>1000000</v>
      </c>
      <c r="O5720" s="295"/>
      <c r="P5720" s="125">
        <v>40</v>
      </c>
    </row>
    <row r="5721" spans="1:17">
      <c r="A5721" s="134" t="s">
        <v>7297</v>
      </c>
      <c r="B5721" s="290"/>
      <c r="C5721" s="291" t="s">
        <v>5092</v>
      </c>
      <c r="D5721" s="292"/>
      <c r="E5721" s="291"/>
      <c r="F5721" s="291"/>
      <c r="G5721" s="293" t="s">
        <v>6415</v>
      </c>
      <c r="H5721" s="293" t="s">
        <v>7290</v>
      </c>
      <c r="I5721" s="293" t="s">
        <v>2392</v>
      </c>
      <c r="J5721" s="293" t="s">
        <v>7388</v>
      </c>
      <c r="K5721" s="135"/>
      <c r="L5721" s="135" t="str">
        <f t="shared" si="312"/>
        <v>Scelidodon spp.</v>
      </c>
      <c r="M5721" s="133">
        <f t="shared" si="311"/>
        <v>6</v>
      </c>
      <c r="N5721" s="294">
        <v>1000000</v>
      </c>
      <c r="O5721" s="295"/>
      <c r="P5721" s="125">
        <v>11</v>
      </c>
      <c r="Q5721" s="91"/>
    </row>
    <row r="5722" spans="1:17">
      <c r="A5722" s="134" t="s">
        <v>7297</v>
      </c>
      <c r="B5722" s="290"/>
      <c r="C5722" s="291" t="s">
        <v>5092</v>
      </c>
      <c r="D5722" s="292"/>
      <c r="E5722" s="291"/>
      <c r="F5722" s="291"/>
      <c r="G5722" s="293" t="s">
        <v>6415</v>
      </c>
      <c r="H5722" s="293" t="s">
        <v>7290</v>
      </c>
      <c r="I5722" s="293" t="s">
        <v>7108</v>
      </c>
      <c r="J5722" s="293" t="s">
        <v>7109</v>
      </c>
      <c r="K5722" s="135"/>
      <c r="L5722" s="135" t="str">
        <f t="shared" si="312"/>
        <v>Scelidotherium leptocephalum</v>
      </c>
      <c r="M5722" s="133">
        <f t="shared" si="311"/>
        <v>6.0488300865283504</v>
      </c>
      <c r="N5722" s="294">
        <v>1119000</v>
      </c>
      <c r="O5722" s="295"/>
      <c r="P5722" s="125" t="s">
        <v>1125</v>
      </c>
      <c r="Q5722" s="91"/>
    </row>
    <row r="5723" spans="1:17">
      <c r="A5723" s="118" t="s">
        <v>7297</v>
      </c>
      <c r="B5723" s="166"/>
      <c r="C5723" s="169" t="s">
        <v>3817</v>
      </c>
      <c r="D5723" s="165"/>
      <c r="E5723" s="169"/>
      <c r="F5723" s="169"/>
      <c r="G5723" s="169" t="s">
        <v>6415</v>
      </c>
      <c r="H5723" s="169" t="s">
        <v>6416</v>
      </c>
      <c r="I5723" s="169" t="s">
        <v>6599</v>
      </c>
      <c r="J5723" s="169" t="s">
        <v>4477</v>
      </c>
      <c r="K5723" s="141"/>
      <c r="L5723" s="135" t="str">
        <f t="shared" si="312"/>
        <v>Bradypus tridactylus</v>
      </c>
      <c r="M5723" s="133">
        <f t="shared" ref="M5723:M5751" si="313">LOG(N5723)</f>
        <v>3.5854599999999999</v>
      </c>
      <c r="N5723" s="170">
        <v>3849.993532947145</v>
      </c>
      <c r="O5723" s="198" t="s">
        <v>3356</v>
      </c>
      <c r="P5723" s="123">
        <v>60</v>
      </c>
      <c r="Q5723" s="91"/>
    </row>
    <row r="5724" spans="1:17">
      <c r="A5724" s="118" t="s">
        <v>7297</v>
      </c>
      <c r="B5724" s="166"/>
      <c r="C5724" s="169" t="s">
        <v>3817</v>
      </c>
      <c r="D5724" s="165"/>
      <c r="E5724" s="169"/>
      <c r="F5724" s="169"/>
      <c r="G5724" s="169" t="s">
        <v>6415</v>
      </c>
      <c r="H5724" s="169" t="s">
        <v>6416</v>
      </c>
      <c r="I5724" s="169" t="s">
        <v>6599</v>
      </c>
      <c r="J5724" s="169" t="s">
        <v>3712</v>
      </c>
      <c r="K5724" s="141"/>
      <c r="L5724" s="135" t="str">
        <f t="shared" si="312"/>
        <v>Bradypus torquatus</v>
      </c>
      <c r="M5724" s="133">
        <f t="shared" si="313"/>
        <v>3.591060000000001</v>
      </c>
      <c r="N5724" s="170">
        <v>3899.9586287443362</v>
      </c>
      <c r="O5724" s="198" t="s">
        <v>7081</v>
      </c>
      <c r="P5724" s="123">
        <v>61</v>
      </c>
      <c r="Q5724" s="91" t="s">
        <v>6640</v>
      </c>
    </row>
    <row r="5725" spans="1:17">
      <c r="A5725" s="118" t="s">
        <v>7297</v>
      </c>
      <c r="B5725" s="166"/>
      <c r="C5725" s="169" t="s">
        <v>3817</v>
      </c>
      <c r="D5725" s="165"/>
      <c r="E5725" s="169"/>
      <c r="F5725" s="169"/>
      <c r="G5725" s="169" t="s">
        <v>6415</v>
      </c>
      <c r="H5725" s="169" t="s">
        <v>6416</v>
      </c>
      <c r="I5725" s="169" t="s">
        <v>6599</v>
      </c>
      <c r="J5725" s="169" t="s">
        <v>3089</v>
      </c>
      <c r="K5725" s="141"/>
      <c r="L5725" s="135" t="str">
        <f t="shared" si="312"/>
        <v>Bradypus variegatus</v>
      </c>
      <c r="M5725" s="133">
        <f t="shared" si="313"/>
        <v>3.6369900000000004</v>
      </c>
      <c r="N5725" s="170">
        <v>4335.0089654558778</v>
      </c>
      <c r="O5725" s="198" t="s">
        <v>3356</v>
      </c>
      <c r="P5725" s="123">
        <v>60</v>
      </c>
      <c r="Q5725" s="91"/>
    </row>
    <row r="5726" spans="1:17">
      <c r="A5726" s="118" t="s">
        <v>7297</v>
      </c>
      <c r="B5726" s="166"/>
      <c r="C5726" s="169" t="s">
        <v>3817</v>
      </c>
      <c r="D5726" s="165"/>
      <c r="E5726" s="169"/>
      <c r="F5726" s="169"/>
      <c r="G5726" s="169" t="s">
        <v>6415</v>
      </c>
      <c r="H5726" s="169" t="s">
        <v>6594</v>
      </c>
      <c r="I5726" s="169" t="s">
        <v>3328</v>
      </c>
      <c r="J5726" s="169" t="s">
        <v>3914</v>
      </c>
      <c r="K5726" s="141"/>
      <c r="L5726" s="135" t="str">
        <f t="shared" si="312"/>
        <v>Cabassous chacoensis</v>
      </c>
      <c r="M5726" s="133">
        <f t="shared" si="313"/>
        <v>3.17319</v>
      </c>
      <c r="N5726" s="170">
        <v>1490.0128025794261</v>
      </c>
      <c r="O5726" s="198" t="s">
        <v>3356</v>
      </c>
      <c r="P5726" s="123">
        <v>61</v>
      </c>
      <c r="Q5726" s="91" t="s">
        <v>6987</v>
      </c>
    </row>
    <row r="5727" spans="1:17">
      <c r="A5727" s="118" t="s">
        <v>7297</v>
      </c>
      <c r="B5727" s="166"/>
      <c r="C5727" s="169" t="s">
        <v>3817</v>
      </c>
      <c r="D5727" s="165"/>
      <c r="E5727" s="169"/>
      <c r="F5727" s="169"/>
      <c r="G5727" s="169" t="s">
        <v>6415</v>
      </c>
      <c r="H5727" s="169" t="s">
        <v>6594</v>
      </c>
      <c r="I5727" s="169" t="s">
        <v>3328</v>
      </c>
      <c r="J5727" s="169" t="s">
        <v>3499</v>
      </c>
      <c r="K5727" s="141"/>
      <c r="L5727" s="135" t="str">
        <f t="shared" si="312"/>
        <v>Cabassous centralis</v>
      </c>
      <c r="M5727" s="133">
        <f t="shared" si="313"/>
        <v>3.5809199999999999</v>
      </c>
      <c r="N5727" s="170">
        <v>3809.9563493981541</v>
      </c>
      <c r="O5727" s="198" t="s">
        <v>3356</v>
      </c>
      <c r="P5727" s="123">
        <v>60</v>
      </c>
      <c r="Q5727" s="91" t="s">
        <v>6987</v>
      </c>
    </row>
    <row r="5728" spans="1:17">
      <c r="A5728" s="118" t="s">
        <v>7297</v>
      </c>
      <c r="B5728" s="166"/>
      <c r="C5728" s="169" t="s">
        <v>3817</v>
      </c>
      <c r="D5728" s="165"/>
      <c r="E5728" s="169"/>
      <c r="F5728" s="169"/>
      <c r="G5728" s="169" t="s">
        <v>6415</v>
      </c>
      <c r="H5728" s="169" t="s">
        <v>6594</v>
      </c>
      <c r="I5728" s="169" t="s">
        <v>3328</v>
      </c>
      <c r="J5728" s="169" t="s">
        <v>3757</v>
      </c>
      <c r="K5728" s="141"/>
      <c r="L5728" s="135" t="str">
        <f t="shared" si="312"/>
        <v>Cabassous unicinctus</v>
      </c>
      <c r="M5728" s="133">
        <f t="shared" si="313"/>
        <v>3.6812400000000007</v>
      </c>
      <c r="N5728" s="170">
        <v>4799.9863240390969</v>
      </c>
      <c r="O5728" s="198" t="s">
        <v>3356</v>
      </c>
      <c r="P5728" s="123">
        <v>60</v>
      </c>
      <c r="Q5728" s="91"/>
    </row>
    <row r="5729" spans="1:19">
      <c r="A5729" s="118" t="s">
        <v>7297</v>
      </c>
      <c r="B5729" s="166"/>
      <c r="C5729" s="169" t="s">
        <v>3817</v>
      </c>
      <c r="D5729" s="165"/>
      <c r="E5729" s="169"/>
      <c r="F5729" s="169"/>
      <c r="G5729" s="169" t="s">
        <v>6415</v>
      </c>
      <c r="H5729" s="169" t="s">
        <v>6594</v>
      </c>
      <c r="I5729" s="169" t="s">
        <v>3328</v>
      </c>
      <c r="J5729" s="169" t="s">
        <v>3502</v>
      </c>
      <c r="K5729" s="141"/>
      <c r="L5729" s="135" t="str">
        <f t="shared" si="312"/>
        <v>Cabassous tatouay</v>
      </c>
      <c r="M5729" s="133">
        <f t="shared" si="313"/>
        <v>3.7283499999999998</v>
      </c>
      <c r="N5729" s="170">
        <v>5349.9534101253548</v>
      </c>
      <c r="O5729" s="198" t="s">
        <v>3356</v>
      </c>
      <c r="P5729" s="123">
        <v>61</v>
      </c>
      <c r="Q5729" s="91" t="s">
        <v>6642</v>
      </c>
    </row>
    <row r="5730" spans="1:19">
      <c r="A5730" s="118" t="s">
        <v>7297</v>
      </c>
      <c r="B5730" s="166"/>
      <c r="C5730" s="169" t="s">
        <v>3817</v>
      </c>
      <c r="D5730" s="165"/>
      <c r="E5730" s="169"/>
      <c r="F5730" s="169"/>
      <c r="G5730" s="169" t="s">
        <v>6415</v>
      </c>
      <c r="H5730" s="169" t="s">
        <v>6594</v>
      </c>
      <c r="I5730" s="169" t="s">
        <v>3758</v>
      </c>
      <c r="J5730" s="169" t="s">
        <v>3969</v>
      </c>
      <c r="K5730" s="141"/>
      <c r="L5730" s="135" t="str">
        <f t="shared" si="312"/>
        <v>Chaetophractus vellerosus</v>
      </c>
      <c r="M5730" s="133">
        <f t="shared" si="313"/>
        <v>3.0128400000000002</v>
      </c>
      <c r="N5730" s="170">
        <v>1030.0065820841057</v>
      </c>
      <c r="O5730" s="198" t="s">
        <v>3356</v>
      </c>
      <c r="P5730" s="123">
        <v>60</v>
      </c>
      <c r="Q5730" s="91"/>
    </row>
    <row r="5731" spans="1:19">
      <c r="A5731" s="118" t="s">
        <v>7297</v>
      </c>
      <c r="B5731" s="166"/>
      <c r="C5731" s="169" t="s">
        <v>3817</v>
      </c>
      <c r="D5731" s="165"/>
      <c r="E5731" s="169"/>
      <c r="F5731" s="169"/>
      <c r="G5731" s="169" t="s">
        <v>6415</v>
      </c>
      <c r="H5731" s="169" t="s">
        <v>6594</v>
      </c>
      <c r="I5731" s="169" t="s">
        <v>3758</v>
      </c>
      <c r="J5731" s="169" t="s">
        <v>3759</v>
      </c>
      <c r="K5731" s="141"/>
      <c r="L5731" s="135" t="str">
        <f t="shared" si="312"/>
        <v>Chaetophractus nationi</v>
      </c>
      <c r="M5731" s="133">
        <f t="shared" si="313"/>
        <v>3.3324400000000005</v>
      </c>
      <c r="N5731" s="170">
        <v>2150.0076242905643</v>
      </c>
      <c r="O5731" s="198" t="s">
        <v>6931</v>
      </c>
      <c r="P5731" s="123">
        <v>61</v>
      </c>
      <c r="Q5731" s="91" t="s">
        <v>6988</v>
      </c>
    </row>
    <row r="5732" spans="1:19">
      <c r="A5732" s="121" t="s">
        <v>7297</v>
      </c>
      <c r="B5732" s="166"/>
      <c r="C5732" s="169" t="s">
        <v>3817</v>
      </c>
      <c r="D5732" s="165"/>
      <c r="E5732" s="169"/>
      <c r="F5732" s="169"/>
      <c r="G5732" s="169" t="s">
        <v>6415</v>
      </c>
      <c r="H5732" s="169" t="s">
        <v>6594</v>
      </c>
      <c r="I5732" s="169" t="s">
        <v>3758</v>
      </c>
      <c r="J5732" s="169" t="s">
        <v>4748</v>
      </c>
      <c r="K5732" s="141"/>
      <c r="L5732" s="135" t="str">
        <f t="shared" si="312"/>
        <v>Chaetophractus villosus</v>
      </c>
      <c r="M5732" s="133">
        <f t="shared" si="313"/>
        <v>3.65706</v>
      </c>
      <c r="N5732" s="170">
        <v>4540.0433533453206</v>
      </c>
      <c r="O5732" s="198" t="s">
        <v>3356</v>
      </c>
      <c r="P5732" s="123">
        <v>60</v>
      </c>
      <c r="Q5732" s="91"/>
    </row>
    <row r="5733" spans="1:19" ht="38.25">
      <c r="A5733" s="118" t="s">
        <v>7297</v>
      </c>
      <c r="B5733" s="166"/>
      <c r="C5733" s="169" t="s">
        <v>3817</v>
      </c>
      <c r="D5733" s="165"/>
      <c r="E5733" s="169"/>
      <c r="F5733" s="169"/>
      <c r="G5733" s="169" t="s">
        <v>6415</v>
      </c>
      <c r="H5733" s="169" t="s">
        <v>6594</v>
      </c>
      <c r="I5733" s="169" t="s">
        <v>3760</v>
      </c>
      <c r="J5733" s="169" t="s">
        <v>3762</v>
      </c>
      <c r="K5733" s="141"/>
      <c r="L5733" s="135" t="str">
        <f t="shared" si="312"/>
        <v>Chlamyphorus truncatus</v>
      </c>
      <c r="M5733" s="133">
        <f t="shared" si="313"/>
        <v>1.6464000000000001</v>
      </c>
      <c r="N5733" s="170">
        <v>44.299619910036391</v>
      </c>
      <c r="O5733" s="198" t="s">
        <v>8182</v>
      </c>
      <c r="P5733" s="123">
        <v>61</v>
      </c>
      <c r="Q5733" s="91" t="s">
        <v>6640</v>
      </c>
    </row>
    <row r="5734" spans="1:19">
      <c r="A5734" s="118" t="s">
        <v>7297</v>
      </c>
      <c r="B5734" s="166"/>
      <c r="C5734" s="169" t="s">
        <v>3817</v>
      </c>
      <c r="D5734" s="165"/>
      <c r="E5734" s="169"/>
      <c r="F5734" s="169"/>
      <c r="G5734" s="169" t="s">
        <v>6415</v>
      </c>
      <c r="H5734" s="169" t="s">
        <v>6594</v>
      </c>
      <c r="I5734" s="169" t="s">
        <v>3760</v>
      </c>
      <c r="J5734" s="169" t="s">
        <v>3761</v>
      </c>
      <c r="K5734" s="141"/>
      <c r="L5734" s="135" t="str">
        <f t="shared" si="312"/>
        <v>Chlamyphorus retusus</v>
      </c>
      <c r="M5734" s="133">
        <f t="shared" si="313"/>
        <v>2.1139400000000004</v>
      </c>
      <c r="N5734" s="133">
        <v>129.99899653754548</v>
      </c>
      <c r="O5734" s="198" t="s">
        <v>6773</v>
      </c>
      <c r="P5734" s="123">
        <v>61</v>
      </c>
      <c r="Q5734" s="91" t="s">
        <v>6988</v>
      </c>
    </row>
    <row r="5735" spans="1:19">
      <c r="A5735" s="118" t="s">
        <v>7297</v>
      </c>
      <c r="B5735" s="166"/>
      <c r="C5735" s="169" t="s">
        <v>3817</v>
      </c>
      <c r="D5735" s="165"/>
      <c r="E5735" s="169"/>
      <c r="F5735" s="169"/>
      <c r="G5735" s="169" t="s">
        <v>6415</v>
      </c>
      <c r="H5735" s="169" t="s">
        <v>6594</v>
      </c>
      <c r="I5735" s="169" t="s">
        <v>3500</v>
      </c>
      <c r="J5735" s="169" t="s">
        <v>6427</v>
      </c>
      <c r="K5735" s="141"/>
      <c r="L5735" s="135" t="str">
        <f t="shared" si="312"/>
        <v>Dasypus sabanicola</v>
      </c>
      <c r="M5735" s="133">
        <f t="shared" si="313"/>
        <v>3.0607000000000006</v>
      </c>
      <c r="N5735" s="133">
        <v>1150.0057186992374</v>
      </c>
      <c r="O5735" s="198" t="s">
        <v>3356</v>
      </c>
      <c r="P5735" s="123">
        <v>60</v>
      </c>
      <c r="Q5735" s="91" t="s">
        <v>6987</v>
      </c>
      <c r="S5735" s="92"/>
    </row>
    <row r="5736" spans="1:19">
      <c r="A5736" s="118" t="s">
        <v>7297</v>
      </c>
      <c r="B5736" s="166"/>
      <c r="C5736" s="169" t="s">
        <v>3817</v>
      </c>
      <c r="D5736" s="165"/>
      <c r="E5736" s="169"/>
      <c r="F5736" s="169"/>
      <c r="G5736" s="169" t="s">
        <v>6415</v>
      </c>
      <c r="H5736" s="169" t="s">
        <v>6594</v>
      </c>
      <c r="I5736" s="169" t="s">
        <v>3500</v>
      </c>
      <c r="J5736" s="169" t="s">
        <v>6422</v>
      </c>
      <c r="K5736" s="141"/>
      <c r="L5736" s="135" t="str">
        <f t="shared" si="312"/>
        <v>Dasypus hybridus</v>
      </c>
      <c r="M5736" s="133">
        <f t="shared" si="313"/>
        <v>3.1760900000000003</v>
      </c>
      <c r="N5736" s="133">
        <v>1499.9956513820403</v>
      </c>
      <c r="O5736" s="198" t="s">
        <v>3356</v>
      </c>
      <c r="P5736" s="124">
        <v>61</v>
      </c>
      <c r="Q5736" s="91"/>
    </row>
    <row r="5737" spans="1:19">
      <c r="A5737" s="118" t="s">
        <v>7297</v>
      </c>
      <c r="B5737" s="166"/>
      <c r="C5737" s="169" t="s">
        <v>3817</v>
      </c>
      <c r="D5737" s="165"/>
      <c r="E5737" s="169"/>
      <c r="F5737" s="169"/>
      <c r="G5737" s="169" t="s">
        <v>6415</v>
      </c>
      <c r="H5737" s="169" t="s">
        <v>6594</v>
      </c>
      <c r="I5737" s="169" t="s">
        <v>3500</v>
      </c>
      <c r="J5737" s="169" t="s">
        <v>6419</v>
      </c>
      <c r="K5737" s="141"/>
      <c r="L5737" s="135" t="str">
        <f t="shared" si="312"/>
        <v>Dasypus septemcinctus</v>
      </c>
      <c r="M5737" s="133">
        <f t="shared" si="313"/>
        <v>3.1837399999999998</v>
      </c>
      <c r="N5737" s="133">
        <v>1526.6518207127306</v>
      </c>
      <c r="O5737" s="198" t="s">
        <v>3356</v>
      </c>
      <c r="P5737" s="124" t="s">
        <v>5302</v>
      </c>
      <c r="Q5737" s="91"/>
    </row>
    <row r="5738" spans="1:19">
      <c r="A5738" s="118" t="s">
        <v>7297</v>
      </c>
      <c r="B5738" s="166"/>
      <c r="C5738" s="169" t="s">
        <v>3817</v>
      </c>
      <c r="D5738" s="165"/>
      <c r="E5738" s="169"/>
      <c r="F5738" s="169"/>
      <c r="G5738" s="169" t="s">
        <v>6415</v>
      </c>
      <c r="H5738" s="169" t="s">
        <v>6594</v>
      </c>
      <c r="I5738" s="169" t="s">
        <v>3500</v>
      </c>
      <c r="J5738" s="169" t="s">
        <v>3501</v>
      </c>
      <c r="K5738" s="141"/>
      <c r="L5738" s="135" t="str">
        <f t="shared" si="312"/>
        <v>Dasypus novemcinctus</v>
      </c>
      <c r="M5738" s="133">
        <f t="shared" si="313"/>
        <v>3.62364</v>
      </c>
      <c r="N5738" s="133">
        <v>4203.7801970002665</v>
      </c>
      <c r="O5738" s="198" t="s">
        <v>3356</v>
      </c>
      <c r="P5738" s="123">
        <v>60</v>
      </c>
      <c r="Q5738" s="91"/>
    </row>
    <row r="5739" spans="1:19">
      <c r="A5739" s="118" t="s">
        <v>7297</v>
      </c>
      <c r="B5739" s="166"/>
      <c r="C5739" s="169" t="s">
        <v>3817</v>
      </c>
      <c r="D5739" s="165"/>
      <c r="E5739" s="169"/>
      <c r="F5739" s="169"/>
      <c r="G5739" s="169" t="s">
        <v>6415</v>
      </c>
      <c r="H5739" s="169" t="s">
        <v>6594</v>
      </c>
      <c r="I5739" s="169" t="s">
        <v>3500</v>
      </c>
      <c r="J5739" s="169" t="s">
        <v>6417</v>
      </c>
      <c r="K5739" s="141"/>
      <c r="L5739" s="135" t="str">
        <f t="shared" si="312"/>
        <v>Dasypus pilosus</v>
      </c>
      <c r="M5739" s="133">
        <f t="shared" si="313"/>
        <v>3.6478700000000006</v>
      </c>
      <c r="N5739" s="133">
        <v>4444.981932143789</v>
      </c>
      <c r="O5739" s="198" t="s">
        <v>7080</v>
      </c>
      <c r="P5739" s="124">
        <v>61</v>
      </c>
      <c r="Q5739" s="91" t="s">
        <v>6988</v>
      </c>
    </row>
    <row r="5740" spans="1:19">
      <c r="A5740" s="118" t="s">
        <v>7297</v>
      </c>
      <c r="B5740" s="166"/>
      <c r="C5740" s="169" t="s">
        <v>3817</v>
      </c>
      <c r="D5740" s="165"/>
      <c r="E5740" s="169"/>
      <c r="F5740" s="169"/>
      <c r="G5740" s="169" t="s">
        <v>6415</v>
      </c>
      <c r="H5740" s="169" t="s">
        <v>6594</v>
      </c>
      <c r="I5740" s="169" t="s">
        <v>3500</v>
      </c>
      <c r="J5740" s="169" t="s">
        <v>6423</v>
      </c>
      <c r="K5740" s="141"/>
      <c r="L5740" s="135" t="str">
        <f t="shared" si="312"/>
        <v>Dasypus kappleri</v>
      </c>
      <c r="M5740" s="133">
        <f t="shared" si="313"/>
        <v>3.9777236052888476</v>
      </c>
      <c r="N5740" s="133">
        <v>9500</v>
      </c>
      <c r="O5740" s="198" t="s">
        <v>3356</v>
      </c>
      <c r="P5740" s="124">
        <v>61</v>
      </c>
      <c r="Q5740" s="91"/>
    </row>
    <row r="5741" spans="1:19">
      <c r="A5741" s="118" t="s">
        <v>7297</v>
      </c>
      <c r="B5741" s="166"/>
      <c r="C5741" s="169" t="s">
        <v>3817</v>
      </c>
      <c r="D5741" s="165"/>
      <c r="E5741" s="169"/>
      <c r="F5741" s="169"/>
      <c r="G5741" s="169" t="s">
        <v>6415</v>
      </c>
      <c r="H5741" s="169" t="s">
        <v>6594</v>
      </c>
      <c r="I5741" s="169" t="s">
        <v>6595</v>
      </c>
      <c r="J5741" s="169" t="s">
        <v>6596</v>
      </c>
      <c r="K5741" s="141"/>
      <c r="L5741" s="135" t="str">
        <f t="shared" si="312"/>
        <v>Euphractus sexcinctus</v>
      </c>
      <c r="M5741" s="133">
        <f t="shared" si="313"/>
        <v>3.6796900000000003</v>
      </c>
      <c r="N5741" s="133">
        <v>4782.8856740776882</v>
      </c>
      <c r="O5741" s="198" t="s">
        <v>3356</v>
      </c>
      <c r="P5741" s="123">
        <v>60</v>
      </c>
      <c r="Q5741" s="91"/>
    </row>
    <row r="5742" spans="1:19">
      <c r="A5742" s="118" t="s">
        <v>7297</v>
      </c>
      <c r="B5742" s="166"/>
      <c r="C5742" s="169" t="s">
        <v>3817</v>
      </c>
      <c r="D5742" s="165"/>
      <c r="E5742" s="169"/>
      <c r="F5742" s="169"/>
      <c r="G5742" s="169" t="s">
        <v>6415</v>
      </c>
      <c r="H5742" s="169" t="s">
        <v>6594</v>
      </c>
      <c r="I5742" s="169" t="s">
        <v>6597</v>
      </c>
      <c r="J5742" s="169" t="s">
        <v>3429</v>
      </c>
      <c r="K5742" s="141"/>
      <c r="L5742" s="135" t="str">
        <f t="shared" si="312"/>
        <v>Priodontes maximus</v>
      </c>
      <c r="M5742" s="133">
        <f t="shared" si="313"/>
        <v>4.656670000000001</v>
      </c>
      <c r="N5742" s="133">
        <v>45359.681872881119</v>
      </c>
      <c r="O5742" s="198" t="s">
        <v>7081</v>
      </c>
      <c r="P5742" s="123">
        <v>60</v>
      </c>
      <c r="Q5742" s="91" t="s">
        <v>6640</v>
      </c>
    </row>
    <row r="5743" spans="1:19">
      <c r="A5743" s="121" t="s">
        <v>7297</v>
      </c>
      <c r="B5743" s="166"/>
      <c r="C5743" s="169" t="s">
        <v>3817</v>
      </c>
      <c r="D5743" s="165"/>
      <c r="E5743" s="169"/>
      <c r="F5743" s="169"/>
      <c r="G5743" s="169" t="s">
        <v>6415</v>
      </c>
      <c r="H5743" s="169" t="s">
        <v>6594</v>
      </c>
      <c r="I5743" s="169" t="s">
        <v>6598</v>
      </c>
      <c r="J5743" s="169" t="s">
        <v>3331</v>
      </c>
      <c r="K5743" s="141"/>
      <c r="L5743" s="135" t="str">
        <f t="shared" si="312"/>
        <v>Tolypeutes matacus</v>
      </c>
      <c r="M5743" s="133">
        <f t="shared" si="313"/>
        <v>3.0791800000000005</v>
      </c>
      <c r="N5743" s="133">
        <v>1199.9965570481172</v>
      </c>
      <c r="O5743" s="198" t="s">
        <v>3356</v>
      </c>
      <c r="P5743" s="123">
        <v>60</v>
      </c>
      <c r="Q5743" s="91" t="s">
        <v>6642</v>
      </c>
      <c r="S5743" s="92"/>
    </row>
    <row r="5744" spans="1:19" ht="25.5">
      <c r="A5744" s="118" t="s">
        <v>7297</v>
      </c>
      <c r="B5744" s="166"/>
      <c r="C5744" s="169" t="s">
        <v>3817</v>
      </c>
      <c r="D5744" s="165"/>
      <c r="E5744" s="169"/>
      <c r="F5744" s="169"/>
      <c r="G5744" s="169" t="s">
        <v>6415</v>
      </c>
      <c r="H5744" s="169" t="s">
        <v>6594</v>
      </c>
      <c r="I5744" s="169" t="s">
        <v>6598</v>
      </c>
      <c r="J5744" s="169" t="s">
        <v>3287</v>
      </c>
      <c r="K5744" s="141"/>
      <c r="L5744" s="135" t="str">
        <f t="shared" si="312"/>
        <v>Tolypeutes tricinctus</v>
      </c>
      <c r="M5744" s="133">
        <f t="shared" si="313"/>
        <v>3.1723100000000004</v>
      </c>
      <c r="N5744" s="143">
        <v>1486.9966838387322</v>
      </c>
      <c r="O5744" s="198" t="s">
        <v>7119</v>
      </c>
      <c r="P5744" s="124">
        <v>61</v>
      </c>
      <c r="Q5744" s="91" t="s">
        <v>6642</v>
      </c>
    </row>
    <row r="5745" spans="1:19">
      <c r="A5745" s="118" t="s">
        <v>7297</v>
      </c>
      <c r="B5745" s="166"/>
      <c r="C5745" s="169" t="s">
        <v>3817</v>
      </c>
      <c r="D5745" s="165"/>
      <c r="E5745" s="169"/>
      <c r="F5745" s="169"/>
      <c r="G5745" s="169" t="s">
        <v>6415</v>
      </c>
      <c r="H5745" s="169" t="s">
        <v>6594</v>
      </c>
      <c r="I5745" s="169" t="s">
        <v>3288</v>
      </c>
      <c r="J5745" s="169" t="s">
        <v>3329</v>
      </c>
      <c r="K5745" s="141"/>
      <c r="L5745" s="135" t="str">
        <f t="shared" si="312"/>
        <v>Zaedyus pichiy</v>
      </c>
      <c r="M5745" s="133">
        <f t="shared" si="313"/>
        <v>3.1398800000000002</v>
      </c>
      <c r="N5745" s="133">
        <v>1380.0029030247269</v>
      </c>
      <c r="O5745" s="198" t="s">
        <v>3356</v>
      </c>
      <c r="P5745" s="124" t="s">
        <v>5302</v>
      </c>
      <c r="Q5745" s="91" t="s">
        <v>6987</v>
      </c>
      <c r="S5745" s="92"/>
    </row>
    <row r="5746" spans="1:19">
      <c r="A5746" s="118" t="s">
        <v>7297</v>
      </c>
      <c r="B5746" s="166"/>
      <c r="C5746" s="169" t="s">
        <v>3817</v>
      </c>
      <c r="D5746" s="165"/>
      <c r="E5746" s="169"/>
      <c r="F5746" s="169"/>
      <c r="G5746" s="169" t="s">
        <v>6415</v>
      </c>
      <c r="H5746" s="169" t="s">
        <v>3330</v>
      </c>
      <c r="I5746" s="169" t="s">
        <v>3283</v>
      </c>
      <c r="J5746" s="169" t="s">
        <v>3285</v>
      </c>
      <c r="K5746" s="141"/>
      <c r="L5746" s="135" t="str">
        <f t="shared" si="312"/>
        <v>Choloepus hoffmanni</v>
      </c>
      <c r="M5746" s="133">
        <f t="shared" si="313"/>
        <v>3.5440700000000001</v>
      </c>
      <c r="N5746" s="133">
        <v>3500.0157607101446</v>
      </c>
      <c r="O5746" s="198" t="s">
        <v>3356</v>
      </c>
      <c r="P5746" s="123">
        <v>60</v>
      </c>
      <c r="Q5746" s="91" t="s">
        <v>6987</v>
      </c>
    </row>
    <row r="5747" spans="1:19">
      <c r="A5747" s="118" t="s">
        <v>7297</v>
      </c>
      <c r="B5747" s="166"/>
      <c r="C5747" s="169" t="s">
        <v>3817</v>
      </c>
      <c r="D5747" s="165"/>
      <c r="E5747" s="169"/>
      <c r="F5747" s="169"/>
      <c r="G5747" s="169" t="s">
        <v>6415</v>
      </c>
      <c r="H5747" s="169" t="s">
        <v>3330</v>
      </c>
      <c r="I5747" s="169" t="s">
        <v>3283</v>
      </c>
      <c r="J5747" s="169" t="s">
        <v>3284</v>
      </c>
      <c r="K5747" s="141"/>
      <c r="L5747" s="135" t="str">
        <f t="shared" si="312"/>
        <v>Choloepus didactylus</v>
      </c>
      <c r="M5747" s="133">
        <f t="shared" si="313"/>
        <v>3.7126500000000004</v>
      </c>
      <c r="N5747" s="133">
        <v>5160.0035450694977</v>
      </c>
      <c r="O5747" s="198" t="s">
        <v>3356</v>
      </c>
      <c r="P5747" s="123">
        <v>60</v>
      </c>
      <c r="Q5747" s="91" t="s">
        <v>6987</v>
      </c>
    </row>
    <row r="5748" spans="1:19">
      <c r="A5748" s="118" t="s">
        <v>7297</v>
      </c>
      <c r="B5748" s="166"/>
      <c r="C5748" s="169" t="s">
        <v>3817</v>
      </c>
      <c r="D5748" s="165"/>
      <c r="E5748" s="169"/>
      <c r="F5748" s="169"/>
      <c r="G5748" s="169" t="s">
        <v>6415</v>
      </c>
      <c r="H5748" s="169" t="s">
        <v>3286</v>
      </c>
      <c r="I5748" s="169" t="s">
        <v>3119</v>
      </c>
      <c r="J5748" s="169" t="s">
        <v>3284</v>
      </c>
      <c r="K5748" s="141"/>
      <c r="L5748" s="135" t="str">
        <f t="shared" si="312"/>
        <v>Cyclopes didactylus</v>
      </c>
      <c r="M5748" s="133">
        <f t="shared" si="313"/>
        <v>2.5178600000000007</v>
      </c>
      <c r="N5748" s="133">
        <v>329.50347568431044</v>
      </c>
      <c r="O5748" s="198" t="s">
        <v>3356</v>
      </c>
      <c r="P5748" s="123">
        <v>60</v>
      </c>
      <c r="Q5748" s="91"/>
    </row>
    <row r="5749" spans="1:19">
      <c r="A5749" s="121" t="s">
        <v>7297</v>
      </c>
      <c r="B5749" s="166"/>
      <c r="C5749" s="169" t="s">
        <v>3817</v>
      </c>
      <c r="D5749" s="165"/>
      <c r="E5749" s="169"/>
      <c r="F5749" s="169"/>
      <c r="G5749" s="169" t="s">
        <v>6415</v>
      </c>
      <c r="H5749" s="169" t="s">
        <v>3286</v>
      </c>
      <c r="I5749" s="169" t="s">
        <v>3120</v>
      </c>
      <c r="J5749" s="169" t="s">
        <v>3769</v>
      </c>
      <c r="K5749" s="141"/>
      <c r="L5749" s="135" t="str">
        <f t="shared" si="312"/>
        <v>Myrmecophaga tridactyla</v>
      </c>
      <c r="M5749" s="133">
        <f t="shared" si="313"/>
        <v>4.3489500000000003</v>
      </c>
      <c r="N5749" s="133">
        <v>22333.150881274611</v>
      </c>
      <c r="O5749" s="198" t="s">
        <v>7081</v>
      </c>
      <c r="P5749" s="123">
        <v>60</v>
      </c>
      <c r="Q5749" s="91" t="s">
        <v>6988</v>
      </c>
    </row>
    <row r="5750" spans="1:19">
      <c r="A5750" s="118" t="s">
        <v>7297</v>
      </c>
      <c r="B5750" s="166"/>
      <c r="C5750" s="169" t="s">
        <v>3817</v>
      </c>
      <c r="D5750" s="165"/>
      <c r="E5750" s="169"/>
      <c r="F5750" s="169"/>
      <c r="G5750" s="169" t="s">
        <v>6415</v>
      </c>
      <c r="H5750" s="169" t="s">
        <v>3286</v>
      </c>
      <c r="I5750" s="169" t="s">
        <v>3300</v>
      </c>
      <c r="J5750" s="169" t="s">
        <v>4375</v>
      </c>
      <c r="K5750" s="141"/>
      <c r="L5750" s="135" t="str">
        <f t="shared" si="312"/>
        <v>Tamandua mexicana</v>
      </c>
      <c r="M5750" s="133">
        <f t="shared" si="313"/>
        <v>3.6242800000000002</v>
      </c>
      <c r="N5750" s="133">
        <v>4209.9796832627626</v>
      </c>
      <c r="O5750" s="198" t="s">
        <v>3356</v>
      </c>
      <c r="P5750" s="123">
        <v>60</v>
      </c>
      <c r="Q5750" s="91"/>
    </row>
    <row r="5751" spans="1:19">
      <c r="A5751" s="118" t="s">
        <v>7297</v>
      </c>
      <c r="B5751" s="166"/>
      <c r="C5751" s="169" t="s">
        <v>3817</v>
      </c>
      <c r="D5751" s="165"/>
      <c r="E5751" s="169"/>
      <c r="F5751" s="169"/>
      <c r="G5751" s="169" t="s">
        <v>6415</v>
      </c>
      <c r="H5751" s="169" t="s">
        <v>3286</v>
      </c>
      <c r="I5751" s="169" t="s">
        <v>3300</v>
      </c>
      <c r="J5751" s="169" t="s">
        <v>2134</v>
      </c>
      <c r="K5751" s="141"/>
      <c r="L5751" s="135" t="str">
        <f t="shared" si="312"/>
        <v>Tamandua tetradactyla</v>
      </c>
      <c r="M5751" s="133">
        <f t="shared" si="313"/>
        <v>3.7415500000000006</v>
      </c>
      <c r="N5751" s="170">
        <v>5515.0569316624042</v>
      </c>
      <c r="O5751" s="198" t="s">
        <v>3356</v>
      </c>
      <c r="P5751" s="123">
        <v>60</v>
      </c>
      <c r="Q5751" s="91"/>
    </row>
  </sheetData>
  <sortState ref="A4298:AE4311">
    <sortCondition ref="I4298:I4311"/>
  </sortState>
  <dataConsolidate/>
  <phoneticPr fontId="9"/>
  <pageMargins left="0.5" right="0.5" top="0.75" bottom="0.5" header="0.5" footer="0.5"/>
  <pageSetup scale="75" fitToHeight="400" orientation="landscape" horizontalDpi="4294967292" verticalDpi="4294967292"/>
  <headerFooter>
    <oddHeader>&amp;F&amp;RPage &amp;P</oddHead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69"/>
  <sheetViews>
    <sheetView workbookViewId="0">
      <selection activeCell="B36" sqref="B36"/>
    </sheetView>
  </sheetViews>
  <sheetFormatPr defaultColWidth="8.85546875" defaultRowHeight="12.75"/>
  <cols>
    <col min="1" max="1" width="15.28515625" style="1" customWidth="1"/>
    <col min="2" max="2" width="23" style="1" customWidth="1"/>
    <col min="3" max="3" width="9.28515625" style="1" customWidth="1"/>
    <col min="4" max="4" width="13.7109375" style="1" customWidth="1"/>
    <col min="5" max="5" width="17.140625" style="1" customWidth="1"/>
    <col min="6" max="8" width="15.42578125" style="1" customWidth="1"/>
    <col min="9" max="9" width="21.42578125" style="1" customWidth="1"/>
    <col min="10" max="10" width="23.42578125" style="1" customWidth="1"/>
    <col min="11" max="16384" width="8.85546875" style="1"/>
  </cols>
  <sheetData>
    <row r="1" spans="1:12" s="8" customFormat="1">
      <c r="A1" s="8" t="s">
        <v>2390</v>
      </c>
    </row>
    <row r="2" spans="1:12">
      <c r="A2" s="8" t="s">
        <v>6287</v>
      </c>
      <c r="C2" s="7"/>
    </row>
    <row r="3" spans="1:12">
      <c r="A3" s="1" t="s">
        <v>5203</v>
      </c>
      <c r="C3" s="7"/>
    </row>
    <row r="4" spans="1:12">
      <c r="A4" s="1" t="s">
        <v>5133</v>
      </c>
      <c r="C4" s="7"/>
    </row>
    <row r="5" spans="1:12">
      <c r="A5" s="1" t="s">
        <v>7754</v>
      </c>
      <c r="C5" s="7"/>
    </row>
    <row r="6" spans="1:12">
      <c r="A6" s="1" t="s">
        <v>5387</v>
      </c>
      <c r="C6" s="7"/>
    </row>
    <row r="7" spans="1:12">
      <c r="A7" s="1" t="s">
        <v>4880</v>
      </c>
      <c r="C7" s="7"/>
    </row>
    <row r="8" spans="1:12">
      <c r="A8" s="1" t="s">
        <v>5824</v>
      </c>
      <c r="C8" s="7"/>
    </row>
    <row r="9" spans="1:12">
      <c r="A9" s="1" t="s">
        <v>5041</v>
      </c>
    </row>
    <row r="10" spans="1:12">
      <c r="A10" s="8" t="s">
        <v>7785</v>
      </c>
    </row>
    <row r="12" spans="1:12">
      <c r="A12" s="1" t="s">
        <v>5746</v>
      </c>
    </row>
    <row r="13" spans="1:12">
      <c r="A13" s="1" t="s">
        <v>5043</v>
      </c>
      <c r="C13" s="7"/>
    </row>
    <row r="14" spans="1:12">
      <c r="A14" s="1" t="s">
        <v>7694</v>
      </c>
      <c r="C14" s="7"/>
    </row>
    <row r="16" spans="1:12" s="10" customFormat="1" ht="24" customHeight="1">
      <c r="A16" s="10" t="s">
        <v>3588</v>
      </c>
      <c r="B16" s="10" t="s">
        <v>5042</v>
      </c>
      <c r="C16" s="11" t="s">
        <v>4431</v>
      </c>
      <c r="D16" s="11" t="s">
        <v>4223</v>
      </c>
      <c r="E16" s="11" t="s">
        <v>5090</v>
      </c>
      <c r="F16" s="11" t="s">
        <v>3590</v>
      </c>
      <c r="G16" s="11" t="s">
        <v>4481</v>
      </c>
      <c r="H16" s="12" t="s">
        <v>3353</v>
      </c>
      <c r="I16" s="13" t="s">
        <v>3600</v>
      </c>
      <c r="J16" s="10" t="s">
        <v>3815</v>
      </c>
      <c r="K16" s="10" t="s">
        <v>2356</v>
      </c>
      <c r="L16" s="10" t="s">
        <v>2263</v>
      </c>
    </row>
    <row r="17" spans="1:12">
      <c r="A17" s="9" t="s">
        <v>3356</v>
      </c>
      <c r="C17" s="4" t="s">
        <v>3817</v>
      </c>
      <c r="D17" s="4" t="s">
        <v>3001</v>
      </c>
      <c r="E17" s="4" t="s">
        <v>3358</v>
      </c>
      <c r="F17" s="4" t="s">
        <v>6545</v>
      </c>
      <c r="G17" s="4" t="s">
        <v>6546</v>
      </c>
      <c r="H17" s="5">
        <v>4.568201724066995</v>
      </c>
      <c r="I17" s="5">
        <v>37000</v>
      </c>
      <c r="J17" s="4" t="s">
        <v>6736</v>
      </c>
      <c r="L17" s="1" t="s">
        <v>6135</v>
      </c>
    </row>
    <row r="18" spans="1:12">
      <c r="A18" s="3" t="s">
        <v>3356</v>
      </c>
      <c r="C18" s="4" t="s">
        <v>3817</v>
      </c>
      <c r="D18" s="4" t="s">
        <v>3001</v>
      </c>
      <c r="E18" s="4" t="s">
        <v>3358</v>
      </c>
      <c r="F18" s="4" t="s">
        <v>7458</v>
      </c>
      <c r="G18" s="4" t="s">
        <v>8079</v>
      </c>
      <c r="H18" s="5">
        <v>5.9030899869919438</v>
      </c>
      <c r="I18" s="5">
        <v>800000</v>
      </c>
      <c r="J18" s="4" t="s">
        <v>6736</v>
      </c>
      <c r="L18" s="1" t="s">
        <v>6135</v>
      </c>
    </row>
    <row r="19" spans="1:12">
      <c r="A19" s="3" t="s">
        <v>3356</v>
      </c>
      <c r="C19" s="4" t="s">
        <v>3817</v>
      </c>
      <c r="D19" s="4" t="s">
        <v>3001</v>
      </c>
      <c r="E19" s="4" t="s">
        <v>3358</v>
      </c>
      <c r="F19" s="4" t="s">
        <v>4067</v>
      </c>
      <c r="G19" s="4" t="s">
        <v>7688</v>
      </c>
      <c r="H19" s="5">
        <v>5.9030899869919438</v>
      </c>
      <c r="I19" s="5">
        <v>800000</v>
      </c>
      <c r="J19" s="4" t="s">
        <v>6736</v>
      </c>
      <c r="L19" s="1" t="s">
        <v>6135</v>
      </c>
    </row>
    <row r="20" spans="1:12">
      <c r="A20" s="3" t="s">
        <v>3356</v>
      </c>
      <c r="C20" s="4" t="s">
        <v>3817</v>
      </c>
      <c r="D20" s="4" t="s">
        <v>3001</v>
      </c>
      <c r="E20" s="4" t="s">
        <v>3358</v>
      </c>
      <c r="F20" s="4" t="s">
        <v>4067</v>
      </c>
      <c r="G20" s="4" t="s">
        <v>8082</v>
      </c>
      <c r="H20" s="5">
        <v>6</v>
      </c>
      <c r="I20" s="5">
        <v>1000000</v>
      </c>
      <c r="J20" s="4" t="s">
        <v>6736</v>
      </c>
      <c r="L20" s="1" t="s">
        <v>6135</v>
      </c>
    </row>
    <row r="21" spans="1:12">
      <c r="A21" s="3" t="s">
        <v>3356</v>
      </c>
      <c r="C21" s="4" t="s">
        <v>3817</v>
      </c>
      <c r="D21" s="4" t="s">
        <v>3001</v>
      </c>
      <c r="E21" s="4" t="s">
        <v>3358</v>
      </c>
      <c r="F21" s="4" t="s">
        <v>4067</v>
      </c>
      <c r="G21" s="4" t="s">
        <v>5917</v>
      </c>
      <c r="H21" s="5" t="s">
        <v>3356</v>
      </c>
      <c r="I21" s="5" t="s">
        <v>3356</v>
      </c>
      <c r="J21" s="4" t="s">
        <v>3356</v>
      </c>
      <c r="L21" s="1" t="s">
        <v>6135</v>
      </c>
    </row>
    <row r="22" spans="1:12">
      <c r="A22" s="3" t="s">
        <v>3356</v>
      </c>
      <c r="C22" s="4" t="s">
        <v>3817</v>
      </c>
      <c r="D22" s="4" t="s">
        <v>3001</v>
      </c>
      <c r="E22" s="4" t="s">
        <v>3358</v>
      </c>
      <c r="F22" s="4" t="s">
        <v>4067</v>
      </c>
      <c r="G22" s="4" t="s">
        <v>8083</v>
      </c>
      <c r="H22" s="5">
        <v>5.9542425094393252</v>
      </c>
      <c r="I22" s="5">
        <v>900000</v>
      </c>
      <c r="J22" s="4" t="s">
        <v>6736</v>
      </c>
      <c r="L22" s="1" t="s">
        <v>6135</v>
      </c>
    </row>
    <row r="23" spans="1:12">
      <c r="A23" s="3" t="s">
        <v>3356</v>
      </c>
      <c r="C23" s="4" t="s">
        <v>3817</v>
      </c>
      <c r="D23" s="4" t="s">
        <v>3001</v>
      </c>
      <c r="E23" s="4" t="s">
        <v>3358</v>
      </c>
      <c r="F23" s="4" t="s">
        <v>5597</v>
      </c>
      <c r="G23" s="4" t="s">
        <v>5598</v>
      </c>
      <c r="H23" s="5">
        <v>5.4313637641589869</v>
      </c>
      <c r="I23" s="5">
        <v>270000</v>
      </c>
      <c r="J23" s="4" t="s">
        <v>6736</v>
      </c>
      <c r="L23" s="1" t="s">
        <v>6135</v>
      </c>
    </row>
    <row r="24" spans="1:12">
      <c r="A24" s="3" t="s">
        <v>3356</v>
      </c>
      <c r="C24" s="4" t="s">
        <v>3817</v>
      </c>
      <c r="D24" s="4" t="s">
        <v>3001</v>
      </c>
      <c r="E24" s="4" t="s">
        <v>3358</v>
      </c>
      <c r="F24" s="4" t="s">
        <v>7456</v>
      </c>
      <c r="G24" s="4" t="s">
        <v>6060</v>
      </c>
      <c r="H24" s="5" t="s">
        <v>3356</v>
      </c>
      <c r="I24" s="5" t="s">
        <v>3356</v>
      </c>
      <c r="J24" s="4" t="s">
        <v>3356</v>
      </c>
      <c r="L24" s="1" t="s">
        <v>6135</v>
      </c>
    </row>
    <row r="25" spans="1:12">
      <c r="A25" s="3" t="s">
        <v>3356</v>
      </c>
      <c r="C25" s="4" t="s">
        <v>3817</v>
      </c>
      <c r="D25" s="4" t="s">
        <v>3001</v>
      </c>
      <c r="E25" s="4" t="s">
        <v>3358</v>
      </c>
      <c r="F25" s="4" t="s">
        <v>7456</v>
      </c>
      <c r="G25" s="4" t="s">
        <v>5876</v>
      </c>
      <c r="H25" s="5" t="s">
        <v>3356</v>
      </c>
      <c r="I25" s="5" t="s">
        <v>3356</v>
      </c>
      <c r="J25" s="4" t="s">
        <v>3356</v>
      </c>
      <c r="L25" s="1" t="s">
        <v>6135</v>
      </c>
    </row>
    <row r="26" spans="1:12">
      <c r="A26" s="3" t="s">
        <v>3356</v>
      </c>
      <c r="C26" s="4" t="s">
        <v>3817</v>
      </c>
      <c r="D26" s="4" t="s">
        <v>3001</v>
      </c>
      <c r="E26" s="4" t="s">
        <v>3358</v>
      </c>
      <c r="F26" s="4" t="s">
        <v>7456</v>
      </c>
      <c r="G26" s="4" t="s">
        <v>5877</v>
      </c>
      <c r="H26" s="5" t="s">
        <v>3356</v>
      </c>
      <c r="I26" s="5" t="s">
        <v>3356</v>
      </c>
      <c r="J26" s="4" t="s">
        <v>3356</v>
      </c>
      <c r="L26" s="1" t="s">
        <v>6135</v>
      </c>
    </row>
    <row r="27" spans="1:12">
      <c r="A27" s="3" t="s">
        <v>3356</v>
      </c>
      <c r="C27" s="4" t="s">
        <v>3817</v>
      </c>
      <c r="D27" s="4" t="s">
        <v>3001</v>
      </c>
      <c r="E27" s="4" t="s">
        <v>3358</v>
      </c>
      <c r="F27" s="4" t="s">
        <v>7456</v>
      </c>
      <c r="G27" s="4" t="s">
        <v>5923</v>
      </c>
      <c r="H27" s="5" t="s">
        <v>3356</v>
      </c>
      <c r="I27" s="5" t="s">
        <v>3356</v>
      </c>
      <c r="J27" s="4" t="s">
        <v>3356</v>
      </c>
      <c r="L27" s="1" t="s">
        <v>6135</v>
      </c>
    </row>
    <row r="28" spans="1:12">
      <c r="A28" s="3" t="s">
        <v>3356</v>
      </c>
      <c r="C28" s="4" t="s">
        <v>3817</v>
      </c>
      <c r="D28" s="4" t="s">
        <v>3001</v>
      </c>
      <c r="E28" s="4" t="s">
        <v>3358</v>
      </c>
      <c r="F28" s="4" t="s">
        <v>5599</v>
      </c>
      <c r="G28" s="4" t="s">
        <v>5600</v>
      </c>
      <c r="H28" s="5">
        <v>5.3979400086720375</v>
      </c>
      <c r="I28" s="5">
        <v>250000</v>
      </c>
      <c r="J28" s="4" t="s">
        <v>6736</v>
      </c>
      <c r="L28" s="1" t="s">
        <v>6135</v>
      </c>
    </row>
    <row r="29" spans="1:12">
      <c r="A29" s="3" t="s">
        <v>3356</v>
      </c>
      <c r="C29" s="4" t="s">
        <v>3817</v>
      </c>
      <c r="D29" s="4" t="s">
        <v>3001</v>
      </c>
      <c r="E29" s="4" t="s">
        <v>3358</v>
      </c>
      <c r="F29" s="4" t="s">
        <v>3171</v>
      </c>
      <c r="G29" s="4" t="s">
        <v>5601</v>
      </c>
      <c r="H29" s="5">
        <v>4.8573324964312681</v>
      </c>
      <c r="I29" s="5">
        <v>72000</v>
      </c>
      <c r="J29" s="4" t="s">
        <v>6736</v>
      </c>
      <c r="L29" s="1" t="s">
        <v>6135</v>
      </c>
    </row>
    <row r="30" spans="1:12">
      <c r="A30" s="3" t="s">
        <v>3356</v>
      </c>
      <c r="C30" s="4" t="s">
        <v>3817</v>
      </c>
      <c r="D30" s="4" t="s">
        <v>3001</v>
      </c>
      <c r="E30" s="4" t="s">
        <v>3358</v>
      </c>
      <c r="F30" s="4" t="s">
        <v>3171</v>
      </c>
      <c r="G30" s="4" t="s">
        <v>5537</v>
      </c>
      <c r="H30" s="5">
        <v>4.9030899869919438</v>
      </c>
      <c r="I30" s="5">
        <v>80000</v>
      </c>
      <c r="J30" s="4" t="s">
        <v>6736</v>
      </c>
      <c r="L30" s="1" t="s">
        <v>6135</v>
      </c>
    </row>
    <row r="31" spans="1:12">
      <c r="A31" s="3" t="s">
        <v>3356</v>
      </c>
      <c r="C31" s="4" t="s">
        <v>3817</v>
      </c>
      <c r="D31" s="4" t="s">
        <v>3001</v>
      </c>
      <c r="E31" s="4" t="s">
        <v>3358</v>
      </c>
      <c r="F31" s="4" t="s">
        <v>3171</v>
      </c>
      <c r="G31" s="4" t="s">
        <v>5538</v>
      </c>
      <c r="H31" s="5">
        <v>4.9777236052888476</v>
      </c>
      <c r="I31" s="5">
        <v>95000</v>
      </c>
      <c r="J31" s="4" t="s">
        <v>6736</v>
      </c>
      <c r="L31" s="1" t="s">
        <v>6135</v>
      </c>
    </row>
    <row r="32" spans="1:12">
      <c r="A32" s="3" t="s">
        <v>3356</v>
      </c>
      <c r="C32" s="4" t="s">
        <v>3817</v>
      </c>
      <c r="D32" s="4" t="s">
        <v>3001</v>
      </c>
      <c r="E32" s="4" t="s">
        <v>3358</v>
      </c>
      <c r="F32" s="4" t="s">
        <v>3171</v>
      </c>
      <c r="G32" s="4" t="s">
        <v>8252</v>
      </c>
      <c r="H32" s="5" t="s">
        <v>3356</v>
      </c>
      <c r="I32" s="5" t="s">
        <v>3356</v>
      </c>
      <c r="J32" s="4" t="s">
        <v>3356</v>
      </c>
      <c r="L32" s="1" t="s">
        <v>6135</v>
      </c>
    </row>
    <row r="33" spans="1:12">
      <c r="A33" s="3" t="s">
        <v>3356</v>
      </c>
      <c r="C33" s="4" t="s">
        <v>3817</v>
      </c>
      <c r="D33" s="4" t="s">
        <v>3001</v>
      </c>
      <c r="E33" s="4" t="s">
        <v>3358</v>
      </c>
      <c r="F33" s="4" t="s">
        <v>3171</v>
      </c>
      <c r="G33" s="4" t="s">
        <v>8058</v>
      </c>
      <c r="H33" s="5" t="s">
        <v>3356</v>
      </c>
      <c r="I33" s="5" t="s">
        <v>3356</v>
      </c>
      <c r="J33" s="4" t="s">
        <v>3356</v>
      </c>
      <c r="L33" s="1" t="s">
        <v>6135</v>
      </c>
    </row>
    <row r="34" spans="1:12">
      <c r="A34" s="3" t="s">
        <v>3356</v>
      </c>
      <c r="C34" s="4" t="s">
        <v>3817</v>
      </c>
      <c r="D34" s="4" t="s">
        <v>3001</v>
      </c>
      <c r="E34" s="4" t="s">
        <v>3358</v>
      </c>
      <c r="F34" s="4" t="s">
        <v>3171</v>
      </c>
      <c r="G34" s="4" t="s">
        <v>8225</v>
      </c>
      <c r="H34" s="5" t="s">
        <v>3356</v>
      </c>
      <c r="I34" s="5" t="s">
        <v>3356</v>
      </c>
      <c r="J34" s="4" t="s">
        <v>3356</v>
      </c>
      <c r="L34" s="1" t="s">
        <v>6135</v>
      </c>
    </row>
    <row r="35" spans="1:12">
      <c r="A35" s="3" t="s">
        <v>3356</v>
      </c>
      <c r="C35" s="4" t="s">
        <v>3817</v>
      </c>
      <c r="D35" s="4" t="s">
        <v>3001</v>
      </c>
      <c r="E35" s="4" t="s">
        <v>3358</v>
      </c>
      <c r="F35" s="4" t="s">
        <v>3171</v>
      </c>
      <c r="G35" s="4" t="s">
        <v>5161</v>
      </c>
      <c r="H35" s="5">
        <v>5</v>
      </c>
      <c r="I35" s="5">
        <v>100000</v>
      </c>
      <c r="J35" s="4" t="s">
        <v>6736</v>
      </c>
      <c r="L35" s="1" t="s">
        <v>6135</v>
      </c>
    </row>
    <row r="36" spans="1:12">
      <c r="A36" s="3" t="s">
        <v>3356</v>
      </c>
      <c r="C36" s="4" t="s">
        <v>3817</v>
      </c>
      <c r="D36" s="4" t="s">
        <v>3001</v>
      </c>
      <c r="E36" s="4" t="s">
        <v>3358</v>
      </c>
      <c r="F36" s="4" t="s">
        <v>3173</v>
      </c>
      <c r="G36" s="4" t="s">
        <v>6169</v>
      </c>
      <c r="H36" s="5" t="s">
        <v>3356</v>
      </c>
      <c r="I36" s="5" t="s">
        <v>3356</v>
      </c>
      <c r="J36" s="4" t="s">
        <v>3356</v>
      </c>
      <c r="L36" s="1" t="s">
        <v>6135</v>
      </c>
    </row>
    <row r="37" spans="1:12">
      <c r="A37" s="3" t="s">
        <v>3356</v>
      </c>
      <c r="C37" s="4" t="s">
        <v>3817</v>
      </c>
      <c r="D37" s="4" t="s">
        <v>3001</v>
      </c>
      <c r="E37" s="4" t="s">
        <v>3358</v>
      </c>
      <c r="F37" s="4" t="s">
        <v>2001</v>
      </c>
      <c r="G37" s="4" t="s">
        <v>5733</v>
      </c>
      <c r="H37" s="5" t="s">
        <v>3356</v>
      </c>
      <c r="I37" s="5" t="s">
        <v>3356</v>
      </c>
      <c r="J37" s="4" t="s">
        <v>3356</v>
      </c>
      <c r="L37" s="1" t="s">
        <v>6135</v>
      </c>
    </row>
    <row r="38" spans="1:12">
      <c r="A38" s="3" t="s">
        <v>3356</v>
      </c>
      <c r="C38" s="4" t="s">
        <v>3817</v>
      </c>
      <c r="D38" s="4" t="s">
        <v>3001</v>
      </c>
      <c r="E38" s="4" t="s">
        <v>3358</v>
      </c>
      <c r="F38" s="4" t="s">
        <v>2001</v>
      </c>
      <c r="G38" s="4" t="s">
        <v>5734</v>
      </c>
      <c r="H38" s="5" t="s">
        <v>3356</v>
      </c>
      <c r="I38" s="5" t="s">
        <v>3356</v>
      </c>
      <c r="J38" s="4" t="s">
        <v>3356</v>
      </c>
      <c r="L38" s="1" t="s">
        <v>6135</v>
      </c>
    </row>
    <row r="39" spans="1:12">
      <c r="A39" s="3" t="s">
        <v>3356</v>
      </c>
      <c r="C39" s="4" t="s">
        <v>3817</v>
      </c>
      <c r="D39" s="4" t="s">
        <v>3001</v>
      </c>
      <c r="E39" s="4" t="s">
        <v>3358</v>
      </c>
      <c r="F39" s="4" t="s">
        <v>2001</v>
      </c>
      <c r="G39" s="4" t="s">
        <v>5722</v>
      </c>
      <c r="H39" s="5" t="s">
        <v>3356</v>
      </c>
      <c r="I39" s="5" t="s">
        <v>3356</v>
      </c>
      <c r="J39" s="4" t="s">
        <v>3356</v>
      </c>
      <c r="L39" s="1" t="s">
        <v>6135</v>
      </c>
    </row>
    <row r="40" spans="1:12">
      <c r="A40" s="3" t="s">
        <v>3356</v>
      </c>
      <c r="C40" s="4" t="s">
        <v>3817</v>
      </c>
      <c r="D40" s="4" t="s">
        <v>3001</v>
      </c>
      <c r="E40" s="4" t="s">
        <v>3358</v>
      </c>
      <c r="F40" s="4" t="s">
        <v>2001</v>
      </c>
      <c r="G40" s="4" t="s">
        <v>5723</v>
      </c>
      <c r="H40" s="5" t="s">
        <v>3356</v>
      </c>
      <c r="I40" s="5" t="s">
        <v>3356</v>
      </c>
      <c r="J40" s="4" t="s">
        <v>3356</v>
      </c>
      <c r="L40" s="1" t="s">
        <v>6135</v>
      </c>
    </row>
    <row r="41" spans="1:12">
      <c r="A41" s="3" t="s">
        <v>3356</v>
      </c>
      <c r="C41" s="4" t="s">
        <v>3817</v>
      </c>
      <c r="D41" s="4" t="s">
        <v>3001</v>
      </c>
      <c r="E41" s="4" t="s">
        <v>3358</v>
      </c>
      <c r="F41" s="4" t="s">
        <v>2001</v>
      </c>
      <c r="G41" s="4" t="s">
        <v>3705</v>
      </c>
      <c r="H41" s="5" t="s">
        <v>3356</v>
      </c>
      <c r="I41" s="5" t="s">
        <v>3356</v>
      </c>
      <c r="J41" s="4" t="s">
        <v>3356</v>
      </c>
      <c r="L41" s="1" t="s">
        <v>6135</v>
      </c>
    </row>
    <row r="42" spans="1:12">
      <c r="A42" s="3" t="s">
        <v>3356</v>
      </c>
      <c r="C42" s="4" t="s">
        <v>3817</v>
      </c>
      <c r="D42" s="4" t="s">
        <v>3001</v>
      </c>
      <c r="E42" s="4" t="s">
        <v>3358</v>
      </c>
      <c r="F42" s="4" t="s">
        <v>2001</v>
      </c>
      <c r="G42" s="4" t="s">
        <v>5724</v>
      </c>
      <c r="H42" s="5" t="s">
        <v>3356</v>
      </c>
      <c r="I42" s="5" t="s">
        <v>3356</v>
      </c>
      <c r="J42" s="4" t="s">
        <v>3356</v>
      </c>
      <c r="L42" s="1" t="s">
        <v>6135</v>
      </c>
    </row>
    <row r="43" spans="1:12">
      <c r="A43" s="3" t="s">
        <v>3356</v>
      </c>
      <c r="C43" s="4" t="s">
        <v>3817</v>
      </c>
      <c r="D43" s="4" t="s">
        <v>3001</v>
      </c>
      <c r="E43" s="4" t="s">
        <v>3358</v>
      </c>
      <c r="F43" s="4" t="s">
        <v>2001</v>
      </c>
      <c r="G43" s="4" t="s">
        <v>5725</v>
      </c>
      <c r="H43" s="5" t="s">
        <v>3356</v>
      </c>
      <c r="I43" s="5" t="s">
        <v>3356</v>
      </c>
      <c r="J43" s="4" t="s">
        <v>3356</v>
      </c>
      <c r="L43" s="1" t="s">
        <v>6135</v>
      </c>
    </row>
    <row r="44" spans="1:12">
      <c r="A44" s="3" t="s">
        <v>3356</v>
      </c>
      <c r="C44" s="4" t="s">
        <v>3817</v>
      </c>
      <c r="D44" s="4" t="s">
        <v>3001</v>
      </c>
      <c r="E44" s="4" t="s">
        <v>3358</v>
      </c>
      <c r="F44" s="4" t="s">
        <v>5393</v>
      </c>
      <c r="G44" s="4" t="s">
        <v>8056</v>
      </c>
      <c r="H44" s="5" t="s">
        <v>3356</v>
      </c>
      <c r="I44" s="5" t="s">
        <v>3356</v>
      </c>
      <c r="J44" s="4" t="s">
        <v>3356</v>
      </c>
      <c r="L44" s="1" t="s">
        <v>6135</v>
      </c>
    </row>
    <row r="45" spans="1:12">
      <c r="A45" s="3" t="s">
        <v>3356</v>
      </c>
      <c r="C45" s="4" t="s">
        <v>3817</v>
      </c>
      <c r="D45" s="4" t="s">
        <v>3001</v>
      </c>
      <c r="E45" s="4" t="s">
        <v>3358</v>
      </c>
      <c r="F45" s="4" t="s">
        <v>5393</v>
      </c>
      <c r="G45" s="4" t="s">
        <v>8057</v>
      </c>
      <c r="H45" s="5" t="s">
        <v>3356</v>
      </c>
      <c r="I45" s="5" t="s">
        <v>3356</v>
      </c>
      <c r="J45" s="4" t="s">
        <v>3356</v>
      </c>
      <c r="L45" s="1" t="s">
        <v>6135</v>
      </c>
    </row>
    <row r="46" spans="1:12">
      <c r="A46" s="3" t="s">
        <v>3356</v>
      </c>
      <c r="C46" s="4" t="s">
        <v>3817</v>
      </c>
      <c r="D46" s="4" t="s">
        <v>3001</v>
      </c>
      <c r="E46" s="4" t="s">
        <v>3358</v>
      </c>
      <c r="F46" s="4" t="s">
        <v>5393</v>
      </c>
      <c r="G46" s="4" t="s">
        <v>6338</v>
      </c>
      <c r="H46" s="5">
        <v>4.9542425094393252</v>
      </c>
      <c r="I46" s="5">
        <v>90000</v>
      </c>
      <c r="J46" s="4" t="s">
        <v>6736</v>
      </c>
      <c r="L46" s="1" t="s">
        <v>6135</v>
      </c>
    </row>
    <row r="47" spans="1:12">
      <c r="A47" s="3" t="s">
        <v>3356</v>
      </c>
      <c r="C47" s="4" t="s">
        <v>3817</v>
      </c>
      <c r="D47" s="4" t="s">
        <v>3001</v>
      </c>
      <c r="E47" s="4" t="s">
        <v>3358</v>
      </c>
      <c r="F47" s="4" t="s">
        <v>4744</v>
      </c>
      <c r="G47" s="4" t="s">
        <v>6353</v>
      </c>
      <c r="H47" s="5" t="s">
        <v>3356</v>
      </c>
      <c r="I47" s="5" t="s">
        <v>3356</v>
      </c>
      <c r="J47" s="4" t="s">
        <v>3356</v>
      </c>
      <c r="L47" s="1" t="s">
        <v>6135</v>
      </c>
    </row>
    <row r="48" spans="1:12">
      <c r="A48" s="3" t="s">
        <v>3356</v>
      </c>
      <c r="C48" s="4" t="s">
        <v>3817</v>
      </c>
      <c r="D48" s="4" t="s">
        <v>3001</v>
      </c>
      <c r="E48" s="4" t="s">
        <v>3358</v>
      </c>
      <c r="F48" s="4" t="s">
        <v>3892</v>
      </c>
      <c r="G48" s="4" t="s">
        <v>5726</v>
      </c>
      <c r="H48" s="5" t="s">
        <v>3356</v>
      </c>
      <c r="I48" s="5" t="s">
        <v>3356</v>
      </c>
      <c r="J48" s="4" t="s">
        <v>3356</v>
      </c>
      <c r="L48" s="1" t="s">
        <v>6135</v>
      </c>
    </row>
    <row r="49" spans="1:12">
      <c r="A49" s="3" t="s">
        <v>3356</v>
      </c>
      <c r="C49" s="4" t="s">
        <v>3817</v>
      </c>
      <c r="D49" s="4" t="s">
        <v>3001</v>
      </c>
      <c r="E49" s="4" t="s">
        <v>3358</v>
      </c>
      <c r="F49" s="4" t="s">
        <v>6339</v>
      </c>
      <c r="G49" s="4" t="s">
        <v>2260</v>
      </c>
      <c r="H49" s="5" t="s">
        <v>3356</v>
      </c>
      <c r="I49" s="5" t="s">
        <v>3356</v>
      </c>
      <c r="J49" s="4" t="s">
        <v>3356</v>
      </c>
      <c r="L49" s="1" t="s">
        <v>6135</v>
      </c>
    </row>
    <row r="50" spans="1:12">
      <c r="A50" s="3" t="s">
        <v>3356</v>
      </c>
      <c r="C50" s="4" t="s">
        <v>3817</v>
      </c>
      <c r="D50" s="4" t="s">
        <v>3001</v>
      </c>
      <c r="E50" s="4" t="s">
        <v>3358</v>
      </c>
      <c r="F50" s="4" t="s">
        <v>6339</v>
      </c>
      <c r="G50" s="4" t="s">
        <v>2178</v>
      </c>
      <c r="H50" s="5" t="s">
        <v>3356</v>
      </c>
      <c r="I50" s="5" t="s">
        <v>3356</v>
      </c>
      <c r="J50" s="4" t="s">
        <v>3356</v>
      </c>
      <c r="L50" s="1" t="s">
        <v>6135</v>
      </c>
    </row>
    <row r="51" spans="1:12">
      <c r="A51" s="3" t="s">
        <v>3356</v>
      </c>
      <c r="C51" s="4" t="s">
        <v>3817</v>
      </c>
      <c r="D51" s="4" t="s">
        <v>3001</v>
      </c>
      <c r="E51" s="4" t="s">
        <v>3358</v>
      </c>
      <c r="F51" s="4" t="s">
        <v>6339</v>
      </c>
      <c r="G51" s="4" t="s">
        <v>5771</v>
      </c>
      <c r="H51" s="5" t="s">
        <v>3356</v>
      </c>
      <c r="I51" s="5" t="s">
        <v>3356</v>
      </c>
      <c r="J51" s="4" t="s">
        <v>3356</v>
      </c>
      <c r="L51" s="1" t="s">
        <v>6135</v>
      </c>
    </row>
    <row r="52" spans="1:12">
      <c r="A52" s="3" t="s">
        <v>3356</v>
      </c>
      <c r="C52" s="4" t="s">
        <v>3817</v>
      </c>
      <c r="D52" s="4" t="s">
        <v>3001</v>
      </c>
      <c r="E52" s="4" t="s">
        <v>3358</v>
      </c>
      <c r="F52" s="4" t="s">
        <v>6339</v>
      </c>
      <c r="G52" s="4" t="s">
        <v>6340</v>
      </c>
      <c r="H52" s="5">
        <v>4.4913616938342731</v>
      </c>
      <c r="I52" s="5">
        <v>31000</v>
      </c>
      <c r="J52" s="4" t="s">
        <v>6736</v>
      </c>
      <c r="L52" s="1" t="s">
        <v>6135</v>
      </c>
    </row>
    <row r="53" spans="1:12">
      <c r="A53" s="3" t="s">
        <v>3356</v>
      </c>
      <c r="C53" s="4" t="s">
        <v>3817</v>
      </c>
      <c r="D53" s="4" t="s">
        <v>3001</v>
      </c>
      <c r="E53" s="4" t="s">
        <v>3358</v>
      </c>
      <c r="F53" s="4" t="s">
        <v>6339</v>
      </c>
      <c r="G53" s="4" t="s">
        <v>6341</v>
      </c>
      <c r="H53" s="5">
        <v>4.9590413923210939</v>
      </c>
      <c r="I53" s="5">
        <v>91000</v>
      </c>
      <c r="J53" s="4" t="s">
        <v>6736</v>
      </c>
      <c r="L53" s="1" t="s">
        <v>6135</v>
      </c>
    </row>
    <row r="54" spans="1:12">
      <c r="A54" s="3" t="s">
        <v>3356</v>
      </c>
      <c r="C54" s="4" t="s">
        <v>3817</v>
      </c>
      <c r="D54" s="4" t="s">
        <v>3001</v>
      </c>
      <c r="E54" s="4" t="s">
        <v>3358</v>
      </c>
      <c r="F54" s="4" t="s">
        <v>6339</v>
      </c>
      <c r="G54" s="4" t="s">
        <v>5772</v>
      </c>
      <c r="H54" s="5" t="s">
        <v>3356</v>
      </c>
      <c r="I54" s="5" t="s">
        <v>3356</v>
      </c>
      <c r="J54" s="4" t="s">
        <v>3356</v>
      </c>
      <c r="L54" s="1" t="s">
        <v>6135</v>
      </c>
    </row>
    <row r="55" spans="1:12">
      <c r="A55" s="3" t="s">
        <v>3356</v>
      </c>
      <c r="C55" s="4" t="s">
        <v>3817</v>
      </c>
      <c r="D55" s="4" t="s">
        <v>3001</v>
      </c>
      <c r="E55" s="4" t="s">
        <v>3358</v>
      </c>
      <c r="F55" s="4" t="s">
        <v>7439</v>
      </c>
      <c r="G55" s="4" t="s">
        <v>6342</v>
      </c>
      <c r="H55" s="5">
        <v>5.1903316981702918</v>
      </c>
      <c r="I55" s="5">
        <v>155000</v>
      </c>
      <c r="J55" s="4" t="s">
        <v>6736</v>
      </c>
      <c r="L55" s="1" t="s">
        <v>6135</v>
      </c>
    </row>
    <row r="56" spans="1:12">
      <c r="A56" s="3" t="s">
        <v>3356</v>
      </c>
      <c r="C56" s="4" t="s">
        <v>3817</v>
      </c>
      <c r="D56" s="4" t="s">
        <v>3001</v>
      </c>
      <c r="E56" s="4" t="s">
        <v>3358</v>
      </c>
      <c r="F56" s="4" t="s">
        <v>4120</v>
      </c>
      <c r="G56" s="4" t="s">
        <v>8059</v>
      </c>
      <c r="H56" s="5">
        <v>5.1461280356782382</v>
      </c>
      <c r="I56" s="5">
        <v>140000</v>
      </c>
      <c r="J56" s="4" t="s">
        <v>6736</v>
      </c>
      <c r="L56" s="1" t="s">
        <v>6135</v>
      </c>
    </row>
    <row r="57" spans="1:12">
      <c r="A57" s="3" t="s">
        <v>3356</v>
      </c>
      <c r="C57" s="4" t="s">
        <v>3817</v>
      </c>
      <c r="D57" s="4" t="s">
        <v>3001</v>
      </c>
      <c r="E57" s="4" t="s">
        <v>3358</v>
      </c>
      <c r="F57" s="4" t="s">
        <v>4120</v>
      </c>
      <c r="G57" s="4" t="s">
        <v>5702</v>
      </c>
      <c r="H57" s="5">
        <v>5</v>
      </c>
      <c r="I57" s="5">
        <v>100000</v>
      </c>
      <c r="J57" s="4" t="s">
        <v>6736</v>
      </c>
      <c r="L57" s="1" t="s">
        <v>6135</v>
      </c>
    </row>
    <row r="58" spans="1:12">
      <c r="A58" s="3" t="s">
        <v>3356</v>
      </c>
      <c r="C58" s="4" t="s">
        <v>3817</v>
      </c>
      <c r="D58" s="4" t="s">
        <v>3001</v>
      </c>
      <c r="E58" s="4" t="s">
        <v>3358</v>
      </c>
      <c r="F58" s="4" t="s">
        <v>4120</v>
      </c>
      <c r="G58" s="4" t="s">
        <v>5773</v>
      </c>
      <c r="H58" s="5" t="s">
        <v>3356</v>
      </c>
      <c r="I58" s="5" t="s">
        <v>3356</v>
      </c>
      <c r="J58" s="4" t="s">
        <v>3356</v>
      </c>
      <c r="L58" s="1" t="s">
        <v>6135</v>
      </c>
    </row>
    <row r="59" spans="1:12">
      <c r="A59" s="3" t="s">
        <v>3356</v>
      </c>
      <c r="C59" s="4" t="s">
        <v>3817</v>
      </c>
      <c r="D59" s="4" t="s">
        <v>3001</v>
      </c>
      <c r="E59" s="4" t="s">
        <v>3358</v>
      </c>
      <c r="F59" s="4" t="s">
        <v>4120</v>
      </c>
      <c r="G59" s="4" t="s">
        <v>5700</v>
      </c>
      <c r="H59" s="5" t="s">
        <v>3356</v>
      </c>
      <c r="I59" s="5" t="s">
        <v>3356</v>
      </c>
      <c r="J59" s="4" t="s">
        <v>3356</v>
      </c>
      <c r="L59" s="1" t="s">
        <v>6135</v>
      </c>
    </row>
    <row r="60" spans="1:12">
      <c r="A60" s="3" t="s">
        <v>3356</v>
      </c>
      <c r="C60" s="4" t="s">
        <v>3817</v>
      </c>
      <c r="D60" s="4" t="s">
        <v>3001</v>
      </c>
      <c r="E60" s="4" t="s">
        <v>3358</v>
      </c>
      <c r="F60" s="4" t="s">
        <v>5947</v>
      </c>
      <c r="G60" s="4" t="s">
        <v>5767</v>
      </c>
      <c r="H60" s="5">
        <v>4.6334684555795862</v>
      </c>
      <c r="I60" s="5">
        <v>43000</v>
      </c>
      <c r="J60" s="4" t="s">
        <v>6736</v>
      </c>
      <c r="L60" s="1" t="s">
        <v>6135</v>
      </c>
    </row>
    <row r="61" spans="1:12">
      <c r="A61" s="3" t="s">
        <v>3356</v>
      </c>
      <c r="C61" s="4" t="s">
        <v>3817</v>
      </c>
      <c r="D61" s="4" t="s">
        <v>3001</v>
      </c>
      <c r="E61" s="4" t="s">
        <v>3358</v>
      </c>
      <c r="F61" s="4" t="s">
        <v>5727</v>
      </c>
      <c r="G61" s="4" t="s">
        <v>5728</v>
      </c>
      <c r="H61" s="5" t="s">
        <v>3356</v>
      </c>
      <c r="I61" s="5" t="s">
        <v>3356</v>
      </c>
      <c r="J61" s="4" t="s">
        <v>3356</v>
      </c>
      <c r="L61" s="1" t="s">
        <v>6135</v>
      </c>
    </row>
    <row r="62" spans="1:12">
      <c r="A62" s="3" t="s">
        <v>3356</v>
      </c>
      <c r="C62" s="4" t="s">
        <v>3817</v>
      </c>
      <c r="D62" s="4" t="s">
        <v>3001</v>
      </c>
      <c r="E62" s="4" t="s">
        <v>3358</v>
      </c>
      <c r="F62" s="4" t="s">
        <v>5727</v>
      </c>
      <c r="G62" s="4" t="s">
        <v>5717</v>
      </c>
      <c r="H62" s="5" t="s">
        <v>3356</v>
      </c>
      <c r="I62" s="5" t="s">
        <v>3356</v>
      </c>
      <c r="J62" s="4" t="s">
        <v>3356</v>
      </c>
      <c r="L62" s="1" t="s">
        <v>6135</v>
      </c>
    </row>
    <row r="63" spans="1:12">
      <c r="A63" s="3" t="s">
        <v>3356</v>
      </c>
      <c r="C63" s="4" t="s">
        <v>3817</v>
      </c>
      <c r="D63" s="4" t="s">
        <v>3001</v>
      </c>
      <c r="E63" s="4" t="s">
        <v>3358</v>
      </c>
      <c r="F63" s="4" t="s">
        <v>5727</v>
      </c>
      <c r="G63" s="4" t="s">
        <v>5916</v>
      </c>
      <c r="H63" s="5" t="s">
        <v>3356</v>
      </c>
      <c r="I63" s="5" t="s">
        <v>3356</v>
      </c>
      <c r="J63" s="4" t="s">
        <v>3356</v>
      </c>
      <c r="L63" s="1" t="s">
        <v>6135</v>
      </c>
    </row>
    <row r="64" spans="1:12">
      <c r="A64" s="3" t="s">
        <v>3356</v>
      </c>
      <c r="C64" s="4" t="s">
        <v>3817</v>
      </c>
      <c r="D64" s="4" t="s">
        <v>3001</v>
      </c>
      <c r="E64" s="4" t="s">
        <v>3358</v>
      </c>
      <c r="F64" s="4" t="s">
        <v>5768</v>
      </c>
      <c r="G64" s="4" t="s">
        <v>5769</v>
      </c>
      <c r="H64" s="5">
        <v>4.8061799739838875</v>
      </c>
      <c r="I64" s="5">
        <v>64000</v>
      </c>
      <c r="J64" s="4" t="s">
        <v>6736</v>
      </c>
      <c r="L64" s="1" t="s">
        <v>6135</v>
      </c>
    </row>
    <row r="65" spans="1:12">
      <c r="A65" s="3" t="s">
        <v>3356</v>
      </c>
      <c r="C65" s="4" t="s">
        <v>3817</v>
      </c>
      <c r="D65" s="4" t="s">
        <v>3001</v>
      </c>
      <c r="E65" s="4" t="s">
        <v>3358</v>
      </c>
      <c r="F65" s="4" t="s">
        <v>5768</v>
      </c>
      <c r="G65" s="4" t="s">
        <v>5534</v>
      </c>
      <c r="H65" s="5" t="s">
        <v>3356</v>
      </c>
      <c r="I65" s="5" t="s">
        <v>3356</v>
      </c>
      <c r="J65" s="4" t="s">
        <v>3356</v>
      </c>
      <c r="L65" s="1" t="s">
        <v>6135</v>
      </c>
    </row>
    <row r="66" spans="1:12">
      <c r="A66" s="3" t="s">
        <v>3356</v>
      </c>
      <c r="C66" s="4" t="s">
        <v>3817</v>
      </c>
      <c r="D66" s="4" t="s">
        <v>3001</v>
      </c>
      <c r="E66" s="4" t="s">
        <v>3358</v>
      </c>
      <c r="F66" s="4" t="s">
        <v>5757</v>
      </c>
      <c r="G66" s="4" t="s">
        <v>8058</v>
      </c>
      <c r="H66" s="5" t="s">
        <v>3356</v>
      </c>
      <c r="I66" s="5" t="s">
        <v>3356</v>
      </c>
      <c r="J66" s="4" t="s">
        <v>3356</v>
      </c>
      <c r="L66" s="1" t="s">
        <v>6135</v>
      </c>
    </row>
    <row r="67" spans="1:12">
      <c r="A67" s="3" t="s">
        <v>3356</v>
      </c>
      <c r="C67" s="4" t="s">
        <v>3817</v>
      </c>
      <c r="D67" s="4" t="s">
        <v>3001</v>
      </c>
      <c r="E67" s="4" t="s">
        <v>3358</v>
      </c>
      <c r="F67" s="4" t="s">
        <v>5757</v>
      </c>
      <c r="G67" s="4" t="s">
        <v>5761</v>
      </c>
      <c r="H67" s="5">
        <v>4.5440680443502757</v>
      </c>
      <c r="I67" s="5">
        <v>35000</v>
      </c>
      <c r="J67" s="4" t="s">
        <v>6736</v>
      </c>
      <c r="L67" s="1" t="s">
        <v>6135</v>
      </c>
    </row>
    <row r="68" spans="1:12">
      <c r="A68" s="3" t="s">
        <v>3356</v>
      </c>
      <c r="C68" s="4" t="s">
        <v>3817</v>
      </c>
      <c r="D68" s="4" t="s">
        <v>3001</v>
      </c>
      <c r="E68" s="4" t="s">
        <v>3358</v>
      </c>
      <c r="F68" s="4" t="s">
        <v>6111</v>
      </c>
      <c r="G68" s="4" t="s">
        <v>4883</v>
      </c>
      <c r="H68" s="5">
        <v>4.6020599913279625</v>
      </c>
      <c r="I68" s="5">
        <v>40000</v>
      </c>
      <c r="J68" s="4" t="s">
        <v>6736</v>
      </c>
      <c r="L68" s="1" t="s">
        <v>6135</v>
      </c>
    </row>
    <row r="69" spans="1:12">
      <c r="A69" s="3" t="s">
        <v>3356</v>
      </c>
      <c r="C69" s="4" t="s">
        <v>3817</v>
      </c>
      <c r="D69" s="4" t="s">
        <v>3001</v>
      </c>
      <c r="E69" s="4" t="s">
        <v>3358</v>
      </c>
      <c r="F69" s="4" t="s">
        <v>3415</v>
      </c>
      <c r="G69" s="4" t="s">
        <v>3062</v>
      </c>
      <c r="H69" s="5">
        <v>5.9542425094393252</v>
      </c>
      <c r="I69" s="5">
        <v>900000</v>
      </c>
      <c r="J69" s="4" t="s">
        <v>6736</v>
      </c>
      <c r="L69" s="1" t="s">
        <v>6135</v>
      </c>
    </row>
    <row r="70" spans="1:12">
      <c r="A70" s="3" t="s">
        <v>3356</v>
      </c>
      <c r="C70" s="4" t="s">
        <v>3817</v>
      </c>
      <c r="D70" s="4" t="s">
        <v>3001</v>
      </c>
      <c r="E70" s="4" t="s">
        <v>3358</v>
      </c>
      <c r="F70" s="4" t="s">
        <v>7711</v>
      </c>
      <c r="G70" s="4" t="s">
        <v>5430</v>
      </c>
      <c r="H70" s="5">
        <v>4.2787536009528289</v>
      </c>
      <c r="I70" s="5">
        <v>19000</v>
      </c>
      <c r="J70" s="4" t="s">
        <v>6736</v>
      </c>
      <c r="L70" s="1" t="s">
        <v>6135</v>
      </c>
    </row>
    <row r="71" spans="1:12">
      <c r="A71" s="3" t="s">
        <v>3356</v>
      </c>
      <c r="C71" s="4" t="s">
        <v>3817</v>
      </c>
      <c r="D71" s="4" t="s">
        <v>3001</v>
      </c>
      <c r="E71" s="4" t="s">
        <v>7465</v>
      </c>
      <c r="F71" s="4" t="s">
        <v>7466</v>
      </c>
      <c r="G71" s="4" t="s">
        <v>5431</v>
      </c>
      <c r="H71" s="5">
        <v>5.8388490907372557</v>
      </c>
      <c r="I71" s="5">
        <v>690000</v>
      </c>
      <c r="J71" s="4" t="s">
        <v>6736</v>
      </c>
      <c r="L71" s="1" t="s">
        <v>6135</v>
      </c>
    </row>
    <row r="72" spans="1:12">
      <c r="A72" s="3" t="s">
        <v>3356</v>
      </c>
      <c r="C72" s="4" t="s">
        <v>3817</v>
      </c>
      <c r="D72" s="4" t="s">
        <v>3001</v>
      </c>
      <c r="E72" s="4" t="s">
        <v>7465</v>
      </c>
      <c r="F72" s="4" t="s">
        <v>4164</v>
      </c>
      <c r="G72" s="4" t="s">
        <v>8171</v>
      </c>
      <c r="H72" s="5" t="s">
        <v>3356</v>
      </c>
      <c r="I72" s="5" t="s">
        <v>3356</v>
      </c>
      <c r="J72" s="4" t="s">
        <v>3356</v>
      </c>
      <c r="L72" s="1" t="s">
        <v>6135</v>
      </c>
    </row>
    <row r="73" spans="1:12">
      <c r="A73" s="3" t="s">
        <v>3356</v>
      </c>
      <c r="C73" s="4" t="s">
        <v>3817</v>
      </c>
      <c r="D73" s="4" t="s">
        <v>3001</v>
      </c>
      <c r="E73" s="4" t="s">
        <v>7465</v>
      </c>
      <c r="F73" s="4" t="s">
        <v>4164</v>
      </c>
      <c r="G73" s="4" t="s">
        <v>5759</v>
      </c>
      <c r="H73" s="5">
        <v>4.7781512503836439</v>
      </c>
      <c r="I73" s="5">
        <v>60000</v>
      </c>
      <c r="J73" s="4" t="s">
        <v>6736</v>
      </c>
      <c r="L73" s="1" t="s">
        <v>6135</v>
      </c>
    </row>
    <row r="74" spans="1:12">
      <c r="A74" s="3" t="s">
        <v>3356</v>
      </c>
      <c r="C74" s="4" t="s">
        <v>3817</v>
      </c>
      <c r="D74" s="4" t="s">
        <v>3001</v>
      </c>
      <c r="E74" s="4" t="s">
        <v>3905</v>
      </c>
      <c r="F74" s="4" t="s">
        <v>3864</v>
      </c>
      <c r="G74" s="4" t="s">
        <v>5438</v>
      </c>
      <c r="H74" s="5" t="s">
        <v>3356</v>
      </c>
      <c r="I74" s="5" t="s">
        <v>3356</v>
      </c>
      <c r="J74" s="4" t="s">
        <v>3356</v>
      </c>
      <c r="L74" s="1" t="s">
        <v>6135</v>
      </c>
    </row>
    <row r="75" spans="1:12">
      <c r="A75" s="3" t="s">
        <v>3356</v>
      </c>
      <c r="C75" s="4" t="s">
        <v>3817</v>
      </c>
      <c r="D75" s="4" t="s">
        <v>3001</v>
      </c>
      <c r="E75" s="4" t="s">
        <v>3905</v>
      </c>
      <c r="F75" s="4" t="s">
        <v>3864</v>
      </c>
      <c r="G75" s="4" t="s">
        <v>4646</v>
      </c>
      <c r="H75" s="5" t="s">
        <v>3356</v>
      </c>
      <c r="I75" s="5" t="s">
        <v>3356</v>
      </c>
      <c r="J75" s="4" t="s">
        <v>3356</v>
      </c>
      <c r="L75" s="1" t="s">
        <v>6135</v>
      </c>
    </row>
    <row r="76" spans="1:12">
      <c r="A76" s="3" t="s">
        <v>3356</v>
      </c>
      <c r="C76" s="4" t="s">
        <v>3817</v>
      </c>
      <c r="D76" s="4" t="s">
        <v>3001</v>
      </c>
      <c r="E76" s="4" t="s">
        <v>3905</v>
      </c>
      <c r="F76" s="4" t="s">
        <v>5965</v>
      </c>
      <c r="G76" s="4" t="s">
        <v>7224</v>
      </c>
      <c r="H76" s="5">
        <v>4.4771212547196626</v>
      </c>
      <c r="I76" s="5">
        <v>30000</v>
      </c>
      <c r="J76" s="4" t="s">
        <v>6736</v>
      </c>
      <c r="L76" s="1" t="s">
        <v>6135</v>
      </c>
    </row>
    <row r="77" spans="1:12">
      <c r="A77" s="3" t="s">
        <v>3356</v>
      </c>
      <c r="C77" s="4" t="s">
        <v>3817</v>
      </c>
      <c r="D77" s="4" t="s">
        <v>3001</v>
      </c>
      <c r="E77" s="4" t="s">
        <v>3905</v>
      </c>
      <c r="F77" s="4" t="s">
        <v>5965</v>
      </c>
      <c r="G77" s="4" t="s">
        <v>1998</v>
      </c>
      <c r="H77" s="5" t="s">
        <v>3356</v>
      </c>
      <c r="I77" s="5" t="s">
        <v>3356</v>
      </c>
      <c r="J77" s="4" t="s">
        <v>3356</v>
      </c>
      <c r="L77" s="1" t="s">
        <v>6135</v>
      </c>
    </row>
    <row r="78" spans="1:12">
      <c r="A78" s="3" t="s">
        <v>3356</v>
      </c>
      <c r="C78" s="4" t="s">
        <v>3817</v>
      </c>
      <c r="D78" s="4" t="s">
        <v>3001</v>
      </c>
      <c r="E78" s="4" t="s">
        <v>3905</v>
      </c>
      <c r="F78" s="4" t="s">
        <v>3906</v>
      </c>
      <c r="G78" s="4" t="s">
        <v>5966</v>
      </c>
      <c r="H78" s="5">
        <v>5.0969100130080562</v>
      </c>
      <c r="I78" s="5">
        <v>125000</v>
      </c>
      <c r="J78" s="4" t="s">
        <v>6736</v>
      </c>
      <c r="L78" s="1" t="s">
        <v>6135</v>
      </c>
    </row>
    <row r="79" spans="1:12">
      <c r="A79" s="3" t="s">
        <v>3356</v>
      </c>
      <c r="C79" s="4" t="s">
        <v>3817</v>
      </c>
      <c r="D79" s="4" t="s">
        <v>3001</v>
      </c>
      <c r="E79" s="4" t="s">
        <v>3905</v>
      </c>
      <c r="F79" s="4" t="s">
        <v>3906</v>
      </c>
      <c r="G79" s="4" t="s">
        <v>5439</v>
      </c>
      <c r="H79" s="5" t="s">
        <v>3356</v>
      </c>
      <c r="I79" s="5" t="s">
        <v>3356</v>
      </c>
      <c r="J79" s="4" t="s">
        <v>3356</v>
      </c>
      <c r="L79" s="1" t="s">
        <v>6135</v>
      </c>
    </row>
    <row r="80" spans="1:12">
      <c r="A80" s="3" t="s">
        <v>3356</v>
      </c>
      <c r="C80" s="4" t="s">
        <v>3817</v>
      </c>
      <c r="D80" s="4" t="s">
        <v>3001</v>
      </c>
      <c r="E80" s="4" t="s">
        <v>3905</v>
      </c>
      <c r="F80" s="4" t="s">
        <v>3906</v>
      </c>
      <c r="G80" s="4" t="s">
        <v>6096</v>
      </c>
      <c r="H80" s="5">
        <v>5.2430380486862944</v>
      </c>
      <c r="I80" s="5">
        <v>175000</v>
      </c>
      <c r="J80" s="4" t="s">
        <v>6736</v>
      </c>
      <c r="L80" s="1" t="s">
        <v>6135</v>
      </c>
    </row>
    <row r="81" spans="1:12">
      <c r="A81" s="3" t="s">
        <v>3356</v>
      </c>
      <c r="C81" s="4" t="s">
        <v>3817</v>
      </c>
      <c r="D81" s="4" t="s">
        <v>3001</v>
      </c>
      <c r="E81" s="4" t="s">
        <v>3905</v>
      </c>
      <c r="F81" s="4" t="s">
        <v>3906</v>
      </c>
      <c r="G81" s="4" t="s">
        <v>5967</v>
      </c>
      <c r="H81" s="5">
        <v>5.0791812460476251</v>
      </c>
      <c r="I81" s="5">
        <v>120000</v>
      </c>
      <c r="J81" s="4" t="s">
        <v>6736</v>
      </c>
      <c r="L81" s="1" t="s">
        <v>6135</v>
      </c>
    </row>
    <row r="82" spans="1:12">
      <c r="A82" s="3" t="s">
        <v>3356</v>
      </c>
      <c r="C82" s="4" t="s">
        <v>3817</v>
      </c>
      <c r="D82" s="4" t="s">
        <v>3001</v>
      </c>
      <c r="E82" s="4" t="s">
        <v>3905</v>
      </c>
      <c r="F82" s="4" t="s">
        <v>3906</v>
      </c>
      <c r="G82" s="4" t="s">
        <v>5440</v>
      </c>
      <c r="H82" s="5" t="s">
        <v>3356</v>
      </c>
      <c r="I82" s="5" t="s">
        <v>3356</v>
      </c>
      <c r="J82" s="4" t="s">
        <v>3356</v>
      </c>
      <c r="L82" s="1" t="s">
        <v>6135</v>
      </c>
    </row>
    <row r="83" spans="1:12">
      <c r="A83" s="3" t="s">
        <v>3356</v>
      </c>
      <c r="C83" s="4" t="s">
        <v>3817</v>
      </c>
      <c r="D83" s="4" t="s">
        <v>3001</v>
      </c>
      <c r="E83" s="4" t="s">
        <v>3905</v>
      </c>
      <c r="F83" s="4" t="s">
        <v>3906</v>
      </c>
      <c r="G83" s="4" t="s">
        <v>5968</v>
      </c>
      <c r="H83" s="5">
        <v>4.4771212547196626</v>
      </c>
      <c r="I83" s="5">
        <v>30000</v>
      </c>
      <c r="J83" s="4" t="s">
        <v>6736</v>
      </c>
      <c r="L83" s="1" t="s">
        <v>6135</v>
      </c>
    </row>
    <row r="84" spans="1:12">
      <c r="A84" s="3" t="s">
        <v>3356</v>
      </c>
      <c r="C84" s="4" t="s">
        <v>3817</v>
      </c>
      <c r="D84" s="4" t="s">
        <v>3001</v>
      </c>
      <c r="E84" s="4" t="s">
        <v>3905</v>
      </c>
      <c r="F84" s="4" t="s">
        <v>3906</v>
      </c>
      <c r="G84" s="4" t="s">
        <v>5441</v>
      </c>
      <c r="H84" s="5" t="s">
        <v>3356</v>
      </c>
      <c r="I84" s="5" t="s">
        <v>3356</v>
      </c>
      <c r="J84" s="4" t="s">
        <v>3356</v>
      </c>
      <c r="L84" s="1" t="s">
        <v>6135</v>
      </c>
    </row>
    <row r="85" spans="1:12">
      <c r="A85" s="3" t="s">
        <v>3356</v>
      </c>
      <c r="C85" s="4" t="s">
        <v>3817</v>
      </c>
      <c r="D85" s="4" t="s">
        <v>3001</v>
      </c>
      <c r="E85" s="4" t="s">
        <v>3905</v>
      </c>
      <c r="F85" s="4" t="s">
        <v>3866</v>
      </c>
      <c r="G85" s="4" t="s">
        <v>5878</v>
      </c>
      <c r="H85" s="5" t="s">
        <v>3356</v>
      </c>
      <c r="I85" s="5" t="s">
        <v>3356</v>
      </c>
      <c r="J85" s="4" t="s">
        <v>3356</v>
      </c>
      <c r="L85" s="1" t="s">
        <v>6135</v>
      </c>
    </row>
    <row r="86" spans="1:12">
      <c r="A86" s="3" t="s">
        <v>3356</v>
      </c>
      <c r="C86" s="4" t="s">
        <v>3817</v>
      </c>
      <c r="D86" s="4" t="s">
        <v>3001</v>
      </c>
      <c r="E86" s="4" t="s">
        <v>3905</v>
      </c>
      <c r="F86" s="4" t="s">
        <v>6098</v>
      </c>
      <c r="G86" s="4" t="s">
        <v>5095</v>
      </c>
      <c r="H86" s="5">
        <v>4.5185139398778871</v>
      </c>
      <c r="I86" s="5">
        <v>33000</v>
      </c>
      <c r="J86" s="4" t="s">
        <v>6736</v>
      </c>
      <c r="L86" s="1" t="s">
        <v>6135</v>
      </c>
    </row>
    <row r="87" spans="1:12">
      <c r="A87" s="3" t="s">
        <v>3356</v>
      </c>
      <c r="C87" s="4" t="s">
        <v>3817</v>
      </c>
      <c r="D87" s="4" t="s">
        <v>3001</v>
      </c>
      <c r="E87" s="4" t="s">
        <v>3905</v>
      </c>
      <c r="F87" s="4" t="s">
        <v>5096</v>
      </c>
      <c r="G87" s="4" t="s">
        <v>5097</v>
      </c>
      <c r="H87" s="5">
        <v>5.2430380486862944</v>
      </c>
      <c r="I87" s="5">
        <v>175000</v>
      </c>
      <c r="J87" s="4" t="s">
        <v>6736</v>
      </c>
      <c r="L87" s="1" t="s">
        <v>6135</v>
      </c>
    </row>
    <row r="88" spans="1:12">
      <c r="A88" s="3" t="s">
        <v>3356</v>
      </c>
      <c r="C88" s="4" t="s">
        <v>3817</v>
      </c>
      <c r="D88" s="4" t="s">
        <v>3001</v>
      </c>
      <c r="E88" s="4" t="s">
        <v>3905</v>
      </c>
      <c r="F88" s="4" t="s">
        <v>5178</v>
      </c>
      <c r="G88" s="4" t="s">
        <v>5760</v>
      </c>
      <c r="H88" s="5">
        <v>4.1303337684950066</v>
      </c>
      <c r="I88" s="5">
        <v>13500</v>
      </c>
      <c r="J88" s="4" t="s">
        <v>6736</v>
      </c>
      <c r="L88" s="1" t="s">
        <v>6135</v>
      </c>
    </row>
    <row r="89" spans="1:12">
      <c r="A89" s="3" t="s">
        <v>3356</v>
      </c>
      <c r="C89" s="4" t="s">
        <v>3817</v>
      </c>
      <c r="D89" s="4" t="s">
        <v>3001</v>
      </c>
      <c r="E89" s="4" t="s">
        <v>3905</v>
      </c>
      <c r="F89" s="4" t="s">
        <v>5910</v>
      </c>
      <c r="G89" s="4" t="s">
        <v>6059</v>
      </c>
      <c r="H89" s="5" t="s">
        <v>3356</v>
      </c>
      <c r="I89" s="5" t="s">
        <v>3356</v>
      </c>
      <c r="J89" s="4" t="s">
        <v>3356</v>
      </c>
      <c r="L89" s="1" t="s">
        <v>6135</v>
      </c>
    </row>
    <row r="90" spans="1:12">
      <c r="A90" s="3" t="s">
        <v>3356</v>
      </c>
      <c r="C90" s="4" t="s">
        <v>3817</v>
      </c>
      <c r="D90" s="4" t="s">
        <v>3001</v>
      </c>
      <c r="E90" s="4" t="s">
        <v>3905</v>
      </c>
      <c r="F90" s="4" t="s">
        <v>5910</v>
      </c>
      <c r="G90" s="4" t="s">
        <v>8037</v>
      </c>
      <c r="H90" s="5" t="s">
        <v>3356</v>
      </c>
      <c r="I90" s="5" t="s">
        <v>3356</v>
      </c>
      <c r="J90" s="4" t="s">
        <v>3356</v>
      </c>
      <c r="L90" s="1" t="s">
        <v>6135</v>
      </c>
    </row>
    <row r="91" spans="1:12">
      <c r="A91" s="3" t="s">
        <v>3356</v>
      </c>
      <c r="C91" s="4" t="s">
        <v>3817</v>
      </c>
      <c r="D91" s="4" t="s">
        <v>3001</v>
      </c>
      <c r="E91" s="4" t="s">
        <v>3905</v>
      </c>
      <c r="F91" s="4" t="s">
        <v>5910</v>
      </c>
      <c r="G91" s="4" t="s">
        <v>8038</v>
      </c>
      <c r="H91" s="5" t="s">
        <v>3356</v>
      </c>
      <c r="I91" s="5" t="s">
        <v>3356</v>
      </c>
      <c r="J91" s="4" t="s">
        <v>3356</v>
      </c>
      <c r="L91" s="1" t="s">
        <v>6135</v>
      </c>
    </row>
    <row r="92" spans="1:12">
      <c r="A92" s="3" t="s">
        <v>3356</v>
      </c>
      <c r="C92" s="4" t="s">
        <v>3817</v>
      </c>
      <c r="D92" s="4" t="s">
        <v>3001</v>
      </c>
      <c r="E92" s="4" t="s">
        <v>3905</v>
      </c>
      <c r="F92" s="4" t="s">
        <v>5910</v>
      </c>
      <c r="G92" s="4" t="s">
        <v>5502</v>
      </c>
      <c r="H92" s="5" t="s">
        <v>3356</v>
      </c>
      <c r="I92" s="5" t="s">
        <v>3356</v>
      </c>
      <c r="J92" s="4" t="s">
        <v>3356</v>
      </c>
      <c r="L92" s="1" t="s">
        <v>6135</v>
      </c>
    </row>
    <row r="93" spans="1:12">
      <c r="A93" s="3" t="s">
        <v>3356</v>
      </c>
      <c r="C93" s="4" t="s">
        <v>3817</v>
      </c>
      <c r="D93" s="4" t="s">
        <v>3001</v>
      </c>
      <c r="E93" s="4" t="s">
        <v>3905</v>
      </c>
      <c r="F93" s="4" t="s">
        <v>5910</v>
      </c>
      <c r="G93" s="4" t="s">
        <v>6791</v>
      </c>
      <c r="H93" s="5">
        <v>4.2304489213782741</v>
      </c>
      <c r="I93" s="5">
        <v>17000</v>
      </c>
      <c r="J93" s="4" t="s">
        <v>6736</v>
      </c>
      <c r="L93" s="1" t="s">
        <v>6135</v>
      </c>
    </row>
    <row r="94" spans="1:12">
      <c r="A94" s="3" t="s">
        <v>3356</v>
      </c>
      <c r="C94" s="4" t="s">
        <v>3817</v>
      </c>
      <c r="D94" s="4" t="s">
        <v>3001</v>
      </c>
      <c r="E94" s="4" t="s">
        <v>3905</v>
      </c>
      <c r="F94" s="4" t="s">
        <v>5910</v>
      </c>
      <c r="G94" s="4" t="s">
        <v>5732</v>
      </c>
      <c r="H94" s="5" t="s">
        <v>3356</v>
      </c>
      <c r="I94" s="5" t="s">
        <v>3356</v>
      </c>
      <c r="J94" s="4" t="s">
        <v>3356</v>
      </c>
      <c r="L94" s="1" t="s">
        <v>6135</v>
      </c>
    </row>
    <row r="95" spans="1:12">
      <c r="A95" s="3" t="s">
        <v>3356</v>
      </c>
      <c r="C95" s="4" t="s">
        <v>3817</v>
      </c>
      <c r="D95" s="4" t="s">
        <v>3001</v>
      </c>
      <c r="E95" s="4" t="s">
        <v>3719</v>
      </c>
      <c r="F95" s="4" t="s">
        <v>3720</v>
      </c>
      <c r="G95" s="4" t="s">
        <v>8119</v>
      </c>
      <c r="H95" s="5" t="s">
        <v>3356</v>
      </c>
      <c r="I95" s="5" t="s">
        <v>3356</v>
      </c>
      <c r="J95" s="4" t="s">
        <v>3356</v>
      </c>
      <c r="L95" s="1" t="s">
        <v>6135</v>
      </c>
    </row>
    <row r="96" spans="1:12">
      <c r="A96" s="3" t="s">
        <v>3356</v>
      </c>
      <c r="C96" s="4" t="s">
        <v>3817</v>
      </c>
      <c r="D96" s="4" t="s">
        <v>3001</v>
      </c>
      <c r="E96" s="4" t="s">
        <v>3719</v>
      </c>
      <c r="F96" s="4" t="s">
        <v>3722</v>
      </c>
      <c r="G96" s="4" t="s">
        <v>8170</v>
      </c>
      <c r="H96" s="5" t="s">
        <v>3356</v>
      </c>
      <c r="I96" s="5" t="s">
        <v>3356</v>
      </c>
      <c r="J96" s="4" t="s">
        <v>3356</v>
      </c>
      <c r="L96" s="1" t="s">
        <v>6135</v>
      </c>
    </row>
    <row r="97" spans="1:12">
      <c r="A97" s="3" t="s">
        <v>3356</v>
      </c>
      <c r="C97" s="4" t="s">
        <v>3817</v>
      </c>
      <c r="D97" s="4" t="s">
        <v>3001</v>
      </c>
      <c r="E97" s="4" t="s">
        <v>3341</v>
      </c>
      <c r="F97" s="4" t="s">
        <v>6792</v>
      </c>
      <c r="G97" s="4" t="s">
        <v>5437</v>
      </c>
      <c r="H97" s="5" t="s">
        <v>3356</v>
      </c>
      <c r="I97" s="5" t="s">
        <v>3356</v>
      </c>
      <c r="J97" s="4" t="s">
        <v>3356</v>
      </c>
      <c r="L97" s="1" t="s">
        <v>6135</v>
      </c>
    </row>
    <row r="98" spans="1:12">
      <c r="A98" s="3" t="s">
        <v>3356</v>
      </c>
      <c r="C98" s="4" t="s">
        <v>3817</v>
      </c>
      <c r="D98" s="4" t="s">
        <v>3001</v>
      </c>
      <c r="E98" s="4" t="s">
        <v>3341</v>
      </c>
      <c r="F98" s="4" t="s">
        <v>6792</v>
      </c>
      <c r="G98" s="4" t="s">
        <v>4276</v>
      </c>
      <c r="H98" s="5" t="s">
        <v>3356</v>
      </c>
      <c r="I98" s="5" t="s">
        <v>3356</v>
      </c>
      <c r="J98" s="4" t="s">
        <v>3356</v>
      </c>
      <c r="L98" s="1" t="s">
        <v>6135</v>
      </c>
    </row>
    <row r="99" spans="1:12">
      <c r="A99" s="3" t="s">
        <v>3356</v>
      </c>
      <c r="C99" s="4" t="s">
        <v>3817</v>
      </c>
      <c r="D99" s="4" t="s">
        <v>3001</v>
      </c>
      <c r="E99" s="4" t="s">
        <v>3341</v>
      </c>
      <c r="F99" s="4" t="s">
        <v>6792</v>
      </c>
      <c r="G99" s="4" t="s">
        <v>4847</v>
      </c>
      <c r="H99" s="5" t="s">
        <v>3356</v>
      </c>
      <c r="I99" s="5" t="s">
        <v>3356</v>
      </c>
      <c r="J99" s="4" t="s">
        <v>3356</v>
      </c>
      <c r="L99" s="1" t="s">
        <v>6135</v>
      </c>
    </row>
    <row r="100" spans="1:12">
      <c r="A100" s="3" t="s">
        <v>3356</v>
      </c>
      <c r="C100" s="4" t="s">
        <v>3817</v>
      </c>
      <c r="D100" s="4" t="s">
        <v>3001</v>
      </c>
      <c r="E100" s="4" t="s">
        <v>3341</v>
      </c>
      <c r="F100" s="4" t="s">
        <v>6792</v>
      </c>
      <c r="G100" s="4" t="s">
        <v>6101</v>
      </c>
      <c r="H100" s="5">
        <v>4.0413926851582254</v>
      </c>
      <c r="I100" s="5">
        <v>11000</v>
      </c>
      <c r="J100" s="4" t="s">
        <v>6736</v>
      </c>
      <c r="L100" s="1" t="s">
        <v>6135</v>
      </c>
    </row>
    <row r="101" spans="1:12">
      <c r="A101" s="3" t="s">
        <v>3356</v>
      </c>
      <c r="C101" s="4" t="s">
        <v>3817</v>
      </c>
      <c r="D101" s="4" t="s">
        <v>3001</v>
      </c>
      <c r="E101" s="4" t="s">
        <v>3267</v>
      </c>
      <c r="F101" s="4" t="s">
        <v>6100</v>
      </c>
      <c r="G101" s="4" t="s">
        <v>5765</v>
      </c>
      <c r="H101" s="5">
        <v>5</v>
      </c>
      <c r="I101" s="5">
        <v>100000</v>
      </c>
      <c r="J101" s="4" t="s">
        <v>6736</v>
      </c>
      <c r="L101" s="1" t="s">
        <v>6135</v>
      </c>
    </row>
    <row r="102" spans="1:12">
      <c r="A102" s="3" t="s">
        <v>3356</v>
      </c>
      <c r="C102" s="4" t="s">
        <v>3817</v>
      </c>
      <c r="D102" s="4" t="s">
        <v>3001</v>
      </c>
      <c r="E102" s="4" t="s">
        <v>3267</v>
      </c>
      <c r="F102" s="4" t="s">
        <v>3480</v>
      </c>
      <c r="G102" s="4" t="s">
        <v>7242</v>
      </c>
      <c r="H102" s="5" t="s">
        <v>3356</v>
      </c>
      <c r="I102" s="5" t="s">
        <v>3356</v>
      </c>
      <c r="J102" s="4" t="s">
        <v>3356</v>
      </c>
      <c r="L102" s="1" t="s">
        <v>6135</v>
      </c>
    </row>
    <row r="103" spans="1:12">
      <c r="A103" s="3" t="s">
        <v>3356</v>
      </c>
      <c r="C103" s="4" t="s">
        <v>3817</v>
      </c>
      <c r="D103" s="4" t="s">
        <v>3001</v>
      </c>
      <c r="E103" s="4" t="s">
        <v>3267</v>
      </c>
      <c r="F103" s="4" t="s">
        <v>3482</v>
      </c>
      <c r="G103" s="4" t="s">
        <v>5823</v>
      </c>
      <c r="H103" s="5" t="s">
        <v>3356</v>
      </c>
      <c r="I103" s="5" t="s">
        <v>3356</v>
      </c>
      <c r="J103" s="4" t="s">
        <v>3356</v>
      </c>
      <c r="L103" s="1" t="s">
        <v>6135</v>
      </c>
    </row>
    <row r="104" spans="1:12">
      <c r="A104" s="3" t="s">
        <v>3356</v>
      </c>
      <c r="C104" s="4" t="s">
        <v>3817</v>
      </c>
      <c r="D104" s="4" t="s">
        <v>3001</v>
      </c>
      <c r="E104" s="4" t="s">
        <v>3267</v>
      </c>
      <c r="F104" s="4" t="s">
        <v>3484</v>
      </c>
      <c r="G104" s="4" t="s">
        <v>6242</v>
      </c>
      <c r="H104" s="5" t="s">
        <v>3356</v>
      </c>
      <c r="I104" s="5" t="s">
        <v>3356</v>
      </c>
      <c r="J104" s="4" t="s">
        <v>3356</v>
      </c>
      <c r="L104" s="1" t="s">
        <v>6135</v>
      </c>
    </row>
    <row r="105" spans="1:12">
      <c r="A105" s="3" t="s">
        <v>3356</v>
      </c>
      <c r="C105" s="4" t="s">
        <v>3817</v>
      </c>
      <c r="D105" s="4" t="s">
        <v>3001</v>
      </c>
      <c r="E105" s="4" t="s">
        <v>3267</v>
      </c>
      <c r="F105" s="4" t="s">
        <v>3484</v>
      </c>
      <c r="G105" s="4" t="s">
        <v>6657</v>
      </c>
      <c r="H105" s="5" t="s">
        <v>3356</v>
      </c>
      <c r="I105" s="5" t="s">
        <v>3356</v>
      </c>
      <c r="J105" s="4" t="s">
        <v>3356</v>
      </c>
      <c r="L105" s="1" t="s">
        <v>6135</v>
      </c>
    </row>
    <row r="106" spans="1:12">
      <c r="A106" s="3" t="s">
        <v>3356</v>
      </c>
      <c r="C106" s="4" t="s">
        <v>3817</v>
      </c>
      <c r="D106" s="4" t="s">
        <v>3001</v>
      </c>
      <c r="E106" s="4" t="s">
        <v>3267</v>
      </c>
      <c r="F106" s="4" t="s">
        <v>3484</v>
      </c>
      <c r="G106" s="4" t="s">
        <v>6484</v>
      </c>
      <c r="H106" s="5" t="s">
        <v>3356</v>
      </c>
      <c r="I106" s="5" t="s">
        <v>3356</v>
      </c>
      <c r="J106" s="4" t="s">
        <v>3356</v>
      </c>
      <c r="L106" s="1" t="s">
        <v>6135</v>
      </c>
    </row>
    <row r="107" spans="1:12">
      <c r="A107" s="3" t="s">
        <v>3356</v>
      </c>
      <c r="C107" s="4" t="s">
        <v>3817</v>
      </c>
      <c r="D107" s="4" t="s">
        <v>3001</v>
      </c>
      <c r="E107" s="4" t="s">
        <v>3267</v>
      </c>
      <c r="F107" s="4" t="s">
        <v>3484</v>
      </c>
      <c r="G107" s="4" t="s">
        <v>6485</v>
      </c>
      <c r="H107" s="5" t="s">
        <v>3356</v>
      </c>
      <c r="I107" s="5" t="s">
        <v>3356</v>
      </c>
      <c r="J107" s="4" t="s">
        <v>3356</v>
      </c>
      <c r="L107" s="1" t="s">
        <v>6135</v>
      </c>
    </row>
    <row r="108" spans="1:12">
      <c r="A108" s="3" t="s">
        <v>3356</v>
      </c>
      <c r="C108" s="4" t="s">
        <v>3817</v>
      </c>
      <c r="D108" s="4" t="s">
        <v>3001</v>
      </c>
      <c r="E108" s="4" t="s">
        <v>3267</v>
      </c>
      <c r="F108" s="4" t="s">
        <v>3484</v>
      </c>
      <c r="G108" s="4" t="s">
        <v>6486</v>
      </c>
      <c r="H108" s="5" t="s">
        <v>3356</v>
      </c>
      <c r="I108" s="5" t="s">
        <v>3356</v>
      </c>
      <c r="J108" s="4" t="s">
        <v>3356</v>
      </c>
      <c r="L108" s="1" t="s">
        <v>6135</v>
      </c>
    </row>
    <row r="109" spans="1:12">
      <c r="A109" s="3" t="s">
        <v>3356</v>
      </c>
      <c r="C109" s="4" t="s">
        <v>3817</v>
      </c>
      <c r="D109" s="4" t="s">
        <v>3001</v>
      </c>
      <c r="E109" s="4" t="s">
        <v>3267</v>
      </c>
      <c r="F109" s="4" t="s">
        <v>3484</v>
      </c>
      <c r="G109" s="4" t="s">
        <v>5927</v>
      </c>
      <c r="H109" s="5" t="s">
        <v>3356</v>
      </c>
      <c r="I109" s="5" t="s">
        <v>3356</v>
      </c>
      <c r="J109" s="4" t="s">
        <v>3356</v>
      </c>
      <c r="L109" s="1" t="s">
        <v>6135</v>
      </c>
    </row>
    <row r="110" spans="1:12">
      <c r="A110" s="3" t="s">
        <v>3356</v>
      </c>
      <c r="C110" s="4" t="s">
        <v>3817</v>
      </c>
      <c r="D110" s="4" t="s">
        <v>3001</v>
      </c>
      <c r="E110" s="4" t="s">
        <v>3267</v>
      </c>
      <c r="F110" s="4" t="s">
        <v>3484</v>
      </c>
      <c r="G110" s="4" t="s">
        <v>2993</v>
      </c>
      <c r="H110" s="5" t="s">
        <v>3356</v>
      </c>
      <c r="I110" s="5" t="s">
        <v>3356</v>
      </c>
      <c r="J110" s="4" t="s">
        <v>3356</v>
      </c>
      <c r="L110" s="1" t="s">
        <v>6135</v>
      </c>
    </row>
    <row r="111" spans="1:12">
      <c r="A111" s="3" t="s">
        <v>3356</v>
      </c>
      <c r="C111" s="4" t="s">
        <v>3817</v>
      </c>
      <c r="D111" s="4" t="s">
        <v>3001</v>
      </c>
      <c r="E111" s="4" t="s">
        <v>3267</v>
      </c>
      <c r="F111" s="4" t="s">
        <v>3484</v>
      </c>
      <c r="G111" s="4" t="s">
        <v>6297</v>
      </c>
      <c r="H111" s="5" t="s">
        <v>3356</v>
      </c>
      <c r="I111" s="5" t="s">
        <v>3356</v>
      </c>
      <c r="J111" s="4" t="s">
        <v>3356</v>
      </c>
      <c r="L111" s="1" t="s">
        <v>6135</v>
      </c>
    </row>
    <row r="112" spans="1:12">
      <c r="A112" s="3" t="s">
        <v>3356</v>
      </c>
      <c r="C112" s="4" t="s">
        <v>3817</v>
      </c>
      <c r="D112" s="4" t="s">
        <v>3001</v>
      </c>
      <c r="E112" s="4" t="s">
        <v>3267</v>
      </c>
      <c r="F112" s="4" t="s">
        <v>3484</v>
      </c>
      <c r="G112" s="4" t="s">
        <v>8169</v>
      </c>
      <c r="H112" s="5" t="s">
        <v>3356</v>
      </c>
      <c r="I112" s="5" t="s">
        <v>3356</v>
      </c>
      <c r="J112" s="4" t="s">
        <v>3356</v>
      </c>
      <c r="L112" s="1" t="s">
        <v>6135</v>
      </c>
    </row>
    <row r="113" spans="1:12">
      <c r="A113" s="3" t="s">
        <v>3356</v>
      </c>
      <c r="C113" s="4" t="s">
        <v>3817</v>
      </c>
      <c r="D113" s="4" t="s">
        <v>3001</v>
      </c>
      <c r="E113" s="4" t="s">
        <v>3951</v>
      </c>
      <c r="F113" s="4" t="s">
        <v>5766</v>
      </c>
      <c r="G113" s="4" t="s">
        <v>8269</v>
      </c>
      <c r="H113" s="5">
        <v>3.5440680443502757</v>
      </c>
      <c r="I113" s="5">
        <v>3500</v>
      </c>
      <c r="J113" s="4" t="s">
        <v>6736</v>
      </c>
      <c r="L113" s="1" t="s">
        <v>6135</v>
      </c>
    </row>
    <row r="114" spans="1:12">
      <c r="A114" s="3" t="s">
        <v>3356</v>
      </c>
      <c r="C114" s="4" t="s">
        <v>3817</v>
      </c>
      <c r="D114" s="4" t="s">
        <v>3001</v>
      </c>
      <c r="E114" s="4" t="s">
        <v>3951</v>
      </c>
      <c r="F114" s="4" t="s">
        <v>8270</v>
      </c>
      <c r="G114" s="4" t="s">
        <v>7469</v>
      </c>
      <c r="H114" s="5">
        <v>3.1760912590556813</v>
      </c>
      <c r="I114" s="5">
        <v>1500</v>
      </c>
      <c r="J114" s="4" t="s">
        <v>6736</v>
      </c>
      <c r="L114" s="1" t="s">
        <v>6135</v>
      </c>
    </row>
    <row r="115" spans="1:12">
      <c r="A115" s="3" t="s">
        <v>3356</v>
      </c>
      <c r="C115" s="4" t="s">
        <v>3817</v>
      </c>
      <c r="D115" s="4" t="s">
        <v>3001</v>
      </c>
      <c r="E115" s="4" t="s">
        <v>3951</v>
      </c>
      <c r="F115" s="4" t="s">
        <v>8270</v>
      </c>
      <c r="G115" s="4" t="s">
        <v>6099</v>
      </c>
      <c r="H115" s="5">
        <v>3.8129133566428557</v>
      </c>
      <c r="I115" s="5">
        <v>6500</v>
      </c>
      <c r="J115" s="4" t="s">
        <v>6736</v>
      </c>
      <c r="L115" s="1" t="s">
        <v>6135</v>
      </c>
    </row>
    <row r="116" spans="1:12">
      <c r="A116" s="3" t="s">
        <v>3356</v>
      </c>
      <c r="C116" s="4" t="s">
        <v>3817</v>
      </c>
      <c r="D116" s="4" t="s">
        <v>3954</v>
      </c>
      <c r="E116" s="4" t="s">
        <v>3955</v>
      </c>
      <c r="F116" s="4" t="s">
        <v>5969</v>
      </c>
      <c r="G116" s="4" t="s">
        <v>3092</v>
      </c>
      <c r="H116" s="5">
        <v>4.2304489213782741</v>
      </c>
      <c r="I116" s="5">
        <v>17000</v>
      </c>
      <c r="J116" s="4" t="s">
        <v>6736</v>
      </c>
      <c r="L116" s="1" t="s">
        <v>6135</v>
      </c>
    </row>
    <row r="117" spans="1:12">
      <c r="A117" s="3" t="s">
        <v>3356</v>
      </c>
      <c r="C117" s="4" t="s">
        <v>3817</v>
      </c>
      <c r="D117" s="4" t="s">
        <v>3954</v>
      </c>
      <c r="E117" s="4" t="s">
        <v>3955</v>
      </c>
      <c r="F117" s="4" t="s">
        <v>3348</v>
      </c>
      <c r="G117" s="4" t="s">
        <v>3789</v>
      </c>
      <c r="H117" s="5" t="s">
        <v>3356</v>
      </c>
      <c r="I117" s="5" t="s">
        <v>3356</v>
      </c>
      <c r="J117" s="4" t="s">
        <v>3356</v>
      </c>
      <c r="L117" s="1" t="s">
        <v>6135</v>
      </c>
    </row>
    <row r="118" spans="1:12">
      <c r="A118" s="3" t="s">
        <v>3356</v>
      </c>
      <c r="C118" s="4" t="s">
        <v>3817</v>
      </c>
      <c r="D118" s="4" t="s">
        <v>3954</v>
      </c>
      <c r="E118" s="4" t="s">
        <v>3955</v>
      </c>
      <c r="F118" s="4" t="s">
        <v>5970</v>
      </c>
      <c r="G118" s="4" t="s">
        <v>6110</v>
      </c>
      <c r="H118" s="5">
        <v>3.7781512503836434</v>
      </c>
      <c r="I118" s="5">
        <v>6000</v>
      </c>
      <c r="J118" s="4" t="s">
        <v>6736</v>
      </c>
      <c r="L118" s="1" t="s">
        <v>6135</v>
      </c>
    </row>
    <row r="119" spans="1:12">
      <c r="A119" s="3" t="s">
        <v>3356</v>
      </c>
      <c r="C119" s="4" t="s">
        <v>3817</v>
      </c>
      <c r="D119" s="4" t="s">
        <v>3954</v>
      </c>
      <c r="E119" s="4" t="s">
        <v>3955</v>
      </c>
      <c r="F119" s="4" t="s">
        <v>2330</v>
      </c>
      <c r="G119" s="4" t="s">
        <v>5770</v>
      </c>
      <c r="H119" s="5">
        <v>3.1760912590556813</v>
      </c>
      <c r="I119" s="5">
        <v>1500</v>
      </c>
      <c r="J119" s="4" t="s">
        <v>6736</v>
      </c>
      <c r="L119" s="1" t="s">
        <v>6135</v>
      </c>
    </row>
    <row r="120" spans="1:12">
      <c r="A120" s="3" t="s">
        <v>3356</v>
      </c>
      <c r="C120" s="4" t="s">
        <v>3817</v>
      </c>
      <c r="D120" s="4" t="s">
        <v>3954</v>
      </c>
      <c r="E120" s="4" t="s">
        <v>3955</v>
      </c>
      <c r="F120" s="4" t="s">
        <v>4544</v>
      </c>
      <c r="G120" s="4" t="s">
        <v>6178</v>
      </c>
      <c r="H120" s="5" t="s">
        <v>3356</v>
      </c>
      <c r="I120" s="5" t="s">
        <v>3356</v>
      </c>
      <c r="J120" s="4" t="s">
        <v>3356</v>
      </c>
      <c r="L120" s="1" t="s">
        <v>6135</v>
      </c>
    </row>
    <row r="121" spans="1:12">
      <c r="A121" s="3" t="s">
        <v>3356</v>
      </c>
      <c r="C121" s="4" t="s">
        <v>3817</v>
      </c>
      <c r="D121" s="4" t="s">
        <v>3954</v>
      </c>
      <c r="E121" s="4" t="s">
        <v>3955</v>
      </c>
      <c r="F121" s="4" t="s">
        <v>4544</v>
      </c>
      <c r="G121" s="4" t="s">
        <v>6107</v>
      </c>
      <c r="H121" s="5">
        <v>3</v>
      </c>
      <c r="I121" s="5">
        <v>1000</v>
      </c>
      <c r="J121" s="4" t="s">
        <v>6736</v>
      </c>
      <c r="L121" s="1" t="s">
        <v>6135</v>
      </c>
    </row>
    <row r="122" spans="1:12">
      <c r="A122" s="3" t="s">
        <v>3356</v>
      </c>
      <c r="C122" s="4" t="s">
        <v>3817</v>
      </c>
      <c r="D122" s="4" t="s">
        <v>3954</v>
      </c>
      <c r="E122" s="4" t="s">
        <v>3955</v>
      </c>
      <c r="F122" s="4" t="s">
        <v>4544</v>
      </c>
      <c r="G122" s="4" t="s">
        <v>3349</v>
      </c>
      <c r="H122" s="5" t="s">
        <v>3356</v>
      </c>
      <c r="I122" s="5" t="s">
        <v>3356</v>
      </c>
      <c r="J122" s="4" t="s">
        <v>3356</v>
      </c>
      <c r="L122" s="1" t="s">
        <v>6135</v>
      </c>
    </row>
    <row r="123" spans="1:12">
      <c r="A123" s="3" t="s">
        <v>3356</v>
      </c>
      <c r="C123" s="4" t="s">
        <v>3817</v>
      </c>
      <c r="D123" s="4" t="s">
        <v>3954</v>
      </c>
      <c r="E123" s="4" t="s">
        <v>3955</v>
      </c>
      <c r="F123" s="4" t="s">
        <v>4544</v>
      </c>
      <c r="G123" s="4" t="s">
        <v>6494</v>
      </c>
      <c r="H123" s="5" t="s">
        <v>3356</v>
      </c>
      <c r="I123" s="5" t="s">
        <v>3356</v>
      </c>
      <c r="J123" s="4" t="s">
        <v>3356</v>
      </c>
      <c r="L123" s="1" t="s">
        <v>6135</v>
      </c>
    </row>
    <row r="124" spans="1:12">
      <c r="A124" s="3" t="s">
        <v>3356</v>
      </c>
      <c r="C124" s="4" t="s">
        <v>3817</v>
      </c>
      <c r="D124" s="4" t="s">
        <v>3954</v>
      </c>
      <c r="E124" s="4" t="s">
        <v>7321</v>
      </c>
      <c r="F124" s="4" t="s">
        <v>5971</v>
      </c>
      <c r="G124" s="4" t="s">
        <v>6495</v>
      </c>
      <c r="H124" s="5" t="s">
        <v>3356</v>
      </c>
      <c r="I124" s="5" t="s">
        <v>3356</v>
      </c>
      <c r="J124" s="4" t="s">
        <v>3356</v>
      </c>
      <c r="L124" s="1" t="s">
        <v>6135</v>
      </c>
    </row>
    <row r="125" spans="1:12">
      <c r="A125" s="3" t="s">
        <v>3356</v>
      </c>
      <c r="C125" s="4" t="s">
        <v>3817</v>
      </c>
      <c r="D125" s="4" t="s">
        <v>3954</v>
      </c>
      <c r="E125" s="4" t="s">
        <v>7321</v>
      </c>
      <c r="F125" s="4" t="s">
        <v>5971</v>
      </c>
      <c r="G125" s="4" t="s">
        <v>2133</v>
      </c>
      <c r="H125" s="5">
        <v>4.0791812460476251</v>
      </c>
      <c r="I125" s="5">
        <v>12000</v>
      </c>
      <c r="J125" s="4" t="s">
        <v>6736</v>
      </c>
      <c r="L125" s="1" t="s">
        <v>6135</v>
      </c>
    </row>
    <row r="126" spans="1:12">
      <c r="A126" s="3" t="s">
        <v>3356</v>
      </c>
      <c r="C126" s="4" t="s">
        <v>3817</v>
      </c>
      <c r="D126" s="4" t="s">
        <v>3954</v>
      </c>
      <c r="E126" s="4" t="s">
        <v>7321</v>
      </c>
      <c r="F126" s="4" t="s">
        <v>4839</v>
      </c>
      <c r="G126" s="4" t="s">
        <v>3542</v>
      </c>
      <c r="H126" s="5" t="s">
        <v>3356</v>
      </c>
      <c r="I126" s="5" t="s">
        <v>3356</v>
      </c>
      <c r="J126" s="4" t="s">
        <v>3356</v>
      </c>
      <c r="L126" s="1" t="s">
        <v>6135</v>
      </c>
    </row>
    <row r="127" spans="1:12">
      <c r="A127" s="3" t="s">
        <v>3356</v>
      </c>
      <c r="C127" s="4" t="s">
        <v>3817</v>
      </c>
      <c r="D127" s="4" t="s">
        <v>3954</v>
      </c>
      <c r="E127" s="4" t="s">
        <v>7321</v>
      </c>
      <c r="F127" s="4" t="s">
        <v>7379</v>
      </c>
      <c r="G127" s="4" t="s">
        <v>5972</v>
      </c>
      <c r="H127" s="5">
        <v>4.3617278360175931</v>
      </c>
      <c r="I127" s="5">
        <v>23000</v>
      </c>
      <c r="J127" s="4" t="s">
        <v>6736</v>
      </c>
      <c r="L127" s="1" t="s">
        <v>6135</v>
      </c>
    </row>
    <row r="128" spans="1:12">
      <c r="A128" s="3" t="s">
        <v>3356</v>
      </c>
      <c r="C128" s="4" t="s">
        <v>3817</v>
      </c>
      <c r="D128" s="4" t="s">
        <v>3954</v>
      </c>
      <c r="E128" s="4" t="s">
        <v>7321</v>
      </c>
      <c r="F128" s="4" t="s">
        <v>7379</v>
      </c>
      <c r="G128" s="4" t="s">
        <v>5778</v>
      </c>
      <c r="H128" s="5">
        <v>3.9731278535996988</v>
      </c>
      <c r="I128" s="5">
        <v>9400</v>
      </c>
      <c r="J128" s="4" t="s">
        <v>6736</v>
      </c>
      <c r="L128" s="1" t="s">
        <v>6135</v>
      </c>
    </row>
    <row r="129" spans="1:12">
      <c r="A129" s="3" t="s">
        <v>3356</v>
      </c>
      <c r="C129" s="4" t="s">
        <v>3817</v>
      </c>
      <c r="D129" s="4" t="s">
        <v>3954</v>
      </c>
      <c r="E129" s="4" t="s">
        <v>7321</v>
      </c>
      <c r="F129" s="4" t="s">
        <v>5779</v>
      </c>
      <c r="G129" s="4" t="s">
        <v>5328</v>
      </c>
      <c r="H129" s="5">
        <v>4.3010299956639813</v>
      </c>
      <c r="I129" s="5">
        <v>20000</v>
      </c>
      <c r="J129" s="4" t="s">
        <v>6736</v>
      </c>
      <c r="L129" s="1" t="s">
        <v>6135</v>
      </c>
    </row>
    <row r="130" spans="1:12">
      <c r="A130" s="3" t="s">
        <v>3356</v>
      </c>
      <c r="C130" s="4" t="s">
        <v>3817</v>
      </c>
      <c r="D130" s="4" t="s">
        <v>3954</v>
      </c>
      <c r="E130" s="4" t="s">
        <v>7321</v>
      </c>
      <c r="F130" s="4" t="s">
        <v>5408</v>
      </c>
      <c r="G130" s="4" t="s">
        <v>5374</v>
      </c>
      <c r="H130" s="5">
        <v>3.5440680443502757</v>
      </c>
      <c r="I130" s="5">
        <v>3500</v>
      </c>
      <c r="J130" s="4" t="s">
        <v>6736</v>
      </c>
      <c r="L130" s="1" t="s">
        <v>6135</v>
      </c>
    </row>
    <row r="131" spans="1:12">
      <c r="A131" s="3" t="s">
        <v>3356</v>
      </c>
      <c r="C131" s="4" t="s">
        <v>3817</v>
      </c>
      <c r="D131" s="4" t="s">
        <v>3954</v>
      </c>
      <c r="E131" s="4" t="s">
        <v>7321</v>
      </c>
      <c r="F131" s="4" t="s">
        <v>4860</v>
      </c>
      <c r="G131" s="4" t="s">
        <v>5375</v>
      </c>
      <c r="H131" s="5">
        <v>5.3010299956639813</v>
      </c>
      <c r="I131" s="5">
        <v>200000</v>
      </c>
      <c r="J131" s="4" t="s">
        <v>6736</v>
      </c>
      <c r="L131" s="1" t="s">
        <v>6135</v>
      </c>
    </row>
    <row r="132" spans="1:12">
      <c r="A132" s="3" t="s">
        <v>3356</v>
      </c>
      <c r="C132" s="4" t="s">
        <v>3817</v>
      </c>
      <c r="D132" s="4" t="s">
        <v>3954</v>
      </c>
      <c r="E132" s="4" t="s">
        <v>7321</v>
      </c>
      <c r="F132" s="4" t="s">
        <v>3543</v>
      </c>
      <c r="G132" s="4" t="s">
        <v>7941</v>
      </c>
      <c r="H132" s="5" t="s">
        <v>3356</v>
      </c>
      <c r="I132" s="5" t="s">
        <v>3356</v>
      </c>
      <c r="J132" s="4" t="s">
        <v>3356</v>
      </c>
      <c r="L132" s="1" t="s">
        <v>6135</v>
      </c>
    </row>
    <row r="133" spans="1:12">
      <c r="A133" s="3" t="s">
        <v>3356</v>
      </c>
      <c r="C133" s="4" t="s">
        <v>3817</v>
      </c>
      <c r="D133" s="4" t="s">
        <v>3954</v>
      </c>
      <c r="E133" s="4" t="s">
        <v>7321</v>
      </c>
      <c r="F133" s="4" t="s">
        <v>6118</v>
      </c>
      <c r="G133" s="4" t="s">
        <v>6178</v>
      </c>
      <c r="H133" s="5">
        <v>3.6989700043360187</v>
      </c>
      <c r="I133" s="5">
        <v>5000</v>
      </c>
      <c r="J133" s="4" t="s">
        <v>6736</v>
      </c>
      <c r="L133" s="1" t="s">
        <v>6135</v>
      </c>
    </row>
    <row r="134" spans="1:12">
      <c r="A134" s="3" t="s">
        <v>3356</v>
      </c>
      <c r="C134" s="4" t="s">
        <v>3817</v>
      </c>
      <c r="D134" s="4" t="s">
        <v>3954</v>
      </c>
      <c r="E134" s="4" t="s">
        <v>7321</v>
      </c>
      <c r="F134" s="4" t="s">
        <v>6118</v>
      </c>
      <c r="G134" s="4" t="s">
        <v>7296</v>
      </c>
      <c r="H134" s="5" t="s">
        <v>3356</v>
      </c>
      <c r="I134" s="5" t="s">
        <v>3356</v>
      </c>
      <c r="J134" s="4" t="s">
        <v>3356</v>
      </c>
      <c r="L134" s="1" t="s">
        <v>6135</v>
      </c>
    </row>
    <row r="135" spans="1:12">
      <c r="A135" s="3" t="s">
        <v>3356</v>
      </c>
      <c r="C135" s="4" t="s">
        <v>3817</v>
      </c>
      <c r="D135" s="4" t="s">
        <v>3954</v>
      </c>
      <c r="E135" s="4" t="s">
        <v>7321</v>
      </c>
      <c r="F135" s="4" t="s">
        <v>6118</v>
      </c>
      <c r="G135" s="4" t="s">
        <v>6119</v>
      </c>
      <c r="H135" s="5">
        <v>3.1303337684950061</v>
      </c>
      <c r="I135" s="5">
        <v>1350</v>
      </c>
      <c r="J135" s="4" t="s">
        <v>6736</v>
      </c>
      <c r="L135" s="1" t="s">
        <v>6135</v>
      </c>
    </row>
    <row r="136" spans="1:12">
      <c r="A136" s="3" t="s">
        <v>3356</v>
      </c>
      <c r="C136" s="4" t="s">
        <v>3817</v>
      </c>
      <c r="D136" s="4" t="s">
        <v>3954</v>
      </c>
      <c r="E136" s="4" t="s">
        <v>7321</v>
      </c>
      <c r="F136" s="4" t="s">
        <v>6118</v>
      </c>
      <c r="G136" s="4" t="s">
        <v>3935</v>
      </c>
      <c r="H136" s="5">
        <v>4.0413926851582254</v>
      </c>
      <c r="I136" s="5">
        <v>11000</v>
      </c>
      <c r="J136" s="4" t="s">
        <v>6736</v>
      </c>
      <c r="L136" s="1" t="s">
        <v>6135</v>
      </c>
    </row>
    <row r="137" spans="1:12">
      <c r="A137" s="3" t="s">
        <v>3356</v>
      </c>
      <c r="C137" s="4" t="s">
        <v>3817</v>
      </c>
      <c r="D137" s="4" t="s">
        <v>3954</v>
      </c>
      <c r="E137" s="4" t="s">
        <v>7321</v>
      </c>
      <c r="F137" s="4" t="s">
        <v>6120</v>
      </c>
      <c r="G137" s="4" t="s">
        <v>4960</v>
      </c>
      <c r="H137" s="5">
        <v>4.6989700043360187</v>
      </c>
      <c r="I137" s="5">
        <v>50000</v>
      </c>
      <c r="J137" s="4" t="s">
        <v>6736</v>
      </c>
      <c r="L137" s="1" t="s">
        <v>6135</v>
      </c>
    </row>
    <row r="138" spans="1:12">
      <c r="A138" s="3" t="s">
        <v>3356</v>
      </c>
      <c r="C138" s="4" t="s">
        <v>3817</v>
      </c>
      <c r="D138" s="4" t="s">
        <v>3954</v>
      </c>
      <c r="E138" s="4" t="s">
        <v>4180</v>
      </c>
      <c r="F138" s="4" t="s">
        <v>4183</v>
      </c>
      <c r="G138" s="4" t="s">
        <v>4056</v>
      </c>
      <c r="H138" s="5" t="s">
        <v>3356</v>
      </c>
      <c r="I138" s="5" t="s">
        <v>3356</v>
      </c>
      <c r="J138" s="4" t="s">
        <v>3356</v>
      </c>
      <c r="L138" s="1" t="s">
        <v>6135</v>
      </c>
    </row>
    <row r="139" spans="1:12">
      <c r="A139" s="3" t="s">
        <v>3356</v>
      </c>
      <c r="C139" s="4" t="s">
        <v>3817</v>
      </c>
      <c r="D139" s="4" t="s">
        <v>3954</v>
      </c>
      <c r="E139" s="4" t="s">
        <v>4180</v>
      </c>
      <c r="F139" s="4" t="s">
        <v>7092</v>
      </c>
      <c r="G139" s="4" t="s">
        <v>3547</v>
      </c>
      <c r="H139" s="5" t="s">
        <v>3356</v>
      </c>
      <c r="I139" s="5" t="s">
        <v>3356</v>
      </c>
      <c r="J139" s="4" t="s">
        <v>3356</v>
      </c>
      <c r="L139" s="1" t="s">
        <v>6135</v>
      </c>
    </row>
    <row r="140" spans="1:12">
      <c r="A140" s="3" t="s">
        <v>3356</v>
      </c>
      <c r="C140" s="4" t="s">
        <v>3817</v>
      </c>
      <c r="D140" s="4" t="s">
        <v>3954</v>
      </c>
      <c r="E140" s="4" t="s">
        <v>4180</v>
      </c>
      <c r="F140" s="4" t="s">
        <v>7092</v>
      </c>
      <c r="G140" s="4" t="s">
        <v>3995</v>
      </c>
      <c r="H140" s="5" t="s">
        <v>3356</v>
      </c>
      <c r="I140" s="5" t="s">
        <v>3356</v>
      </c>
      <c r="J140" s="4" t="s">
        <v>3356</v>
      </c>
      <c r="L140" s="1" t="s">
        <v>6135</v>
      </c>
    </row>
    <row r="141" spans="1:12">
      <c r="A141" s="3" t="s">
        <v>3356</v>
      </c>
      <c r="C141" s="4" t="s">
        <v>3817</v>
      </c>
      <c r="D141" s="4" t="s">
        <v>3954</v>
      </c>
      <c r="E141" s="4" t="s">
        <v>4180</v>
      </c>
      <c r="F141" s="4" t="s">
        <v>7537</v>
      </c>
      <c r="G141" s="4" t="s">
        <v>7584</v>
      </c>
      <c r="H141" s="5" t="s">
        <v>3356</v>
      </c>
      <c r="I141" s="5" t="s">
        <v>3356</v>
      </c>
      <c r="J141" s="4" t="s">
        <v>3356</v>
      </c>
      <c r="L141" s="1" t="s">
        <v>6135</v>
      </c>
    </row>
    <row r="142" spans="1:12">
      <c r="A142" s="3" t="s">
        <v>3356</v>
      </c>
      <c r="C142" s="4" t="s">
        <v>3817</v>
      </c>
      <c r="D142" s="4" t="s">
        <v>3954</v>
      </c>
      <c r="E142" s="4" t="s">
        <v>4180</v>
      </c>
      <c r="F142" s="4" t="s">
        <v>7537</v>
      </c>
      <c r="G142" s="4" t="s">
        <v>3000</v>
      </c>
      <c r="H142" s="5" t="s">
        <v>3356</v>
      </c>
      <c r="I142" s="5" t="s">
        <v>3356</v>
      </c>
      <c r="J142" s="4" t="s">
        <v>3356</v>
      </c>
      <c r="L142" s="1" t="s">
        <v>6135</v>
      </c>
    </row>
    <row r="143" spans="1:12">
      <c r="A143" s="3" t="s">
        <v>3356</v>
      </c>
      <c r="C143" s="4" t="s">
        <v>3817</v>
      </c>
      <c r="D143" s="4" t="s">
        <v>3954</v>
      </c>
      <c r="E143" s="4" t="s">
        <v>4180</v>
      </c>
      <c r="F143" s="4" t="s">
        <v>5115</v>
      </c>
      <c r="G143" s="4" t="s">
        <v>2076</v>
      </c>
      <c r="H143" s="5">
        <v>2.9030899869919438</v>
      </c>
      <c r="I143" s="5">
        <v>800</v>
      </c>
      <c r="J143" s="4" t="s">
        <v>6736</v>
      </c>
      <c r="L143" s="1" t="s">
        <v>6135</v>
      </c>
    </row>
    <row r="144" spans="1:12">
      <c r="A144" s="3" t="s">
        <v>3356</v>
      </c>
      <c r="C144" s="4" t="s">
        <v>3817</v>
      </c>
      <c r="D144" s="4" t="s">
        <v>3954</v>
      </c>
      <c r="E144" s="4" t="s">
        <v>4180</v>
      </c>
      <c r="F144" s="4" t="s">
        <v>8193</v>
      </c>
      <c r="G144" s="4" t="s">
        <v>7921</v>
      </c>
      <c r="H144" s="5" t="s">
        <v>3356</v>
      </c>
      <c r="I144" s="5" t="s">
        <v>3356</v>
      </c>
      <c r="J144" s="4" t="s">
        <v>3356</v>
      </c>
      <c r="L144" s="1" t="s">
        <v>6135</v>
      </c>
    </row>
    <row r="145" spans="1:12">
      <c r="A145" s="3" t="s">
        <v>3356</v>
      </c>
      <c r="C145" s="4" t="s">
        <v>3817</v>
      </c>
      <c r="D145" s="4" t="s">
        <v>3954</v>
      </c>
      <c r="E145" s="4" t="s">
        <v>4180</v>
      </c>
      <c r="F145" s="4" t="s">
        <v>8193</v>
      </c>
      <c r="G145" s="4" t="s">
        <v>3136</v>
      </c>
      <c r="H145" s="5" t="s">
        <v>3356</v>
      </c>
      <c r="I145" s="5" t="s">
        <v>3356</v>
      </c>
      <c r="J145" s="4" t="s">
        <v>3356</v>
      </c>
      <c r="L145" s="1" t="s">
        <v>6135</v>
      </c>
    </row>
    <row r="146" spans="1:12">
      <c r="A146" s="3" t="s">
        <v>3356</v>
      </c>
      <c r="C146" s="4" t="s">
        <v>3817</v>
      </c>
      <c r="D146" s="4" t="s">
        <v>3954</v>
      </c>
      <c r="E146" s="4" t="s">
        <v>4180</v>
      </c>
      <c r="F146" s="4" t="s">
        <v>7086</v>
      </c>
      <c r="G146" s="4" t="s">
        <v>2207</v>
      </c>
      <c r="H146" s="5" t="s">
        <v>3356</v>
      </c>
      <c r="I146" s="5" t="s">
        <v>3356</v>
      </c>
      <c r="J146" s="4" t="s">
        <v>3356</v>
      </c>
      <c r="L146" s="1" t="s">
        <v>6135</v>
      </c>
    </row>
    <row r="147" spans="1:12">
      <c r="A147" s="3" t="s">
        <v>3356</v>
      </c>
      <c r="C147" s="4" t="s">
        <v>3817</v>
      </c>
      <c r="D147" s="4" t="s">
        <v>3954</v>
      </c>
      <c r="E147" s="4" t="s">
        <v>4180</v>
      </c>
      <c r="F147" s="4" t="s">
        <v>7086</v>
      </c>
      <c r="G147" s="4" t="s">
        <v>4656</v>
      </c>
      <c r="H147" s="5" t="s">
        <v>3356</v>
      </c>
      <c r="I147" s="5" t="s">
        <v>3356</v>
      </c>
      <c r="J147" s="4" t="s">
        <v>3356</v>
      </c>
      <c r="L147" s="1" t="s">
        <v>6135</v>
      </c>
    </row>
    <row r="148" spans="1:12">
      <c r="A148" s="3" t="s">
        <v>3356</v>
      </c>
      <c r="C148" s="4" t="s">
        <v>3817</v>
      </c>
      <c r="D148" s="4" t="s">
        <v>3954</v>
      </c>
      <c r="E148" s="4" t="s">
        <v>4180</v>
      </c>
      <c r="F148" s="4" t="s">
        <v>7086</v>
      </c>
      <c r="G148" s="4" t="s">
        <v>7469</v>
      </c>
      <c r="H148" s="5">
        <v>3</v>
      </c>
      <c r="I148" s="5">
        <v>1000</v>
      </c>
      <c r="J148" s="4" t="s">
        <v>6736</v>
      </c>
      <c r="L148" s="1" t="s">
        <v>6135</v>
      </c>
    </row>
    <row r="149" spans="1:12">
      <c r="A149" s="3" t="s">
        <v>3356</v>
      </c>
      <c r="C149" s="4" t="s">
        <v>3817</v>
      </c>
      <c r="D149" s="4" t="s">
        <v>3954</v>
      </c>
      <c r="E149" s="4" t="s">
        <v>4180</v>
      </c>
      <c r="F149" s="4" t="s">
        <v>7086</v>
      </c>
      <c r="G149" s="4" t="s">
        <v>2182</v>
      </c>
      <c r="H149" s="5" t="s">
        <v>3356</v>
      </c>
      <c r="I149" s="5" t="s">
        <v>3356</v>
      </c>
      <c r="J149" s="4" t="s">
        <v>3356</v>
      </c>
      <c r="L149" s="1" t="s">
        <v>6135</v>
      </c>
    </row>
    <row r="150" spans="1:12">
      <c r="A150" s="3" t="s">
        <v>3356</v>
      </c>
      <c r="C150" s="4" t="s">
        <v>3817</v>
      </c>
      <c r="D150" s="4" t="s">
        <v>3954</v>
      </c>
      <c r="E150" s="4" t="s">
        <v>4180</v>
      </c>
      <c r="F150" s="4" t="s">
        <v>7086</v>
      </c>
      <c r="G150" s="4" t="s">
        <v>2997</v>
      </c>
      <c r="H150" s="5" t="s">
        <v>3356</v>
      </c>
      <c r="I150" s="5" t="s">
        <v>3356</v>
      </c>
      <c r="J150" s="4" t="s">
        <v>3356</v>
      </c>
      <c r="L150" s="1" t="s">
        <v>6135</v>
      </c>
    </row>
    <row r="151" spans="1:12">
      <c r="A151" s="3" t="s">
        <v>3356</v>
      </c>
      <c r="C151" s="4" t="s">
        <v>3817</v>
      </c>
      <c r="D151" s="4" t="s">
        <v>3954</v>
      </c>
      <c r="E151" s="4" t="s">
        <v>4180</v>
      </c>
      <c r="F151" s="4" t="s">
        <v>7086</v>
      </c>
      <c r="G151" s="4" t="s">
        <v>4168</v>
      </c>
      <c r="H151" s="5" t="s">
        <v>3356</v>
      </c>
      <c r="I151" s="5" t="s">
        <v>3356</v>
      </c>
      <c r="J151" s="4" t="s">
        <v>3356</v>
      </c>
      <c r="L151" s="1" t="s">
        <v>6135</v>
      </c>
    </row>
    <row r="152" spans="1:12">
      <c r="A152" s="3" t="s">
        <v>3356</v>
      </c>
      <c r="C152" s="4" t="s">
        <v>3817</v>
      </c>
      <c r="D152" s="4" t="s">
        <v>3954</v>
      </c>
      <c r="E152" s="4" t="s">
        <v>4180</v>
      </c>
      <c r="F152" s="4" t="s">
        <v>7086</v>
      </c>
      <c r="G152" s="4" t="s">
        <v>8195</v>
      </c>
      <c r="H152" s="5" t="s">
        <v>3356</v>
      </c>
      <c r="I152" s="5" t="s">
        <v>3356</v>
      </c>
      <c r="J152" s="4" t="s">
        <v>3356</v>
      </c>
      <c r="L152" s="1" t="s">
        <v>6135</v>
      </c>
    </row>
    <row r="153" spans="1:12">
      <c r="A153" s="3" t="s">
        <v>3356</v>
      </c>
      <c r="C153" s="4" t="s">
        <v>3817</v>
      </c>
      <c r="D153" s="4" t="s">
        <v>3954</v>
      </c>
      <c r="E153" s="4" t="s">
        <v>4180</v>
      </c>
      <c r="F153" s="4" t="s">
        <v>7086</v>
      </c>
      <c r="G153" s="4" t="s">
        <v>8161</v>
      </c>
      <c r="H153" s="5" t="s">
        <v>3356</v>
      </c>
      <c r="I153" s="5" t="s">
        <v>3356</v>
      </c>
      <c r="J153" s="4" t="s">
        <v>3356</v>
      </c>
      <c r="L153" s="1" t="s">
        <v>6135</v>
      </c>
    </row>
    <row r="154" spans="1:12">
      <c r="A154" s="3" t="s">
        <v>3356</v>
      </c>
      <c r="C154" s="4" t="s">
        <v>3817</v>
      </c>
      <c r="D154" s="4" t="s">
        <v>3954</v>
      </c>
      <c r="E154" s="4" t="s">
        <v>4180</v>
      </c>
      <c r="F154" s="4" t="s">
        <v>3973</v>
      </c>
      <c r="G154" s="4" t="s">
        <v>4900</v>
      </c>
      <c r="H154" s="5">
        <v>3.1760912590556813</v>
      </c>
      <c r="I154" s="5">
        <v>1500</v>
      </c>
      <c r="J154" s="4" t="s">
        <v>6736</v>
      </c>
      <c r="L154" s="1" t="s">
        <v>6135</v>
      </c>
    </row>
    <row r="155" spans="1:12">
      <c r="A155" s="3" t="s">
        <v>3356</v>
      </c>
      <c r="C155" s="4" t="s">
        <v>3817</v>
      </c>
      <c r="D155" s="4" t="s">
        <v>3954</v>
      </c>
      <c r="E155" s="4" t="s">
        <v>4180</v>
      </c>
      <c r="F155" s="4" t="s">
        <v>8282</v>
      </c>
      <c r="G155" s="4" t="s">
        <v>5552</v>
      </c>
      <c r="H155" s="5">
        <v>2.8129133566428557</v>
      </c>
      <c r="I155" s="5">
        <v>650</v>
      </c>
      <c r="J155" s="4" t="s">
        <v>6736</v>
      </c>
      <c r="L155" s="1" t="s">
        <v>6135</v>
      </c>
    </row>
    <row r="156" spans="1:12">
      <c r="A156" s="3" t="s">
        <v>3356</v>
      </c>
      <c r="C156" s="4" t="s">
        <v>3817</v>
      </c>
      <c r="D156" s="4" t="s">
        <v>3954</v>
      </c>
      <c r="E156" s="4" t="s">
        <v>4180</v>
      </c>
      <c r="F156" s="4" t="s">
        <v>3546</v>
      </c>
      <c r="G156" s="4" t="s">
        <v>3569</v>
      </c>
      <c r="H156" s="5" t="s">
        <v>3356</v>
      </c>
      <c r="I156" s="5" t="s">
        <v>3356</v>
      </c>
      <c r="J156" s="4" t="s">
        <v>3356</v>
      </c>
      <c r="L156" s="1" t="s">
        <v>6135</v>
      </c>
    </row>
    <row r="157" spans="1:12">
      <c r="A157" s="3" t="s">
        <v>3356</v>
      </c>
      <c r="C157" s="4" t="s">
        <v>3817</v>
      </c>
      <c r="D157" s="4" t="s">
        <v>3954</v>
      </c>
      <c r="E157" s="4" t="s">
        <v>4257</v>
      </c>
      <c r="F157" s="4" t="s">
        <v>6668</v>
      </c>
      <c r="G157" s="4" t="s">
        <v>4485</v>
      </c>
      <c r="H157" s="5" t="s">
        <v>3356</v>
      </c>
      <c r="I157" s="5" t="s">
        <v>3356</v>
      </c>
      <c r="J157" s="4" t="s">
        <v>3356</v>
      </c>
      <c r="L157" s="1" t="s">
        <v>6135</v>
      </c>
    </row>
    <row r="158" spans="1:12">
      <c r="A158" s="3" t="s">
        <v>3356</v>
      </c>
      <c r="C158" s="4" t="s">
        <v>3817</v>
      </c>
      <c r="D158" s="4" t="s">
        <v>3954</v>
      </c>
      <c r="E158" s="4" t="s">
        <v>4257</v>
      </c>
      <c r="F158" s="4" t="s">
        <v>6671</v>
      </c>
      <c r="G158" s="4" t="s">
        <v>4240</v>
      </c>
      <c r="H158" s="5" t="s">
        <v>3356</v>
      </c>
      <c r="I158" s="5" t="s">
        <v>3356</v>
      </c>
      <c r="J158" s="4" t="s">
        <v>3356</v>
      </c>
      <c r="L158" s="1" t="s">
        <v>6135</v>
      </c>
    </row>
    <row r="159" spans="1:12">
      <c r="A159" s="3" t="s">
        <v>3356</v>
      </c>
      <c r="C159" s="4" t="s">
        <v>3817</v>
      </c>
      <c r="D159" s="4" t="s">
        <v>3954</v>
      </c>
      <c r="E159" s="4" t="s">
        <v>4257</v>
      </c>
      <c r="F159" s="4" t="s">
        <v>5329</v>
      </c>
      <c r="G159" s="4" t="s">
        <v>5330</v>
      </c>
      <c r="H159" s="5">
        <v>4.4771212547196626</v>
      </c>
      <c r="I159" s="5">
        <v>30000</v>
      </c>
      <c r="J159" s="4" t="s">
        <v>6736</v>
      </c>
      <c r="L159" s="1" t="s">
        <v>6135</v>
      </c>
    </row>
    <row r="160" spans="1:12">
      <c r="A160" s="3" t="s">
        <v>3356</v>
      </c>
      <c r="C160" s="4" t="s">
        <v>3817</v>
      </c>
      <c r="D160" s="4" t="s">
        <v>3954</v>
      </c>
      <c r="E160" s="4" t="s">
        <v>4257</v>
      </c>
      <c r="F160" s="4" t="s">
        <v>4447</v>
      </c>
      <c r="G160" s="4" t="s">
        <v>6669</v>
      </c>
      <c r="H160" s="5" t="s">
        <v>3356</v>
      </c>
      <c r="I160" s="5" t="s">
        <v>3356</v>
      </c>
      <c r="J160" s="4" t="s">
        <v>3356</v>
      </c>
      <c r="L160" s="1" t="s">
        <v>6135</v>
      </c>
    </row>
    <row r="161" spans="1:12">
      <c r="A161" s="3" t="s">
        <v>3356</v>
      </c>
      <c r="C161" s="4" t="s">
        <v>3817</v>
      </c>
      <c r="D161" s="4" t="s">
        <v>3954</v>
      </c>
      <c r="E161" s="4" t="s">
        <v>4257</v>
      </c>
      <c r="F161" s="4" t="s">
        <v>4480</v>
      </c>
      <c r="G161" s="4" t="s">
        <v>6670</v>
      </c>
      <c r="H161" s="5" t="s">
        <v>3356</v>
      </c>
      <c r="I161" s="5" t="s">
        <v>3356</v>
      </c>
      <c r="J161" s="4" t="s">
        <v>3356</v>
      </c>
      <c r="L161" s="1" t="s">
        <v>6135</v>
      </c>
    </row>
    <row r="162" spans="1:12">
      <c r="A162" s="3" t="s">
        <v>3356</v>
      </c>
      <c r="C162" s="4" t="s">
        <v>3817</v>
      </c>
      <c r="D162" s="4" t="s">
        <v>3954</v>
      </c>
      <c r="E162" s="4" t="s">
        <v>4257</v>
      </c>
      <c r="F162" s="4" t="s">
        <v>5331</v>
      </c>
      <c r="G162" s="4" t="s">
        <v>5370</v>
      </c>
      <c r="H162" s="5">
        <v>3.6989700043360187</v>
      </c>
      <c r="I162" s="5">
        <v>5000</v>
      </c>
      <c r="J162" s="4" t="s">
        <v>6736</v>
      </c>
      <c r="L162" s="1" t="s">
        <v>6135</v>
      </c>
    </row>
    <row r="163" spans="1:12">
      <c r="A163" s="3" t="s">
        <v>3356</v>
      </c>
      <c r="C163" s="4" t="s">
        <v>3817</v>
      </c>
      <c r="D163" s="4" t="s">
        <v>3954</v>
      </c>
      <c r="E163" s="4" t="s">
        <v>4257</v>
      </c>
      <c r="F163" s="4" t="s">
        <v>3828</v>
      </c>
      <c r="G163" s="4" t="s">
        <v>5371</v>
      </c>
      <c r="H163" s="5">
        <v>3.3979400086720375</v>
      </c>
      <c r="I163" s="5">
        <v>2500</v>
      </c>
      <c r="J163" s="4" t="s">
        <v>6736</v>
      </c>
      <c r="L163" s="1" t="s">
        <v>6135</v>
      </c>
    </row>
    <row r="164" spans="1:12">
      <c r="A164" s="3" t="s">
        <v>3356</v>
      </c>
      <c r="C164" s="4" t="s">
        <v>3817</v>
      </c>
      <c r="D164" s="4" t="s">
        <v>3954</v>
      </c>
      <c r="E164" s="4" t="s">
        <v>4257</v>
      </c>
      <c r="F164" s="4" t="s">
        <v>3828</v>
      </c>
      <c r="G164" s="4" t="s">
        <v>6693</v>
      </c>
      <c r="H164" s="5" t="s">
        <v>3356</v>
      </c>
      <c r="I164" s="5" t="s">
        <v>3356</v>
      </c>
      <c r="J164" s="4" t="s">
        <v>3356</v>
      </c>
      <c r="L164" s="1" t="s">
        <v>6135</v>
      </c>
    </row>
    <row r="165" spans="1:12">
      <c r="A165" s="3" t="s">
        <v>3356</v>
      </c>
      <c r="C165" s="4" t="s">
        <v>3817</v>
      </c>
      <c r="D165" s="4" t="s">
        <v>3954</v>
      </c>
      <c r="E165" s="4" t="s">
        <v>4257</v>
      </c>
      <c r="F165" s="4" t="s">
        <v>3828</v>
      </c>
      <c r="G165" s="4" t="s">
        <v>6694</v>
      </c>
      <c r="H165" s="5" t="s">
        <v>3356</v>
      </c>
      <c r="I165" s="5" t="s">
        <v>3356</v>
      </c>
      <c r="J165" s="4" t="s">
        <v>3356</v>
      </c>
      <c r="L165" s="1" t="s">
        <v>6135</v>
      </c>
    </row>
    <row r="166" spans="1:12">
      <c r="A166" s="3" t="s">
        <v>3356</v>
      </c>
      <c r="C166" s="4" t="s">
        <v>3817</v>
      </c>
      <c r="D166" s="4" t="s">
        <v>3954</v>
      </c>
      <c r="E166" s="4" t="s">
        <v>4257</v>
      </c>
      <c r="F166" s="4" t="s">
        <v>3828</v>
      </c>
      <c r="G166" s="4" t="s">
        <v>5652</v>
      </c>
      <c r="H166" s="5">
        <v>3.1139433523068369</v>
      </c>
      <c r="I166" s="5">
        <v>1300</v>
      </c>
      <c r="J166" s="4" t="s">
        <v>6736</v>
      </c>
      <c r="L166" s="1" t="s">
        <v>6135</v>
      </c>
    </row>
    <row r="167" spans="1:12">
      <c r="A167" s="3" t="s">
        <v>3356</v>
      </c>
      <c r="C167" s="4" t="s">
        <v>3817</v>
      </c>
      <c r="D167" s="4" t="s">
        <v>3954</v>
      </c>
      <c r="E167" s="4" t="s">
        <v>4257</v>
      </c>
      <c r="F167" s="4" t="s">
        <v>3828</v>
      </c>
      <c r="G167" s="4" t="s">
        <v>3362</v>
      </c>
      <c r="H167" s="5" t="s">
        <v>3356</v>
      </c>
      <c r="I167" s="5" t="s">
        <v>3356</v>
      </c>
      <c r="J167" s="4" t="s">
        <v>3356</v>
      </c>
      <c r="L167" s="1" t="s">
        <v>6135</v>
      </c>
    </row>
    <row r="168" spans="1:12">
      <c r="A168" s="3" t="s">
        <v>3356</v>
      </c>
      <c r="C168" s="4" t="s">
        <v>3817</v>
      </c>
      <c r="D168" s="4" t="s">
        <v>3954</v>
      </c>
      <c r="E168" s="4" t="s">
        <v>4257</v>
      </c>
      <c r="F168" s="4" t="s">
        <v>3828</v>
      </c>
      <c r="G168" s="4" t="s">
        <v>6117</v>
      </c>
      <c r="H168" s="5">
        <v>3.0413926851582249</v>
      </c>
      <c r="I168" s="5">
        <v>1100</v>
      </c>
      <c r="J168" s="4" t="s">
        <v>6736</v>
      </c>
      <c r="L168" s="1" t="s">
        <v>6135</v>
      </c>
    </row>
    <row r="169" spans="1:12">
      <c r="A169" s="3" t="s">
        <v>3356</v>
      </c>
      <c r="C169" s="4" t="s">
        <v>3817</v>
      </c>
      <c r="D169" s="4" t="s">
        <v>3954</v>
      </c>
      <c r="E169" s="4" t="s">
        <v>4257</v>
      </c>
      <c r="F169" s="4" t="s">
        <v>3703</v>
      </c>
      <c r="G169" s="4" t="s">
        <v>3704</v>
      </c>
      <c r="H169" s="5">
        <v>4.1139433523068369</v>
      </c>
      <c r="I169" s="5">
        <v>13000</v>
      </c>
      <c r="J169" s="4" t="s">
        <v>6736</v>
      </c>
      <c r="L169" s="1" t="s">
        <v>6135</v>
      </c>
    </row>
    <row r="170" spans="1:12">
      <c r="A170" s="3" t="s">
        <v>3356</v>
      </c>
      <c r="C170" s="4" t="s">
        <v>3817</v>
      </c>
      <c r="D170" s="4" t="s">
        <v>3954</v>
      </c>
      <c r="E170" s="4" t="s">
        <v>4257</v>
      </c>
      <c r="F170" s="4" t="s">
        <v>3447</v>
      </c>
      <c r="G170" s="4" t="s">
        <v>4289</v>
      </c>
      <c r="H170" s="5" t="s">
        <v>3356</v>
      </c>
      <c r="I170" s="5" t="s">
        <v>3356</v>
      </c>
      <c r="J170" s="4" t="s">
        <v>3356</v>
      </c>
      <c r="L170" s="1" t="s">
        <v>6135</v>
      </c>
    </row>
    <row r="171" spans="1:12">
      <c r="A171" s="3" t="s">
        <v>3356</v>
      </c>
      <c r="C171" s="4" t="s">
        <v>3817</v>
      </c>
      <c r="D171" s="4" t="s">
        <v>3954</v>
      </c>
      <c r="E171" s="4" t="s">
        <v>4257</v>
      </c>
      <c r="F171" s="4" t="s">
        <v>3447</v>
      </c>
      <c r="G171" s="4" t="s">
        <v>6754</v>
      </c>
      <c r="H171" s="5" t="s">
        <v>3356</v>
      </c>
      <c r="I171" s="5" t="s">
        <v>3356</v>
      </c>
      <c r="J171" s="4" t="s">
        <v>3356</v>
      </c>
      <c r="L171" s="1" t="s">
        <v>6135</v>
      </c>
    </row>
    <row r="172" spans="1:12">
      <c r="A172" s="3" t="s">
        <v>3356</v>
      </c>
      <c r="C172" s="4" t="s">
        <v>3817</v>
      </c>
      <c r="D172" s="4" t="s">
        <v>3954</v>
      </c>
      <c r="E172" s="4" t="s">
        <v>4257</v>
      </c>
      <c r="F172" s="4" t="s">
        <v>3447</v>
      </c>
      <c r="G172" s="4" t="s">
        <v>3805</v>
      </c>
      <c r="H172" s="5" t="s">
        <v>3356</v>
      </c>
      <c r="I172" s="5" t="s">
        <v>3356</v>
      </c>
      <c r="J172" s="4" t="s">
        <v>3356</v>
      </c>
      <c r="L172" s="1" t="s">
        <v>6135</v>
      </c>
    </row>
    <row r="173" spans="1:12">
      <c r="A173" s="3" t="s">
        <v>3356</v>
      </c>
      <c r="C173" s="4" t="s">
        <v>3817</v>
      </c>
      <c r="D173" s="4" t="s">
        <v>3954</v>
      </c>
      <c r="E173" s="4" t="s">
        <v>4257</v>
      </c>
      <c r="F173" s="4" t="s">
        <v>3447</v>
      </c>
      <c r="G173" s="4" t="s">
        <v>3403</v>
      </c>
      <c r="H173" s="5" t="s">
        <v>3356</v>
      </c>
      <c r="I173" s="5" t="s">
        <v>3356</v>
      </c>
      <c r="J173" s="4" t="s">
        <v>3356</v>
      </c>
      <c r="L173" s="1" t="s">
        <v>6135</v>
      </c>
    </row>
    <row r="174" spans="1:12">
      <c r="A174" s="3" t="s">
        <v>3356</v>
      </c>
      <c r="C174" s="4" t="s">
        <v>3817</v>
      </c>
      <c r="D174" s="4" t="s">
        <v>3954</v>
      </c>
      <c r="E174" s="4" t="s">
        <v>4257</v>
      </c>
      <c r="F174" s="4" t="s">
        <v>4479</v>
      </c>
      <c r="G174" s="4" t="s">
        <v>8222</v>
      </c>
      <c r="H174" s="5">
        <v>2.3424226808222062</v>
      </c>
      <c r="I174" s="5">
        <v>220</v>
      </c>
      <c r="J174" s="4" t="s">
        <v>6736</v>
      </c>
      <c r="L174" s="1" t="s">
        <v>6135</v>
      </c>
    </row>
    <row r="175" spans="1:12">
      <c r="A175" s="3" t="s">
        <v>3356</v>
      </c>
      <c r="C175" s="4" t="s">
        <v>3817</v>
      </c>
      <c r="D175" s="4" t="s">
        <v>3954</v>
      </c>
      <c r="E175" s="4" t="s">
        <v>4257</v>
      </c>
      <c r="F175" s="4" t="s">
        <v>4479</v>
      </c>
      <c r="G175" s="4" t="s">
        <v>8223</v>
      </c>
      <c r="H175" s="5">
        <v>3.1303337684950061</v>
      </c>
      <c r="I175" s="5">
        <v>1350</v>
      </c>
      <c r="J175" s="4" t="s">
        <v>6736</v>
      </c>
      <c r="L175" s="1" t="s">
        <v>6135</v>
      </c>
    </row>
    <row r="176" spans="1:12">
      <c r="A176" s="3" t="s">
        <v>3356</v>
      </c>
      <c r="C176" s="4" t="s">
        <v>3817</v>
      </c>
      <c r="D176" s="4" t="s">
        <v>3954</v>
      </c>
      <c r="E176" s="4" t="s">
        <v>4257</v>
      </c>
      <c r="F176" s="4" t="s">
        <v>4479</v>
      </c>
      <c r="G176" s="4" t="s">
        <v>3034</v>
      </c>
      <c r="H176" s="5" t="s">
        <v>3356</v>
      </c>
      <c r="I176" s="5" t="s">
        <v>3356</v>
      </c>
      <c r="J176" s="4" t="s">
        <v>3356</v>
      </c>
      <c r="L176" s="1" t="s">
        <v>6135</v>
      </c>
    </row>
    <row r="177" spans="1:12">
      <c r="A177" s="3" t="s">
        <v>3356</v>
      </c>
      <c r="C177" s="4" t="s">
        <v>3817</v>
      </c>
      <c r="D177" s="4" t="s">
        <v>3954</v>
      </c>
      <c r="E177" s="4" t="s">
        <v>4257</v>
      </c>
      <c r="F177" s="4" t="s">
        <v>4479</v>
      </c>
      <c r="G177" s="4" t="s">
        <v>8224</v>
      </c>
      <c r="H177" s="5">
        <v>2.6434526764861874</v>
      </c>
      <c r="I177" s="5">
        <v>440</v>
      </c>
      <c r="J177" s="4" t="s">
        <v>6736</v>
      </c>
      <c r="L177" s="1" t="s">
        <v>6135</v>
      </c>
    </row>
    <row r="178" spans="1:12">
      <c r="A178" s="3" t="s">
        <v>3356</v>
      </c>
      <c r="C178" s="4" t="s">
        <v>3817</v>
      </c>
      <c r="D178" s="4" t="s">
        <v>3954</v>
      </c>
      <c r="E178" s="4" t="s">
        <v>4257</v>
      </c>
      <c r="F178" s="4" t="s">
        <v>4479</v>
      </c>
      <c r="G178" s="4" t="s">
        <v>6690</v>
      </c>
      <c r="H178" s="5" t="s">
        <v>3356</v>
      </c>
      <c r="I178" s="5" t="s">
        <v>3356</v>
      </c>
      <c r="J178" s="4" t="s">
        <v>3356</v>
      </c>
      <c r="L178" s="1" t="s">
        <v>6135</v>
      </c>
    </row>
    <row r="179" spans="1:12">
      <c r="A179" s="3" t="s">
        <v>3356</v>
      </c>
      <c r="C179" s="4" t="s">
        <v>3817</v>
      </c>
      <c r="D179" s="4" t="s">
        <v>3954</v>
      </c>
      <c r="E179" s="4" t="s">
        <v>4257</v>
      </c>
      <c r="F179" s="4" t="s">
        <v>4479</v>
      </c>
      <c r="G179" s="4" t="s">
        <v>6691</v>
      </c>
      <c r="H179" s="5" t="s">
        <v>3356</v>
      </c>
      <c r="I179" s="5" t="s">
        <v>3356</v>
      </c>
      <c r="J179" s="4" t="s">
        <v>3356</v>
      </c>
      <c r="L179" s="1" t="s">
        <v>6135</v>
      </c>
    </row>
    <row r="180" spans="1:12">
      <c r="A180" s="3" t="s">
        <v>3356</v>
      </c>
      <c r="C180" s="4" t="s">
        <v>3817</v>
      </c>
      <c r="D180" s="4" t="s">
        <v>3954</v>
      </c>
      <c r="E180" s="4" t="s">
        <v>4257</v>
      </c>
      <c r="F180" s="4" t="s">
        <v>4479</v>
      </c>
      <c r="G180" s="4" t="s">
        <v>8225</v>
      </c>
      <c r="H180" s="5">
        <v>2.8573324964312685</v>
      </c>
      <c r="I180" s="5">
        <v>720</v>
      </c>
      <c r="J180" s="4" t="s">
        <v>6736</v>
      </c>
      <c r="L180" s="1" t="s">
        <v>6135</v>
      </c>
    </row>
    <row r="181" spans="1:12">
      <c r="A181" s="3" t="s">
        <v>3356</v>
      </c>
      <c r="C181" s="4" t="s">
        <v>3817</v>
      </c>
      <c r="D181" s="4" t="s">
        <v>3954</v>
      </c>
      <c r="E181" s="4" t="s">
        <v>4257</v>
      </c>
      <c r="F181" s="4" t="s">
        <v>4479</v>
      </c>
      <c r="G181" s="4" t="s">
        <v>5162</v>
      </c>
      <c r="H181" s="5" t="s">
        <v>3356</v>
      </c>
      <c r="I181" s="5" t="s">
        <v>3356</v>
      </c>
      <c r="J181" s="4" t="s">
        <v>3356</v>
      </c>
      <c r="L181" s="1" t="s">
        <v>6135</v>
      </c>
    </row>
    <row r="182" spans="1:12">
      <c r="A182" s="3" t="s">
        <v>3356</v>
      </c>
      <c r="C182" s="4" t="s">
        <v>3817</v>
      </c>
      <c r="D182" s="4" t="s">
        <v>3954</v>
      </c>
      <c r="E182" s="4" t="s">
        <v>4257</v>
      </c>
      <c r="F182" s="4" t="s">
        <v>3404</v>
      </c>
      <c r="G182" s="4" t="s">
        <v>3405</v>
      </c>
      <c r="H182" s="5" t="s">
        <v>3356</v>
      </c>
      <c r="I182" s="5" t="s">
        <v>3356</v>
      </c>
      <c r="J182" s="4" t="s">
        <v>3356</v>
      </c>
      <c r="L182" s="1" t="s">
        <v>6135</v>
      </c>
    </row>
    <row r="183" spans="1:12">
      <c r="A183" s="3" t="s">
        <v>3356</v>
      </c>
      <c r="C183" s="4" t="s">
        <v>3817</v>
      </c>
      <c r="D183" s="4" t="s">
        <v>3954</v>
      </c>
      <c r="E183" s="4" t="s">
        <v>4257</v>
      </c>
      <c r="F183" s="4" t="s">
        <v>3404</v>
      </c>
      <c r="G183" s="4" t="s">
        <v>6692</v>
      </c>
      <c r="H183" s="5" t="s">
        <v>3356</v>
      </c>
      <c r="I183" s="5" t="s">
        <v>3356</v>
      </c>
      <c r="J183" s="4" t="s">
        <v>3356</v>
      </c>
      <c r="L183" s="1" t="s">
        <v>6135</v>
      </c>
    </row>
    <row r="184" spans="1:12">
      <c r="A184" s="3" t="s">
        <v>3356</v>
      </c>
      <c r="C184" s="4" t="s">
        <v>3817</v>
      </c>
      <c r="D184" s="4" t="s">
        <v>3954</v>
      </c>
      <c r="E184" s="4" t="s">
        <v>4257</v>
      </c>
      <c r="F184" s="4" t="s">
        <v>8226</v>
      </c>
      <c r="G184" s="4" t="s">
        <v>3472</v>
      </c>
      <c r="H184" s="5">
        <v>2.7347998295888472</v>
      </c>
      <c r="I184" s="5">
        <v>543</v>
      </c>
      <c r="J184" s="4" t="s">
        <v>6736</v>
      </c>
      <c r="L184" s="1" t="s">
        <v>6135</v>
      </c>
    </row>
    <row r="185" spans="1:12">
      <c r="A185" s="3" t="s">
        <v>3356</v>
      </c>
      <c r="C185" s="4" t="s">
        <v>3817</v>
      </c>
      <c r="D185" s="4" t="s">
        <v>3954</v>
      </c>
      <c r="E185" s="4" t="s">
        <v>3531</v>
      </c>
      <c r="F185" s="4" t="s">
        <v>3473</v>
      </c>
      <c r="G185" s="4" t="s">
        <v>6570</v>
      </c>
      <c r="H185" s="5">
        <v>6.0791812460476251</v>
      </c>
      <c r="I185" s="5">
        <v>1200000</v>
      </c>
      <c r="J185" s="4" t="s">
        <v>6736</v>
      </c>
      <c r="L185" s="1" t="s">
        <v>6135</v>
      </c>
    </row>
    <row r="186" spans="1:12">
      <c r="A186" s="3" t="s">
        <v>3356</v>
      </c>
      <c r="C186" s="4" t="s">
        <v>3817</v>
      </c>
      <c r="D186" s="4" t="s">
        <v>3954</v>
      </c>
      <c r="E186" s="4" t="s">
        <v>4468</v>
      </c>
      <c r="F186" s="4" t="s">
        <v>4080</v>
      </c>
      <c r="G186" s="4" t="s">
        <v>3789</v>
      </c>
      <c r="H186" s="5">
        <v>4.653212513775344</v>
      </c>
      <c r="I186" s="5">
        <v>45000</v>
      </c>
      <c r="J186" s="4" t="s">
        <v>6736</v>
      </c>
      <c r="L186" s="1" t="s">
        <v>6135</v>
      </c>
    </row>
    <row r="187" spans="1:12">
      <c r="A187" s="3" t="s">
        <v>3356</v>
      </c>
      <c r="C187" s="4" t="s">
        <v>3817</v>
      </c>
      <c r="D187" s="4" t="s">
        <v>3954</v>
      </c>
      <c r="E187" s="4" t="s">
        <v>4468</v>
      </c>
      <c r="F187" s="4" t="s">
        <v>4080</v>
      </c>
      <c r="G187" s="4" t="s">
        <v>6571</v>
      </c>
      <c r="H187" s="5">
        <v>4.4313637641589869</v>
      </c>
      <c r="I187" s="5">
        <v>27000</v>
      </c>
      <c r="J187" s="4" t="s">
        <v>6736</v>
      </c>
      <c r="L187" s="1" t="s">
        <v>6135</v>
      </c>
    </row>
    <row r="188" spans="1:12">
      <c r="A188" s="3" t="s">
        <v>3356</v>
      </c>
      <c r="C188" s="4" t="s">
        <v>3817</v>
      </c>
      <c r="D188" s="4" t="s">
        <v>3954</v>
      </c>
      <c r="E188" s="4" t="s">
        <v>4468</v>
      </c>
      <c r="F188" s="4" t="s">
        <v>4080</v>
      </c>
      <c r="G188" s="4" t="s">
        <v>5159</v>
      </c>
      <c r="H188" s="5" t="s">
        <v>3356</v>
      </c>
      <c r="I188" s="5" t="s">
        <v>3356</v>
      </c>
      <c r="J188" s="4" t="s">
        <v>3356</v>
      </c>
      <c r="L188" s="1" t="s">
        <v>6135</v>
      </c>
    </row>
    <row r="189" spans="1:12">
      <c r="A189" s="3" t="s">
        <v>3356</v>
      </c>
      <c r="C189" s="4" t="s">
        <v>3817</v>
      </c>
      <c r="D189" s="4" t="s">
        <v>3954</v>
      </c>
      <c r="E189" s="4" t="s">
        <v>4468</v>
      </c>
      <c r="F189" s="4" t="s">
        <v>4080</v>
      </c>
      <c r="G189" s="4" t="s">
        <v>5708</v>
      </c>
      <c r="H189" s="5" t="s">
        <v>3356</v>
      </c>
      <c r="I189" s="5" t="s">
        <v>3356</v>
      </c>
      <c r="J189" s="4" t="s">
        <v>3356</v>
      </c>
      <c r="L189" s="1" t="s">
        <v>6135</v>
      </c>
    </row>
    <row r="190" spans="1:12">
      <c r="A190" s="3" t="s">
        <v>3356</v>
      </c>
      <c r="C190" s="4" t="s">
        <v>3817</v>
      </c>
      <c r="D190" s="4" t="s">
        <v>3954</v>
      </c>
      <c r="E190" s="4" t="s">
        <v>4468</v>
      </c>
      <c r="F190" s="4" t="s">
        <v>3470</v>
      </c>
      <c r="G190" s="4" t="s">
        <v>4470</v>
      </c>
      <c r="H190" s="5">
        <v>5</v>
      </c>
      <c r="I190" s="5">
        <v>100000</v>
      </c>
      <c r="J190" s="4" t="s">
        <v>6736</v>
      </c>
      <c r="L190" s="1" t="s">
        <v>6135</v>
      </c>
    </row>
    <row r="191" spans="1:12">
      <c r="A191" s="3" t="s">
        <v>3356</v>
      </c>
      <c r="C191" s="4" t="s">
        <v>3817</v>
      </c>
      <c r="D191" s="4" t="s">
        <v>3954</v>
      </c>
      <c r="E191" s="4" t="s">
        <v>4468</v>
      </c>
      <c r="F191" s="4" t="s">
        <v>3471</v>
      </c>
      <c r="G191" s="4" t="s">
        <v>4836</v>
      </c>
      <c r="H191" s="5">
        <v>5.7781512503836439</v>
      </c>
      <c r="I191" s="5">
        <v>600000</v>
      </c>
      <c r="J191" s="4" t="s">
        <v>6736</v>
      </c>
      <c r="L191" s="1" t="s">
        <v>6135</v>
      </c>
    </row>
    <row r="192" spans="1:12">
      <c r="A192" s="3" t="s">
        <v>3356</v>
      </c>
      <c r="C192" s="4" t="s">
        <v>3817</v>
      </c>
      <c r="D192" s="4" t="s">
        <v>3954</v>
      </c>
      <c r="E192" s="4" t="s">
        <v>4468</v>
      </c>
      <c r="F192" s="4" t="s">
        <v>3697</v>
      </c>
      <c r="G192" s="4" t="s">
        <v>3698</v>
      </c>
      <c r="H192" s="5">
        <v>5.3891660843645326</v>
      </c>
      <c r="I192" s="5">
        <v>245000</v>
      </c>
      <c r="J192" s="4" t="s">
        <v>6736</v>
      </c>
      <c r="L192" s="1" t="s">
        <v>6135</v>
      </c>
    </row>
    <row r="193" spans="1:12">
      <c r="A193" s="3" t="s">
        <v>3356</v>
      </c>
      <c r="C193" s="4" t="s">
        <v>3817</v>
      </c>
      <c r="D193" s="4" t="s">
        <v>3954</v>
      </c>
      <c r="E193" s="4" t="s">
        <v>4468</v>
      </c>
      <c r="F193" s="4" t="s">
        <v>5709</v>
      </c>
      <c r="G193" s="4" t="s">
        <v>5710</v>
      </c>
      <c r="H193" s="5" t="s">
        <v>3356</v>
      </c>
      <c r="I193" s="5" t="s">
        <v>3356</v>
      </c>
      <c r="J193" s="4" t="s">
        <v>3356</v>
      </c>
      <c r="L193" s="1" t="s">
        <v>6135</v>
      </c>
    </row>
    <row r="194" spans="1:12">
      <c r="A194" s="3" t="s">
        <v>3356</v>
      </c>
      <c r="C194" s="4" t="s">
        <v>3817</v>
      </c>
      <c r="D194" s="4" t="s">
        <v>3954</v>
      </c>
      <c r="E194" s="4" t="s">
        <v>4468</v>
      </c>
      <c r="F194" s="4" t="s">
        <v>3242</v>
      </c>
      <c r="G194" s="4" t="s">
        <v>6394</v>
      </c>
      <c r="H194" s="5">
        <v>5.3979400086720375</v>
      </c>
      <c r="I194" s="5">
        <v>250000</v>
      </c>
      <c r="J194" s="4" t="s">
        <v>6736</v>
      </c>
      <c r="L194" s="1" t="s">
        <v>6135</v>
      </c>
    </row>
    <row r="195" spans="1:12">
      <c r="A195" s="3" t="s">
        <v>3356</v>
      </c>
      <c r="C195" s="4" t="s">
        <v>3817</v>
      </c>
      <c r="D195" s="4" t="s">
        <v>3954</v>
      </c>
      <c r="E195" s="4" t="s">
        <v>4613</v>
      </c>
      <c r="F195" s="4" t="s">
        <v>6082</v>
      </c>
      <c r="G195" s="4" t="s">
        <v>2461</v>
      </c>
      <c r="H195" s="5">
        <v>5.3010299956639813</v>
      </c>
      <c r="I195" s="5">
        <v>200000</v>
      </c>
      <c r="J195" s="4" t="s">
        <v>6736</v>
      </c>
      <c r="L195" s="1" t="s">
        <v>6135</v>
      </c>
    </row>
    <row r="196" spans="1:12">
      <c r="A196" s="3" t="s">
        <v>3356</v>
      </c>
      <c r="C196" s="4" t="s">
        <v>3817</v>
      </c>
      <c r="D196" s="4" t="s">
        <v>3954</v>
      </c>
      <c r="E196" s="4" t="s">
        <v>4613</v>
      </c>
      <c r="F196" s="4" t="s">
        <v>6241</v>
      </c>
      <c r="G196" s="4" t="s">
        <v>6242</v>
      </c>
      <c r="H196" s="5">
        <v>5.4771212547196626</v>
      </c>
      <c r="I196" s="5">
        <v>300000</v>
      </c>
      <c r="J196" s="4" t="s">
        <v>6736</v>
      </c>
      <c r="L196" s="1" t="s">
        <v>6135</v>
      </c>
    </row>
    <row r="197" spans="1:12">
      <c r="A197" s="3" t="s">
        <v>3356</v>
      </c>
      <c r="C197" s="4" t="s">
        <v>3817</v>
      </c>
      <c r="D197" s="4" t="s">
        <v>3954</v>
      </c>
      <c r="E197" s="4" t="s">
        <v>4613</v>
      </c>
      <c r="F197" s="4" t="s">
        <v>6079</v>
      </c>
      <c r="G197" s="4" t="s">
        <v>6080</v>
      </c>
      <c r="H197" s="5">
        <v>5.3979400086720375</v>
      </c>
      <c r="I197" s="5">
        <v>250000</v>
      </c>
      <c r="J197" s="4" t="s">
        <v>6736</v>
      </c>
      <c r="L197" s="1" t="s">
        <v>6135</v>
      </c>
    </row>
    <row r="198" spans="1:12">
      <c r="A198" s="3" t="s">
        <v>3356</v>
      </c>
      <c r="C198" s="4" t="s">
        <v>3817</v>
      </c>
      <c r="D198" s="4" t="s">
        <v>3954</v>
      </c>
      <c r="E198" s="4" t="s">
        <v>4613</v>
      </c>
      <c r="F198" s="4" t="s">
        <v>2517</v>
      </c>
      <c r="G198" s="4" t="s">
        <v>7917</v>
      </c>
      <c r="H198" s="5">
        <v>6.3802112417116064</v>
      </c>
      <c r="I198" s="5">
        <v>2400000</v>
      </c>
      <c r="J198" s="4" t="s">
        <v>6736</v>
      </c>
      <c r="L198" s="1" t="s">
        <v>6135</v>
      </c>
    </row>
    <row r="199" spans="1:12">
      <c r="A199" s="3" t="s">
        <v>3356</v>
      </c>
      <c r="C199" s="4" t="s">
        <v>3817</v>
      </c>
      <c r="D199" s="4" t="s">
        <v>3954</v>
      </c>
      <c r="E199" s="4" t="s">
        <v>4613</v>
      </c>
      <c r="F199" s="4" t="s">
        <v>7918</v>
      </c>
      <c r="G199" s="4" t="s">
        <v>7174</v>
      </c>
      <c r="H199" s="5">
        <v>5.4393326938302629</v>
      </c>
      <c r="I199" s="5">
        <v>275000</v>
      </c>
      <c r="J199" s="4" t="s">
        <v>6736</v>
      </c>
      <c r="L199" s="1" t="s">
        <v>6135</v>
      </c>
    </row>
    <row r="200" spans="1:12">
      <c r="A200" s="3" t="s">
        <v>3356</v>
      </c>
      <c r="C200" s="4" t="s">
        <v>3817</v>
      </c>
      <c r="D200" s="4" t="s">
        <v>3954</v>
      </c>
      <c r="E200" s="4" t="s">
        <v>4613</v>
      </c>
      <c r="F200" s="4" t="s">
        <v>7918</v>
      </c>
      <c r="G200" s="4" t="s">
        <v>5163</v>
      </c>
      <c r="H200" s="5" t="s">
        <v>3356</v>
      </c>
      <c r="I200" s="5" t="s">
        <v>3356</v>
      </c>
      <c r="J200" s="4" t="s">
        <v>3356</v>
      </c>
      <c r="L200" s="1" t="s">
        <v>6135</v>
      </c>
    </row>
    <row r="201" spans="1:12">
      <c r="A201" s="3" t="s">
        <v>3356</v>
      </c>
      <c r="C201" s="4" t="s">
        <v>3817</v>
      </c>
      <c r="D201" s="4" t="s">
        <v>3954</v>
      </c>
      <c r="E201" s="4" t="s">
        <v>4613</v>
      </c>
      <c r="F201" s="4" t="s">
        <v>7918</v>
      </c>
      <c r="G201" s="4" t="s">
        <v>4081</v>
      </c>
      <c r="H201" s="5" t="s">
        <v>3356</v>
      </c>
      <c r="I201" s="5" t="s">
        <v>3356</v>
      </c>
      <c r="J201" s="4" t="s">
        <v>3356</v>
      </c>
      <c r="L201" s="1" t="s">
        <v>6135</v>
      </c>
    </row>
    <row r="202" spans="1:12">
      <c r="A202" s="3" t="s">
        <v>3356</v>
      </c>
      <c r="C202" s="4" t="s">
        <v>3817</v>
      </c>
      <c r="D202" s="4" t="s">
        <v>3954</v>
      </c>
      <c r="E202" s="4" t="s">
        <v>4613</v>
      </c>
      <c r="F202" s="4" t="s">
        <v>7919</v>
      </c>
      <c r="G202" s="4" t="s">
        <v>7920</v>
      </c>
      <c r="H202" s="5">
        <v>4.9344984512435675</v>
      </c>
      <c r="I202" s="5">
        <v>86000</v>
      </c>
      <c r="J202" s="4" t="s">
        <v>6736</v>
      </c>
      <c r="L202" s="1" t="s">
        <v>6135</v>
      </c>
    </row>
    <row r="203" spans="1:12">
      <c r="A203" s="3" t="s">
        <v>3356</v>
      </c>
      <c r="C203" s="4" t="s">
        <v>3817</v>
      </c>
      <c r="D203" s="4" t="s">
        <v>3954</v>
      </c>
      <c r="E203" s="4" t="s">
        <v>4613</v>
      </c>
      <c r="F203" s="4" t="s">
        <v>7919</v>
      </c>
      <c r="G203" s="4" t="s">
        <v>7921</v>
      </c>
      <c r="H203" s="5">
        <v>4.9542425094393252</v>
      </c>
      <c r="I203" s="5">
        <v>90000</v>
      </c>
      <c r="J203" s="4" t="s">
        <v>6736</v>
      </c>
      <c r="L203" s="1" t="s">
        <v>6135</v>
      </c>
    </row>
    <row r="204" spans="1:12">
      <c r="A204" s="3" t="s">
        <v>3356</v>
      </c>
      <c r="C204" s="4" t="s">
        <v>3817</v>
      </c>
      <c r="D204" s="4" t="s">
        <v>3954</v>
      </c>
      <c r="E204" s="4" t="s">
        <v>4613</v>
      </c>
      <c r="F204" s="4" t="s">
        <v>7919</v>
      </c>
      <c r="G204" s="4" t="s">
        <v>5336</v>
      </c>
      <c r="H204" s="5">
        <v>5.0791812460476251</v>
      </c>
      <c r="I204" s="5">
        <v>120000</v>
      </c>
      <c r="J204" s="4" t="s">
        <v>6736</v>
      </c>
      <c r="L204" s="1" t="s">
        <v>6135</v>
      </c>
    </row>
    <row r="205" spans="1:12">
      <c r="A205" s="3" t="s">
        <v>3356</v>
      </c>
      <c r="C205" s="4" t="s">
        <v>3817</v>
      </c>
      <c r="D205" s="4" t="s">
        <v>3954</v>
      </c>
      <c r="E205" s="4" t="s">
        <v>4613</v>
      </c>
      <c r="F205" s="4" t="s">
        <v>7919</v>
      </c>
      <c r="G205" s="4" t="s">
        <v>5337</v>
      </c>
      <c r="H205" s="5">
        <v>5</v>
      </c>
      <c r="I205" s="5">
        <v>100000</v>
      </c>
      <c r="J205" s="4" t="s">
        <v>6736</v>
      </c>
      <c r="L205" s="1" t="s">
        <v>6135</v>
      </c>
    </row>
    <row r="206" spans="1:12">
      <c r="A206" s="3" t="s">
        <v>3356</v>
      </c>
      <c r="C206" s="4" t="s">
        <v>3817</v>
      </c>
      <c r="D206" s="4" t="s">
        <v>3954</v>
      </c>
      <c r="E206" s="4" t="s">
        <v>4613</v>
      </c>
      <c r="F206" s="4" t="s">
        <v>7919</v>
      </c>
      <c r="G206" s="4" t="s">
        <v>5941</v>
      </c>
      <c r="H206" s="5" t="s">
        <v>3356</v>
      </c>
      <c r="I206" s="5" t="s">
        <v>3356</v>
      </c>
      <c r="J206" s="4" t="s">
        <v>3356</v>
      </c>
      <c r="L206" s="1" t="s">
        <v>6135</v>
      </c>
    </row>
    <row r="207" spans="1:12">
      <c r="A207" s="3" t="s">
        <v>3356</v>
      </c>
      <c r="C207" s="4" t="s">
        <v>3817</v>
      </c>
      <c r="D207" s="4" t="s">
        <v>3954</v>
      </c>
      <c r="E207" s="4" t="s">
        <v>4613</v>
      </c>
      <c r="F207" s="4" t="s">
        <v>7919</v>
      </c>
      <c r="G207" s="4" t="s">
        <v>8225</v>
      </c>
      <c r="H207" s="5">
        <v>5</v>
      </c>
      <c r="I207" s="5">
        <v>100000</v>
      </c>
      <c r="J207" s="4" t="s">
        <v>6736</v>
      </c>
      <c r="L207" s="1" t="s">
        <v>6135</v>
      </c>
    </row>
    <row r="208" spans="1:12">
      <c r="A208" s="3" t="s">
        <v>3356</v>
      </c>
      <c r="C208" s="4" t="s">
        <v>3817</v>
      </c>
      <c r="D208" s="4" t="s">
        <v>3954</v>
      </c>
      <c r="E208" s="4" t="s">
        <v>4613</v>
      </c>
      <c r="F208" s="4" t="s">
        <v>7919</v>
      </c>
      <c r="G208" s="4" t="s">
        <v>5338</v>
      </c>
      <c r="H208" s="5">
        <v>5</v>
      </c>
      <c r="I208" s="5">
        <v>100000</v>
      </c>
      <c r="J208" s="4" t="s">
        <v>6736</v>
      </c>
      <c r="L208" s="1" t="s">
        <v>6135</v>
      </c>
    </row>
    <row r="209" spans="1:12">
      <c r="A209" s="3" t="s">
        <v>3356</v>
      </c>
      <c r="C209" s="4" t="s">
        <v>3817</v>
      </c>
      <c r="D209" s="4" t="s">
        <v>3954</v>
      </c>
      <c r="E209" s="4" t="s">
        <v>2127</v>
      </c>
      <c r="F209" s="4" t="s">
        <v>4086</v>
      </c>
      <c r="G209" s="4" t="s">
        <v>6112</v>
      </c>
      <c r="H209" s="5" t="s">
        <v>3356</v>
      </c>
      <c r="I209" s="5" t="s">
        <v>3356</v>
      </c>
      <c r="J209" s="4" t="s">
        <v>3356</v>
      </c>
      <c r="L209" s="1" t="s">
        <v>6135</v>
      </c>
    </row>
    <row r="210" spans="1:12">
      <c r="A210" s="3" t="s">
        <v>3356</v>
      </c>
      <c r="C210" s="4" t="s">
        <v>3817</v>
      </c>
      <c r="D210" s="4" t="s">
        <v>3954</v>
      </c>
      <c r="E210" s="4" t="s">
        <v>2127</v>
      </c>
      <c r="F210" s="4" t="s">
        <v>4086</v>
      </c>
      <c r="G210" s="4" t="s">
        <v>6097</v>
      </c>
      <c r="H210" s="5" t="s">
        <v>3356</v>
      </c>
      <c r="I210" s="5" t="s">
        <v>3356</v>
      </c>
      <c r="J210" s="4" t="s">
        <v>3356</v>
      </c>
      <c r="L210" s="1" t="s">
        <v>6135</v>
      </c>
    </row>
    <row r="211" spans="1:12">
      <c r="A211" s="3" t="s">
        <v>3356</v>
      </c>
      <c r="C211" s="4" t="s">
        <v>3817</v>
      </c>
      <c r="D211" s="4" t="s">
        <v>3954</v>
      </c>
      <c r="E211" s="4" t="s">
        <v>2127</v>
      </c>
      <c r="F211" s="4" t="s">
        <v>7218</v>
      </c>
      <c r="G211" s="4" t="s">
        <v>6114</v>
      </c>
      <c r="H211" s="5" t="s">
        <v>3356</v>
      </c>
      <c r="I211" s="5" t="s">
        <v>3356</v>
      </c>
      <c r="J211" s="4" t="s">
        <v>3356</v>
      </c>
      <c r="L211" s="1" t="s">
        <v>6135</v>
      </c>
    </row>
    <row r="212" spans="1:12">
      <c r="A212" s="3" t="s">
        <v>3356</v>
      </c>
      <c r="C212" s="4" t="s">
        <v>3817</v>
      </c>
      <c r="D212" s="4" t="s">
        <v>3954</v>
      </c>
      <c r="E212" s="4" t="s">
        <v>2127</v>
      </c>
      <c r="F212" s="4" t="s">
        <v>7218</v>
      </c>
      <c r="G212" s="4" t="s">
        <v>8271</v>
      </c>
      <c r="H212" s="5" t="s">
        <v>3356</v>
      </c>
      <c r="I212" s="5" t="s">
        <v>3356</v>
      </c>
      <c r="J212" s="4" t="s">
        <v>3356</v>
      </c>
      <c r="L212" s="1" t="s">
        <v>6135</v>
      </c>
    </row>
    <row r="213" spans="1:12">
      <c r="A213" s="3" t="s">
        <v>3356</v>
      </c>
      <c r="C213" s="4" t="s">
        <v>3817</v>
      </c>
      <c r="D213" s="4" t="s">
        <v>3954</v>
      </c>
      <c r="E213" s="4" t="s">
        <v>2127</v>
      </c>
      <c r="F213" s="4" t="s">
        <v>7218</v>
      </c>
      <c r="G213" s="4" t="s">
        <v>8266</v>
      </c>
      <c r="H213" s="5" t="s">
        <v>3356</v>
      </c>
      <c r="I213" s="5" t="s">
        <v>3356</v>
      </c>
      <c r="J213" s="4" t="s">
        <v>3356</v>
      </c>
      <c r="L213" s="1" t="s">
        <v>6135</v>
      </c>
    </row>
    <row r="214" spans="1:12">
      <c r="A214" s="3" t="s">
        <v>3356</v>
      </c>
      <c r="C214" s="4" t="s">
        <v>3817</v>
      </c>
      <c r="D214" s="4" t="s">
        <v>3954</v>
      </c>
      <c r="E214" s="4" t="s">
        <v>2127</v>
      </c>
      <c r="F214" s="4" t="s">
        <v>7218</v>
      </c>
      <c r="G214" s="4" t="s">
        <v>3078</v>
      </c>
      <c r="H214" s="5" t="s">
        <v>3356</v>
      </c>
      <c r="I214" s="5" t="s">
        <v>3356</v>
      </c>
      <c r="J214" s="4" t="s">
        <v>3356</v>
      </c>
      <c r="L214" s="1" t="s">
        <v>6135</v>
      </c>
    </row>
    <row r="215" spans="1:12">
      <c r="A215" s="3" t="s">
        <v>3356</v>
      </c>
      <c r="C215" s="4" t="s">
        <v>3817</v>
      </c>
      <c r="D215" s="4" t="s">
        <v>3954</v>
      </c>
      <c r="E215" s="4" t="s">
        <v>7434</v>
      </c>
      <c r="F215" s="4" t="s">
        <v>5339</v>
      </c>
      <c r="G215" s="4" t="s">
        <v>5343</v>
      </c>
      <c r="H215" s="5">
        <v>5.0791812460476251</v>
      </c>
      <c r="I215" s="5">
        <v>120000</v>
      </c>
      <c r="J215" s="4" t="s">
        <v>6736</v>
      </c>
      <c r="L215" s="1" t="s">
        <v>6135</v>
      </c>
    </row>
    <row r="216" spans="1:12">
      <c r="A216" s="3" t="s">
        <v>3356</v>
      </c>
      <c r="C216" s="4" t="s">
        <v>3817</v>
      </c>
      <c r="D216" s="4" t="s">
        <v>3954</v>
      </c>
      <c r="E216" s="4" t="s">
        <v>7434</v>
      </c>
      <c r="F216" s="4" t="s">
        <v>5344</v>
      </c>
      <c r="G216" s="4" t="s">
        <v>5345</v>
      </c>
      <c r="H216" s="5">
        <v>3.5440680443502757</v>
      </c>
      <c r="I216" s="5">
        <v>3500</v>
      </c>
      <c r="J216" s="4" t="s">
        <v>6736</v>
      </c>
      <c r="L216" s="1" t="s">
        <v>6135</v>
      </c>
    </row>
    <row r="217" spans="1:12">
      <c r="A217" s="3" t="s">
        <v>3356</v>
      </c>
      <c r="C217" s="4" t="s">
        <v>3817</v>
      </c>
      <c r="D217" s="4" t="s">
        <v>3954</v>
      </c>
      <c r="E217" s="4" t="s">
        <v>7434</v>
      </c>
      <c r="F217" s="4" t="s">
        <v>5346</v>
      </c>
      <c r="G217" s="4" t="s">
        <v>5347</v>
      </c>
      <c r="H217" s="5">
        <v>4.6989700043360187</v>
      </c>
      <c r="I217" s="5">
        <v>50000</v>
      </c>
      <c r="J217" s="4" t="s">
        <v>6736</v>
      </c>
      <c r="L217" s="1" t="s">
        <v>6135</v>
      </c>
    </row>
    <row r="218" spans="1:12">
      <c r="A218" s="3" t="s">
        <v>3356</v>
      </c>
      <c r="C218" s="4" t="s">
        <v>3817</v>
      </c>
      <c r="D218" s="4" t="s">
        <v>3954</v>
      </c>
      <c r="E218" s="4" t="s">
        <v>7434</v>
      </c>
      <c r="F218" s="4" t="s">
        <v>5348</v>
      </c>
      <c r="G218" s="4" t="s">
        <v>4470</v>
      </c>
      <c r="H218" s="5">
        <v>5</v>
      </c>
      <c r="I218" s="5">
        <v>100000</v>
      </c>
      <c r="J218" s="4" t="s">
        <v>6736</v>
      </c>
      <c r="L218" s="1" t="s">
        <v>6135</v>
      </c>
    </row>
    <row r="219" spans="1:12">
      <c r="A219" s="3" t="s">
        <v>3356</v>
      </c>
      <c r="C219" s="4" t="s">
        <v>3817</v>
      </c>
      <c r="D219" s="4" t="s">
        <v>3954</v>
      </c>
      <c r="E219" s="4" t="s">
        <v>7434</v>
      </c>
      <c r="F219" s="4" t="s">
        <v>7435</v>
      </c>
      <c r="G219" s="4" t="s">
        <v>7975</v>
      </c>
      <c r="H219" s="5">
        <v>5</v>
      </c>
      <c r="I219" s="5">
        <v>100000</v>
      </c>
      <c r="J219" s="4" t="s">
        <v>6736</v>
      </c>
      <c r="L219" s="1" t="s">
        <v>6135</v>
      </c>
    </row>
    <row r="220" spans="1:12">
      <c r="A220" s="3" t="s">
        <v>3356</v>
      </c>
      <c r="C220" s="4" t="s">
        <v>3817</v>
      </c>
      <c r="D220" s="4" t="s">
        <v>3954</v>
      </c>
      <c r="E220" s="4" t="s">
        <v>4908</v>
      </c>
      <c r="F220" s="4" t="s">
        <v>7976</v>
      </c>
      <c r="G220" s="4" t="s">
        <v>7977</v>
      </c>
      <c r="H220" s="5">
        <v>4.0606978403536118</v>
      </c>
      <c r="I220" s="5">
        <v>11500</v>
      </c>
      <c r="J220" s="4" t="s">
        <v>6736</v>
      </c>
      <c r="L220" s="1" t="s">
        <v>6135</v>
      </c>
    </row>
    <row r="221" spans="1:12">
      <c r="A221" s="3" t="s">
        <v>3356</v>
      </c>
      <c r="C221" s="4" t="s">
        <v>3817</v>
      </c>
      <c r="D221" s="4" t="s">
        <v>3954</v>
      </c>
      <c r="E221" s="4" t="s">
        <v>4908</v>
      </c>
      <c r="F221" s="4" t="s">
        <v>5605</v>
      </c>
      <c r="G221" s="4" t="s">
        <v>3788</v>
      </c>
      <c r="H221" s="5">
        <v>3.3521825181113627</v>
      </c>
      <c r="I221" s="5">
        <v>2250</v>
      </c>
      <c r="J221" s="4" t="s">
        <v>6736</v>
      </c>
      <c r="L221" s="1" t="s">
        <v>6135</v>
      </c>
    </row>
    <row r="222" spans="1:12">
      <c r="A222" s="3" t="s">
        <v>3356</v>
      </c>
      <c r="C222" s="4" t="s">
        <v>3817</v>
      </c>
      <c r="D222" s="4" t="s">
        <v>3954</v>
      </c>
      <c r="E222" s="4" t="s">
        <v>4908</v>
      </c>
      <c r="F222" s="4" t="s">
        <v>5606</v>
      </c>
      <c r="G222" s="4" t="s">
        <v>5607</v>
      </c>
      <c r="H222" s="5">
        <v>3.4771212547196626</v>
      </c>
      <c r="I222" s="5">
        <v>3000</v>
      </c>
      <c r="J222" s="4" t="s">
        <v>6736</v>
      </c>
      <c r="L222" s="1" t="s">
        <v>6135</v>
      </c>
    </row>
    <row r="223" spans="1:12">
      <c r="A223" s="3" t="s">
        <v>3356</v>
      </c>
      <c r="C223" s="4" t="s">
        <v>3817</v>
      </c>
      <c r="D223" s="4" t="s">
        <v>3954</v>
      </c>
      <c r="E223" s="4" t="s">
        <v>4908</v>
      </c>
      <c r="F223" s="4" t="s">
        <v>5608</v>
      </c>
      <c r="G223" s="4" t="s">
        <v>5609</v>
      </c>
      <c r="H223" s="5">
        <v>3.9777236052888476</v>
      </c>
      <c r="I223" s="5">
        <v>9500</v>
      </c>
      <c r="J223" s="4" t="s">
        <v>6736</v>
      </c>
      <c r="L223" s="1" t="s">
        <v>6135</v>
      </c>
    </row>
    <row r="224" spans="1:12">
      <c r="A224" s="3" t="s">
        <v>3356</v>
      </c>
      <c r="C224" s="4" t="s">
        <v>3817</v>
      </c>
      <c r="D224" s="4" t="s">
        <v>3954</v>
      </c>
      <c r="E224" s="4" t="s">
        <v>4908</v>
      </c>
      <c r="F224" s="4" t="s">
        <v>6678</v>
      </c>
      <c r="G224" s="4" t="s">
        <v>5734</v>
      </c>
      <c r="H224" s="5" t="s">
        <v>3356</v>
      </c>
      <c r="I224" s="5" t="s">
        <v>3356</v>
      </c>
      <c r="J224" s="4" t="s">
        <v>3356</v>
      </c>
      <c r="L224" s="1" t="s">
        <v>6135</v>
      </c>
    </row>
    <row r="225" spans="1:12">
      <c r="A225" s="3" t="s">
        <v>3356</v>
      </c>
      <c r="C225" s="4" t="s">
        <v>3817</v>
      </c>
      <c r="D225" s="4" t="s">
        <v>3954</v>
      </c>
      <c r="E225" s="4" t="s">
        <v>4908</v>
      </c>
      <c r="F225" s="4" t="s">
        <v>3035</v>
      </c>
      <c r="G225" s="4" t="s">
        <v>5637</v>
      </c>
      <c r="H225" s="5" t="s">
        <v>3356</v>
      </c>
      <c r="I225" s="5" t="s">
        <v>3356</v>
      </c>
      <c r="J225" s="4" t="s">
        <v>3356</v>
      </c>
      <c r="L225" s="1" t="s">
        <v>6135</v>
      </c>
    </row>
    <row r="226" spans="1:12">
      <c r="A226" s="3" t="s">
        <v>3356</v>
      </c>
      <c r="C226" s="4" t="s">
        <v>3817</v>
      </c>
      <c r="D226" s="4" t="s">
        <v>3954</v>
      </c>
      <c r="E226" s="4" t="s">
        <v>4908</v>
      </c>
      <c r="F226" s="4" t="s">
        <v>5349</v>
      </c>
      <c r="G226" s="4" t="s">
        <v>5798</v>
      </c>
      <c r="H226" s="5">
        <v>3.4771212547196626</v>
      </c>
      <c r="I226" s="5">
        <v>3000</v>
      </c>
      <c r="J226" s="4" t="s">
        <v>6736</v>
      </c>
      <c r="L226" s="1" t="s">
        <v>6135</v>
      </c>
    </row>
    <row r="227" spans="1:12">
      <c r="A227" s="3" t="s">
        <v>3356</v>
      </c>
      <c r="C227" s="4" t="s">
        <v>3817</v>
      </c>
      <c r="D227" s="4" t="s">
        <v>3954</v>
      </c>
      <c r="E227" s="4" t="s">
        <v>4908</v>
      </c>
      <c r="F227" s="4" t="s">
        <v>5415</v>
      </c>
      <c r="G227" s="4" t="s">
        <v>5555</v>
      </c>
      <c r="H227" s="5">
        <v>3.2430380486862944</v>
      </c>
      <c r="I227" s="5">
        <v>1750</v>
      </c>
      <c r="J227" s="4" t="s">
        <v>6736</v>
      </c>
      <c r="L227" s="1" t="s">
        <v>6135</v>
      </c>
    </row>
    <row r="228" spans="1:12">
      <c r="A228" s="3" t="s">
        <v>3356</v>
      </c>
      <c r="C228" s="4" t="s">
        <v>3817</v>
      </c>
      <c r="D228" s="4" t="s">
        <v>3954</v>
      </c>
      <c r="E228" s="4" t="s">
        <v>4908</v>
      </c>
      <c r="F228" s="4" t="s">
        <v>5714</v>
      </c>
      <c r="G228" s="4" t="s">
        <v>6698</v>
      </c>
      <c r="H228" s="5" t="s">
        <v>3356</v>
      </c>
      <c r="I228" s="5" t="s">
        <v>3356</v>
      </c>
      <c r="J228" s="4" t="s">
        <v>3356</v>
      </c>
      <c r="L228" s="1" t="s">
        <v>6135</v>
      </c>
    </row>
    <row r="229" spans="1:12">
      <c r="A229" s="3" t="s">
        <v>3356</v>
      </c>
      <c r="C229" s="4" t="s">
        <v>3817</v>
      </c>
      <c r="D229" s="4" t="s">
        <v>3954</v>
      </c>
      <c r="E229" s="4" t="s">
        <v>4908</v>
      </c>
      <c r="F229" s="4" t="s">
        <v>8060</v>
      </c>
      <c r="G229" s="4" t="s">
        <v>5703</v>
      </c>
      <c r="H229" s="5" t="s">
        <v>3356</v>
      </c>
      <c r="I229" s="5" t="s">
        <v>3356</v>
      </c>
      <c r="J229" s="4" t="s">
        <v>3356</v>
      </c>
      <c r="L229" s="1" t="s">
        <v>6135</v>
      </c>
    </row>
    <row r="230" spans="1:12">
      <c r="A230" s="3" t="s">
        <v>3356</v>
      </c>
      <c r="C230" s="4" t="s">
        <v>3817</v>
      </c>
      <c r="D230" s="4" t="s">
        <v>3954</v>
      </c>
      <c r="E230" s="4" t="s">
        <v>4908</v>
      </c>
      <c r="F230" s="4" t="s">
        <v>5556</v>
      </c>
      <c r="G230" s="4" t="s">
        <v>5557</v>
      </c>
      <c r="H230" s="5">
        <v>3.6434526764861874</v>
      </c>
      <c r="I230" s="5">
        <v>4400</v>
      </c>
      <c r="J230" s="4" t="s">
        <v>6736</v>
      </c>
      <c r="L230" s="1" t="s">
        <v>6135</v>
      </c>
    </row>
    <row r="231" spans="1:12">
      <c r="A231" s="3" t="s">
        <v>3356</v>
      </c>
      <c r="C231" s="4" t="s">
        <v>3817</v>
      </c>
      <c r="D231" s="4" t="s">
        <v>3954</v>
      </c>
      <c r="E231" s="4" t="s">
        <v>4908</v>
      </c>
      <c r="F231" s="4" t="s">
        <v>5558</v>
      </c>
      <c r="G231" s="4" t="s">
        <v>5559</v>
      </c>
      <c r="H231" s="5">
        <v>3.4771212547196626</v>
      </c>
      <c r="I231" s="5">
        <v>3000</v>
      </c>
      <c r="J231" s="4" t="s">
        <v>6736</v>
      </c>
      <c r="L231" s="1" t="s">
        <v>6135</v>
      </c>
    </row>
    <row r="232" spans="1:12">
      <c r="A232" s="3" t="s">
        <v>3356</v>
      </c>
      <c r="C232" s="4" t="s">
        <v>3817</v>
      </c>
      <c r="D232" s="4" t="s">
        <v>3954</v>
      </c>
      <c r="E232" s="4" t="s">
        <v>4908</v>
      </c>
      <c r="F232" s="4" t="s">
        <v>5558</v>
      </c>
      <c r="G232" s="4" t="s">
        <v>5704</v>
      </c>
      <c r="H232" s="5" t="s">
        <v>3356</v>
      </c>
      <c r="I232" s="5" t="s">
        <v>3356</v>
      </c>
      <c r="J232" s="4" t="s">
        <v>3356</v>
      </c>
      <c r="L232" s="1" t="s">
        <v>6135</v>
      </c>
    </row>
    <row r="233" spans="1:12">
      <c r="A233" s="3" t="s">
        <v>3356</v>
      </c>
      <c r="C233" s="4" t="s">
        <v>3817</v>
      </c>
      <c r="D233" s="4" t="s">
        <v>3954</v>
      </c>
      <c r="E233" s="4" t="s">
        <v>4908</v>
      </c>
      <c r="F233" s="4" t="s">
        <v>5558</v>
      </c>
      <c r="G233" s="4" t="s">
        <v>5705</v>
      </c>
      <c r="H233" s="5" t="s">
        <v>3356</v>
      </c>
      <c r="I233" s="5" t="s">
        <v>3356</v>
      </c>
      <c r="J233" s="4" t="s">
        <v>3356</v>
      </c>
      <c r="L233" s="1" t="s">
        <v>6135</v>
      </c>
    </row>
    <row r="234" spans="1:12">
      <c r="A234" s="3" t="s">
        <v>3356</v>
      </c>
      <c r="C234" s="4" t="s">
        <v>3817</v>
      </c>
      <c r="D234" s="4" t="s">
        <v>3954</v>
      </c>
      <c r="E234" s="4" t="s">
        <v>4908</v>
      </c>
      <c r="F234" s="4" t="s">
        <v>5706</v>
      </c>
      <c r="G234" s="4" t="s">
        <v>5707</v>
      </c>
      <c r="H234" s="5" t="s">
        <v>3356</v>
      </c>
      <c r="I234" s="5" t="s">
        <v>3356</v>
      </c>
      <c r="J234" s="4" t="s">
        <v>3356</v>
      </c>
      <c r="L234" s="1" t="s">
        <v>6135</v>
      </c>
    </row>
    <row r="235" spans="1:12">
      <c r="A235" s="3" t="s">
        <v>3356</v>
      </c>
      <c r="C235" s="4" t="s">
        <v>3817</v>
      </c>
      <c r="D235" s="4" t="s">
        <v>3954</v>
      </c>
      <c r="E235" s="4" t="s">
        <v>4908</v>
      </c>
      <c r="F235" s="4" t="s">
        <v>5706</v>
      </c>
      <c r="G235" s="4" t="s">
        <v>5949</v>
      </c>
      <c r="H235" s="5" t="s">
        <v>3356</v>
      </c>
      <c r="I235" s="5" t="s">
        <v>3356</v>
      </c>
      <c r="J235" s="4" t="s">
        <v>3356</v>
      </c>
      <c r="L235" s="1" t="s">
        <v>6135</v>
      </c>
    </row>
    <row r="236" spans="1:12">
      <c r="A236" s="3" t="s">
        <v>3356</v>
      </c>
      <c r="C236" s="4" t="s">
        <v>3817</v>
      </c>
      <c r="D236" s="4" t="s">
        <v>3954</v>
      </c>
      <c r="E236" s="4" t="s">
        <v>4908</v>
      </c>
      <c r="F236" s="4" t="s">
        <v>5560</v>
      </c>
      <c r="G236" s="4" t="s">
        <v>5909</v>
      </c>
      <c r="H236" s="5" t="s">
        <v>3356</v>
      </c>
      <c r="I236" s="5" t="s">
        <v>3356</v>
      </c>
      <c r="J236" s="4" t="s">
        <v>3356</v>
      </c>
      <c r="L236" s="1" t="s">
        <v>6135</v>
      </c>
    </row>
    <row r="237" spans="1:12">
      <c r="A237" s="3" t="s">
        <v>3356</v>
      </c>
      <c r="C237" s="4" t="s">
        <v>3817</v>
      </c>
      <c r="D237" s="4" t="s">
        <v>3954</v>
      </c>
      <c r="E237" s="4" t="s">
        <v>4908</v>
      </c>
      <c r="F237" s="4" t="s">
        <v>5560</v>
      </c>
      <c r="G237" s="4" t="s">
        <v>6094</v>
      </c>
      <c r="H237" s="5" t="s">
        <v>3356</v>
      </c>
      <c r="I237" s="5" t="s">
        <v>3356</v>
      </c>
      <c r="J237" s="4" t="s">
        <v>3356</v>
      </c>
      <c r="L237" s="1" t="s">
        <v>6135</v>
      </c>
    </row>
    <row r="238" spans="1:12">
      <c r="A238" s="3" t="s">
        <v>3356</v>
      </c>
      <c r="C238" s="4" t="s">
        <v>3817</v>
      </c>
      <c r="D238" s="4" t="s">
        <v>3954</v>
      </c>
      <c r="E238" s="4" t="s">
        <v>4908</v>
      </c>
      <c r="F238" s="4" t="s">
        <v>5560</v>
      </c>
      <c r="G238" s="4" t="s">
        <v>5565</v>
      </c>
      <c r="H238" s="5">
        <v>3.9030899869919438</v>
      </c>
      <c r="I238" s="5">
        <v>8000</v>
      </c>
      <c r="J238" s="4" t="s">
        <v>6736</v>
      </c>
      <c r="L238" s="1" t="s">
        <v>6135</v>
      </c>
    </row>
    <row r="239" spans="1:12">
      <c r="A239" s="3" t="s">
        <v>3356</v>
      </c>
      <c r="C239" s="4" t="s">
        <v>3817</v>
      </c>
      <c r="D239" s="4" t="s">
        <v>3954</v>
      </c>
      <c r="E239" s="4" t="s">
        <v>4908</v>
      </c>
      <c r="F239" s="4" t="s">
        <v>5560</v>
      </c>
      <c r="G239" s="4" t="s">
        <v>5566</v>
      </c>
      <c r="H239" s="5">
        <v>3.9030899869919438</v>
      </c>
      <c r="I239" s="5">
        <v>8000</v>
      </c>
      <c r="J239" s="4" t="s">
        <v>6736</v>
      </c>
      <c r="L239" s="1" t="s">
        <v>6135</v>
      </c>
    </row>
    <row r="240" spans="1:12">
      <c r="A240" s="3" t="s">
        <v>3356</v>
      </c>
      <c r="C240" s="4" t="s">
        <v>3817</v>
      </c>
      <c r="D240" s="4" t="s">
        <v>3954</v>
      </c>
      <c r="E240" s="4" t="s">
        <v>4908</v>
      </c>
      <c r="F240" s="4" t="s">
        <v>6095</v>
      </c>
      <c r="G240" s="4" t="s">
        <v>4108</v>
      </c>
      <c r="H240" s="5" t="s">
        <v>3356</v>
      </c>
      <c r="I240" s="5" t="s">
        <v>3356</v>
      </c>
      <c r="J240" s="4" t="s">
        <v>3356</v>
      </c>
      <c r="L240" s="1" t="s">
        <v>6135</v>
      </c>
    </row>
    <row r="241" spans="1:12">
      <c r="A241" s="3" t="s">
        <v>3356</v>
      </c>
      <c r="C241" s="4" t="s">
        <v>3817</v>
      </c>
      <c r="D241" s="4" t="s">
        <v>6761</v>
      </c>
      <c r="E241" s="4" t="s">
        <v>6762</v>
      </c>
      <c r="F241" s="4" t="s">
        <v>5561</v>
      </c>
      <c r="G241" s="4" t="s">
        <v>5562</v>
      </c>
      <c r="H241" s="5">
        <v>7.8388490907372557</v>
      </c>
      <c r="I241" s="5">
        <v>69000000</v>
      </c>
      <c r="J241" s="4" t="s">
        <v>6736</v>
      </c>
      <c r="L241" s="1" t="s">
        <v>6135</v>
      </c>
    </row>
    <row r="242" spans="1:12">
      <c r="A242" s="3" t="s">
        <v>3356</v>
      </c>
      <c r="C242" s="4" t="s">
        <v>3817</v>
      </c>
      <c r="D242" s="4" t="s">
        <v>6761</v>
      </c>
      <c r="E242" s="4" t="s">
        <v>6762</v>
      </c>
      <c r="F242" s="4" t="s">
        <v>5563</v>
      </c>
      <c r="G242" s="4" t="s">
        <v>3789</v>
      </c>
      <c r="H242" s="5">
        <v>7.7363965022766426</v>
      </c>
      <c r="I242" s="5">
        <v>54500000</v>
      </c>
      <c r="J242" s="4" t="s">
        <v>6736</v>
      </c>
      <c r="L242" s="1" t="s">
        <v>6135</v>
      </c>
    </row>
    <row r="243" spans="1:12">
      <c r="A243" s="3" t="s">
        <v>3356</v>
      </c>
      <c r="C243" s="4" t="s">
        <v>3817</v>
      </c>
      <c r="D243" s="4" t="s">
        <v>6761</v>
      </c>
      <c r="E243" s="4" t="s">
        <v>6762</v>
      </c>
      <c r="F243" s="4" t="s">
        <v>5563</v>
      </c>
      <c r="G243" s="4" t="s">
        <v>5564</v>
      </c>
      <c r="H243" s="5">
        <v>7.3521825181113627</v>
      </c>
      <c r="I243" s="5">
        <v>22500000</v>
      </c>
      <c r="J243" s="4" t="s">
        <v>6736</v>
      </c>
      <c r="L243" s="1" t="s">
        <v>6135</v>
      </c>
    </row>
    <row r="244" spans="1:12">
      <c r="A244" s="3" t="s">
        <v>3356</v>
      </c>
      <c r="C244" s="4" t="s">
        <v>3817</v>
      </c>
      <c r="D244" s="4" t="s">
        <v>6761</v>
      </c>
      <c r="E244" s="4" t="s">
        <v>6751</v>
      </c>
      <c r="F244" s="4" t="s">
        <v>5833</v>
      </c>
      <c r="G244" s="4" t="s">
        <v>5834</v>
      </c>
      <c r="H244" s="5">
        <v>7</v>
      </c>
      <c r="I244" s="5">
        <v>10000000</v>
      </c>
      <c r="J244" s="4" t="s">
        <v>6736</v>
      </c>
      <c r="L244" s="1" t="s">
        <v>6135</v>
      </c>
    </row>
    <row r="245" spans="1:12">
      <c r="A245" s="3" t="s">
        <v>3356</v>
      </c>
      <c r="C245" s="4" t="s">
        <v>3817</v>
      </c>
      <c r="D245" s="4" t="s">
        <v>6761</v>
      </c>
      <c r="E245" s="4" t="s">
        <v>6751</v>
      </c>
      <c r="F245" s="4" t="s">
        <v>5833</v>
      </c>
      <c r="G245" s="4" t="s">
        <v>4627</v>
      </c>
      <c r="H245" s="5">
        <v>7.3010299956639813</v>
      </c>
      <c r="I245" s="5">
        <v>20000000</v>
      </c>
      <c r="J245" s="4" t="s">
        <v>6736</v>
      </c>
      <c r="L245" s="1" t="s">
        <v>6135</v>
      </c>
    </row>
    <row r="246" spans="1:12">
      <c r="A246" s="3" t="s">
        <v>3356</v>
      </c>
      <c r="C246" s="4" t="s">
        <v>3817</v>
      </c>
      <c r="D246" s="4" t="s">
        <v>6761</v>
      </c>
      <c r="E246" s="4" t="s">
        <v>6751</v>
      </c>
      <c r="F246" s="4" t="s">
        <v>5833</v>
      </c>
      <c r="G246" s="4" t="s">
        <v>5572</v>
      </c>
      <c r="H246" s="5">
        <v>7.204119982655925</v>
      </c>
      <c r="I246" s="5">
        <v>16000000</v>
      </c>
      <c r="J246" s="4" t="s">
        <v>6736</v>
      </c>
      <c r="L246" s="1" t="s">
        <v>6135</v>
      </c>
    </row>
    <row r="247" spans="1:12">
      <c r="A247" s="3" t="s">
        <v>3356</v>
      </c>
      <c r="C247" s="4" t="s">
        <v>3817</v>
      </c>
      <c r="D247" s="4" t="s">
        <v>6761</v>
      </c>
      <c r="E247" s="4" t="s">
        <v>6751</v>
      </c>
      <c r="F247" s="4" t="s">
        <v>5833</v>
      </c>
      <c r="G247" s="4" t="s">
        <v>4307</v>
      </c>
      <c r="H247" s="5">
        <v>8.1760912590556813</v>
      </c>
      <c r="I247" s="5">
        <v>150000000</v>
      </c>
      <c r="J247" s="4" t="s">
        <v>6736</v>
      </c>
      <c r="L247" s="1" t="s">
        <v>6135</v>
      </c>
    </row>
    <row r="248" spans="1:12">
      <c r="A248" s="3" t="s">
        <v>3356</v>
      </c>
      <c r="C248" s="4" t="s">
        <v>3817</v>
      </c>
      <c r="D248" s="4" t="s">
        <v>6761</v>
      </c>
      <c r="E248" s="4" t="s">
        <v>6751</v>
      </c>
      <c r="F248" s="4" t="s">
        <v>5833</v>
      </c>
      <c r="G248" s="4" t="s">
        <v>5573</v>
      </c>
      <c r="H248" s="5">
        <v>7.653212513775344</v>
      </c>
      <c r="I248" s="5">
        <v>45000000</v>
      </c>
      <c r="J248" s="4" t="s">
        <v>6736</v>
      </c>
      <c r="L248" s="1" t="s">
        <v>6135</v>
      </c>
    </row>
    <row r="249" spans="1:12">
      <c r="A249" s="3" t="s">
        <v>3356</v>
      </c>
      <c r="C249" s="4" t="s">
        <v>3817</v>
      </c>
      <c r="D249" s="4" t="s">
        <v>6761</v>
      </c>
      <c r="E249" s="4" t="s">
        <v>6751</v>
      </c>
      <c r="F249" s="4" t="s">
        <v>5109</v>
      </c>
      <c r="G249" s="4" t="s">
        <v>5577</v>
      </c>
      <c r="H249" s="5">
        <v>7.4771212547196626</v>
      </c>
      <c r="I249" s="5">
        <v>30000000</v>
      </c>
      <c r="J249" s="4" t="s">
        <v>6736</v>
      </c>
      <c r="L249" s="1" t="s">
        <v>6135</v>
      </c>
    </row>
    <row r="250" spans="1:12">
      <c r="A250" s="3" t="s">
        <v>3356</v>
      </c>
      <c r="C250" s="4" t="s">
        <v>3817</v>
      </c>
      <c r="D250" s="4" t="s">
        <v>6761</v>
      </c>
      <c r="E250" s="4" t="s">
        <v>6752</v>
      </c>
      <c r="F250" s="4" t="s">
        <v>6429</v>
      </c>
      <c r="G250" s="4" t="s">
        <v>6443</v>
      </c>
      <c r="H250" s="5">
        <v>4.6989700043360187</v>
      </c>
      <c r="I250" s="5">
        <v>50000</v>
      </c>
      <c r="J250" s="4" t="s">
        <v>6736</v>
      </c>
      <c r="L250" s="1" t="s">
        <v>6135</v>
      </c>
    </row>
    <row r="251" spans="1:12">
      <c r="A251" s="3" t="s">
        <v>3356</v>
      </c>
      <c r="C251" s="4" t="s">
        <v>3817</v>
      </c>
      <c r="D251" s="4" t="s">
        <v>6761</v>
      </c>
      <c r="E251" s="4" t="s">
        <v>6752</v>
      </c>
      <c r="F251" s="4" t="s">
        <v>6429</v>
      </c>
      <c r="G251" s="4" t="s">
        <v>6074</v>
      </c>
      <c r="H251" s="5" t="s">
        <v>3356</v>
      </c>
      <c r="I251" s="5" t="s">
        <v>3356</v>
      </c>
      <c r="J251" s="4" t="s">
        <v>3356</v>
      </c>
      <c r="L251" s="1" t="s">
        <v>6135</v>
      </c>
    </row>
    <row r="252" spans="1:12">
      <c r="A252" s="3" t="s">
        <v>3356</v>
      </c>
      <c r="C252" s="4" t="s">
        <v>3817</v>
      </c>
      <c r="D252" s="4" t="s">
        <v>6761</v>
      </c>
      <c r="E252" s="4" t="s">
        <v>6752</v>
      </c>
      <c r="F252" s="4" t="s">
        <v>6429</v>
      </c>
      <c r="G252" s="4" t="s">
        <v>3701</v>
      </c>
      <c r="H252" s="5" t="s">
        <v>3356</v>
      </c>
      <c r="I252" s="5" t="s">
        <v>3356</v>
      </c>
      <c r="J252" s="4" t="s">
        <v>3356</v>
      </c>
      <c r="L252" s="1" t="s">
        <v>6135</v>
      </c>
    </row>
    <row r="253" spans="1:12">
      <c r="A253" s="3" t="s">
        <v>3356</v>
      </c>
      <c r="C253" s="4" t="s">
        <v>3817</v>
      </c>
      <c r="D253" s="4" t="s">
        <v>6761</v>
      </c>
      <c r="E253" s="4" t="s">
        <v>6752</v>
      </c>
      <c r="F253" s="4" t="s">
        <v>6429</v>
      </c>
      <c r="G253" s="4" t="s">
        <v>5641</v>
      </c>
      <c r="H253" s="5">
        <v>4.6989700043360187</v>
      </c>
      <c r="I253" s="5">
        <v>50000</v>
      </c>
      <c r="J253" s="4" t="s">
        <v>6736</v>
      </c>
      <c r="L253" s="1" t="s">
        <v>6135</v>
      </c>
    </row>
    <row r="254" spans="1:12">
      <c r="A254" s="3" t="s">
        <v>3356</v>
      </c>
      <c r="C254" s="4" t="s">
        <v>3817</v>
      </c>
      <c r="D254" s="4" t="s">
        <v>6761</v>
      </c>
      <c r="E254" s="4" t="s">
        <v>6752</v>
      </c>
      <c r="F254" s="4" t="s">
        <v>6437</v>
      </c>
      <c r="G254" s="4" t="s">
        <v>5635</v>
      </c>
      <c r="H254" s="5">
        <v>4.8129133566428557</v>
      </c>
      <c r="I254" s="5">
        <v>65000</v>
      </c>
      <c r="J254" s="4" t="s">
        <v>6736</v>
      </c>
      <c r="L254" s="1" t="s">
        <v>6135</v>
      </c>
    </row>
    <row r="255" spans="1:12">
      <c r="A255" s="3" t="s">
        <v>3356</v>
      </c>
      <c r="C255" s="4" t="s">
        <v>3817</v>
      </c>
      <c r="D255" s="4" t="s">
        <v>6761</v>
      </c>
      <c r="E255" s="4" t="s">
        <v>6752</v>
      </c>
      <c r="F255" s="4" t="s">
        <v>4142</v>
      </c>
      <c r="G255" s="4" t="s">
        <v>5099</v>
      </c>
      <c r="H255" s="5" t="s">
        <v>3356</v>
      </c>
      <c r="I255" s="5" t="s">
        <v>3356</v>
      </c>
      <c r="J255" s="4" t="s">
        <v>3356</v>
      </c>
      <c r="L255" s="1" t="s">
        <v>6135</v>
      </c>
    </row>
    <row r="256" spans="1:12">
      <c r="A256" s="3" t="s">
        <v>3356</v>
      </c>
      <c r="C256" s="4" t="s">
        <v>3817</v>
      </c>
      <c r="D256" s="4" t="s">
        <v>6761</v>
      </c>
      <c r="E256" s="4" t="s">
        <v>6752</v>
      </c>
      <c r="F256" s="4" t="s">
        <v>6432</v>
      </c>
      <c r="G256" s="4" t="s">
        <v>5638</v>
      </c>
      <c r="H256" s="5">
        <v>5.9030899869919438</v>
      </c>
      <c r="I256" s="5">
        <v>800000</v>
      </c>
      <c r="J256" s="4" t="s">
        <v>6736</v>
      </c>
      <c r="L256" s="1" t="s">
        <v>6135</v>
      </c>
    </row>
    <row r="257" spans="1:12">
      <c r="A257" s="3" t="s">
        <v>3356</v>
      </c>
      <c r="C257" s="4" t="s">
        <v>3817</v>
      </c>
      <c r="D257" s="4" t="s">
        <v>6761</v>
      </c>
      <c r="E257" s="4" t="s">
        <v>6752</v>
      </c>
      <c r="F257" s="4" t="s">
        <v>6432</v>
      </c>
      <c r="G257" s="4" t="s">
        <v>5639</v>
      </c>
      <c r="H257" s="5">
        <v>6.4393326938302629</v>
      </c>
      <c r="I257" s="5">
        <v>2750000</v>
      </c>
      <c r="J257" s="4" t="s">
        <v>6736</v>
      </c>
      <c r="L257" s="1" t="s">
        <v>6135</v>
      </c>
    </row>
    <row r="258" spans="1:12">
      <c r="A258" s="3" t="s">
        <v>3356</v>
      </c>
      <c r="C258" s="4" t="s">
        <v>3817</v>
      </c>
      <c r="D258" s="4" t="s">
        <v>6761</v>
      </c>
      <c r="E258" s="4" t="s">
        <v>6752</v>
      </c>
      <c r="F258" s="4" t="s">
        <v>3454</v>
      </c>
      <c r="G258" s="4" t="s">
        <v>2210</v>
      </c>
      <c r="H258" s="5" t="s">
        <v>3356</v>
      </c>
      <c r="I258" s="5" t="s">
        <v>3356</v>
      </c>
      <c r="J258" s="4" t="s">
        <v>3356</v>
      </c>
      <c r="L258" s="1" t="s">
        <v>6135</v>
      </c>
    </row>
    <row r="259" spans="1:12">
      <c r="A259" s="3" t="s">
        <v>3356</v>
      </c>
      <c r="C259" s="4" t="s">
        <v>3817</v>
      </c>
      <c r="D259" s="4" t="s">
        <v>6761</v>
      </c>
      <c r="E259" s="4" t="s">
        <v>6752</v>
      </c>
      <c r="F259" s="4" t="s">
        <v>5640</v>
      </c>
      <c r="G259" s="4" t="s">
        <v>5637</v>
      </c>
      <c r="H259" s="5">
        <v>5.214843848047698</v>
      </c>
      <c r="I259" s="5">
        <v>164000</v>
      </c>
      <c r="J259" s="4" t="s">
        <v>6736</v>
      </c>
      <c r="L259" s="1" t="s">
        <v>6135</v>
      </c>
    </row>
    <row r="260" spans="1:12">
      <c r="A260" s="3" t="s">
        <v>3356</v>
      </c>
      <c r="C260" s="4" t="s">
        <v>3817</v>
      </c>
      <c r="D260" s="4" t="s">
        <v>6761</v>
      </c>
      <c r="E260" s="4" t="s">
        <v>6752</v>
      </c>
      <c r="F260" s="4" t="s">
        <v>6615</v>
      </c>
      <c r="G260" s="4" t="s">
        <v>5642</v>
      </c>
      <c r="H260" s="5">
        <v>5.3010299956639813</v>
      </c>
      <c r="I260" s="5">
        <v>200000</v>
      </c>
      <c r="J260" s="4" t="s">
        <v>6736</v>
      </c>
      <c r="L260" s="1" t="s">
        <v>6135</v>
      </c>
    </row>
    <row r="261" spans="1:12">
      <c r="A261" s="3" t="s">
        <v>3356</v>
      </c>
      <c r="C261" s="4" t="s">
        <v>3817</v>
      </c>
      <c r="D261" s="4" t="s">
        <v>6761</v>
      </c>
      <c r="E261" s="4" t="s">
        <v>6752</v>
      </c>
      <c r="F261" s="4" t="s">
        <v>6615</v>
      </c>
      <c r="G261" s="4" t="s">
        <v>5966</v>
      </c>
      <c r="H261" s="5" t="s">
        <v>3356</v>
      </c>
      <c r="I261" s="5" t="s">
        <v>3356</v>
      </c>
      <c r="J261" s="4" t="s">
        <v>3356</v>
      </c>
      <c r="L261" s="1" t="s">
        <v>6135</v>
      </c>
    </row>
    <row r="262" spans="1:12">
      <c r="A262" s="3" t="s">
        <v>3356</v>
      </c>
      <c r="C262" s="4" t="s">
        <v>3817</v>
      </c>
      <c r="D262" s="4" t="s">
        <v>6761</v>
      </c>
      <c r="E262" s="4" t="s">
        <v>6752</v>
      </c>
      <c r="F262" s="4" t="s">
        <v>6615</v>
      </c>
      <c r="G262" s="4" t="s">
        <v>3789</v>
      </c>
      <c r="H262" s="5" t="s">
        <v>3356</v>
      </c>
      <c r="I262" s="5" t="s">
        <v>3356</v>
      </c>
      <c r="J262" s="4" t="s">
        <v>3356</v>
      </c>
      <c r="L262" s="1" t="s">
        <v>6135</v>
      </c>
    </row>
    <row r="263" spans="1:12">
      <c r="A263" s="3" t="s">
        <v>3356</v>
      </c>
      <c r="C263" s="4" t="s">
        <v>3817</v>
      </c>
      <c r="D263" s="4" t="s">
        <v>6761</v>
      </c>
      <c r="E263" s="4" t="s">
        <v>6752</v>
      </c>
      <c r="F263" s="4" t="s">
        <v>6615</v>
      </c>
      <c r="G263" s="4" t="s">
        <v>3455</v>
      </c>
      <c r="H263" s="5" t="s">
        <v>3356</v>
      </c>
      <c r="I263" s="5" t="s">
        <v>3356</v>
      </c>
      <c r="J263" s="4" t="s">
        <v>3356</v>
      </c>
      <c r="L263" s="1" t="s">
        <v>6135</v>
      </c>
    </row>
    <row r="264" spans="1:12">
      <c r="A264" s="3" t="s">
        <v>3356</v>
      </c>
      <c r="C264" s="4" t="s">
        <v>3817</v>
      </c>
      <c r="D264" s="4" t="s">
        <v>6761</v>
      </c>
      <c r="E264" s="4" t="s">
        <v>6752</v>
      </c>
      <c r="F264" s="4" t="s">
        <v>6615</v>
      </c>
      <c r="G264" s="4" t="s">
        <v>3660</v>
      </c>
      <c r="H264" s="5" t="s">
        <v>3356</v>
      </c>
      <c r="I264" s="5" t="s">
        <v>3356</v>
      </c>
      <c r="J264" s="4" t="s">
        <v>3356</v>
      </c>
      <c r="L264" s="1" t="s">
        <v>6135</v>
      </c>
    </row>
    <row r="265" spans="1:12">
      <c r="A265" s="3" t="s">
        <v>3356</v>
      </c>
      <c r="C265" s="4" t="s">
        <v>3817</v>
      </c>
      <c r="D265" s="4" t="s">
        <v>6761</v>
      </c>
      <c r="E265" s="4" t="s">
        <v>6752</v>
      </c>
      <c r="F265" s="4" t="s">
        <v>6615</v>
      </c>
      <c r="G265" s="4" t="s">
        <v>7543</v>
      </c>
      <c r="H265" s="5" t="s">
        <v>3356</v>
      </c>
      <c r="I265" s="5" t="s">
        <v>3356</v>
      </c>
      <c r="J265" s="4" t="s">
        <v>3356</v>
      </c>
      <c r="L265" s="1" t="s">
        <v>6135</v>
      </c>
    </row>
    <row r="266" spans="1:12">
      <c r="A266" s="3" t="s">
        <v>3356</v>
      </c>
      <c r="C266" s="4" t="s">
        <v>3817</v>
      </c>
      <c r="D266" s="4" t="s">
        <v>6761</v>
      </c>
      <c r="E266" s="4" t="s">
        <v>6752</v>
      </c>
      <c r="F266" s="4" t="s">
        <v>3661</v>
      </c>
      <c r="G266" s="4" t="s">
        <v>4627</v>
      </c>
      <c r="H266" s="5" t="s">
        <v>3356</v>
      </c>
      <c r="I266" s="5" t="s">
        <v>3356</v>
      </c>
      <c r="J266" s="4" t="s">
        <v>3356</v>
      </c>
      <c r="L266" s="1" t="s">
        <v>6135</v>
      </c>
    </row>
    <row r="267" spans="1:12">
      <c r="A267" s="3" t="s">
        <v>3356</v>
      </c>
      <c r="C267" s="4" t="s">
        <v>3817</v>
      </c>
      <c r="D267" s="4" t="s">
        <v>6761</v>
      </c>
      <c r="E267" s="4" t="s">
        <v>6752</v>
      </c>
      <c r="F267" s="4" t="s">
        <v>3661</v>
      </c>
      <c r="G267" s="4" t="s">
        <v>4147</v>
      </c>
      <c r="H267" s="5" t="s">
        <v>3356</v>
      </c>
      <c r="I267" s="5" t="s">
        <v>3356</v>
      </c>
      <c r="J267" s="4" t="s">
        <v>3356</v>
      </c>
      <c r="L267" s="1" t="s">
        <v>6135</v>
      </c>
    </row>
    <row r="268" spans="1:12">
      <c r="A268" s="3" t="s">
        <v>3356</v>
      </c>
      <c r="C268" s="4" t="s">
        <v>3817</v>
      </c>
      <c r="D268" s="4" t="s">
        <v>6761</v>
      </c>
      <c r="E268" s="4" t="s">
        <v>6752</v>
      </c>
      <c r="F268" s="4" t="s">
        <v>5636</v>
      </c>
      <c r="G268" s="4" t="s">
        <v>5644</v>
      </c>
      <c r="H268" s="5">
        <v>5.2787536009528289</v>
      </c>
      <c r="I268" s="5">
        <v>190000</v>
      </c>
      <c r="J268" s="4" t="s">
        <v>6736</v>
      </c>
      <c r="L268" s="1" t="s">
        <v>6135</v>
      </c>
    </row>
    <row r="269" spans="1:12">
      <c r="A269" s="3" t="s">
        <v>3356</v>
      </c>
      <c r="C269" s="4" t="s">
        <v>3817</v>
      </c>
      <c r="D269" s="4" t="s">
        <v>6761</v>
      </c>
      <c r="E269" s="4" t="s">
        <v>6752</v>
      </c>
      <c r="F269" s="4" t="s">
        <v>3298</v>
      </c>
      <c r="G269" s="4" t="s">
        <v>3299</v>
      </c>
      <c r="H269" s="5">
        <v>6.7403626894942441</v>
      </c>
      <c r="I269" s="5">
        <v>5500000</v>
      </c>
      <c r="J269" s="4" t="s">
        <v>6736</v>
      </c>
      <c r="L269" s="1" t="s">
        <v>6135</v>
      </c>
    </row>
    <row r="270" spans="1:12">
      <c r="A270" s="3" t="s">
        <v>3356</v>
      </c>
      <c r="C270" s="4" t="s">
        <v>3817</v>
      </c>
      <c r="D270" s="4" t="s">
        <v>6761</v>
      </c>
      <c r="E270" s="4" t="s">
        <v>6752</v>
      </c>
      <c r="F270" s="4" t="s">
        <v>3126</v>
      </c>
      <c r="G270" s="4" t="s">
        <v>3335</v>
      </c>
      <c r="H270" s="5">
        <v>5.3138672203691533</v>
      </c>
      <c r="I270" s="5">
        <v>206000</v>
      </c>
      <c r="J270" s="4" t="s">
        <v>6736</v>
      </c>
      <c r="L270" s="1" t="s">
        <v>6135</v>
      </c>
    </row>
    <row r="271" spans="1:12">
      <c r="A271" s="3" t="s">
        <v>3356</v>
      </c>
      <c r="C271" s="4" t="s">
        <v>3817</v>
      </c>
      <c r="D271" s="4" t="s">
        <v>6761</v>
      </c>
      <c r="E271" s="4" t="s">
        <v>6752</v>
      </c>
      <c r="F271" s="4" t="s">
        <v>3336</v>
      </c>
      <c r="G271" s="4" t="s">
        <v>3337</v>
      </c>
      <c r="H271" s="5">
        <v>6.1335389083702179</v>
      </c>
      <c r="I271" s="5">
        <v>1360000</v>
      </c>
      <c r="J271" s="4" t="s">
        <v>6736</v>
      </c>
      <c r="L271" s="1" t="s">
        <v>6135</v>
      </c>
    </row>
    <row r="272" spans="1:12">
      <c r="A272" s="3" t="s">
        <v>3356</v>
      </c>
      <c r="C272" s="4" t="s">
        <v>3817</v>
      </c>
      <c r="D272" s="4" t="s">
        <v>6761</v>
      </c>
      <c r="E272" s="4" t="s">
        <v>6752</v>
      </c>
      <c r="F272" s="4" t="s">
        <v>3662</v>
      </c>
      <c r="G272" s="4" t="s">
        <v>3663</v>
      </c>
      <c r="H272" s="5" t="s">
        <v>3356</v>
      </c>
      <c r="I272" s="5" t="s">
        <v>3356</v>
      </c>
      <c r="J272" s="4" t="s">
        <v>3356</v>
      </c>
      <c r="L272" s="1" t="s">
        <v>6135</v>
      </c>
    </row>
    <row r="273" spans="1:12">
      <c r="A273" s="3" t="s">
        <v>3356</v>
      </c>
      <c r="C273" s="4" t="s">
        <v>3817</v>
      </c>
      <c r="D273" s="4" t="s">
        <v>6761</v>
      </c>
      <c r="E273" s="4" t="s">
        <v>6752</v>
      </c>
      <c r="F273" s="4" t="s">
        <v>3664</v>
      </c>
      <c r="G273" s="4" t="s">
        <v>4036</v>
      </c>
      <c r="H273" s="5" t="s">
        <v>3356</v>
      </c>
      <c r="I273" s="5" t="s">
        <v>3356</v>
      </c>
      <c r="J273" s="4" t="s">
        <v>3356</v>
      </c>
      <c r="L273" s="1" t="s">
        <v>6135</v>
      </c>
    </row>
    <row r="274" spans="1:12">
      <c r="A274" s="3" t="s">
        <v>3356</v>
      </c>
      <c r="C274" s="4" t="s">
        <v>3817</v>
      </c>
      <c r="D274" s="4" t="s">
        <v>6761</v>
      </c>
      <c r="E274" s="4" t="s">
        <v>6752</v>
      </c>
      <c r="F274" s="4" t="s">
        <v>3664</v>
      </c>
      <c r="G274" s="4" t="s">
        <v>3665</v>
      </c>
      <c r="H274" s="5" t="s">
        <v>3356</v>
      </c>
      <c r="I274" s="5" t="s">
        <v>3356</v>
      </c>
      <c r="J274" s="4" t="s">
        <v>3356</v>
      </c>
      <c r="L274" s="1" t="s">
        <v>6135</v>
      </c>
    </row>
    <row r="275" spans="1:12">
      <c r="A275" s="3" t="s">
        <v>3356</v>
      </c>
      <c r="C275" s="4" t="s">
        <v>3817</v>
      </c>
      <c r="D275" s="4" t="s">
        <v>6761</v>
      </c>
      <c r="E275" s="4" t="s">
        <v>6752</v>
      </c>
      <c r="F275" s="4" t="s">
        <v>3118</v>
      </c>
      <c r="G275" s="4" t="s">
        <v>5099</v>
      </c>
      <c r="H275" s="5">
        <v>5</v>
      </c>
      <c r="I275" s="5">
        <v>100000</v>
      </c>
      <c r="J275" s="4" t="s">
        <v>6736</v>
      </c>
      <c r="L275" s="1" t="s">
        <v>6135</v>
      </c>
    </row>
    <row r="276" spans="1:12">
      <c r="A276" s="3" t="s">
        <v>3356</v>
      </c>
      <c r="C276" s="4" t="s">
        <v>3817</v>
      </c>
      <c r="D276" s="4" t="s">
        <v>6761</v>
      </c>
      <c r="E276" s="4" t="s">
        <v>6752</v>
      </c>
      <c r="F276" s="4" t="s">
        <v>3118</v>
      </c>
      <c r="G276" s="4" t="s">
        <v>3241</v>
      </c>
      <c r="H276" s="5" t="s">
        <v>3356</v>
      </c>
      <c r="I276" s="5" t="s">
        <v>3356</v>
      </c>
      <c r="J276" s="4" t="s">
        <v>3356</v>
      </c>
      <c r="L276" s="1" t="s">
        <v>6135</v>
      </c>
    </row>
    <row r="277" spans="1:12">
      <c r="A277" s="3" t="s">
        <v>3356</v>
      </c>
      <c r="C277" s="4" t="s">
        <v>3817</v>
      </c>
      <c r="D277" s="4" t="s">
        <v>6761</v>
      </c>
      <c r="E277" s="4" t="s">
        <v>6752</v>
      </c>
      <c r="F277" s="4" t="s">
        <v>3118</v>
      </c>
      <c r="G277" s="4" t="s">
        <v>6005</v>
      </c>
      <c r="H277" s="5">
        <v>5</v>
      </c>
      <c r="I277" s="5">
        <v>100000</v>
      </c>
      <c r="J277" s="4" t="s">
        <v>6736</v>
      </c>
      <c r="L277" s="1" t="s">
        <v>6135</v>
      </c>
    </row>
    <row r="278" spans="1:12">
      <c r="A278" s="3" t="s">
        <v>3356</v>
      </c>
      <c r="C278" s="4" t="s">
        <v>3817</v>
      </c>
      <c r="D278" s="4" t="s">
        <v>6761</v>
      </c>
      <c r="E278" s="4" t="s">
        <v>6752</v>
      </c>
      <c r="F278" s="4" t="s">
        <v>3118</v>
      </c>
      <c r="G278" s="4" t="s">
        <v>7688</v>
      </c>
      <c r="H278" s="5" t="s">
        <v>3356</v>
      </c>
      <c r="I278" s="5" t="s">
        <v>3356</v>
      </c>
      <c r="J278" s="4" t="s">
        <v>3356</v>
      </c>
      <c r="L278" s="1" t="s">
        <v>6135</v>
      </c>
    </row>
    <row r="279" spans="1:12">
      <c r="A279" s="3" t="s">
        <v>3356</v>
      </c>
      <c r="C279" s="4" t="s">
        <v>3817</v>
      </c>
      <c r="D279" s="4" t="s">
        <v>6761</v>
      </c>
      <c r="E279" s="4" t="s">
        <v>6752</v>
      </c>
      <c r="F279" s="4" t="s">
        <v>3118</v>
      </c>
      <c r="G279" s="4" t="s">
        <v>2428</v>
      </c>
      <c r="H279" s="5">
        <v>5</v>
      </c>
      <c r="I279" s="5">
        <v>100000</v>
      </c>
      <c r="J279" s="4" t="s">
        <v>6736</v>
      </c>
      <c r="L279" s="1" t="s">
        <v>6135</v>
      </c>
    </row>
    <row r="280" spans="1:12">
      <c r="A280" s="3" t="s">
        <v>3356</v>
      </c>
      <c r="C280" s="4" t="s">
        <v>3817</v>
      </c>
      <c r="D280" s="4" t="s">
        <v>6761</v>
      </c>
      <c r="E280" s="4" t="s">
        <v>6752</v>
      </c>
      <c r="F280" s="4" t="s">
        <v>6542</v>
      </c>
      <c r="G280" s="4" t="s">
        <v>6543</v>
      </c>
      <c r="H280" s="5" t="s">
        <v>3356</v>
      </c>
      <c r="I280" s="5" t="s">
        <v>3356</v>
      </c>
      <c r="J280" s="4" t="s">
        <v>3356</v>
      </c>
      <c r="L280" s="1" t="s">
        <v>6135</v>
      </c>
    </row>
    <row r="281" spans="1:12">
      <c r="A281" s="3" t="s">
        <v>3356</v>
      </c>
      <c r="C281" s="4" t="s">
        <v>3817</v>
      </c>
      <c r="D281" s="4" t="s">
        <v>6761</v>
      </c>
      <c r="E281" s="4" t="s">
        <v>6752</v>
      </c>
      <c r="F281" s="4" t="s">
        <v>6017</v>
      </c>
      <c r="G281" s="4" t="s">
        <v>3762</v>
      </c>
      <c r="H281" s="5">
        <v>5.2430380486862944</v>
      </c>
      <c r="I281" s="5">
        <v>175000</v>
      </c>
      <c r="J281" s="4" t="s">
        <v>6736</v>
      </c>
      <c r="L281" s="1" t="s">
        <v>6135</v>
      </c>
    </row>
    <row r="282" spans="1:12">
      <c r="A282" s="3" t="s">
        <v>3356</v>
      </c>
      <c r="C282" s="4" t="s">
        <v>3817</v>
      </c>
      <c r="D282" s="4" t="s">
        <v>6761</v>
      </c>
      <c r="E282" s="4" t="s">
        <v>3577</v>
      </c>
      <c r="F282" s="4" t="s">
        <v>8138</v>
      </c>
      <c r="G282" s="4" t="s">
        <v>7099</v>
      </c>
      <c r="H282" s="5">
        <v>7.4771212547196626</v>
      </c>
      <c r="I282" s="5">
        <v>30000000</v>
      </c>
      <c r="J282" s="4" t="s">
        <v>6736</v>
      </c>
      <c r="L282" s="1" t="s">
        <v>6135</v>
      </c>
    </row>
    <row r="283" spans="1:12">
      <c r="A283" s="3" t="s">
        <v>3356</v>
      </c>
      <c r="C283" s="4" t="s">
        <v>3817</v>
      </c>
      <c r="D283" s="4" t="s">
        <v>6761</v>
      </c>
      <c r="E283" s="4" t="s">
        <v>3578</v>
      </c>
      <c r="F283" s="4" t="s">
        <v>6007</v>
      </c>
      <c r="G283" s="4" t="s">
        <v>6018</v>
      </c>
      <c r="H283" s="5">
        <v>6.1461280356782382</v>
      </c>
      <c r="I283" s="5">
        <v>1400000</v>
      </c>
      <c r="J283" s="4" t="s">
        <v>6736</v>
      </c>
      <c r="L283" s="1" t="s">
        <v>6135</v>
      </c>
    </row>
    <row r="284" spans="1:12">
      <c r="A284" s="3" t="s">
        <v>3356</v>
      </c>
      <c r="C284" s="4" t="s">
        <v>3817</v>
      </c>
      <c r="D284" s="4" t="s">
        <v>6761</v>
      </c>
      <c r="E284" s="4" t="s">
        <v>3578</v>
      </c>
      <c r="F284" s="4" t="s">
        <v>8142</v>
      </c>
      <c r="G284" s="4" t="s">
        <v>8143</v>
      </c>
      <c r="H284" s="5">
        <v>5.9542425094393252</v>
      </c>
      <c r="I284" s="5">
        <v>900000</v>
      </c>
      <c r="J284" s="4" t="s">
        <v>6736</v>
      </c>
      <c r="L284" s="1" t="s">
        <v>6135</v>
      </c>
    </row>
    <row r="285" spans="1:12">
      <c r="A285" s="3" t="s">
        <v>3356</v>
      </c>
      <c r="C285" s="4" t="s">
        <v>3817</v>
      </c>
      <c r="D285" s="4" t="s">
        <v>6761</v>
      </c>
      <c r="E285" s="4" t="s">
        <v>4191</v>
      </c>
      <c r="F285" s="4" t="s">
        <v>6028</v>
      </c>
      <c r="G285" s="4" t="s">
        <v>8144</v>
      </c>
      <c r="H285" s="5">
        <v>6.653212513775344</v>
      </c>
      <c r="I285" s="5">
        <v>4500000</v>
      </c>
      <c r="J285" s="4" t="s">
        <v>6736</v>
      </c>
      <c r="L285" s="1" t="s">
        <v>6135</v>
      </c>
    </row>
    <row r="286" spans="1:12">
      <c r="A286" s="3" t="s">
        <v>3356</v>
      </c>
      <c r="C286" s="4" t="s">
        <v>3817</v>
      </c>
      <c r="D286" s="4" t="s">
        <v>6761</v>
      </c>
      <c r="E286" s="4" t="s">
        <v>4003</v>
      </c>
      <c r="F286" s="4" t="s">
        <v>6544</v>
      </c>
      <c r="G286" s="4" t="s">
        <v>8081</v>
      </c>
      <c r="H286" s="5" t="s">
        <v>3356</v>
      </c>
      <c r="I286" s="5" t="s">
        <v>3356</v>
      </c>
      <c r="J286" s="4" t="s">
        <v>3356</v>
      </c>
      <c r="L286" s="1" t="s">
        <v>6135</v>
      </c>
    </row>
    <row r="287" spans="1:12">
      <c r="A287" s="3" t="s">
        <v>3356</v>
      </c>
      <c r="C287" s="4" t="s">
        <v>3817</v>
      </c>
      <c r="D287" s="4" t="s">
        <v>6761</v>
      </c>
      <c r="E287" s="4" t="s">
        <v>4003</v>
      </c>
      <c r="F287" s="4" t="s">
        <v>5665</v>
      </c>
      <c r="G287" s="4" t="s">
        <v>5292</v>
      </c>
      <c r="H287" s="5">
        <v>4.4771212547196626</v>
      </c>
      <c r="I287" s="5">
        <v>30000</v>
      </c>
      <c r="J287" s="4" t="s">
        <v>6736</v>
      </c>
      <c r="L287" s="1" t="s">
        <v>6135</v>
      </c>
    </row>
    <row r="288" spans="1:12">
      <c r="A288" s="3" t="s">
        <v>3356</v>
      </c>
      <c r="C288" s="4" t="s">
        <v>3817</v>
      </c>
      <c r="D288" s="4" t="s">
        <v>6761</v>
      </c>
      <c r="E288" s="4" t="s">
        <v>4003</v>
      </c>
      <c r="F288" s="4" t="s">
        <v>6435</v>
      </c>
      <c r="G288" s="4" t="s">
        <v>6436</v>
      </c>
      <c r="H288" s="5">
        <v>4.6989700043360187</v>
      </c>
      <c r="I288" s="5">
        <v>50000</v>
      </c>
      <c r="J288" s="4" t="s">
        <v>6736</v>
      </c>
      <c r="L288" s="1" t="s">
        <v>6135</v>
      </c>
    </row>
    <row r="289" spans="1:12">
      <c r="A289" s="3" t="s">
        <v>3356</v>
      </c>
      <c r="C289" s="4" t="s">
        <v>3817</v>
      </c>
      <c r="D289" s="4" t="s">
        <v>6761</v>
      </c>
      <c r="E289" s="4" t="s">
        <v>4003</v>
      </c>
      <c r="F289" s="4" t="s">
        <v>6435</v>
      </c>
      <c r="G289" s="4" t="s">
        <v>6077</v>
      </c>
      <c r="H289" s="5" t="s">
        <v>3356</v>
      </c>
      <c r="I289" s="5" t="s">
        <v>3356</v>
      </c>
      <c r="J289" s="4" t="s">
        <v>3356</v>
      </c>
      <c r="L289" s="1" t="s">
        <v>6135</v>
      </c>
    </row>
    <row r="290" spans="1:12">
      <c r="A290" s="3" t="s">
        <v>3356</v>
      </c>
      <c r="C290" s="4" t="s">
        <v>3817</v>
      </c>
      <c r="D290" s="4" t="s">
        <v>6761</v>
      </c>
      <c r="E290" s="4" t="s">
        <v>4003</v>
      </c>
      <c r="F290" s="4" t="s">
        <v>6435</v>
      </c>
      <c r="G290" s="4" t="s">
        <v>5225</v>
      </c>
      <c r="H290" s="5" t="s">
        <v>3356</v>
      </c>
      <c r="I290" s="5" t="s">
        <v>3356</v>
      </c>
      <c r="J290" s="4" t="s">
        <v>3356</v>
      </c>
      <c r="L290" s="1" t="s">
        <v>6135</v>
      </c>
    </row>
    <row r="291" spans="1:12">
      <c r="A291" s="3" t="s">
        <v>3356</v>
      </c>
      <c r="C291" s="4" t="s">
        <v>3817</v>
      </c>
      <c r="D291" s="4" t="s">
        <v>6761</v>
      </c>
      <c r="E291" s="4" t="s">
        <v>4003</v>
      </c>
      <c r="F291" s="4" t="s">
        <v>8296</v>
      </c>
      <c r="G291" s="4" t="s">
        <v>7464</v>
      </c>
      <c r="H291" s="5">
        <v>5</v>
      </c>
      <c r="I291" s="5">
        <v>100000</v>
      </c>
      <c r="J291" s="4" t="s">
        <v>6736</v>
      </c>
      <c r="L291" s="1" t="s">
        <v>6135</v>
      </c>
    </row>
    <row r="292" spans="1:12">
      <c r="A292" s="3" t="s">
        <v>3356</v>
      </c>
      <c r="C292" s="4" t="s">
        <v>3817</v>
      </c>
      <c r="D292" s="4" t="s">
        <v>6761</v>
      </c>
      <c r="E292" s="4" t="s">
        <v>3345</v>
      </c>
      <c r="F292" s="4" t="s">
        <v>5226</v>
      </c>
      <c r="G292" s="4" t="s">
        <v>4269</v>
      </c>
      <c r="H292" s="5" t="s">
        <v>3356</v>
      </c>
      <c r="I292" s="5" t="s">
        <v>3356</v>
      </c>
      <c r="J292" s="4" t="s">
        <v>3356</v>
      </c>
      <c r="L292" s="1" t="s">
        <v>6135</v>
      </c>
    </row>
    <row r="293" spans="1:12">
      <c r="A293" s="3" t="s">
        <v>3356</v>
      </c>
      <c r="C293" s="4" t="s">
        <v>3817</v>
      </c>
      <c r="D293" s="4" t="s">
        <v>6761</v>
      </c>
      <c r="E293" s="4" t="s">
        <v>3345</v>
      </c>
      <c r="F293" s="4" t="s">
        <v>5226</v>
      </c>
      <c r="G293" s="4" t="s">
        <v>8213</v>
      </c>
      <c r="H293" s="5" t="s">
        <v>3356</v>
      </c>
      <c r="I293" s="5" t="s">
        <v>3356</v>
      </c>
      <c r="J293" s="4" t="s">
        <v>3356</v>
      </c>
      <c r="L293" s="1" t="s">
        <v>6135</v>
      </c>
    </row>
    <row r="294" spans="1:12">
      <c r="A294" s="3" t="s">
        <v>3356</v>
      </c>
      <c r="C294" s="4" t="s">
        <v>3817</v>
      </c>
      <c r="D294" s="4" t="s">
        <v>6761</v>
      </c>
      <c r="E294" s="4" t="s">
        <v>3345</v>
      </c>
      <c r="F294" s="4" t="s">
        <v>8297</v>
      </c>
      <c r="G294" s="4" t="s">
        <v>5649</v>
      </c>
      <c r="H294" s="5">
        <v>7.6020599913279625</v>
      </c>
      <c r="I294" s="5">
        <v>40000000</v>
      </c>
      <c r="J294" s="4" t="s">
        <v>6736</v>
      </c>
      <c r="L294" s="1" t="s">
        <v>6135</v>
      </c>
    </row>
    <row r="295" spans="1:12">
      <c r="A295" s="3" t="s">
        <v>3356</v>
      </c>
      <c r="C295" s="4" t="s">
        <v>3817</v>
      </c>
      <c r="D295" s="4" t="s">
        <v>6761</v>
      </c>
      <c r="E295" s="4" t="s">
        <v>3346</v>
      </c>
      <c r="F295" s="4" t="s">
        <v>5227</v>
      </c>
      <c r="G295" s="4" t="s">
        <v>5228</v>
      </c>
      <c r="H295" s="5" t="s">
        <v>3356</v>
      </c>
      <c r="I295" s="5" t="s">
        <v>3356</v>
      </c>
      <c r="J295" s="4" t="s">
        <v>3356</v>
      </c>
      <c r="L295" s="1" t="s">
        <v>6135</v>
      </c>
    </row>
    <row r="296" spans="1:12">
      <c r="A296" s="3" t="s">
        <v>3356</v>
      </c>
      <c r="C296" s="4" t="s">
        <v>3817</v>
      </c>
      <c r="D296" s="4" t="s">
        <v>6761</v>
      </c>
      <c r="E296" s="4" t="s">
        <v>3346</v>
      </c>
      <c r="F296" s="4" t="s">
        <v>8147</v>
      </c>
      <c r="G296" s="4" t="s">
        <v>5810</v>
      </c>
      <c r="H296" s="5">
        <v>4.9542425094393252</v>
      </c>
      <c r="I296" s="5">
        <v>90000</v>
      </c>
      <c r="J296" s="4" t="s">
        <v>6736</v>
      </c>
      <c r="L296" s="1" t="s">
        <v>6135</v>
      </c>
    </row>
    <row r="297" spans="1:12">
      <c r="A297" s="3" t="s">
        <v>3356</v>
      </c>
      <c r="C297" s="4" t="s">
        <v>3817</v>
      </c>
      <c r="D297" s="4" t="s">
        <v>6761</v>
      </c>
      <c r="E297" s="4" t="s">
        <v>3346</v>
      </c>
      <c r="F297" s="4" t="s">
        <v>5229</v>
      </c>
      <c r="G297" s="4" t="s">
        <v>5622</v>
      </c>
      <c r="H297" s="5" t="s">
        <v>3356</v>
      </c>
      <c r="I297" s="5" t="s">
        <v>3356</v>
      </c>
      <c r="J297" s="4" t="s">
        <v>3356</v>
      </c>
      <c r="L297" s="1" t="s">
        <v>6135</v>
      </c>
    </row>
    <row r="298" spans="1:12">
      <c r="A298" s="3" t="s">
        <v>3356</v>
      </c>
      <c r="C298" s="4" t="s">
        <v>3817</v>
      </c>
      <c r="D298" s="4" t="s">
        <v>6761</v>
      </c>
      <c r="E298" s="4" t="s">
        <v>3346</v>
      </c>
      <c r="F298" s="4" t="s">
        <v>5229</v>
      </c>
      <c r="G298" s="4" t="s">
        <v>3078</v>
      </c>
      <c r="H298" s="5" t="s">
        <v>3356</v>
      </c>
      <c r="I298" s="5" t="s">
        <v>3356</v>
      </c>
      <c r="J298" s="4" t="s">
        <v>3356</v>
      </c>
      <c r="L298" s="1" t="s">
        <v>6135</v>
      </c>
    </row>
    <row r="299" spans="1:12">
      <c r="A299" s="3" t="s">
        <v>3356</v>
      </c>
      <c r="C299" s="4" t="s">
        <v>3817</v>
      </c>
      <c r="D299" s="4" t="s">
        <v>6761</v>
      </c>
      <c r="E299" s="4" t="s">
        <v>3346</v>
      </c>
      <c r="F299" s="4" t="s">
        <v>5666</v>
      </c>
      <c r="G299" s="4" t="s">
        <v>3315</v>
      </c>
      <c r="H299" s="5">
        <v>4.6020599913279625</v>
      </c>
      <c r="I299" s="5">
        <v>40000</v>
      </c>
      <c r="J299" s="4" t="s">
        <v>6736</v>
      </c>
      <c r="L299" s="1" t="s">
        <v>6135</v>
      </c>
    </row>
    <row r="300" spans="1:12">
      <c r="A300" s="3" t="s">
        <v>3356</v>
      </c>
      <c r="C300" s="4" t="s">
        <v>3817</v>
      </c>
      <c r="D300" s="4" t="s">
        <v>6761</v>
      </c>
      <c r="E300" s="4" t="s">
        <v>3538</v>
      </c>
      <c r="F300" s="4" t="s">
        <v>5667</v>
      </c>
      <c r="G300" s="4" t="s">
        <v>5623</v>
      </c>
      <c r="H300" s="5" t="s">
        <v>3356</v>
      </c>
      <c r="I300" s="5" t="s">
        <v>3356</v>
      </c>
      <c r="J300" s="4" t="s">
        <v>3356</v>
      </c>
      <c r="L300" s="1" t="s">
        <v>6135</v>
      </c>
    </row>
    <row r="301" spans="1:12">
      <c r="A301" s="3" t="s">
        <v>3356</v>
      </c>
      <c r="C301" s="4" t="s">
        <v>3817</v>
      </c>
      <c r="D301" s="4" t="s">
        <v>6761</v>
      </c>
      <c r="E301" s="4" t="s">
        <v>3538</v>
      </c>
      <c r="F301" s="4" t="s">
        <v>5667</v>
      </c>
      <c r="G301" s="4" t="s">
        <v>1944</v>
      </c>
      <c r="H301" s="5">
        <v>7.0561422620590522</v>
      </c>
      <c r="I301" s="5">
        <v>11380000</v>
      </c>
      <c r="J301" s="4" t="s">
        <v>6736</v>
      </c>
      <c r="L301" s="1" t="s">
        <v>6135</v>
      </c>
    </row>
    <row r="302" spans="1:12">
      <c r="A302" s="3" t="s">
        <v>3356</v>
      </c>
      <c r="C302" s="4" t="s">
        <v>3817</v>
      </c>
      <c r="D302" s="4" t="s">
        <v>6761</v>
      </c>
      <c r="E302" s="4" t="s">
        <v>3538</v>
      </c>
      <c r="F302" s="4" t="s">
        <v>6029</v>
      </c>
      <c r="G302" s="4" t="s">
        <v>6030</v>
      </c>
      <c r="H302" s="5">
        <v>6.3979400086720375</v>
      </c>
      <c r="I302" s="5">
        <v>2500000</v>
      </c>
      <c r="J302" s="4" t="s">
        <v>6736</v>
      </c>
      <c r="L302" s="1" t="s">
        <v>6135</v>
      </c>
    </row>
    <row r="303" spans="1:12">
      <c r="A303" s="3" t="s">
        <v>3356</v>
      </c>
      <c r="C303" s="4" t="s">
        <v>3817</v>
      </c>
      <c r="D303" s="4" t="s">
        <v>6761</v>
      </c>
      <c r="E303" s="4" t="s">
        <v>3538</v>
      </c>
      <c r="F303" s="4" t="s">
        <v>6029</v>
      </c>
      <c r="G303" s="4" t="s">
        <v>4154</v>
      </c>
      <c r="H303" s="5" t="s">
        <v>3356</v>
      </c>
      <c r="I303" s="5" t="s">
        <v>3356</v>
      </c>
      <c r="J303" s="4" t="s">
        <v>3356</v>
      </c>
      <c r="L303" s="1" t="s">
        <v>6135</v>
      </c>
    </row>
    <row r="304" spans="1:12">
      <c r="A304" s="3" t="s">
        <v>3356</v>
      </c>
      <c r="C304" s="4" t="s">
        <v>3817</v>
      </c>
      <c r="D304" s="4" t="s">
        <v>6761</v>
      </c>
      <c r="E304" s="4" t="s">
        <v>3538</v>
      </c>
      <c r="F304" s="4" t="s">
        <v>5624</v>
      </c>
      <c r="G304" s="4" t="s">
        <v>6027</v>
      </c>
      <c r="H304" s="5" t="s">
        <v>3356</v>
      </c>
      <c r="I304" s="5" t="s">
        <v>3356</v>
      </c>
      <c r="J304" s="4" t="s">
        <v>3356</v>
      </c>
      <c r="L304" s="1" t="s">
        <v>6135</v>
      </c>
    </row>
    <row r="305" spans="1:12">
      <c r="A305" s="3" t="s">
        <v>3356</v>
      </c>
      <c r="C305" s="4" t="s">
        <v>3817</v>
      </c>
      <c r="D305" s="4" t="s">
        <v>6761</v>
      </c>
      <c r="E305" s="4" t="s">
        <v>3538</v>
      </c>
      <c r="F305" s="4" t="s">
        <v>5625</v>
      </c>
      <c r="G305" s="4" t="s">
        <v>5610</v>
      </c>
      <c r="H305" s="5" t="s">
        <v>3356</v>
      </c>
      <c r="I305" s="5" t="s">
        <v>3356</v>
      </c>
      <c r="J305" s="4" t="s">
        <v>3356</v>
      </c>
      <c r="L305" s="1" t="s">
        <v>6135</v>
      </c>
    </row>
    <row r="306" spans="1:12">
      <c r="A306" s="3" t="s">
        <v>3356</v>
      </c>
      <c r="C306" s="4" t="s">
        <v>3817</v>
      </c>
      <c r="D306" s="4" t="s">
        <v>6761</v>
      </c>
      <c r="E306" s="4" t="s">
        <v>3538</v>
      </c>
      <c r="F306" s="4" t="s">
        <v>5625</v>
      </c>
      <c r="G306" s="4" t="s">
        <v>5611</v>
      </c>
      <c r="H306" s="5" t="s">
        <v>3356</v>
      </c>
      <c r="I306" s="5" t="s">
        <v>3356</v>
      </c>
      <c r="J306" s="4" t="s">
        <v>3356</v>
      </c>
      <c r="L306" s="1" t="s">
        <v>6135</v>
      </c>
    </row>
    <row r="307" spans="1:12">
      <c r="A307" s="3" t="s">
        <v>3356</v>
      </c>
      <c r="C307" s="4" t="s">
        <v>3817</v>
      </c>
      <c r="D307" s="4" t="s">
        <v>6761</v>
      </c>
      <c r="E307" s="4" t="s">
        <v>3538</v>
      </c>
      <c r="F307" s="4" t="s">
        <v>5625</v>
      </c>
      <c r="G307" s="4" t="s">
        <v>5360</v>
      </c>
      <c r="H307" s="5" t="s">
        <v>3356</v>
      </c>
      <c r="I307" s="5" t="s">
        <v>3356</v>
      </c>
      <c r="J307" s="4" t="s">
        <v>3356</v>
      </c>
      <c r="L307" s="1" t="s">
        <v>6135</v>
      </c>
    </row>
    <row r="308" spans="1:12">
      <c r="A308" s="3" t="s">
        <v>3356</v>
      </c>
      <c r="C308" s="4" t="s">
        <v>3817</v>
      </c>
      <c r="D308" s="4" t="s">
        <v>6761</v>
      </c>
      <c r="E308" s="4" t="s">
        <v>3538</v>
      </c>
      <c r="F308" s="4" t="s">
        <v>5625</v>
      </c>
      <c r="G308" s="4" t="s">
        <v>5621</v>
      </c>
      <c r="H308" s="5" t="s">
        <v>3356</v>
      </c>
      <c r="I308" s="5" t="s">
        <v>3356</v>
      </c>
      <c r="J308" s="4" t="s">
        <v>3356</v>
      </c>
      <c r="L308" s="1" t="s">
        <v>6135</v>
      </c>
    </row>
    <row r="309" spans="1:12">
      <c r="A309" s="3" t="s">
        <v>3356</v>
      </c>
      <c r="C309" s="4" t="s">
        <v>3817</v>
      </c>
      <c r="D309" s="4" t="s">
        <v>6761</v>
      </c>
      <c r="E309" s="4" t="s">
        <v>3538</v>
      </c>
      <c r="F309" s="4" t="s">
        <v>5625</v>
      </c>
      <c r="G309" s="4" t="s">
        <v>8140</v>
      </c>
      <c r="H309" s="5" t="s">
        <v>3356</v>
      </c>
      <c r="I309" s="5" t="s">
        <v>3356</v>
      </c>
      <c r="J309" s="4" t="s">
        <v>3356</v>
      </c>
      <c r="L309" s="1" t="s">
        <v>6135</v>
      </c>
    </row>
    <row r="310" spans="1:12">
      <c r="A310" s="3" t="s">
        <v>3356</v>
      </c>
      <c r="C310" s="4" t="s">
        <v>3817</v>
      </c>
      <c r="D310" s="4" t="s">
        <v>6761</v>
      </c>
      <c r="E310" s="4" t="s">
        <v>3538</v>
      </c>
      <c r="F310" s="4" t="s">
        <v>5625</v>
      </c>
      <c r="G310" s="4" t="s">
        <v>5832</v>
      </c>
      <c r="H310" s="5" t="s">
        <v>3356</v>
      </c>
      <c r="I310" s="5" t="s">
        <v>3356</v>
      </c>
      <c r="J310" s="4" t="s">
        <v>3356</v>
      </c>
      <c r="L310" s="1" t="s">
        <v>6135</v>
      </c>
    </row>
    <row r="311" spans="1:12">
      <c r="A311" s="3" t="s">
        <v>3356</v>
      </c>
      <c r="C311" s="4" t="s">
        <v>3817</v>
      </c>
      <c r="D311" s="4" t="s">
        <v>6761</v>
      </c>
      <c r="E311" s="4" t="s">
        <v>3538</v>
      </c>
      <c r="F311" s="4" t="s">
        <v>5625</v>
      </c>
      <c r="G311" s="4" t="s">
        <v>5883</v>
      </c>
      <c r="H311" s="5" t="s">
        <v>3356</v>
      </c>
      <c r="I311" s="5" t="s">
        <v>3356</v>
      </c>
      <c r="J311" s="4" t="s">
        <v>3356</v>
      </c>
      <c r="L311" s="1" t="s">
        <v>6135</v>
      </c>
    </row>
    <row r="312" spans="1:12">
      <c r="A312" s="3" t="s">
        <v>3356</v>
      </c>
      <c r="C312" s="4" t="s">
        <v>3817</v>
      </c>
      <c r="D312" s="4" t="s">
        <v>6761</v>
      </c>
      <c r="E312" s="4" t="s">
        <v>3538</v>
      </c>
      <c r="F312" s="4" t="s">
        <v>5625</v>
      </c>
      <c r="G312" s="4" t="s">
        <v>5641</v>
      </c>
      <c r="H312" s="5" t="s">
        <v>3356</v>
      </c>
      <c r="I312" s="5" t="s">
        <v>3356</v>
      </c>
      <c r="J312" s="4" t="s">
        <v>3356</v>
      </c>
      <c r="L312" s="1" t="s">
        <v>6135</v>
      </c>
    </row>
    <row r="313" spans="1:12">
      <c r="A313" s="3" t="s">
        <v>3356</v>
      </c>
      <c r="C313" s="4" t="s">
        <v>3817</v>
      </c>
      <c r="D313" s="4" t="s">
        <v>6761</v>
      </c>
      <c r="E313" s="4" t="s">
        <v>3538</v>
      </c>
      <c r="F313" s="4" t="s">
        <v>5625</v>
      </c>
      <c r="G313" s="4" t="s">
        <v>5654</v>
      </c>
      <c r="H313" s="5" t="s">
        <v>3356</v>
      </c>
      <c r="I313" s="5" t="s">
        <v>3356</v>
      </c>
      <c r="J313" s="4" t="s">
        <v>3356</v>
      </c>
      <c r="L313" s="1" t="s">
        <v>6135</v>
      </c>
    </row>
    <row r="314" spans="1:12">
      <c r="A314" s="3" t="s">
        <v>3356</v>
      </c>
      <c r="C314" s="4" t="s">
        <v>3817</v>
      </c>
      <c r="D314" s="4" t="s">
        <v>6761</v>
      </c>
      <c r="E314" s="4" t="s">
        <v>3538</v>
      </c>
      <c r="F314" s="4" t="s">
        <v>5625</v>
      </c>
      <c r="G314" s="4" t="s">
        <v>5655</v>
      </c>
      <c r="H314" s="5" t="s">
        <v>3356</v>
      </c>
      <c r="I314" s="5" t="s">
        <v>3356</v>
      </c>
      <c r="J314" s="4" t="s">
        <v>3356</v>
      </c>
      <c r="L314" s="1" t="s">
        <v>6135</v>
      </c>
    </row>
    <row r="315" spans="1:12">
      <c r="A315" s="3" t="s">
        <v>3356</v>
      </c>
      <c r="C315" s="4" t="s">
        <v>3817</v>
      </c>
      <c r="D315" s="4" t="s">
        <v>6761</v>
      </c>
      <c r="E315" s="4" t="s">
        <v>3538</v>
      </c>
      <c r="F315" s="4" t="s">
        <v>5625</v>
      </c>
      <c r="G315" s="4" t="s">
        <v>5412</v>
      </c>
      <c r="H315" s="5" t="s">
        <v>3356</v>
      </c>
      <c r="I315" s="5" t="s">
        <v>3356</v>
      </c>
      <c r="J315" s="4" t="s">
        <v>3356</v>
      </c>
      <c r="L315" s="1" t="s">
        <v>6135</v>
      </c>
    </row>
    <row r="316" spans="1:12">
      <c r="A316" s="3" t="s">
        <v>3356</v>
      </c>
      <c r="C316" s="4" t="s">
        <v>3817</v>
      </c>
      <c r="D316" s="4" t="s">
        <v>6761</v>
      </c>
      <c r="E316" s="4" t="s">
        <v>3538</v>
      </c>
      <c r="F316" s="4" t="s">
        <v>5625</v>
      </c>
      <c r="G316" s="4" t="s">
        <v>5413</v>
      </c>
      <c r="H316" s="5" t="s">
        <v>3356</v>
      </c>
      <c r="I316" s="5" t="s">
        <v>3356</v>
      </c>
      <c r="J316" s="4" t="s">
        <v>3356</v>
      </c>
      <c r="L316" s="1" t="s">
        <v>6135</v>
      </c>
    </row>
    <row r="317" spans="1:12">
      <c r="A317" s="3" t="s">
        <v>3356</v>
      </c>
      <c r="C317" s="4" t="s">
        <v>3817</v>
      </c>
      <c r="D317" s="4" t="s">
        <v>6761</v>
      </c>
      <c r="E317" s="4" t="s">
        <v>3538</v>
      </c>
      <c r="F317" s="4" t="s">
        <v>5414</v>
      </c>
      <c r="G317" s="4" t="s">
        <v>5423</v>
      </c>
      <c r="H317" s="5" t="s">
        <v>3356</v>
      </c>
      <c r="I317" s="5" t="s">
        <v>3356</v>
      </c>
      <c r="J317" s="4" t="s">
        <v>3356</v>
      </c>
      <c r="L317" s="1" t="s">
        <v>6135</v>
      </c>
    </row>
    <row r="318" spans="1:12">
      <c r="A318" s="3" t="s">
        <v>3356</v>
      </c>
      <c r="C318" s="4" t="s">
        <v>3817</v>
      </c>
      <c r="D318" s="4" t="s">
        <v>6761</v>
      </c>
      <c r="E318" s="4" t="s">
        <v>3538</v>
      </c>
      <c r="F318" s="4" t="s">
        <v>5490</v>
      </c>
      <c r="G318" s="4" t="s">
        <v>5491</v>
      </c>
      <c r="H318" s="5" t="s">
        <v>3356</v>
      </c>
      <c r="I318" s="5" t="s">
        <v>3356</v>
      </c>
      <c r="J318" s="4" t="s">
        <v>3356</v>
      </c>
      <c r="L318" s="1" t="s">
        <v>6135</v>
      </c>
    </row>
    <row r="319" spans="1:12">
      <c r="A319" s="3" t="s">
        <v>3356</v>
      </c>
      <c r="C319" s="4" t="s">
        <v>3817</v>
      </c>
      <c r="D319" s="4" t="s">
        <v>3423</v>
      </c>
      <c r="E319" s="4" t="s">
        <v>3424</v>
      </c>
      <c r="F319" s="4" t="s">
        <v>7489</v>
      </c>
      <c r="G319" s="4" t="s">
        <v>3607</v>
      </c>
      <c r="H319" s="5" t="s">
        <v>3356</v>
      </c>
      <c r="I319" s="5" t="s">
        <v>3356</v>
      </c>
      <c r="J319" s="4" t="s">
        <v>3356</v>
      </c>
      <c r="L319" s="1" t="s">
        <v>6135</v>
      </c>
    </row>
    <row r="320" spans="1:12">
      <c r="A320" s="3" t="s">
        <v>3356</v>
      </c>
      <c r="C320" s="4" t="s">
        <v>3817</v>
      </c>
      <c r="D320" s="4" t="s">
        <v>3423</v>
      </c>
      <c r="E320" s="4" t="s">
        <v>3424</v>
      </c>
      <c r="F320" s="4" t="s">
        <v>7489</v>
      </c>
      <c r="G320" s="4" t="s">
        <v>7088</v>
      </c>
      <c r="H320" s="5" t="s">
        <v>3356</v>
      </c>
      <c r="I320" s="5" t="s">
        <v>3356</v>
      </c>
      <c r="J320" s="4" t="s">
        <v>3356</v>
      </c>
      <c r="L320" s="1" t="s">
        <v>6135</v>
      </c>
    </row>
    <row r="321" spans="1:12">
      <c r="A321" s="3" t="s">
        <v>3356</v>
      </c>
      <c r="C321" s="4" t="s">
        <v>3817</v>
      </c>
      <c r="D321" s="4" t="s">
        <v>3423</v>
      </c>
      <c r="E321" s="4" t="s">
        <v>3424</v>
      </c>
      <c r="F321" s="4" t="s">
        <v>7489</v>
      </c>
      <c r="G321" s="4" t="s">
        <v>5385</v>
      </c>
      <c r="H321" s="5" t="s">
        <v>3356</v>
      </c>
      <c r="I321" s="5" t="s">
        <v>3356</v>
      </c>
      <c r="J321" s="4" t="s">
        <v>3356</v>
      </c>
      <c r="L321" s="1" t="s">
        <v>6135</v>
      </c>
    </row>
    <row r="322" spans="1:12">
      <c r="A322" s="3" t="s">
        <v>3356</v>
      </c>
      <c r="C322" s="4" t="s">
        <v>3817</v>
      </c>
      <c r="D322" s="4" t="s">
        <v>3423</v>
      </c>
      <c r="E322" s="4" t="s">
        <v>3424</v>
      </c>
      <c r="F322" s="4" t="s">
        <v>4389</v>
      </c>
      <c r="G322" s="4" t="s">
        <v>5307</v>
      </c>
      <c r="H322" s="5" t="s">
        <v>3356</v>
      </c>
      <c r="I322" s="5" t="s">
        <v>3356</v>
      </c>
      <c r="J322" s="4" t="s">
        <v>3356</v>
      </c>
      <c r="L322" s="1" t="s">
        <v>6135</v>
      </c>
    </row>
    <row r="323" spans="1:12">
      <c r="A323" s="3" t="s">
        <v>3356</v>
      </c>
      <c r="C323" s="4" t="s">
        <v>3817</v>
      </c>
      <c r="D323" s="4" t="s">
        <v>3423</v>
      </c>
      <c r="E323" s="4" t="s">
        <v>3424</v>
      </c>
      <c r="F323" s="4" t="s">
        <v>4389</v>
      </c>
      <c r="G323" s="4" t="s">
        <v>5308</v>
      </c>
      <c r="H323" s="5" t="s">
        <v>3356</v>
      </c>
      <c r="I323" s="5" t="s">
        <v>3356</v>
      </c>
      <c r="J323" s="4" t="s">
        <v>3356</v>
      </c>
      <c r="L323" s="1" t="s">
        <v>6135</v>
      </c>
    </row>
    <row r="324" spans="1:12">
      <c r="A324" s="3" t="s">
        <v>3356</v>
      </c>
      <c r="C324" s="4" t="s">
        <v>3817</v>
      </c>
      <c r="D324" s="4" t="s">
        <v>3423</v>
      </c>
      <c r="E324" s="4" t="s">
        <v>3424</v>
      </c>
      <c r="F324" s="4" t="s">
        <v>5668</v>
      </c>
      <c r="G324" s="4" t="s">
        <v>7486</v>
      </c>
      <c r="H324" s="5" t="s">
        <v>3356</v>
      </c>
      <c r="I324" s="5" t="s">
        <v>3356</v>
      </c>
      <c r="J324" s="4" t="s">
        <v>3356</v>
      </c>
      <c r="L324" s="1" t="s">
        <v>6135</v>
      </c>
    </row>
    <row r="325" spans="1:12">
      <c r="A325" s="3" t="s">
        <v>3356</v>
      </c>
      <c r="C325" s="4" t="s">
        <v>3817</v>
      </c>
      <c r="D325" s="4" t="s">
        <v>3423</v>
      </c>
      <c r="E325" s="4" t="s">
        <v>3424</v>
      </c>
      <c r="F325" s="4" t="s">
        <v>5668</v>
      </c>
      <c r="G325" s="4" t="s">
        <v>4178</v>
      </c>
      <c r="H325" s="5" t="s">
        <v>3356</v>
      </c>
      <c r="I325" s="5" t="s">
        <v>3356</v>
      </c>
      <c r="J325" s="4" t="s">
        <v>3356</v>
      </c>
      <c r="L325" s="1" t="s">
        <v>6135</v>
      </c>
    </row>
    <row r="326" spans="1:12">
      <c r="A326" s="3" t="s">
        <v>3356</v>
      </c>
      <c r="C326" s="4" t="s">
        <v>3817</v>
      </c>
      <c r="D326" s="4" t="s">
        <v>3423</v>
      </c>
      <c r="E326" s="4" t="s">
        <v>3424</v>
      </c>
      <c r="F326" s="4" t="s">
        <v>5669</v>
      </c>
      <c r="G326" s="4" t="s">
        <v>5639</v>
      </c>
      <c r="H326" s="5" t="s">
        <v>3356</v>
      </c>
      <c r="I326" s="5" t="s">
        <v>3356</v>
      </c>
      <c r="J326" s="4" t="s">
        <v>3356</v>
      </c>
      <c r="L326" s="1" t="s">
        <v>6135</v>
      </c>
    </row>
    <row r="327" spans="1:12">
      <c r="A327" s="3" t="s">
        <v>3356</v>
      </c>
      <c r="C327" s="4" t="s">
        <v>3817</v>
      </c>
      <c r="D327" s="4" t="s">
        <v>3423</v>
      </c>
      <c r="E327" s="4" t="s">
        <v>3424</v>
      </c>
      <c r="F327" s="4" t="s">
        <v>5670</v>
      </c>
      <c r="G327" s="4" t="s">
        <v>5671</v>
      </c>
      <c r="H327" s="5" t="s">
        <v>3356</v>
      </c>
      <c r="I327" s="5" t="s">
        <v>3356</v>
      </c>
      <c r="J327" s="4" t="s">
        <v>3356</v>
      </c>
      <c r="L327" s="1" t="s">
        <v>6135</v>
      </c>
    </row>
    <row r="328" spans="1:12">
      <c r="A328" s="3" t="s">
        <v>3356</v>
      </c>
      <c r="C328" s="4" t="s">
        <v>3817</v>
      </c>
      <c r="D328" s="4" t="s">
        <v>3423</v>
      </c>
      <c r="E328" s="4" t="s">
        <v>3424</v>
      </c>
      <c r="F328" s="4" t="s">
        <v>5400</v>
      </c>
      <c r="G328" s="4" t="s">
        <v>5401</v>
      </c>
      <c r="H328" s="5" t="s">
        <v>3356</v>
      </c>
      <c r="I328" s="5" t="s">
        <v>3356</v>
      </c>
      <c r="J328" s="4" t="s">
        <v>3356</v>
      </c>
      <c r="L328" s="1" t="s">
        <v>6135</v>
      </c>
    </row>
    <row r="329" spans="1:12">
      <c r="A329" s="3" t="s">
        <v>3356</v>
      </c>
      <c r="C329" s="4" t="s">
        <v>3817</v>
      </c>
      <c r="D329" s="4" t="s">
        <v>3423</v>
      </c>
      <c r="E329" s="4" t="s">
        <v>3424</v>
      </c>
      <c r="F329" s="4" t="s">
        <v>5400</v>
      </c>
      <c r="G329" s="4" t="s">
        <v>3630</v>
      </c>
      <c r="H329" s="5" t="s">
        <v>3356</v>
      </c>
      <c r="I329" s="5" t="s">
        <v>3356</v>
      </c>
      <c r="J329" s="4" t="s">
        <v>3356</v>
      </c>
      <c r="L329" s="1" t="s">
        <v>6135</v>
      </c>
    </row>
    <row r="330" spans="1:12">
      <c r="A330" s="3" t="s">
        <v>3356</v>
      </c>
      <c r="C330" s="4" t="s">
        <v>3817</v>
      </c>
      <c r="D330" s="4" t="s">
        <v>3423</v>
      </c>
      <c r="E330" s="4" t="s">
        <v>3424</v>
      </c>
      <c r="F330" s="4" t="s">
        <v>4058</v>
      </c>
      <c r="G330" s="4" t="s">
        <v>5182</v>
      </c>
      <c r="H330" s="5" t="s">
        <v>3356</v>
      </c>
      <c r="I330" s="5" t="s">
        <v>3356</v>
      </c>
      <c r="J330" s="4" t="s">
        <v>3356</v>
      </c>
      <c r="L330" s="1" t="s">
        <v>6135</v>
      </c>
    </row>
    <row r="331" spans="1:12">
      <c r="A331" s="3" t="s">
        <v>3356</v>
      </c>
      <c r="C331" s="4" t="s">
        <v>3817</v>
      </c>
      <c r="D331" s="4" t="s">
        <v>3423</v>
      </c>
      <c r="E331" s="4" t="s">
        <v>3424</v>
      </c>
      <c r="F331" s="4" t="s">
        <v>4118</v>
      </c>
      <c r="G331" s="4" t="s">
        <v>4424</v>
      </c>
      <c r="H331" s="5" t="s">
        <v>3356</v>
      </c>
      <c r="I331" s="5" t="s">
        <v>3356</v>
      </c>
      <c r="J331" s="4" t="s">
        <v>3356</v>
      </c>
      <c r="L331" s="1" t="s">
        <v>6135</v>
      </c>
    </row>
    <row r="332" spans="1:12">
      <c r="A332" s="3" t="s">
        <v>3356</v>
      </c>
      <c r="C332" s="4" t="s">
        <v>3817</v>
      </c>
      <c r="D332" s="4" t="s">
        <v>3423</v>
      </c>
      <c r="E332" s="4" t="s">
        <v>3475</v>
      </c>
      <c r="F332" s="4" t="s">
        <v>5112</v>
      </c>
      <c r="G332" s="4" t="s">
        <v>5289</v>
      </c>
      <c r="H332" s="5" t="s">
        <v>3356</v>
      </c>
      <c r="I332" s="5" t="s">
        <v>3356</v>
      </c>
      <c r="J332" s="4" t="s">
        <v>3356</v>
      </c>
      <c r="L332" s="1" t="s">
        <v>6135</v>
      </c>
    </row>
    <row r="333" spans="1:12">
      <c r="A333" s="3" t="s">
        <v>3356</v>
      </c>
      <c r="C333" s="4" t="s">
        <v>3817</v>
      </c>
      <c r="D333" s="4" t="s">
        <v>3539</v>
      </c>
      <c r="E333" s="4" t="s">
        <v>3540</v>
      </c>
      <c r="F333" s="4" t="s">
        <v>6004</v>
      </c>
      <c r="G333" s="4" t="s">
        <v>3089</v>
      </c>
      <c r="H333" s="5">
        <v>3</v>
      </c>
      <c r="I333" s="5">
        <v>1000</v>
      </c>
      <c r="J333" s="4" t="s">
        <v>6736</v>
      </c>
      <c r="L333" s="1" t="s">
        <v>6135</v>
      </c>
    </row>
    <row r="334" spans="1:12">
      <c r="A334" s="3" t="s">
        <v>3356</v>
      </c>
      <c r="C334" s="4" t="s">
        <v>3817</v>
      </c>
      <c r="D334" s="4" t="s">
        <v>3539</v>
      </c>
      <c r="E334" s="4" t="s">
        <v>3540</v>
      </c>
      <c r="F334" s="4" t="s">
        <v>6004</v>
      </c>
      <c r="G334" s="4" t="s">
        <v>4449</v>
      </c>
      <c r="H334" s="5">
        <v>3.1461280356782382</v>
      </c>
      <c r="I334" s="5">
        <v>1400</v>
      </c>
      <c r="J334" s="4" t="s">
        <v>6736</v>
      </c>
      <c r="L334" s="1" t="s">
        <v>6135</v>
      </c>
    </row>
    <row r="335" spans="1:12">
      <c r="A335" s="3" t="s">
        <v>3356</v>
      </c>
      <c r="C335" s="4" t="s">
        <v>3817</v>
      </c>
      <c r="D335" s="4" t="s">
        <v>4370</v>
      </c>
      <c r="E335" s="4" t="s">
        <v>4371</v>
      </c>
      <c r="F335" s="4" t="s">
        <v>2211</v>
      </c>
      <c r="G335" s="4" t="s">
        <v>6822</v>
      </c>
      <c r="H335" s="5" t="s">
        <v>3356</v>
      </c>
      <c r="I335" s="5" t="s">
        <v>3356</v>
      </c>
      <c r="J335" s="4" t="s">
        <v>3356</v>
      </c>
      <c r="L335" s="1" t="s">
        <v>6135</v>
      </c>
    </row>
    <row r="336" spans="1:12">
      <c r="A336" s="3" t="s">
        <v>3356</v>
      </c>
      <c r="C336" s="4" t="s">
        <v>3817</v>
      </c>
      <c r="D336" s="4" t="s">
        <v>2079</v>
      </c>
      <c r="E336" s="4" t="s">
        <v>3474</v>
      </c>
      <c r="F336" s="4" t="s">
        <v>5482</v>
      </c>
      <c r="G336" s="4" t="s">
        <v>5249</v>
      </c>
      <c r="H336" s="5" t="s">
        <v>3356</v>
      </c>
      <c r="I336" s="5" t="s">
        <v>3356</v>
      </c>
      <c r="J336" s="4" t="s">
        <v>3356</v>
      </c>
      <c r="L336" s="1" t="s">
        <v>6135</v>
      </c>
    </row>
    <row r="337" spans="1:12">
      <c r="A337" s="3" t="s">
        <v>3356</v>
      </c>
      <c r="C337" s="4" t="s">
        <v>3817</v>
      </c>
      <c r="D337" s="4" t="s">
        <v>2079</v>
      </c>
      <c r="E337" s="4" t="s">
        <v>7333</v>
      </c>
      <c r="F337" s="4" t="s">
        <v>4986</v>
      </c>
      <c r="G337" s="4" t="s">
        <v>5822</v>
      </c>
      <c r="H337" s="5" t="s">
        <v>3356</v>
      </c>
      <c r="I337" s="5" t="s">
        <v>3356</v>
      </c>
      <c r="J337" s="4" t="s">
        <v>3356</v>
      </c>
      <c r="L337" s="1" t="s">
        <v>6135</v>
      </c>
    </row>
    <row r="338" spans="1:12">
      <c r="A338" s="3" t="s">
        <v>3356</v>
      </c>
      <c r="C338" s="4" t="s">
        <v>3817</v>
      </c>
      <c r="D338" s="4" t="s">
        <v>2079</v>
      </c>
      <c r="E338" s="4" t="s">
        <v>7333</v>
      </c>
      <c r="F338" s="4" t="s">
        <v>4986</v>
      </c>
      <c r="G338" s="4" t="s">
        <v>5314</v>
      </c>
      <c r="H338" s="5" t="s">
        <v>3356</v>
      </c>
      <c r="I338" s="5" t="s">
        <v>3356</v>
      </c>
      <c r="J338" s="4" t="s">
        <v>3356</v>
      </c>
      <c r="L338" s="1" t="s">
        <v>6135</v>
      </c>
    </row>
    <row r="339" spans="1:12">
      <c r="A339" s="3" t="s">
        <v>3356</v>
      </c>
      <c r="C339" s="4" t="s">
        <v>3817</v>
      </c>
      <c r="D339" s="4" t="s">
        <v>2079</v>
      </c>
      <c r="E339" s="4" t="s">
        <v>7333</v>
      </c>
      <c r="F339" s="4" t="s">
        <v>4986</v>
      </c>
      <c r="G339" s="4" t="s">
        <v>4649</v>
      </c>
      <c r="H339" s="5" t="s">
        <v>3356</v>
      </c>
      <c r="I339" s="5" t="s">
        <v>3356</v>
      </c>
      <c r="J339" s="4" t="s">
        <v>3356</v>
      </c>
      <c r="L339" s="1" t="s">
        <v>6135</v>
      </c>
    </row>
    <row r="340" spans="1:12">
      <c r="A340" s="3" t="s">
        <v>3356</v>
      </c>
      <c r="C340" s="4" t="s">
        <v>3817</v>
      </c>
      <c r="D340" s="4" t="s">
        <v>2079</v>
      </c>
      <c r="E340" s="4" t="s">
        <v>7333</v>
      </c>
      <c r="F340" s="4" t="s">
        <v>4986</v>
      </c>
      <c r="G340" s="4" t="s">
        <v>6317</v>
      </c>
      <c r="H340" s="5">
        <v>3.842609239610562</v>
      </c>
      <c r="I340" s="5">
        <v>6960</v>
      </c>
      <c r="J340" s="4" t="s">
        <v>6736</v>
      </c>
      <c r="L340" s="1" t="s">
        <v>6135</v>
      </c>
    </row>
    <row r="341" spans="1:12">
      <c r="A341" s="3" t="s">
        <v>3356</v>
      </c>
      <c r="C341" s="4" t="s">
        <v>3817</v>
      </c>
      <c r="D341" s="4" t="s">
        <v>2079</v>
      </c>
      <c r="E341" s="4" t="s">
        <v>7333</v>
      </c>
      <c r="F341" s="4" t="s">
        <v>4986</v>
      </c>
      <c r="G341" s="4" t="s">
        <v>5860</v>
      </c>
      <c r="H341" s="5" t="s">
        <v>3356</v>
      </c>
      <c r="I341" s="5" t="s">
        <v>3356</v>
      </c>
      <c r="J341" s="4" t="s">
        <v>3356</v>
      </c>
      <c r="L341" s="1" t="s">
        <v>6135</v>
      </c>
    </row>
    <row r="342" spans="1:12">
      <c r="A342" s="3" t="s">
        <v>3356</v>
      </c>
      <c r="C342" s="4" t="s">
        <v>3817</v>
      </c>
      <c r="D342" s="4" t="s">
        <v>2079</v>
      </c>
      <c r="E342" s="4" t="s">
        <v>7333</v>
      </c>
      <c r="F342" s="4" t="s">
        <v>4986</v>
      </c>
      <c r="G342" s="4" t="s">
        <v>4078</v>
      </c>
      <c r="H342" s="5" t="s">
        <v>3356</v>
      </c>
      <c r="I342" s="5" t="s">
        <v>3356</v>
      </c>
      <c r="J342" s="4" t="s">
        <v>3356</v>
      </c>
      <c r="L342" s="1" t="s">
        <v>6135</v>
      </c>
    </row>
    <row r="343" spans="1:12">
      <c r="A343" s="3" t="s">
        <v>3356</v>
      </c>
      <c r="C343" s="4" t="s">
        <v>3817</v>
      </c>
      <c r="D343" s="4" t="s">
        <v>2079</v>
      </c>
      <c r="E343" s="4" t="s">
        <v>7333</v>
      </c>
      <c r="F343" s="4" t="s">
        <v>4986</v>
      </c>
      <c r="G343" s="4" t="s">
        <v>4470</v>
      </c>
      <c r="H343" s="5" t="s">
        <v>3356</v>
      </c>
      <c r="I343" s="5" t="s">
        <v>3356</v>
      </c>
      <c r="J343" s="4" t="s">
        <v>3356</v>
      </c>
      <c r="L343" s="1" t="s">
        <v>6135</v>
      </c>
    </row>
    <row r="344" spans="1:12">
      <c r="A344" s="3" t="s">
        <v>3356</v>
      </c>
      <c r="C344" s="4" t="s">
        <v>3817</v>
      </c>
      <c r="D344" s="4" t="s">
        <v>2079</v>
      </c>
      <c r="E344" s="4" t="s">
        <v>7333</v>
      </c>
      <c r="F344" s="4" t="s">
        <v>5861</v>
      </c>
      <c r="G344" s="4" t="s">
        <v>5862</v>
      </c>
      <c r="H344" s="5" t="s">
        <v>3356</v>
      </c>
      <c r="I344" s="5" t="s">
        <v>3356</v>
      </c>
      <c r="J344" s="4" t="s">
        <v>3356</v>
      </c>
      <c r="L344" s="1" t="s">
        <v>6135</v>
      </c>
    </row>
    <row r="345" spans="1:12">
      <c r="A345" s="3" t="s">
        <v>3356</v>
      </c>
      <c r="C345" s="4" t="s">
        <v>3817</v>
      </c>
      <c r="D345" s="4" t="s">
        <v>2079</v>
      </c>
      <c r="E345" s="4" t="s">
        <v>7333</v>
      </c>
      <c r="F345" s="4" t="s">
        <v>5861</v>
      </c>
      <c r="G345" s="4" t="s">
        <v>6612</v>
      </c>
      <c r="H345" s="5" t="s">
        <v>3356</v>
      </c>
      <c r="I345" s="5" t="s">
        <v>3356</v>
      </c>
      <c r="J345" s="4" t="s">
        <v>3356</v>
      </c>
      <c r="L345" s="1" t="s">
        <v>6135</v>
      </c>
    </row>
    <row r="346" spans="1:12">
      <c r="A346" s="3" t="s">
        <v>3356</v>
      </c>
      <c r="C346" s="4" t="s">
        <v>3817</v>
      </c>
      <c r="D346" s="4" t="s">
        <v>2079</v>
      </c>
      <c r="E346" s="4" t="s">
        <v>7333</v>
      </c>
      <c r="F346" s="4" t="s">
        <v>5861</v>
      </c>
      <c r="G346" s="4" t="s">
        <v>5863</v>
      </c>
      <c r="H346" s="5" t="s">
        <v>3356</v>
      </c>
      <c r="I346" s="5" t="s">
        <v>3356</v>
      </c>
      <c r="J346" s="4" t="s">
        <v>3356</v>
      </c>
      <c r="L346" s="1" t="s">
        <v>6135</v>
      </c>
    </row>
    <row r="347" spans="1:12">
      <c r="A347" s="3" t="s">
        <v>3356</v>
      </c>
      <c r="C347" s="4" t="s">
        <v>3817</v>
      </c>
      <c r="D347" s="4" t="s">
        <v>2079</v>
      </c>
      <c r="E347" s="4" t="s">
        <v>7333</v>
      </c>
      <c r="F347" s="4" t="s">
        <v>5861</v>
      </c>
      <c r="G347" s="4" t="s">
        <v>5586</v>
      </c>
      <c r="H347" s="5" t="s">
        <v>3356</v>
      </c>
      <c r="I347" s="5" t="s">
        <v>3356</v>
      </c>
      <c r="J347" s="4" t="s">
        <v>3356</v>
      </c>
      <c r="L347" s="1" t="s">
        <v>6135</v>
      </c>
    </row>
    <row r="348" spans="1:12">
      <c r="A348" s="3" t="s">
        <v>3356</v>
      </c>
      <c r="C348" s="4" t="s">
        <v>3817</v>
      </c>
      <c r="D348" s="4" t="s">
        <v>2079</v>
      </c>
      <c r="E348" s="4" t="s">
        <v>7333</v>
      </c>
      <c r="F348" s="4" t="s">
        <v>5267</v>
      </c>
      <c r="G348" s="4" t="s">
        <v>5465</v>
      </c>
      <c r="H348" s="5" t="s">
        <v>3356</v>
      </c>
      <c r="I348" s="5" t="s">
        <v>3356</v>
      </c>
      <c r="J348" s="4" t="s">
        <v>3356</v>
      </c>
      <c r="L348" s="1" t="s">
        <v>6135</v>
      </c>
    </row>
    <row r="349" spans="1:12">
      <c r="A349" s="3" t="s">
        <v>3356</v>
      </c>
      <c r="C349" s="4" t="s">
        <v>3817</v>
      </c>
      <c r="D349" s="4" t="s">
        <v>2079</v>
      </c>
      <c r="E349" s="4" t="s">
        <v>7333</v>
      </c>
      <c r="F349" s="4" t="s">
        <v>5267</v>
      </c>
      <c r="G349" s="4" t="s">
        <v>5216</v>
      </c>
      <c r="H349" s="5" t="s">
        <v>3356</v>
      </c>
      <c r="I349" s="5" t="s">
        <v>3356</v>
      </c>
      <c r="J349" s="4" t="s">
        <v>3356</v>
      </c>
      <c r="L349" s="1" t="s">
        <v>6135</v>
      </c>
    </row>
    <row r="350" spans="1:12">
      <c r="A350" s="3" t="s">
        <v>3356</v>
      </c>
      <c r="C350" s="4" t="s">
        <v>3817</v>
      </c>
      <c r="D350" s="4" t="s">
        <v>2079</v>
      </c>
      <c r="E350" s="4" t="s">
        <v>7333</v>
      </c>
      <c r="F350" s="4" t="s">
        <v>7331</v>
      </c>
      <c r="G350" s="4" t="s">
        <v>5258</v>
      </c>
      <c r="H350" s="5" t="s">
        <v>3356</v>
      </c>
      <c r="I350" s="5" t="s">
        <v>3356</v>
      </c>
      <c r="J350" s="4" t="s">
        <v>3356</v>
      </c>
      <c r="L350" s="1" t="s">
        <v>6135</v>
      </c>
    </row>
    <row r="351" spans="1:12">
      <c r="A351" s="3" t="s">
        <v>3356</v>
      </c>
      <c r="C351" s="4" t="s">
        <v>3817</v>
      </c>
      <c r="D351" s="4" t="s">
        <v>2079</v>
      </c>
      <c r="E351" s="4" t="s">
        <v>7333</v>
      </c>
      <c r="F351" s="4" t="s">
        <v>3755</v>
      </c>
      <c r="G351" s="4" t="s">
        <v>5259</v>
      </c>
      <c r="H351" s="5" t="s">
        <v>3356</v>
      </c>
      <c r="I351" s="5" t="s">
        <v>3356</v>
      </c>
      <c r="J351" s="4" t="s">
        <v>3356</v>
      </c>
      <c r="L351" s="1" t="s">
        <v>6135</v>
      </c>
    </row>
    <row r="352" spans="1:12">
      <c r="A352" s="3" t="s">
        <v>3356</v>
      </c>
      <c r="C352" s="4" t="s">
        <v>3817</v>
      </c>
      <c r="D352" s="4" t="s">
        <v>2079</v>
      </c>
      <c r="E352" s="4" t="s">
        <v>7333</v>
      </c>
      <c r="F352" s="4" t="s">
        <v>7342</v>
      </c>
      <c r="G352" s="4" t="s">
        <v>5504</v>
      </c>
      <c r="H352" s="5" t="s">
        <v>3356</v>
      </c>
      <c r="I352" s="5" t="s">
        <v>3356</v>
      </c>
      <c r="J352" s="4" t="s">
        <v>3356</v>
      </c>
      <c r="L352" s="1" t="s">
        <v>6135</v>
      </c>
    </row>
    <row r="353" spans="1:12">
      <c r="A353" s="3" t="s">
        <v>3356</v>
      </c>
      <c r="C353" s="4" t="s">
        <v>3817</v>
      </c>
      <c r="D353" s="4" t="s">
        <v>2079</v>
      </c>
      <c r="E353" s="4" t="s">
        <v>7333</v>
      </c>
      <c r="F353" s="4" t="s">
        <v>7540</v>
      </c>
      <c r="G353" s="4" t="s">
        <v>5505</v>
      </c>
      <c r="H353" s="5" t="s">
        <v>3356</v>
      </c>
      <c r="I353" s="5" t="s">
        <v>3356</v>
      </c>
      <c r="J353" s="4" t="s">
        <v>3356</v>
      </c>
      <c r="L353" s="1" t="s">
        <v>6135</v>
      </c>
    </row>
    <row r="354" spans="1:12">
      <c r="A354" s="3" t="s">
        <v>3356</v>
      </c>
      <c r="C354" s="4" t="s">
        <v>3817</v>
      </c>
      <c r="D354" s="4" t="s">
        <v>2079</v>
      </c>
      <c r="E354" s="4" t="s">
        <v>4267</v>
      </c>
      <c r="F354" s="4" t="s">
        <v>3787</v>
      </c>
      <c r="G354" s="4" t="s">
        <v>4398</v>
      </c>
      <c r="H354" s="5" t="s">
        <v>3356</v>
      </c>
      <c r="I354" s="5" t="s">
        <v>3356</v>
      </c>
      <c r="J354" s="4" t="s">
        <v>3356</v>
      </c>
      <c r="L354" s="1" t="s">
        <v>6135</v>
      </c>
    </row>
    <row r="355" spans="1:12">
      <c r="A355" s="3" t="s">
        <v>3356</v>
      </c>
      <c r="C355" s="4" t="s">
        <v>3817</v>
      </c>
      <c r="D355" s="4" t="s">
        <v>2079</v>
      </c>
      <c r="E355" s="4" t="s">
        <v>4267</v>
      </c>
      <c r="F355" s="4" t="s">
        <v>3787</v>
      </c>
      <c r="G355" s="4" t="s">
        <v>5107</v>
      </c>
      <c r="H355" s="5" t="s">
        <v>3356</v>
      </c>
      <c r="I355" s="5" t="s">
        <v>3356</v>
      </c>
      <c r="J355" s="4" t="s">
        <v>3356</v>
      </c>
      <c r="L355" s="1" t="s">
        <v>6135</v>
      </c>
    </row>
    <row r="356" spans="1:12">
      <c r="A356" s="3" t="s">
        <v>3356</v>
      </c>
      <c r="C356" s="4" t="s">
        <v>3817</v>
      </c>
      <c r="D356" s="4" t="s">
        <v>2079</v>
      </c>
      <c r="E356" s="4" t="s">
        <v>4267</v>
      </c>
      <c r="F356" s="4" t="s">
        <v>3787</v>
      </c>
      <c r="G356" s="4" t="s">
        <v>5108</v>
      </c>
      <c r="H356" s="5" t="s">
        <v>3356</v>
      </c>
      <c r="I356" s="5" t="s">
        <v>3356</v>
      </c>
      <c r="J356" s="4" t="s">
        <v>3356</v>
      </c>
      <c r="L356" s="1" t="s">
        <v>6135</v>
      </c>
    </row>
    <row r="357" spans="1:12">
      <c r="A357" s="3" t="s">
        <v>3356</v>
      </c>
      <c r="C357" s="4" t="s">
        <v>3817</v>
      </c>
      <c r="D357" s="4" t="s">
        <v>2079</v>
      </c>
      <c r="E357" s="4" t="s">
        <v>4267</v>
      </c>
      <c r="F357" s="4" t="s">
        <v>4268</v>
      </c>
      <c r="G357" s="4" t="s">
        <v>5481</v>
      </c>
      <c r="H357" s="5" t="s">
        <v>3356</v>
      </c>
      <c r="I357" s="5" t="s">
        <v>3356</v>
      </c>
      <c r="J357" s="4" t="s">
        <v>3356</v>
      </c>
      <c r="L357" s="1" t="s">
        <v>6135</v>
      </c>
    </row>
    <row r="358" spans="1:12">
      <c r="A358" s="3" t="s">
        <v>3356</v>
      </c>
      <c r="C358" s="4" t="s">
        <v>3817</v>
      </c>
      <c r="D358" s="4" t="s">
        <v>2079</v>
      </c>
      <c r="E358" s="4" t="s">
        <v>3793</v>
      </c>
      <c r="F358" s="4" t="s">
        <v>5268</v>
      </c>
      <c r="G358" s="4" t="s">
        <v>4470</v>
      </c>
      <c r="H358" s="5" t="s">
        <v>3356</v>
      </c>
      <c r="I358" s="5" t="s">
        <v>3356</v>
      </c>
      <c r="J358" s="4" t="s">
        <v>3356</v>
      </c>
      <c r="L358" s="1" t="s">
        <v>6135</v>
      </c>
    </row>
    <row r="359" spans="1:12">
      <c r="A359" s="3" t="s">
        <v>3356</v>
      </c>
      <c r="C359" s="4" t="s">
        <v>3817</v>
      </c>
      <c r="D359" s="4" t="s">
        <v>2079</v>
      </c>
      <c r="E359" s="4" t="s">
        <v>3793</v>
      </c>
      <c r="F359" s="4" t="s">
        <v>3797</v>
      </c>
      <c r="G359" s="4" t="s">
        <v>5269</v>
      </c>
      <c r="H359" s="5" t="s">
        <v>3356</v>
      </c>
      <c r="I359" s="5" t="s">
        <v>3356</v>
      </c>
      <c r="J359" s="4" t="s">
        <v>3356</v>
      </c>
      <c r="L359" s="1" t="s">
        <v>6135</v>
      </c>
    </row>
    <row r="360" spans="1:12">
      <c r="A360" s="3" t="s">
        <v>3356</v>
      </c>
      <c r="C360" s="4" t="s">
        <v>3817</v>
      </c>
      <c r="D360" s="4" t="s">
        <v>2079</v>
      </c>
      <c r="E360" s="4" t="s">
        <v>3793</v>
      </c>
      <c r="F360" s="4" t="s">
        <v>3797</v>
      </c>
      <c r="G360" s="4" t="s">
        <v>5870</v>
      </c>
      <c r="H360" s="5" t="s">
        <v>3356</v>
      </c>
      <c r="I360" s="5" t="s">
        <v>3356</v>
      </c>
      <c r="J360" s="4" t="s">
        <v>3356</v>
      </c>
      <c r="L360" s="1" t="s">
        <v>6135</v>
      </c>
    </row>
    <row r="361" spans="1:12">
      <c r="A361" s="3" t="s">
        <v>3356</v>
      </c>
      <c r="C361" s="4" t="s">
        <v>3817</v>
      </c>
      <c r="D361" s="4" t="s">
        <v>2079</v>
      </c>
      <c r="E361" s="4" t="s">
        <v>3793</v>
      </c>
      <c r="F361" s="4" t="s">
        <v>3797</v>
      </c>
      <c r="G361" s="4" t="s">
        <v>5273</v>
      </c>
      <c r="H361" s="5" t="s">
        <v>3356</v>
      </c>
      <c r="I361" s="5" t="s">
        <v>3356</v>
      </c>
      <c r="J361" s="4" t="s">
        <v>3356</v>
      </c>
      <c r="L361" s="1" t="s">
        <v>6135</v>
      </c>
    </row>
    <row r="362" spans="1:12">
      <c r="A362" s="3" t="s">
        <v>3356</v>
      </c>
      <c r="C362" s="4" t="s">
        <v>3817</v>
      </c>
      <c r="D362" s="4" t="s">
        <v>2079</v>
      </c>
      <c r="E362" s="4" t="s">
        <v>3793</v>
      </c>
      <c r="F362" s="4" t="s">
        <v>3797</v>
      </c>
      <c r="G362" s="4" t="s">
        <v>4907</v>
      </c>
      <c r="H362" s="5" t="s">
        <v>3356</v>
      </c>
      <c r="I362" s="5" t="s">
        <v>3356</v>
      </c>
      <c r="J362" s="4" t="s">
        <v>3356</v>
      </c>
      <c r="L362" s="1" t="s">
        <v>6135</v>
      </c>
    </row>
    <row r="363" spans="1:12">
      <c r="A363" s="3" t="s">
        <v>3356</v>
      </c>
      <c r="C363" s="4" t="s">
        <v>3817</v>
      </c>
      <c r="D363" s="4" t="s">
        <v>2079</v>
      </c>
      <c r="E363" s="4" t="s">
        <v>3793</v>
      </c>
      <c r="F363" s="4" t="s">
        <v>3797</v>
      </c>
      <c r="G363" s="4" t="s">
        <v>5274</v>
      </c>
      <c r="H363" s="5" t="s">
        <v>3356</v>
      </c>
      <c r="I363" s="5" t="s">
        <v>3356</v>
      </c>
      <c r="J363" s="4" t="s">
        <v>3356</v>
      </c>
      <c r="L363" s="1" t="s">
        <v>6135</v>
      </c>
    </row>
    <row r="364" spans="1:12">
      <c r="A364" s="3" t="s">
        <v>3356</v>
      </c>
      <c r="C364" s="4" t="s">
        <v>3817</v>
      </c>
      <c r="D364" s="4" t="s">
        <v>2079</v>
      </c>
      <c r="E364" s="4" t="s">
        <v>3793</v>
      </c>
      <c r="F364" s="4" t="s">
        <v>3797</v>
      </c>
      <c r="G364" s="4" t="s">
        <v>4178</v>
      </c>
      <c r="H364" s="5" t="s">
        <v>3356</v>
      </c>
      <c r="I364" s="5" t="s">
        <v>3356</v>
      </c>
      <c r="J364" s="4" t="s">
        <v>3356</v>
      </c>
      <c r="L364" s="1" t="s">
        <v>6135</v>
      </c>
    </row>
    <row r="365" spans="1:12">
      <c r="A365" s="3" t="s">
        <v>3356</v>
      </c>
      <c r="C365" s="4" t="s">
        <v>3817</v>
      </c>
      <c r="D365" s="4" t="s">
        <v>2079</v>
      </c>
      <c r="E365" s="4" t="s">
        <v>3793</v>
      </c>
      <c r="F365" s="4" t="s">
        <v>3797</v>
      </c>
      <c r="G365" s="4" t="s">
        <v>3244</v>
      </c>
      <c r="H365" s="5" t="s">
        <v>3356</v>
      </c>
      <c r="I365" s="5" t="s">
        <v>3356</v>
      </c>
      <c r="J365" s="4" t="s">
        <v>3356</v>
      </c>
      <c r="L365" s="1" t="s">
        <v>6135</v>
      </c>
    </row>
    <row r="366" spans="1:12">
      <c r="A366" s="3" t="s">
        <v>3356</v>
      </c>
      <c r="C366" s="4" t="s">
        <v>3817</v>
      </c>
      <c r="D366" s="4" t="s">
        <v>2079</v>
      </c>
      <c r="E366" s="4" t="s">
        <v>3793</v>
      </c>
      <c r="F366" s="4" t="s">
        <v>3797</v>
      </c>
      <c r="G366" s="4" t="s">
        <v>5523</v>
      </c>
      <c r="H366" s="5" t="s">
        <v>3356</v>
      </c>
      <c r="I366" s="5" t="s">
        <v>3356</v>
      </c>
      <c r="J366" s="4" t="s">
        <v>3356</v>
      </c>
      <c r="L366" s="1" t="s">
        <v>6135</v>
      </c>
    </row>
    <row r="367" spans="1:12">
      <c r="A367" s="3" t="s">
        <v>3356</v>
      </c>
      <c r="C367" s="4" t="s">
        <v>3817</v>
      </c>
      <c r="D367" s="4" t="s">
        <v>2079</v>
      </c>
      <c r="E367" s="4" t="s">
        <v>3793</v>
      </c>
      <c r="F367" s="4" t="s">
        <v>4251</v>
      </c>
      <c r="G367" s="4" t="s">
        <v>5275</v>
      </c>
      <c r="H367" s="5" t="s">
        <v>3356</v>
      </c>
      <c r="I367" s="5" t="s">
        <v>3356</v>
      </c>
      <c r="J367" s="4" t="s">
        <v>3356</v>
      </c>
      <c r="L367" s="1" t="s">
        <v>6135</v>
      </c>
    </row>
    <row r="368" spans="1:12">
      <c r="A368" s="3" t="s">
        <v>3356</v>
      </c>
      <c r="C368" s="4" t="s">
        <v>3817</v>
      </c>
      <c r="D368" s="4" t="s">
        <v>2079</v>
      </c>
      <c r="E368" s="4" t="s">
        <v>3793</v>
      </c>
      <c r="F368" s="4" t="s">
        <v>5492</v>
      </c>
      <c r="G368" s="4" t="s">
        <v>6485</v>
      </c>
      <c r="H368" s="5" t="s">
        <v>3356</v>
      </c>
      <c r="I368" s="5" t="s">
        <v>3356</v>
      </c>
      <c r="J368" s="4" t="s">
        <v>3356</v>
      </c>
      <c r="L368" s="1" t="s">
        <v>6135</v>
      </c>
    </row>
    <row r="369" spans="1:12">
      <c r="A369" s="3" t="s">
        <v>3356</v>
      </c>
      <c r="C369" s="4" t="s">
        <v>3817</v>
      </c>
      <c r="D369" s="4" t="s">
        <v>2079</v>
      </c>
      <c r="E369" s="4" t="s">
        <v>3793</v>
      </c>
      <c r="F369" s="4" t="s">
        <v>5492</v>
      </c>
      <c r="G369" s="4" t="s">
        <v>3214</v>
      </c>
      <c r="H369" s="5" t="s">
        <v>3356</v>
      </c>
      <c r="I369" s="5" t="s">
        <v>3356</v>
      </c>
      <c r="J369" s="4" t="s">
        <v>3356</v>
      </c>
      <c r="L369" s="1" t="s">
        <v>6135</v>
      </c>
    </row>
    <row r="370" spans="1:12">
      <c r="A370" s="3" t="s">
        <v>3356</v>
      </c>
      <c r="C370" s="4" t="s">
        <v>3817</v>
      </c>
      <c r="D370" s="4" t="s">
        <v>2079</v>
      </c>
      <c r="E370" s="4" t="s">
        <v>3793</v>
      </c>
      <c r="F370" s="4" t="s">
        <v>3799</v>
      </c>
      <c r="G370" s="4" t="s">
        <v>5493</v>
      </c>
      <c r="H370" s="5" t="s">
        <v>3356</v>
      </c>
      <c r="I370" s="5" t="s">
        <v>3356</v>
      </c>
      <c r="J370" s="4" t="s">
        <v>3356</v>
      </c>
      <c r="L370" s="1" t="s">
        <v>6135</v>
      </c>
    </row>
    <row r="371" spans="1:12">
      <c r="A371" s="3" t="s">
        <v>3356</v>
      </c>
      <c r="C371" s="4" t="s">
        <v>3817</v>
      </c>
      <c r="D371" s="4" t="s">
        <v>2079</v>
      </c>
      <c r="E371" s="4" t="s">
        <v>4486</v>
      </c>
      <c r="F371" s="4" t="s">
        <v>5320</v>
      </c>
      <c r="G371" s="4" t="s">
        <v>3628</v>
      </c>
      <c r="H371" s="5" t="s">
        <v>3356</v>
      </c>
      <c r="I371" s="5" t="s">
        <v>3356</v>
      </c>
      <c r="J371" s="4" t="s">
        <v>3356</v>
      </c>
      <c r="L371" s="1" t="s">
        <v>6135</v>
      </c>
    </row>
    <row r="372" spans="1:12">
      <c r="A372" s="3" t="s">
        <v>3356</v>
      </c>
      <c r="C372" s="4" t="s">
        <v>3817</v>
      </c>
      <c r="D372" s="4" t="s">
        <v>2079</v>
      </c>
      <c r="E372" s="4" t="s">
        <v>4486</v>
      </c>
      <c r="F372" s="4" t="s">
        <v>3796</v>
      </c>
      <c r="G372" s="4" t="s">
        <v>8045</v>
      </c>
      <c r="H372" s="5" t="s">
        <v>3356</v>
      </c>
      <c r="I372" s="5" t="s">
        <v>3356</v>
      </c>
      <c r="J372" s="4" t="s">
        <v>3356</v>
      </c>
      <c r="L372" s="1" t="s">
        <v>6135</v>
      </c>
    </row>
    <row r="373" spans="1:12">
      <c r="A373" s="3" t="s">
        <v>3356</v>
      </c>
      <c r="C373" s="4" t="s">
        <v>3817</v>
      </c>
      <c r="D373" s="4" t="s">
        <v>2079</v>
      </c>
      <c r="E373" s="4" t="s">
        <v>3666</v>
      </c>
      <c r="F373" s="4" t="s">
        <v>7302</v>
      </c>
      <c r="G373" s="4" t="s">
        <v>4374</v>
      </c>
      <c r="H373" s="5" t="s">
        <v>3356</v>
      </c>
      <c r="I373" s="5" t="s">
        <v>3356</v>
      </c>
      <c r="J373" s="4" t="s">
        <v>3356</v>
      </c>
      <c r="L373" s="1" t="s">
        <v>6135</v>
      </c>
    </row>
    <row r="374" spans="1:12">
      <c r="A374" s="3" t="s">
        <v>3356</v>
      </c>
      <c r="C374" s="4" t="s">
        <v>3817</v>
      </c>
      <c r="D374" s="4" t="s">
        <v>2079</v>
      </c>
      <c r="E374" s="4" t="s">
        <v>3666</v>
      </c>
      <c r="F374" s="4" t="s">
        <v>7302</v>
      </c>
      <c r="G374" s="4" t="s">
        <v>6046</v>
      </c>
      <c r="H374" s="5" t="s">
        <v>3356</v>
      </c>
      <c r="I374" s="5" t="s">
        <v>3356</v>
      </c>
      <c r="J374" s="4" t="s">
        <v>3356</v>
      </c>
      <c r="L374" s="1" t="s">
        <v>6135</v>
      </c>
    </row>
    <row r="375" spans="1:12">
      <c r="A375" s="3" t="s">
        <v>3356</v>
      </c>
      <c r="C375" s="4" t="s">
        <v>3817</v>
      </c>
      <c r="D375" s="4" t="s">
        <v>2079</v>
      </c>
      <c r="E375" s="4" t="s">
        <v>3666</v>
      </c>
      <c r="F375" s="4" t="s">
        <v>7302</v>
      </c>
      <c r="G375" s="4" t="s">
        <v>6425</v>
      </c>
      <c r="H375" s="5" t="s">
        <v>3356</v>
      </c>
      <c r="I375" s="5" t="s">
        <v>3356</v>
      </c>
      <c r="J375" s="4" t="s">
        <v>3356</v>
      </c>
      <c r="L375" s="1" t="s">
        <v>6135</v>
      </c>
    </row>
    <row r="376" spans="1:12">
      <c r="A376" s="3" t="s">
        <v>3356</v>
      </c>
      <c r="C376" s="4" t="s">
        <v>3817</v>
      </c>
      <c r="D376" s="4" t="s">
        <v>2079</v>
      </c>
      <c r="E376" s="4" t="s">
        <v>3666</v>
      </c>
      <c r="F376" s="4" t="s">
        <v>7302</v>
      </c>
      <c r="G376" s="4" t="s">
        <v>5828</v>
      </c>
      <c r="H376" s="5" t="s">
        <v>3356</v>
      </c>
      <c r="I376" s="5" t="s">
        <v>3356</v>
      </c>
      <c r="J376" s="4" t="s">
        <v>3356</v>
      </c>
      <c r="L376" s="1" t="s">
        <v>6135</v>
      </c>
    </row>
    <row r="377" spans="1:12">
      <c r="A377" s="3" t="s">
        <v>3356</v>
      </c>
      <c r="C377" s="4" t="s">
        <v>3817</v>
      </c>
      <c r="D377" s="4" t="s">
        <v>2079</v>
      </c>
      <c r="E377" s="4" t="s">
        <v>3666</v>
      </c>
      <c r="F377" s="4" t="s">
        <v>7302</v>
      </c>
      <c r="G377" s="4" t="s">
        <v>5743</v>
      </c>
      <c r="H377" s="5" t="s">
        <v>3356</v>
      </c>
      <c r="I377" s="5" t="s">
        <v>3356</v>
      </c>
      <c r="J377" s="4" t="s">
        <v>3356</v>
      </c>
      <c r="L377" s="1" t="s">
        <v>6135</v>
      </c>
    </row>
    <row r="378" spans="1:12">
      <c r="A378" s="3" t="s">
        <v>3356</v>
      </c>
      <c r="C378" s="4" t="s">
        <v>3817</v>
      </c>
      <c r="D378" s="4" t="s">
        <v>2079</v>
      </c>
      <c r="E378" s="4" t="s">
        <v>3666</v>
      </c>
      <c r="F378" s="4" t="s">
        <v>7256</v>
      </c>
      <c r="G378" s="4" t="s">
        <v>5744</v>
      </c>
      <c r="H378" s="5" t="s">
        <v>3356</v>
      </c>
      <c r="I378" s="5" t="s">
        <v>3356</v>
      </c>
      <c r="J378" s="4" t="s">
        <v>3356</v>
      </c>
      <c r="L378" s="1" t="s">
        <v>6135</v>
      </c>
    </row>
    <row r="379" spans="1:12">
      <c r="A379" s="3" t="s">
        <v>3356</v>
      </c>
      <c r="C379" s="4" t="s">
        <v>3817</v>
      </c>
      <c r="D379" s="4" t="s">
        <v>2079</v>
      </c>
      <c r="E379" s="4" t="s">
        <v>3666</v>
      </c>
      <c r="F379" s="4" t="s">
        <v>7256</v>
      </c>
      <c r="G379" s="4" t="s">
        <v>5111</v>
      </c>
      <c r="H379" s="5" t="s">
        <v>3356</v>
      </c>
      <c r="I379" s="5" t="s">
        <v>3356</v>
      </c>
      <c r="J379" s="4" t="s">
        <v>3356</v>
      </c>
      <c r="L379" s="1" t="s">
        <v>6135</v>
      </c>
    </row>
    <row r="380" spans="1:12">
      <c r="A380" s="3" t="s">
        <v>3356</v>
      </c>
      <c r="C380" s="4" t="s">
        <v>3817</v>
      </c>
      <c r="D380" s="4" t="s">
        <v>2079</v>
      </c>
      <c r="E380" s="4" t="s">
        <v>3666</v>
      </c>
      <c r="F380" s="4" t="s">
        <v>7256</v>
      </c>
      <c r="G380" s="4" t="s">
        <v>4784</v>
      </c>
      <c r="H380" s="5" t="s">
        <v>3356</v>
      </c>
      <c r="I380" s="5" t="s">
        <v>3356</v>
      </c>
      <c r="J380" s="4" t="s">
        <v>3356</v>
      </c>
      <c r="L380" s="1" t="s">
        <v>6135</v>
      </c>
    </row>
    <row r="381" spans="1:12">
      <c r="A381" s="3" t="s">
        <v>3356</v>
      </c>
      <c r="C381" s="4" t="s">
        <v>3817</v>
      </c>
      <c r="D381" s="4" t="s">
        <v>4471</v>
      </c>
      <c r="E381" s="4" t="s">
        <v>4472</v>
      </c>
      <c r="F381" s="4" t="s">
        <v>7230</v>
      </c>
      <c r="G381" s="4" t="s">
        <v>3630</v>
      </c>
      <c r="H381" s="5">
        <v>3.3443922736851106</v>
      </c>
      <c r="I381" s="5">
        <v>2210</v>
      </c>
      <c r="J381" s="4" t="s">
        <v>6736</v>
      </c>
      <c r="L381" s="1" t="s">
        <v>6135</v>
      </c>
    </row>
    <row r="382" spans="1:12">
      <c r="A382" s="3" t="s">
        <v>3356</v>
      </c>
      <c r="C382" s="4" t="s">
        <v>3817</v>
      </c>
      <c r="D382" s="4" t="s">
        <v>4471</v>
      </c>
      <c r="E382" s="4" t="s">
        <v>4472</v>
      </c>
      <c r="F382" s="4" t="s">
        <v>7230</v>
      </c>
      <c r="G382" s="4" t="s">
        <v>3673</v>
      </c>
      <c r="H382" s="5">
        <v>3.3856062735983121</v>
      </c>
      <c r="I382" s="5">
        <v>2430</v>
      </c>
      <c r="J382" s="4" t="s">
        <v>6736</v>
      </c>
      <c r="L382" s="1" t="s">
        <v>6135</v>
      </c>
    </row>
    <row r="383" spans="1:12">
      <c r="A383" s="3" t="s">
        <v>3356</v>
      </c>
      <c r="C383" s="4" t="s">
        <v>3817</v>
      </c>
      <c r="D383" s="4" t="s">
        <v>4471</v>
      </c>
      <c r="E383" s="4" t="s">
        <v>4472</v>
      </c>
      <c r="F383" s="4" t="s">
        <v>7275</v>
      </c>
      <c r="G383" s="4" t="s">
        <v>5696</v>
      </c>
      <c r="H383" s="5" t="s">
        <v>3356</v>
      </c>
      <c r="I383" s="5" t="s">
        <v>3356</v>
      </c>
      <c r="J383" s="4" t="s">
        <v>3356</v>
      </c>
      <c r="L383" s="1" t="s">
        <v>6135</v>
      </c>
    </row>
    <row r="384" spans="1:12">
      <c r="A384" s="3" t="s">
        <v>3356</v>
      </c>
      <c r="C384" s="4" t="s">
        <v>3817</v>
      </c>
      <c r="D384" s="4" t="s">
        <v>7278</v>
      </c>
      <c r="E384" s="4" t="s">
        <v>2351</v>
      </c>
      <c r="F384" s="4" t="s">
        <v>2352</v>
      </c>
      <c r="G384" s="4" t="s">
        <v>5855</v>
      </c>
      <c r="H384" s="5" t="s">
        <v>3356</v>
      </c>
      <c r="I384" s="5" t="s">
        <v>3356</v>
      </c>
      <c r="J384" s="4" t="s">
        <v>3356</v>
      </c>
      <c r="L384" s="1" t="s">
        <v>6135</v>
      </c>
    </row>
    <row r="385" spans="1:12">
      <c r="A385" s="3" t="s">
        <v>3356</v>
      </c>
      <c r="C385" s="4" t="s">
        <v>3817</v>
      </c>
      <c r="D385" s="4" t="s">
        <v>7278</v>
      </c>
      <c r="E385" s="4" t="s">
        <v>2351</v>
      </c>
      <c r="F385" s="4" t="s">
        <v>2354</v>
      </c>
      <c r="G385" s="4" t="s">
        <v>5856</v>
      </c>
      <c r="H385" s="5" t="s">
        <v>3356</v>
      </c>
      <c r="I385" s="5" t="s">
        <v>3356</v>
      </c>
      <c r="J385" s="4" t="s">
        <v>3356</v>
      </c>
      <c r="L385" s="1" t="s">
        <v>6135</v>
      </c>
    </row>
    <row r="386" spans="1:12">
      <c r="A386" s="3" t="s">
        <v>3356</v>
      </c>
      <c r="C386" s="4" t="s">
        <v>3817</v>
      </c>
      <c r="D386" s="4" t="s">
        <v>7278</v>
      </c>
      <c r="E386" s="4" t="s">
        <v>2351</v>
      </c>
      <c r="F386" s="4" t="s">
        <v>2354</v>
      </c>
      <c r="G386" s="4" t="s">
        <v>5168</v>
      </c>
      <c r="H386" s="5" t="s">
        <v>3356</v>
      </c>
      <c r="I386" s="5" t="s">
        <v>3356</v>
      </c>
      <c r="J386" s="4" t="s">
        <v>3356</v>
      </c>
      <c r="L386" s="1" t="s">
        <v>6135</v>
      </c>
    </row>
    <row r="387" spans="1:12">
      <c r="A387" s="3" t="s">
        <v>3356</v>
      </c>
      <c r="C387" s="4" t="s">
        <v>3817</v>
      </c>
      <c r="D387" s="4" t="s">
        <v>7278</v>
      </c>
      <c r="E387" s="4" t="s">
        <v>2351</v>
      </c>
      <c r="F387" s="4" t="s">
        <v>2354</v>
      </c>
      <c r="G387" s="4" t="s">
        <v>2425</v>
      </c>
      <c r="H387" s="5" t="s">
        <v>3356</v>
      </c>
      <c r="I387" s="5" t="s">
        <v>3356</v>
      </c>
      <c r="J387" s="4" t="s">
        <v>3356</v>
      </c>
      <c r="L387" s="1" t="s">
        <v>6135</v>
      </c>
    </row>
    <row r="388" spans="1:12">
      <c r="A388" s="3" t="s">
        <v>3356</v>
      </c>
      <c r="C388" s="4" t="s">
        <v>3817</v>
      </c>
      <c r="D388" s="4" t="s">
        <v>7278</v>
      </c>
      <c r="E388" s="4" t="s">
        <v>2351</v>
      </c>
      <c r="F388" s="4" t="s">
        <v>2354</v>
      </c>
      <c r="G388" s="4" t="s">
        <v>3886</v>
      </c>
      <c r="H388" s="5" t="s">
        <v>3356</v>
      </c>
      <c r="I388" s="5" t="s">
        <v>3356</v>
      </c>
      <c r="J388" s="4" t="s">
        <v>3356</v>
      </c>
      <c r="L388" s="1" t="s">
        <v>6135</v>
      </c>
    </row>
    <row r="389" spans="1:12">
      <c r="A389" s="3" t="s">
        <v>3356</v>
      </c>
      <c r="C389" s="4" t="s">
        <v>3817</v>
      </c>
      <c r="D389" s="4" t="s">
        <v>7278</v>
      </c>
      <c r="E389" s="4" t="s">
        <v>2351</v>
      </c>
      <c r="F389" s="4" t="s">
        <v>2130</v>
      </c>
      <c r="G389" s="4" t="s">
        <v>3553</v>
      </c>
      <c r="H389" s="5" t="s">
        <v>3356</v>
      </c>
      <c r="I389" s="5" t="s">
        <v>3356</v>
      </c>
      <c r="J389" s="4" t="s">
        <v>3356</v>
      </c>
      <c r="L389" s="1" t="s">
        <v>6135</v>
      </c>
    </row>
    <row r="390" spans="1:12">
      <c r="A390" s="3" t="s">
        <v>3356</v>
      </c>
      <c r="C390" s="4" t="s">
        <v>3817</v>
      </c>
      <c r="D390" s="4" t="s">
        <v>7278</v>
      </c>
      <c r="E390" s="4" t="s">
        <v>2351</v>
      </c>
      <c r="F390" s="4" t="s">
        <v>3554</v>
      </c>
      <c r="G390" s="4" t="s">
        <v>4033</v>
      </c>
      <c r="H390" s="5" t="s">
        <v>3356</v>
      </c>
      <c r="I390" s="5" t="s">
        <v>3356</v>
      </c>
      <c r="J390" s="4" t="s">
        <v>3356</v>
      </c>
      <c r="L390" s="1" t="s">
        <v>6135</v>
      </c>
    </row>
    <row r="391" spans="1:12">
      <c r="A391" s="3" t="s">
        <v>3356</v>
      </c>
      <c r="C391" s="4" t="s">
        <v>3817</v>
      </c>
      <c r="D391" s="4" t="s">
        <v>7278</v>
      </c>
      <c r="E391" s="4" t="s">
        <v>2351</v>
      </c>
      <c r="F391" s="4" t="s">
        <v>3554</v>
      </c>
      <c r="G391" s="4" t="s">
        <v>4034</v>
      </c>
      <c r="H391" s="5" t="s">
        <v>3356</v>
      </c>
      <c r="I391" s="5" t="s">
        <v>3356</v>
      </c>
      <c r="J391" s="4" t="s">
        <v>3356</v>
      </c>
      <c r="L391" s="1" t="s">
        <v>6135</v>
      </c>
    </row>
    <row r="392" spans="1:12">
      <c r="A392" s="3" t="s">
        <v>3356</v>
      </c>
      <c r="C392" s="4" t="s">
        <v>3817</v>
      </c>
      <c r="D392" s="4" t="s">
        <v>7278</v>
      </c>
      <c r="E392" s="4" t="s">
        <v>7252</v>
      </c>
      <c r="F392" s="4" t="s">
        <v>7686</v>
      </c>
      <c r="G392" s="4" t="s">
        <v>2425</v>
      </c>
      <c r="H392" s="5" t="s">
        <v>3356</v>
      </c>
      <c r="I392" s="5" t="s">
        <v>3356</v>
      </c>
      <c r="J392" s="4" t="s">
        <v>3356</v>
      </c>
      <c r="L392" s="1" t="s">
        <v>6135</v>
      </c>
    </row>
    <row r="393" spans="1:12">
      <c r="A393" s="3" t="s">
        <v>3356</v>
      </c>
      <c r="C393" s="4" t="s">
        <v>3817</v>
      </c>
      <c r="D393" s="4" t="s">
        <v>7278</v>
      </c>
      <c r="E393" s="4" t="s">
        <v>7252</v>
      </c>
      <c r="F393" s="4" t="s">
        <v>6022</v>
      </c>
      <c r="G393" s="4" t="s">
        <v>6021</v>
      </c>
      <c r="H393" s="5">
        <v>3.1760912590556813</v>
      </c>
      <c r="I393" s="5">
        <v>1500</v>
      </c>
      <c r="J393" s="4" t="s">
        <v>6736</v>
      </c>
      <c r="L393" s="1" t="s">
        <v>6135</v>
      </c>
    </row>
    <row r="394" spans="1:12">
      <c r="A394" s="3" t="s">
        <v>3356</v>
      </c>
      <c r="C394" s="4" t="s">
        <v>3817</v>
      </c>
      <c r="D394" s="4" t="s">
        <v>7278</v>
      </c>
      <c r="E394" s="4" t="s">
        <v>7252</v>
      </c>
      <c r="F394" s="4" t="s">
        <v>6453</v>
      </c>
      <c r="G394" s="4" t="s">
        <v>8022</v>
      </c>
      <c r="H394" s="5" t="s">
        <v>3356</v>
      </c>
      <c r="I394" s="5" t="s">
        <v>3356</v>
      </c>
      <c r="J394" s="4" t="s">
        <v>3356</v>
      </c>
      <c r="L394" s="1" t="s">
        <v>6135</v>
      </c>
    </row>
    <row r="395" spans="1:12">
      <c r="A395" s="3" t="s">
        <v>3356</v>
      </c>
      <c r="C395" s="4" t="s">
        <v>3817</v>
      </c>
      <c r="D395" s="4" t="s">
        <v>7278</v>
      </c>
      <c r="E395" s="4" t="s">
        <v>7252</v>
      </c>
      <c r="F395" s="4" t="s">
        <v>6453</v>
      </c>
      <c r="G395" s="4" t="s">
        <v>3569</v>
      </c>
      <c r="H395" s="5">
        <v>2.8567288903828825</v>
      </c>
      <c r="I395" s="5">
        <v>719</v>
      </c>
      <c r="J395" s="4" t="s">
        <v>6736</v>
      </c>
      <c r="L395" s="1" t="s">
        <v>6135</v>
      </c>
    </row>
    <row r="396" spans="1:12">
      <c r="A396" s="3" t="s">
        <v>3356</v>
      </c>
      <c r="C396" s="4" t="s">
        <v>3817</v>
      </c>
      <c r="D396" s="4" t="s">
        <v>7278</v>
      </c>
      <c r="E396" s="4" t="s">
        <v>7252</v>
      </c>
      <c r="F396" s="4" t="s">
        <v>6453</v>
      </c>
      <c r="G396" s="4" t="s">
        <v>8140</v>
      </c>
      <c r="H396" s="5">
        <v>2.9153998352122699</v>
      </c>
      <c r="I396" s="5">
        <v>823</v>
      </c>
      <c r="J396" s="4" t="s">
        <v>6736</v>
      </c>
      <c r="L396" s="1" t="s">
        <v>6135</v>
      </c>
    </row>
    <row r="397" spans="1:12">
      <c r="A397" s="3" t="s">
        <v>3356</v>
      </c>
      <c r="C397" s="4" t="s">
        <v>3817</v>
      </c>
      <c r="D397" s="4" t="s">
        <v>7278</v>
      </c>
      <c r="E397" s="4" t="s">
        <v>7252</v>
      </c>
      <c r="F397" s="4" t="s">
        <v>2114</v>
      </c>
      <c r="G397" s="4" t="s">
        <v>7385</v>
      </c>
      <c r="H397" s="5">
        <v>2.5340261060561349</v>
      </c>
      <c r="I397" s="5">
        <v>342</v>
      </c>
      <c r="J397" s="4" t="s">
        <v>6736</v>
      </c>
      <c r="L397" s="1" t="s">
        <v>6135</v>
      </c>
    </row>
    <row r="398" spans="1:12">
      <c r="A398" s="3" t="s">
        <v>3356</v>
      </c>
      <c r="C398" s="4" t="s">
        <v>3817</v>
      </c>
      <c r="D398" s="4" t="s">
        <v>7278</v>
      </c>
      <c r="E398" s="4" t="s">
        <v>7252</v>
      </c>
      <c r="F398" s="4" t="s">
        <v>2114</v>
      </c>
      <c r="G398" s="4" t="s">
        <v>4240</v>
      </c>
      <c r="H398" s="5" t="s">
        <v>3356</v>
      </c>
      <c r="I398" s="5" t="s">
        <v>3356</v>
      </c>
      <c r="J398" s="4" t="s">
        <v>3356</v>
      </c>
      <c r="L398" s="1" t="s">
        <v>6135</v>
      </c>
    </row>
    <row r="399" spans="1:12">
      <c r="A399" s="3" t="s">
        <v>3356</v>
      </c>
      <c r="C399" s="4" t="s">
        <v>3817</v>
      </c>
      <c r="D399" s="4" t="s">
        <v>7278</v>
      </c>
      <c r="E399" s="4" t="s">
        <v>7252</v>
      </c>
      <c r="F399" s="4" t="s">
        <v>2114</v>
      </c>
      <c r="G399" s="4" t="s">
        <v>3596</v>
      </c>
      <c r="H399" s="5">
        <v>2.2329961103921536</v>
      </c>
      <c r="I399" s="5">
        <v>171</v>
      </c>
      <c r="J399" s="4" t="s">
        <v>6736</v>
      </c>
      <c r="L399" s="1" t="s">
        <v>6135</v>
      </c>
    </row>
    <row r="400" spans="1:12">
      <c r="A400" s="3" t="s">
        <v>3356</v>
      </c>
      <c r="C400" s="4" t="s">
        <v>3817</v>
      </c>
      <c r="D400" s="4" t="s">
        <v>7278</v>
      </c>
      <c r="E400" s="4" t="s">
        <v>7252</v>
      </c>
      <c r="F400" s="4" t="s">
        <v>2114</v>
      </c>
      <c r="G400" s="4" t="s">
        <v>4035</v>
      </c>
      <c r="H400" s="5" t="s">
        <v>3356</v>
      </c>
      <c r="I400" s="5" t="s">
        <v>3356</v>
      </c>
      <c r="J400" s="4" t="s">
        <v>3356</v>
      </c>
      <c r="L400" s="1" t="s">
        <v>6135</v>
      </c>
    </row>
    <row r="401" spans="1:12">
      <c r="A401" s="3" t="s">
        <v>3356</v>
      </c>
      <c r="C401" s="4" t="s">
        <v>3817</v>
      </c>
      <c r="D401" s="4" t="s">
        <v>7278</v>
      </c>
      <c r="E401" s="4" t="s">
        <v>7252</v>
      </c>
      <c r="F401" s="4" t="s">
        <v>8141</v>
      </c>
      <c r="G401" s="4" t="s">
        <v>3377</v>
      </c>
      <c r="H401" s="5" t="s">
        <v>3356</v>
      </c>
      <c r="I401" s="5" t="s">
        <v>3356</v>
      </c>
      <c r="J401" s="4" t="s">
        <v>3356</v>
      </c>
      <c r="L401" s="1" t="s">
        <v>6135</v>
      </c>
    </row>
    <row r="402" spans="1:12">
      <c r="A402" s="3" t="s">
        <v>3356</v>
      </c>
      <c r="C402" s="4" t="s">
        <v>3817</v>
      </c>
      <c r="D402" s="4" t="s">
        <v>7278</v>
      </c>
      <c r="E402" s="4" t="s">
        <v>7252</v>
      </c>
      <c r="F402" s="4" t="s">
        <v>8141</v>
      </c>
      <c r="G402" s="4" t="s">
        <v>4967</v>
      </c>
      <c r="H402" s="5" t="s">
        <v>3356</v>
      </c>
      <c r="I402" s="5" t="s">
        <v>3356</v>
      </c>
      <c r="J402" s="4" t="s">
        <v>3356</v>
      </c>
      <c r="L402" s="1" t="s">
        <v>6135</v>
      </c>
    </row>
    <row r="403" spans="1:12">
      <c r="A403" s="3" t="s">
        <v>3356</v>
      </c>
      <c r="C403" s="4" t="s">
        <v>3817</v>
      </c>
      <c r="D403" s="4" t="s">
        <v>7278</v>
      </c>
      <c r="E403" s="4" t="s">
        <v>7252</v>
      </c>
      <c r="F403" s="4" t="s">
        <v>8141</v>
      </c>
      <c r="G403" s="4" t="s">
        <v>3411</v>
      </c>
      <c r="H403" s="5">
        <v>1.7781512503836436</v>
      </c>
      <c r="I403" s="5">
        <v>60</v>
      </c>
      <c r="J403" s="4" t="s">
        <v>6736</v>
      </c>
      <c r="L403" s="1" t="s">
        <v>6135</v>
      </c>
    </row>
    <row r="404" spans="1:12">
      <c r="A404" s="3" t="s">
        <v>3356</v>
      </c>
      <c r="C404" s="4" t="s">
        <v>3817</v>
      </c>
      <c r="D404" s="4" t="s">
        <v>7278</v>
      </c>
      <c r="E404" s="4" t="s">
        <v>7252</v>
      </c>
      <c r="F404" s="4" t="s">
        <v>3813</v>
      </c>
      <c r="G404" s="4" t="s">
        <v>3559</v>
      </c>
      <c r="H404" s="5" t="s">
        <v>3356</v>
      </c>
      <c r="I404" s="5" t="s">
        <v>3356</v>
      </c>
      <c r="J404" s="4" t="s">
        <v>3356</v>
      </c>
      <c r="L404" s="1" t="s">
        <v>6135</v>
      </c>
    </row>
    <row r="405" spans="1:12">
      <c r="A405" s="3" t="s">
        <v>3356</v>
      </c>
      <c r="C405" s="4" t="s">
        <v>3817</v>
      </c>
      <c r="D405" s="4" t="s">
        <v>7278</v>
      </c>
      <c r="E405" s="4" t="s">
        <v>7252</v>
      </c>
      <c r="F405" s="4" t="s">
        <v>3813</v>
      </c>
      <c r="G405" s="4" t="s">
        <v>3560</v>
      </c>
      <c r="H405" s="5" t="s">
        <v>3356</v>
      </c>
      <c r="I405" s="5" t="s">
        <v>3356</v>
      </c>
      <c r="J405" s="4" t="s">
        <v>3356</v>
      </c>
      <c r="L405" s="1" t="s">
        <v>6135</v>
      </c>
    </row>
    <row r="406" spans="1:12">
      <c r="A406" s="3" t="s">
        <v>3356</v>
      </c>
      <c r="C406" s="4" t="s">
        <v>3817</v>
      </c>
      <c r="D406" s="4" t="s">
        <v>7278</v>
      </c>
      <c r="E406" s="4" t="s">
        <v>7252</v>
      </c>
      <c r="F406" s="4" t="s">
        <v>3378</v>
      </c>
      <c r="G406" s="4" t="s">
        <v>3379</v>
      </c>
      <c r="H406" s="5" t="s">
        <v>3356</v>
      </c>
      <c r="I406" s="5" t="s">
        <v>3356</v>
      </c>
      <c r="J406" s="4" t="s">
        <v>3356</v>
      </c>
      <c r="L406" s="1" t="s">
        <v>6135</v>
      </c>
    </row>
    <row r="407" spans="1:12">
      <c r="A407" s="3" t="s">
        <v>3356</v>
      </c>
      <c r="C407" s="4" t="s">
        <v>3817</v>
      </c>
      <c r="D407" s="4" t="s">
        <v>7278</v>
      </c>
      <c r="E407" s="4" t="s">
        <v>7252</v>
      </c>
      <c r="F407" s="4" t="s">
        <v>3378</v>
      </c>
      <c r="G407" s="4" t="s">
        <v>6326</v>
      </c>
      <c r="H407" s="5" t="s">
        <v>3356</v>
      </c>
      <c r="I407" s="5" t="s">
        <v>3356</v>
      </c>
      <c r="J407" s="4" t="s">
        <v>3356</v>
      </c>
      <c r="L407" s="1" t="s">
        <v>6135</v>
      </c>
    </row>
    <row r="408" spans="1:12">
      <c r="A408" s="3" t="s">
        <v>3356</v>
      </c>
      <c r="C408" s="4" t="s">
        <v>3817</v>
      </c>
      <c r="D408" s="4" t="s">
        <v>7278</v>
      </c>
      <c r="E408" s="4" t="s">
        <v>3658</v>
      </c>
      <c r="F408" s="4" t="s">
        <v>6496</v>
      </c>
      <c r="G408" s="4" t="s">
        <v>3309</v>
      </c>
      <c r="H408" s="5" t="s">
        <v>3356</v>
      </c>
      <c r="I408" s="5" t="s">
        <v>3356</v>
      </c>
      <c r="J408" s="4" t="s">
        <v>3356</v>
      </c>
      <c r="L408" s="1" t="s">
        <v>6135</v>
      </c>
    </row>
    <row r="409" spans="1:12">
      <c r="A409" s="3" t="s">
        <v>3356</v>
      </c>
      <c r="C409" s="4" t="s">
        <v>3817</v>
      </c>
      <c r="D409" s="4" t="s">
        <v>7278</v>
      </c>
      <c r="E409" s="4" t="s">
        <v>3658</v>
      </c>
      <c r="F409" s="4" t="s">
        <v>6496</v>
      </c>
      <c r="G409" s="4" t="s">
        <v>6497</v>
      </c>
      <c r="H409" s="5" t="s">
        <v>3356</v>
      </c>
      <c r="I409" s="5" t="s">
        <v>3356</v>
      </c>
      <c r="J409" s="4" t="s">
        <v>3356</v>
      </c>
      <c r="L409" s="1" t="s">
        <v>6135</v>
      </c>
    </row>
    <row r="410" spans="1:12">
      <c r="A410" s="3" t="s">
        <v>3356</v>
      </c>
      <c r="C410" s="4" t="s">
        <v>3817</v>
      </c>
      <c r="D410" s="4" t="s">
        <v>7278</v>
      </c>
      <c r="E410" s="4" t="s">
        <v>3658</v>
      </c>
      <c r="F410" s="4" t="s">
        <v>6496</v>
      </c>
      <c r="G410" s="4" t="s">
        <v>2428</v>
      </c>
      <c r="H410" s="5" t="s">
        <v>3356</v>
      </c>
      <c r="I410" s="5" t="s">
        <v>3356</v>
      </c>
      <c r="J410" s="4" t="s">
        <v>3356</v>
      </c>
      <c r="L410" s="1" t="s">
        <v>6135</v>
      </c>
    </row>
    <row r="411" spans="1:12">
      <c r="A411" s="3" t="s">
        <v>3356</v>
      </c>
      <c r="C411" s="4" t="s">
        <v>3817</v>
      </c>
      <c r="D411" s="4" t="s">
        <v>7278</v>
      </c>
      <c r="E411" s="4" t="s">
        <v>3658</v>
      </c>
      <c r="F411" s="4" t="s">
        <v>6496</v>
      </c>
      <c r="G411" s="4" t="s">
        <v>5838</v>
      </c>
      <c r="H411" s="5" t="s">
        <v>3356</v>
      </c>
      <c r="I411" s="5" t="s">
        <v>3356</v>
      </c>
      <c r="J411" s="4" t="s">
        <v>3356</v>
      </c>
      <c r="L411" s="1" t="s">
        <v>6135</v>
      </c>
    </row>
    <row r="412" spans="1:12">
      <c r="A412" s="3" t="s">
        <v>3356</v>
      </c>
      <c r="C412" s="4" t="s">
        <v>3817</v>
      </c>
      <c r="D412" s="4" t="s">
        <v>7278</v>
      </c>
      <c r="E412" s="4" t="s">
        <v>3658</v>
      </c>
      <c r="F412" s="4" t="s">
        <v>6496</v>
      </c>
      <c r="G412" s="4" t="s">
        <v>5325</v>
      </c>
      <c r="H412" s="5" t="s">
        <v>3356</v>
      </c>
      <c r="I412" s="5" t="s">
        <v>3356</v>
      </c>
      <c r="J412" s="4" t="s">
        <v>3356</v>
      </c>
      <c r="L412" s="1" t="s">
        <v>6135</v>
      </c>
    </row>
    <row r="413" spans="1:12">
      <c r="A413" s="3" t="s">
        <v>3356</v>
      </c>
      <c r="C413" s="4" t="s">
        <v>3817</v>
      </c>
      <c r="D413" s="4" t="s">
        <v>7278</v>
      </c>
      <c r="E413" s="4" t="s">
        <v>3658</v>
      </c>
      <c r="F413" s="4" t="s">
        <v>6496</v>
      </c>
      <c r="G413" s="4" t="s">
        <v>5036</v>
      </c>
      <c r="H413" s="5" t="s">
        <v>3356</v>
      </c>
      <c r="I413" s="5" t="s">
        <v>3356</v>
      </c>
      <c r="J413" s="4" t="s">
        <v>3356</v>
      </c>
      <c r="L413" s="1" t="s">
        <v>6135</v>
      </c>
    </row>
    <row r="414" spans="1:12">
      <c r="A414" s="3" t="s">
        <v>3356</v>
      </c>
      <c r="C414" s="4" t="s">
        <v>3817</v>
      </c>
      <c r="D414" s="4" t="s">
        <v>7278</v>
      </c>
      <c r="E414" s="4" t="s">
        <v>3658</v>
      </c>
      <c r="F414" s="4" t="s">
        <v>6496</v>
      </c>
      <c r="G414" s="4" t="s">
        <v>3144</v>
      </c>
      <c r="H414" s="5" t="s">
        <v>3356</v>
      </c>
      <c r="I414" s="5" t="s">
        <v>3356</v>
      </c>
      <c r="J414" s="4" t="s">
        <v>3356</v>
      </c>
      <c r="L414" s="1" t="s">
        <v>6135</v>
      </c>
    </row>
    <row r="415" spans="1:12">
      <c r="A415" s="3" t="s">
        <v>3356</v>
      </c>
      <c r="C415" s="4" t="s">
        <v>3817</v>
      </c>
      <c r="D415" s="4" t="s">
        <v>7278</v>
      </c>
      <c r="E415" s="4" t="s">
        <v>3658</v>
      </c>
      <c r="F415" s="4" t="s">
        <v>6496</v>
      </c>
      <c r="G415" s="4" t="s">
        <v>5255</v>
      </c>
      <c r="H415" s="5" t="s">
        <v>3356</v>
      </c>
      <c r="I415" s="5" t="s">
        <v>3356</v>
      </c>
      <c r="J415" s="4" t="s">
        <v>3356</v>
      </c>
      <c r="L415" s="1" t="s">
        <v>6135</v>
      </c>
    </row>
    <row r="416" spans="1:12">
      <c r="A416" s="3" t="s">
        <v>3356</v>
      </c>
      <c r="C416" s="4" t="s">
        <v>3817</v>
      </c>
      <c r="D416" s="4" t="s">
        <v>7278</v>
      </c>
      <c r="E416" s="4" t="s">
        <v>3541</v>
      </c>
      <c r="F416" s="4" t="s">
        <v>6748</v>
      </c>
      <c r="G416" s="4" t="s">
        <v>6173</v>
      </c>
      <c r="H416" s="5" t="s">
        <v>3356</v>
      </c>
      <c r="I416" s="5" t="s">
        <v>3356</v>
      </c>
      <c r="J416" s="4" t="s">
        <v>3356</v>
      </c>
      <c r="L416" s="1" t="s">
        <v>6135</v>
      </c>
    </row>
    <row r="417" spans="1:12">
      <c r="A417" s="3" t="s">
        <v>3356</v>
      </c>
      <c r="C417" s="4" t="s">
        <v>3817</v>
      </c>
      <c r="D417" s="4" t="s">
        <v>7278</v>
      </c>
      <c r="E417" s="4" t="s">
        <v>3541</v>
      </c>
      <c r="F417" s="4" t="s">
        <v>6748</v>
      </c>
      <c r="G417" s="4" t="s">
        <v>6171</v>
      </c>
      <c r="H417" s="5" t="s">
        <v>3356</v>
      </c>
      <c r="I417" s="5" t="s">
        <v>3356</v>
      </c>
      <c r="J417" s="4" t="s">
        <v>3356</v>
      </c>
      <c r="L417" s="1" t="s">
        <v>6135</v>
      </c>
    </row>
    <row r="418" spans="1:12">
      <c r="A418" s="3" t="s">
        <v>3356</v>
      </c>
      <c r="C418" s="4" t="s">
        <v>3817</v>
      </c>
      <c r="D418" s="4" t="s">
        <v>7278</v>
      </c>
      <c r="E418" s="4" t="s">
        <v>3541</v>
      </c>
      <c r="F418" s="4" t="s">
        <v>6748</v>
      </c>
      <c r="G418" s="4" t="s">
        <v>5484</v>
      </c>
      <c r="H418" s="5">
        <v>3</v>
      </c>
      <c r="I418" s="5">
        <v>1000</v>
      </c>
      <c r="J418" s="4" t="s">
        <v>6736</v>
      </c>
      <c r="L418" s="1" t="s">
        <v>6135</v>
      </c>
    </row>
    <row r="419" spans="1:12">
      <c r="A419" s="3" t="s">
        <v>3356</v>
      </c>
      <c r="C419" s="4" t="s">
        <v>3817</v>
      </c>
      <c r="D419" s="4" t="s">
        <v>7278</v>
      </c>
      <c r="E419" s="4" t="s">
        <v>4905</v>
      </c>
      <c r="F419" s="4" t="s">
        <v>8234</v>
      </c>
      <c r="G419" s="4" t="s">
        <v>4851</v>
      </c>
      <c r="H419" s="5" t="s">
        <v>3356</v>
      </c>
      <c r="I419" s="5" t="s">
        <v>3356</v>
      </c>
      <c r="J419" s="4" t="s">
        <v>3356</v>
      </c>
      <c r="L419" s="1" t="s">
        <v>6135</v>
      </c>
    </row>
    <row r="420" spans="1:12">
      <c r="A420" s="3" t="s">
        <v>3356</v>
      </c>
      <c r="C420" s="4" t="s">
        <v>3817</v>
      </c>
      <c r="D420" s="4" t="s">
        <v>7278</v>
      </c>
      <c r="E420" s="4" t="s">
        <v>4905</v>
      </c>
      <c r="F420" s="4" t="s">
        <v>7353</v>
      </c>
      <c r="G420" s="4" t="s">
        <v>4106</v>
      </c>
      <c r="H420" s="5" t="s">
        <v>3356</v>
      </c>
      <c r="I420" s="5" t="s">
        <v>3356</v>
      </c>
      <c r="J420" s="4" t="s">
        <v>3356</v>
      </c>
      <c r="L420" s="1" t="s">
        <v>6135</v>
      </c>
    </row>
    <row r="421" spans="1:12">
      <c r="A421" s="3" t="s">
        <v>3356</v>
      </c>
      <c r="C421" s="4" t="s">
        <v>3817</v>
      </c>
      <c r="D421" s="4" t="s">
        <v>7278</v>
      </c>
      <c r="E421" s="4" t="s">
        <v>4905</v>
      </c>
      <c r="F421" s="4" t="s">
        <v>7353</v>
      </c>
      <c r="G421" s="4" t="s">
        <v>8235</v>
      </c>
      <c r="H421" s="5" t="s">
        <v>3356</v>
      </c>
      <c r="I421" s="5" t="s">
        <v>3356</v>
      </c>
      <c r="J421" s="4" t="s">
        <v>3356</v>
      </c>
      <c r="L421" s="1" t="s">
        <v>6135</v>
      </c>
    </row>
    <row r="422" spans="1:12">
      <c r="A422" s="3" t="s">
        <v>3356</v>
      </c>
      <c r="C422" s="4" t="s">
        <v>3817</v>
      </c>
      <c r="D422" s="4" t="s">
        <v>7278</v>
      </c>
      <c r="E422" s="4" t="s">
        <v>4905</v>
      </c>
      <c r="F422" s="4" t="s">
        <v>6826</v>
      </c>
      <c r="G422" s="4" t="s">
        <v>6827</v>
      </c>
      <c r="H422" s="5" t="s">
        <v>3356</v>
      </c>
      <c r="I422" s="5" t="s">
        <v>3356</v>
      </c>
      <c r="J422" s="4" t="s">
        <v>3356</v>
      </c>
      <c r="L422" s="1" t="s">
        <v>6135</v>
      </c>
    </row>
    <row r="423" spans="1:12">
      <c r="A423" s="3" t="s">
        <v>3356</v>
      </c>
      <c r="C423" s="4" t="s">
        <v>3817</v>
      </c>
      <c r="D423" s="4" t="s">
        <v>7278</v>
      </c>
      <c r="E423" s="4" t="s">
        <v>4905</v>
      </c>
      <c r="F423" s="4" t="s">
        <v>6826</v>
      </c>
      <c r="G423" s="4" t="s">
        <v>6260</v>
      </c>
      <c r="H423" s="5" t="s">
        <v>3356</v>
      </c>
      <c r="I423" s="5" t="s">
        <v>3356</v>
      </c>
      <c r="J423" s="4" t="s">
        <v>3356</v>
      </c>
      <c r="L423" s="1" t="s">
        <v>6135</v>
      </c>
    </row>
    <row r="424" spans="1:12">
      <c r="A424" s="3" t="s">
        <v>3356</v>
      </c>
      <c r="C424" s="4" t="s">
        <v>3817</v>
      </c>
      <c r="D424" s="4" t="s">
        <v>7278</v>
      </c>
      <c r="E424" s="4" t="s">
        <v>4905</v>
      </c>
      <c r="F424" s="4" t="s">
        <v>6381</v>
      </c>
      <c r="G424" s="4" t="s">
        <v>7634</v>
      </c>
      <c r="H424" s="5" t="s">
        <v>3356</v>
      </c>
      <c r="I424" s="5" t="s">
        <v>3356</v>
      </c>
      <c r="J424" s="4" t="s">
        <v>3356</v>
      </c>
      <c r="L424" s="1" t="s">
        <v>6135</v>
      </c>
    </row>
    <row r="425" spans="1:12">
      <c r="A425" s="3" t="s">
        <v>3356</v>
      </c>
      <c r="C425" s="4" t="s">
        <v>3817</v>
      </c>
      <c r="D425" s="4" t="s">
        <v>7278</v>
      </c>
      <c r="E425" s="4" t="s">
        <v>4905</v>
      </c>
      <c r="F425" s="4" t="s">
        <v>6381</v>
      </c>
      <c r="G425" s="4" t="s">
        <v>5626</v>
      </c>
      <c r="H425" s="5" t="s">
        <v>3356</v>
      </c>
      <c r="I425" s="5" t="s">
        <v>3356</v>
      </c>
      <c r="J425" s="4" t="s">
        <v>3356</v>
      </c>
      <c r="L425" s="1" t="s">
        <v>6135</v>
      </c>
    </row>
    <row r="426" spans="1:12">
      <c r="A426" s="3" t="s">
        <v>3356</v>
      </c>
      <c r="C426" s="4" t="s">
        <v>3817</v>
      </c>
      <c r="D426" s="4" t="s">
        <v>7278</v>
      </c>
      <c r="E426" s="4" t="s">
        <v>4905</v>
      </c>
      <c r="F426" s="4" t="s">
        <v>6381</v>
      </c>
      <c r="G426" s="4" t="s">
        <v>7293</v>
      </c>
      <c r="H426" s="5" t="s">
        <v>3356</v>
      </c>
      <c r="I426" s="5" t="s">
        <v>3356</v>
      </c>
      <c r="J426" s="4" t="s">
        <v>3356</v>
      </c>
      <c r="L426" s="1" t="s">
        <v>6135</v>
      </c>
    </row>
    <row r="427" spans="1:12">
      <c r="A427" s="3" t="s">
        <v>3356</v>
      </c>
      <c r="C427" s="4" t="s">
        <v>3817</v>
      </c>
      <c r="D427" s="4" t="s">
        <v>7278</v>
      </c>
      <c r="E427" s="4" t="s">
        <v>4905</v>
      </c>
      <c r="F427" s="4" t="s">
        <v>6381</v>
      </c>
      <c r="G427" s="4" t="s">
        <v>5627</v>
      </c>
      <c r="H427" s="5" t="s">
        <v>3356</v>
      </c>
      <c r="I427" s="5" t="s">
        <v>3356</v>
      </c>
      <c r="J427" s="4" t="s">
        <v>3356</v>
      </c>
      <c r="L427" s="1" t="s">
        <v>6135</v>
      </c>
    </row>
    <row r="428" spans="1:12">
      <c r="A428" s="3" t="s">
        <v>3356</v>
      </c>
      <c r="C428" s="4" t="s">
        <v>3817</v>
      </c>
      <c r="D428" s="4" t="s">
        <v>7278</v>
      </c>
      <c r="E428" s="4" t="s">
        <v>4905</v>
      </c>
      <c r="F428" s="4" t="s">
        <v>6381</v>
      </c>
      <c r="G428" s="4" t="s">
        <v>5628</v>
      </c>
      <c r="H428" s="5" t="s">
        <v>3356</v>
      </c>
      <c r="I428" s="5" t="s">
        <v>3356</v>
      </c>
      <c r="J428" s="4" t="s">
        <v>3356</v>
      </c>
      <c r="L428" s="1" t="s">
        <v>6135</v>
      </c>
    </row>
    <row r="429" spans="1:12">
      <c r="A429" s="3" t="s">
        <v>3356</v>
      </c>
      <c r="C429" s="4" t="s">
        <v>3817</v>
      </c>
      <c r="D429" s="4" t="s">
        <v>7278</v>
      </c>
      <c r="E429" s="4" t="s">
        <v>4905</v>
      </c>
      <c r="F429" s="4" t="s">
        <v>6381</v>
      </c>
      <c r="G429" s="4" t="s">
        <v>6670</v>
      </c>
      <c r="H429" s="5" t="s">
        <v>3356</v>
      </c>
      <c r="I429" s="5" t="s">
        <v>3356</v>
      </c>
      <c r="J429" s="4" t="s">
        <v>3356</v>
      </c>
      <c r="L429" s="1" t="s">
        <v>6135</v>
      </c>
    </row>
    <row r="430" spans="1:12">
      <c r="A430" s="3" t="s">
        <v>3356</v>
      </c>
      <c r="C430" s="4" t="s">
        <v>3817</v>
      </c>
      <c r="D430" s="4" t="s">
        <v>7278</v>
      </c>
      <c r="E430" s="4" t="s">
        <v>4905</v>
      </c>
      <c r="F430" s="4" t="s">
        <v>6655</v>
      </c>
      <c r="G430" s="4" t="s">
        <v>6656</v>
      </c>
      <c r="H430" s="5" t="s">
        <v>3356</v>
      </c>
      <c r="I430" s="5" t="s">
        <v>3356</v>
      </c>
      <c r="J430" s="4" t="s">
        <v>3356</v>
      </c>
      <c r="L430" s="1" t="s">
        <v>6135</v>
      </c>
    </row>
    <row r="431" spans="1:12">
      <c r="A431" s="3" t="s">
        <v>3356</v>
      </c>
      <c r="C431" s="4" t="s">
        <v>3817</v>
      </c>
      <c r="D431" s="4" t="s">
        <v>7278</v>
      </c>
      <c r="E431" s="4" t="s">
        <v>4905</v>
      </c>
      <c r="F431" s="4" t="s">
        <v>5050</v>
      </c>
      <c r="G431" s="4" t="s">
        <v>3380</v>
      </c>
      <c r="H431" s="5" t="s">
        <v>3356</v>
      </c>
      <c r="I431" s="5" t="s">
        <v>3356</v>
      </c>
      <c r="J431" s="4" t="s">
        <v>3356</v>
      </c>
      <c r="L431" s="1" t="s">
        <v>6135</v>
      </c>
    </row>
    <row r="432" spans="1:12">
      <c r="A432" s="3" t="s">
        <v>3356</v>
      </c>
      <c r="C432" s="4" t="s">
        <v>3817</v>
      </c>
      <c r="D432" s="4" t="s">
        <v>7278</v>
      </c>
      <c r="E432" s="4" t="s">
        <v>4905</v>
      </c>
      <c r="F432" s="4" t="s">
        <v>5050</v>
      </c>
      <c r="G432" s="4" t="s">
        <v>5733</v>
      </c>
      <c r="H432" s="5" t="s">
        <v>3356</v>
      </c>
      <c r="I432" s="5" t="s">
        <v>3356</v>
      </c>
      <c r="J432" s="4" t="s">
        <v>3356</v>
      </c>
      <c r="L432" s="1" t="s">
        <v>6135</v>
      </c>
    </row>
    <row r="433" spans="1:12">
      <c r="A433" s="3" t="s">
        <v>3356</v>
      </c>
      <c r="C433" s="4" t="s">
        <v>3817</v>
      </c>
      <c r="D433" s="4" t="s">
        <v>7278</v>
      </c>
      <c r="E433" s="4" t="s">
        <v>4905</v>
      </c>
      <c r="F433" s="4" t="s">
        <v>5050</v>
      </c>
      <c r="G433" s="4" t="s">
        <v>5843</v>
      </c>
      <c r="H433" s="5" t="s">
        <v>3356</v>
      </c>
      <c r="I433" s="5" t="s">
        <v>3356</v>
      </c>
      <c r="J433" s="4" t="s">
        <v>3356</v>
      </c>
      <c r="L433" s="1" t="s">
        <v>6135</v>
      </c>
    </row>
    <row r="434" spans="1:12">
      <c r="A434" s="3" t="s">
        <v>3356</v>
      </c>
      <c r="C434" s="4" t="s">
        <v>3817</v>
      </c>
      <c r="D434" s="4" t="s">
        <v>7278</v>
      </c>
      <c r="E434" s="4" t="s">
        <v>4905</v>
      </c>
      <c r="F434" s="4" t="s">
        <v>5050</v>
      </c>
      <c r="G434" s="4" t="s">
        <v>5099</v>
      </c>
      <c r="H434" s="5" t="s">
        <v>3356</v>
      </c>
      <c r="I434" s="5" t="s">
        <v>3356</v>
      </c>
      <c r="J434" s="4" t="s">
        <v>3356</v>
      </c>
      <c r="L434" s="1" t="s">
        <v>6135</v>
      </c>
    </row>
    <row r="435" spans="1:12">
      <c r="A435" s="3" t="s">
        <v>3356</v>
      </c>
      <c r="C435" s="4" t="s">
        <v>3817</v>
      </c>
      <c r="D435" s="4" t="s">
        <v>7278</v>
      </c>
      <c r="E435" s="4" t="s">
        <v>4905</v>
      </c>
      <c r="F435" s="4" t="s">
        <v>5050</v>
      </c>
      <c r="G435" s="4" t="s">
        <v>7222</v>
      </c>
      <c r="H435" s="5" t="s">
        <v>3356</v>
      </c>
      <c r="I435" s="5" t="s">
        <v>3356</v>
      </c>
      <c r="J435" s="4" t="s">
        <v>3356</v>
      </c>
      <c r="L435" s="1" t="s">
        <v>6135</v>
      </c>
    </row>
    <row r="436" spans="1:12">
      <c r="A436" s="3" t="s">
        <v>3356</v>
      </c>
      <c r="C436" s="4" t="s">
        <v>3817</v>
      </c>
      <c r="D436" s="4" t="s">
        <v>7278</v>
      </c>
      <c r="E436" s="4" t="s">
        <v>4905</v>
      </c>
      <c r="F436" s="4" t="s">
        <v>5050</v>
      </c>
      <c r="G436" s="4" t="s">
        <v>3381</v>
      </c>
      <c r="H436" s="5" t="s">
        <v>3356</v>
      </c>
      <c r="I436" s="5" t="s">
        <v>3356</v>
      </c>
      <c r="J436" s="4" t="s">
        <v>3356</v>
      </c>
      <c r="L436" s="1" t="s">
        <v>6135</v>
      </c>
    </row>
    <row r="437" spans="1:12">
      <c r="A437" s="3" t="s">
        <v>3356</v>
      </c>
      <c r="C437" s="4" t="s">
        <v>3817</v>
      </c>
      <c r="D437" s="4" t="s">
        <v>7278</v>
      </c>
      <c r="E437" s="4" t="s">
        <v>4905</v>
      </c>
      <c r="F437" s="4" t="s">
        <v>5050</v>
      </c>
      <c r="G437" s="4" t="s">
        <v>8172</v>
      </c>
      <c r="H437" s="5" t="s">
        <v>3356</v>
      </c>
      <c r="I437" s="5" t="s">
        <v>3356</v>
      </c>
      <c r="J437" s="4" t="s">
        <v>3356</v>
      </c>
      <c r="L437" s="1" t="s">
        <v>6135</v>
      </c>
    </row>
    <row r="438" spans="1:12">
      <c r="A438" s="3" t="s">
        <v>3356</v>
      </c>
      <c r="C438" s="4" t="s">
        <v>3817</v>
      </c>
      <c r="D438" s="4" t="s">
        <v>7278</v>
      </c>
      <c r="E438" s="4" t="s">
        <v>4905</v>
      </c>
      <c r="F438" s="4" t="s">
        <v>5050</v>
      </c>
      <c r="G438" s="4" t="s">
        <v>3382</v>
      </c>
      <c r="H438" s="5" t="s">
        <v>3356</v>
      </c>
      <c r="I438" s="5" t="s">
        <v>3356</v>
      </c>
      <c r="J438" s="4" t="s">
        <v>3356</v>
      </c>
      <c r="L438" s="1" t="s">
        <v>6135</v>
      </c>
    </row>
    <row r="439" spans="1:12">
      <c r="A439" s="3" t="s">
        <v>3356</v>
      </c>
      <c r="C439" s="4" t="s">
        <v>3817</v>
      </c>
      <c r="D439" s="4" t="s">
        <v>7278</v>
      </c>
      <c r="E439" s="4" t="s">
        <v>4905</v>
      </c>
      <c r="F439" s="4" t="s">
        <v>5050</v>
      </c>
      <c r="G439" s="4" t="s">
        <v>5485</v>
      </c>
      <c r="H439" s="5">
        <v>0.87506126339170009</v>
      </c>
      <c r="I439" s="5">
        <v>7.5</v>
      </c>
      <c r="J439" s="4" t="s">
        <v>6736</v>
      </c>
      <c r="L439" s="1" t="s">
        <v>6135</v>
      </c>
    </row>
    <row r="440" spans="1:12">
      <c r="A440" s="3" t="s">
        <v>3356</v>
      </c>
      <c r="C440" s="4" t="s">
        <v>3817</v>
      </c>
      <c r="D440" s="4" t="s">
        <v>7278</v>
      </c>
      <c r="E440" s="4" t="s">
        <v>4905</v>
      </c>
      <c r="F440" s="4" t="s">
        <v>5050</v>
      </c>
      <c r="G440" s="4" t="s">
        <v>5460</v>
      </c>
      <c r="H440" s="5" t="s">
        <v>3356</v>
      </c>
      <c r="I440" s="5" t="s">
        <v>3356</v>
      </c>
      <c r="J440" s="4" t="s">
        <v>3356</v>
      </c>
      <c r="L440" s="1" t="s">
        <v>6135</v>
      </c>
    </row>
    <row r="441" spans="1:12">
      <c r="A441" s="3" t="s">
        <v>3356</v>
      </c>
      <c r="C441" s="4" t="s">
        <v>3817</v>
      </c>
      <c r="D441" s="4" t="s">
        <v>7278</v>
      </c>
      <c r="E441" s="4" t="s">
        <v>4905</v>
      </c>
      <c r="F441" s="4" t="s">
        <v>5050</v>
      </c>
      <c r="G441" s="4" t="s">
        <v>5879</v>
      </c>
      <c r="H441" s="5" t="s">
        <v>3356</v>
      </c>
      <c r="I441" s="5" t="s">
        <v>3356</v>
      </c>
      <c r="J441" s="4" t="s">
        <v>3356</v>
      </c>
      <c r="L441" s="1" t="s">
        <v>6135</v>
      </c>
    </row>
    <row r="442" spans="1:12">
      <c r="A442" s="3" t="s">
        <v>3356</v>
      </c>
      <c r="C442" s="4" t="s">
        <v>3817</v>
      </c>
      <c r="D442" s="4" t="s">
        <v>7278</v>
      </c>
      <c r="E442" s="4" t="s">
        <v>4905</v>
      </c>
      <c r="F442" s="4" t="s">
        <v>5050</v>
      </c>
      <c r="G442" s="4" t="s">
        <v>5880</v>
      </c>
      <c r="H442" s="5" t="s">
        <v>3356</v>
      </c>
      <c r="I442" s="5" t="s">
        <v>3356</v>
      </c>
      <c r="J442" s="4" t="s">
        <v>3356</v>
      </c>
      <c r="L442" s="1" t="s">
        <v>6135</v>
      </c>
    </row>
    <row r="443" spans="1:12">
      <c r="A443" s="3" t="s">
        <v>3356</v>
      </c>
      <c r="C443" s="4" t="s">
        <v>3817</v>
      </c>
      <c r="D443" s="4" t="s">
        <v>7278</v>
      </c>
      <c r="E443" s="4" t="s">
        <v>4905</v>
      </c>
      <c r="F443" s="4" t="s">
        <v>5050</v>
      </c>
      <c r="G443" s="4" t="s">
        <v>5881</v>
      </c>
      <c r="H443" s="5" t="s">
        <v>3356</v>
      </c>
      <c r="I443" s="5" t="s">
        <v>3356</v>
      </c>
      <c r="J443" s="4" t="s">
        <v>3356</v>
      </c>
      <c r="L443" s="1" t="s">
        <v>6135</v>
      </c>
    </row>
    <row r="444" spans="1:12">
      <c r="A444" s="3" t="s">
        <v>3356</v>
      </c>
      <c r="C444" s="4" t="s">
        <v>3817</v>
      </c>
      <c r="D444" s="4" t="s">
        <v>7278</v>
      </c>
      <c r="E444" s="4" t="s">
        <v>4905</v>
      </c>
      <c r="F444" s="4" t="s">
        <v>5050</v>
      </c>
      <c r="G444" s="4" t="s">
        <v>5882</v>
      </c>
      <c r="H444" s="5" t="s">
        <v>3356</v>
      </c>
      <c r="I444" s="5" t="s">
        <v>3356</v>
      </c>
      <c r="J444" s="4" t="s">
        <v>3356</v>
      </c>
      <c r="L444" s="1" t="s">
        <v>6135</v>
      </c>
    </row>
    <row r="445" spans="1:12">
      <c r="A445" s="3" t="s">
        <v>3356</v>
      </c>
      <c r="C445" s="4" t="s">
        <v>3817</v>
      </c>
      <c r="D445" s="4" t="s">
        <v>7278</v>
      </c>
      <c r="E445" s="4" t="s">
        <v>4905</v>
      </c>
      <c r="F445" s="4" t="s">
        <v>5050</v>
      </c>
      <c r="G445" s="4" t="s">
        <v>3245</v>
      </c>
      <c r="H445" s="5">
        <v>1.0791812460476249</v>
      </c>
      <c r="I445" s="5">
        <v>12</v>
      </c>
      <c r="J445" s="4" t="s">
        <v>6736</v>
      </c>
      <c r="L445" s="1" t="s">
        <v>6135</v>
      </c>
    </row>
    <row r="446" spans="1:12">
      <c r="A446" s="3" t="s">
        <v>3356</v>
      </c>
      <c r="C446" s="4" t="s">
        <v>3817</v>
      </c>
      <c r="D446" s="4" t="s">
        <v>7278</v>
      </c>
      <c r="E446" s="4" t="s">
        <v>4905</v>
      </c>
      <c r="F446" s="4" t="s">
        <v>5050</v>
      </c>
      <c r="G446" s="4" t="s">
        <v>6621</v>
      </c>
      <c r="H446" s="5" t="s">
        <v>3356</v>
      </c>
      <c r="I446" s="5" t="s">
        <v>3356</v>
      </c>
      <c r="J446" s="4" t="s">
        <v>3356</v>
      </c>
      <c r="L446" s="1" t="s">
        <v>6135</v>
      </c>
    </row>
    <row r="447" spans="1:12">
      <c r="A447" s="3" t="s">
        <v>3356</v>
      </c>
      <c r="C447" s="4" t="s">
        <v>3817</v>
      </c>
      <c r="D447" s="4" t="s">
        <v>7278</v>
      </c>
      <c r="E447" s="4" t="s">
        <v>4905</v>
      </c>
      <c r="F447" s="4" t="s">
        <v>5050</v>
      </c>
      <c r="G447" s="4" t="s">
        <v>6591</v>
      </c>
      <c r="H447" s="5" t="s">
        <v>3356</v>
      </c>
      <c r="I447" s="5" t="s">
        <v>3356</v>
      </c>
      <c r="J447" s="4" t="s">
        <v>3356</v>
      </c>
      <c r="L447" s="1" t="s">
        <v>6135</v>
      </c>
    </row>
    <row r="448" spans="1:12">
      <c r="A448" s="3" t="s">
        <v>3356</v>
      </c>
      <c r="C448" s="4" t="s">
        <v>3817</v>
      </c>
      <c r="D448" s="4" t="s">
        <v>7278</v>
      </c>
      <c r="E448" s="4" t="s">
        <v>4905</v>
      </c>
      <c r="F448" s="4" t="s">
        <v>5050</v>
      </c>
      <c r="G448" s="4" t="s">
        <v>5883</v>
      </c>
      <c r="H448" s="5" t="s">
        <v>3356</v>
      </c>
      <c r="I448" s="5" t="s">
        <v>3356</v>
      </c>
      <c r="J448" s="4" t="s">
        <v>3356</v>
      </c>
      <c r="L448" s="1" t="s">
        <v>6135</v>
      </c>
    </row>
    <row r="449" spans="1:12">
      <c r="A449" s="3" t="s">
        <v>3356</v>
      </c>
      <c r="C449" s="4" t="s">
        <v>3817</v>
      </c>
      <c r="D449" s="4" t="s">
        <v>7278</v>
      </c>
      <c r="E449" s="4" t="s">
        <v>4905</v>
      </c>
      <c r="F449" s="4" t="s">
        <v>5050</v>
      </c>
      <c r="G449" s="4" t="s">
        <v>5884</v>
      </c>
      <c r="H449" s="5" t="s">
        <v>3356</v>
      </c>
      <c r="I449" s="5" t="s">
        <v>3356</v>
      </c>
      <c r="J449" s="4" t="s">
        <v>3356</v>
      </c>
      <c r="L449" s="1" t="s">
        <v>6135</v>
      </c>
    </row>
    <row r="450" spans="1:12">
      <c r="A450" s="3" t="s">
        <v>3356</v>
      </c>
      <c r="C450" s="4" t="s">
        <v>3817</v>
      </c>
      <c r="D450" s="4" t="s">
        <v>7278</v>
      </c>
      <c r="E450" s="4" t="s">
        <v>4905</v>
      </c>
      <c r="F450" s="4" t="s">
        <v>5050</v>
      </c>
      <c r="G450" s="4" t="s">
        <v>5918</v>
      </c>
      <c r="H450" s="5" t="s">
        <v>3356</v>
      </c>
      <c r="I450" s="5" t="s">
        <v>3356</v>
      </c>
      <c r="J450" s="4" t="s">
        <v>3356</v>
      </c>
      <c r="L450" s="1" t="s">
        <v>6135</v>
      </c>
    </row>
    <row r="451" spans="1:12">
      <c r="A451" s="3" t="s">
        <v>3356</v>
      </c>
      <c r="C451" s="4" t="s">
        <v>3817</v>
      </c>
      <c r="D451" s="4" t="s">
        <v>7278</v>
      </c>
      <c r="E451" s="4" t="s">
        <v>4905</v>
      </c>
      <c r="F451" s="4" t="s">
        <v>5050</v>
      </c>
      <c r="G451" s="4" t="s">
        <v>5337</v>
      </c>
      <c r="H451" s="5" t="s">
        <v>3356</v>
      </c>
      <c r="I451" s="5" t="s">
        <v>3356</v>
      </c>
      <c r="J451" s="4" t="s">
        <v>3356</v>
      </c>
      <c r="L451" s="1" t="s">
        <v>6135</v>
      </c>
    </row>
    <row r="452" spans="1:12">
      <c r="A452" s="3" t="s">
        <v>3356</v>
      </c>
      <c r="C452" s="4" t="s">
        <v>3817</v>
      </c>
      <c r="D452" s="4" t="s">
        <v>7278</v>
      </c>
      <c r="E452" s="4" t="s">
        <v>4905</v>
      </c>
      <c r="F452" s="4" t="s">
        <v>5050</v>
      </c>
      <c r="G452" s="4" t="s">
        <v>5919</v>
      </c>
      <c r="H452" s="5" t="s">
        <v>3356</v>
      </c>
      <c r="I452" s="5" t="s">
        <v>3356</v>
      </c>
      <c r="J452" s="4" t="s">
        <v>3356</v>
      </c>
      <c r="L452" s="1" t="s">
        <v>6135</v>
      </c>
    </row>
    <row r="453" spans="1:12">
      <c r="A453" s="3" t="s">
        <v>3356</v>
      </c>
      <c r="C453" s="4" t="s">
        <v>3817</v>
      </c>
      <c r="D453" s="4" t="s">
        <v>7278</v>
      </c>
      <c r="E453" s="4" t="s">
        <v>4905</v>
      </c>
      <c r="F453" s="4" t="s">
        <v>5050</v>
      </c>
      <c r="G453" s="4" t="s">
        <v>5920</v>
      </c>
      <c r="H453" s="5" t="s">
        <v>3356</v>
      </c>
      <c r="I453" s="5" t="s">
        <v>3356</v>
      </c>
      <c r="J453" s="4" t="s">
        <v>3356</v>
      </c>
      <c r="L453" s="1" t="s">
        <v>6135</v>
      </c>
    </row>
    <row r="454" spans="1:12">
      <c r="A454" s="3" t="s">
        <v>3356</v>
      </c>
      <c r="C454" s="4" t="s">
        <v>3817</v>
      </c>
      <c r="D454" s="4" t="s">
        <v>7278</v>
      </c>
      <c r="E454" s="4" t="s">
        <v>4905</v>
      </c>
      <c r="F454" s="4" t="s">
        <v>5050</v>
      </c>
      <c r="G454" s="4" t="s">
        <v>5747</v>
      </c>
      <c r="H454" s="5" t="s">
        <v>3356</v>
      </c>
      <c r="I454" s="5" t="s">
        <v>3356</v>
      </c>
      <c r="J454" s="4" t="s">
        <v>3356</v>
      </c>
      <c r="L454" s="1" t="s">
        <v>6135</v>
      </c>
    </row>
    <row r="455" spans="1:12">
      <c r="A455" s="3" t="s">
        <v>3356</v>
      </c>
      <c r="C455" s="4" t="s">
        <v>3817</v>
      </c>
      <c r="D455" s="4" t="s">
        <v>7278</v>
      </c>
      <c r="E455" s="4" t="s">
        <v>4905</v>
      </c>
      <c r="F455" s="4" t="s">
        <v>5050</v>
      </c>
      <c r="G455" s="4" t="s">
        <v>5748</v>
      </c>
      <c r="H455" s="5" t="s">
        <v>3356</v>
      </c>
      <c r="I455" s="5" t="s">
        <v>3356</v>
      </c>
      <c r="J455" s="4" t="s">
        <v>3356</v>
      </c>
      <c r="L455" s="1" t="s">
        <v>6135</v>
      </c>
    </row>
    <row r="456" spans="1:12">
      <c r="A456" s="3" t="s">
        <v>3356</v>
      </c>
      <c r="C456" s="4" t="s">
        <v>3817</v>
      </c>
      <c r="D456" s="4" t="s">
        <v>7278</v>
      </c>
      <c r="E456" s="4" t="s">
        <v>4905</v>
      </c>
      <c r="F456" s="4" t="s">
        <v>5050</v>
      </c>
      <c r="G456" s="4" t="s">
        <v>3691</v>
      </c>
      <c r="H456" s="5">
        <v>0.99211148778694969</v>
      </c>
      <c r="I456" s="5">
        <v>9.82</v>
      </c>
      <c r="J456" s="4" t="s">
        <v>6736</v>
      </c>
      <c r="L456" s="1" t="s">
        <v>6135</v>
      </c>
    </row>
    <row r="457" spans="1:12">
      <c r="A457" s="3" t="s">
        <v>3356</v>
      </c>
      <c r="C457" s="4" t="s">
        <v>3817</v>
      </c>
      <c r="D457" s="4" t="s">
        <v>7278</v>
      </c>
      <c r="E457" s="4" t="s">
        <v>4905</v>
      </c>
      <c r="F457" s="4" t="s">
        <v>5050</v>
      </c>
      <c r="G457" s="4" t="s">
        <v>5831</v>
      </c>
      <c r="H457" s="5" t="s">
        <v>3356</v>
      </c>
      <c r="I457" s="5" t="s">
        <v>3356</v>
      </c>
      <c r="J457" s="4" t="s">
        <v>3356</v>
      </c>
      <c r="L457" s="1" t="s">
        <v>6135</v>
      </c>
    </row>
    <row r="458" spans="1:12">
      <c r="A458" s="3" t="s">
        <v>3356</v>
      </c>
      <c r="C458" s="4" t="s">
        <v>3817</v>
      </c>
      <c r="D458" s="4" t="s">
        <v>7278</v>
      </c>
      <c r="E458" s="4" t="s">
        <v>4905</v>
      </c>
      <c r="F458" s="4" t="s">
        <v>5050</v>
      </c>
      <c r="G458" s="4" t="s">
        <v>5770</v>
      </c>
      <c r="H458" s="5" t="s">
        <v>3356</v>
      </c>
      <c r="I458" s="5" t="s">
        <v>3356</v>
      </c>
      <c r="J458" s="4" t="s">
        <v>3356</v>
      </c>
      <c r="L458" s="1" t="s">
        <v>6135</v>
      </c>
    </row>
    <row r="459" spans="1:12">
      <c r="A459" s="3" t="s">
        <v>3356</v>
      </c>
      <c r="C459" s="4" t="s">
        <v>3817</v>
      </c>
      <c r="D459" s="4" t="s">
        <v>7278</v>
      </c>
      <c r="E459" s="4" t="s">
        <v>4905</v>
      </c>
      <c r="F459" s="4" t="s">
        <v>5050</v>
      </c>
      <c r="G459" s="4" t="s">
        <v>5122</v>
      </c>
      <c r="H459" s="5" t="s">
        <v>3356</v>
      </c>
      <c r="I459" s="5" t="s">
        <v>3356</v>
      </c>
      <c r="J459" s="4" t="s">
        <v>3356</v>
      </c>
      <c r="L459" s="1" t="s">
        <v>6135</v>
      </c>
    </row>
    <row r="460" spans="1:12">
      <c r="A460" s="3" t="s">
        <v>3356</v>
      </c>
      <c r="C460" s="4" t="s">
        <v>3817</v>
      </c>
      <c r="D460" s="4" t="s">
        <v>7278</v>
      </c>
      <c r="E460" s="4" t="s">
        <v>4905</v>
      </c>
      <c r="F460" s="4" t="s">
        <v>5050</v>
      </c>
      <c r="G460" s="4" t="s">
        <v>6705</v>
      </c>
      <c r="H460" s="5" t="s">
        <v>3356</v>
      </c>
      <c r="I460" s="5" t="s">
        <v>3356</v>
      </c>
      <c r="J460" s="4" t="s">
        <v>3356</v>
      </c>
      <c r="L460" s="1" t="s">
        <v>6135</v>
      </c>
    </row>
    <row r="461" spans="1:12">
      <c r="A461" s="3" t="s">
        <v>3356</v>
      </c>
      <c r="C461" s="4" t="s">
        <v>3817</v>
      </c>
      <c r="D461" s="4" t="s">
        <v>7278</v>
      </c>
      <c r="E461" s="4" t="s">
        <v>4905</v>
      </c>
      <c r="F461" s="4" t="s">
        <v>5050</v>
      </c>
      <c r="G461" s="4" t="s">
        <v>5123</v>
      </c>
      <c r="H461" s="5" t="s">
        <v>3356</v>
      </c>
      <c r="I461" s="5" t="s">
        <v>3356</v>
      </c>
      <c r="J461" s="4" t="s">
        <v>3356</v>
      </c>
      <c r="L461" s="1" t="s">
        <v>6135</v>
      </c>
    </row>
    <row r="462" spans="1:12">
      <c r="A462" s="3" t="s">
        <v>3356</v>
      </c>
      <c r="C462" s="4" t="s">
        <v>3817</v>
      </c>
      <c r="D462" s="4" t="s">
        <v>7278</v>
      </c>
      <c r="E462" s="4" t="s">
        <v>4905</v>
      </c>
      <c r="F462" s="4" t="s">
        <v>5050</v>
      </c>
      <c r="G462" s="4" t="s">
        <v>5124</v>
      </c>
      <c r="H462" s="5" t="s">
        <v>3356</v>
      </c>
      <c r="I462" s="5" t="s">
        <v>3356</v>
      </c>
      <c r="J462" s="4" t="s">
        <v>3356</v>
      </c>
      <c r="L462" s="1" t="s">
        <v>6135</v>
      </c>
    </row>
    <row r="463" spans="1:12">
      <c r="A463" s="3" t="s">
        <v>3356</v>
      </c>
      <c r="C463" s="4" t="s">
        <v>3817</v>
      </c>
      <c r="D463" s="4" t="s">
        <v>7278</v>
      </c>
      <c r="E463" s="4" t="s">
        <v>4905</v>
      </c>
      <c r="F463" s="4" t="s">
        <v>5050</v>
      </c>
      <c r="G463" s="4" t="s">
        <v>5125</v>
      </c>
      <c r="H463" s="5" t="s">
        <v>3356</v>
      </c>
      <c r="I463" s="5" t="s">
        <v>3356</v>
      </c>
      <c r="J463" s="4" t="s">
        <v>3356</v>
      </c>
      <c r="L463" s="1" t="s">
        <v>6135</v>
      </c>
    </row>
    <row r="464" spans="1:12">
      <c r="A464" s="3" t="s">
        <v>3356</v>
      </c>
      <c r="C464" s="4" t="s">
        <v>3817</v>
      </c>
      <c r="D464" s="4" t="s">
        <v>7278</v>
      </c>
      <c r="E464" s="4" t="s">
        <v>4905</v>
      </c>
      <c r="F464" s="4" t="s">
        <v>5050</v>
      </c>
      <c r="G464" s="4" t="s">
        <v>4047</v>
      </c>
      <c r="H464" s="5" t="s">
        <v>3356</v>
      </c>
      <c r="I464" s="5" t="s">
        <v>3356</v>
      </c>
      <c r="J464" s="4" t="s">
        <v>3356</v>
      </c>
      <c r="L464" s="1" t="s">
        <v>6135</v>
      </c>
    </row>
    <row r="465" spans="1:12">
      <c r="A465" s="3" t="s">
        <v>3356</v>
      </c>
      <c r="C465" s="4" t="s">
        <v>3817</v>
      </c>
      <c r="D465" s="4" t="s">
        <v>7278</v>
      </c>
      <c r="E465" s="4" t="s">
        <v>4905</v>
      </c>
      <c r="F465" s="4" t="s">
        <v>5050</v>
      </c>
      <c r="G465" s="4" t="s">
        <v>5126</v>
      </c>
      <c r="H465" s="5" t="s">
        <v>3356</v>
      </c>
      <c r="I465" s="5" t="s">
        <v>3356</v>
      </c>
      <c r="J465" s="4" t="s">
        <v>3356</v>
      </c>
      <c r="L465" s="1" t="s">
        <v>6135</v>
      </c>
    </row>
    <row r="466" spans="1:12">
      <c r="A466" s="3" t="s">
        <v>3356</v>
      </c>
      <c r="C466" s="4" t="s">
        <v>3817</v>
      </c>
      <c r="D466" s="4" t="s">
        <v>7278</v>
      </c>
      <c r="E466" s="4" t="s">
        <v>4905</v>
      </c>
      <c r="F466" s="4" t="s">
        <v>5050</v>
      </c>
      <c r="G466" s="4" t="s">
        <v>5653</v>
      </c>
      <c r="H466" s="5" t="s">
        <v>3356</v>
      </c>
      <c r="I466" s="5" t="s">
        <v>3356</v>
      </c>
      <c r="J466" s="4" t="s">
        <v>3356</v>
      </c>
      <c r="L466" s="1" t="s">
        <v>6135</v>
      </c>
    </row>
    <row r="467" spans="1:12">
      <c r="A467" s="3" t="s">
        <v>3356</v>
      </c>
      <c r="C467" s="4" t="s">
        <v>3817</v>
      </c>
      <c r="D467" s="4" t="s">
        <v>7278</v>
      </c>
      <c r="E467" s="4" t="s">
        <v>4905</v>
      </c>
      <c r="F467" s="4" t="s">
        <v>5050</v>
      </c>
      <c r="G467" s="4" t="s">
        <v>5427</v>
      </c>
      <c r="H467" s="5" t="s">
        <v>3356</v>
      </c>
      <c r="I467" s="5" t="s">
        <v>3356</v>
      </c>
      <c r="J467" s="4" t="s">
        <v>3356</v>
      </c>
      <c r="L467" s="1" t="s">
        <v>6135</v>
      </c>
    </row>
    <row r="468" spans="1:12">
      <c r="A468" s="3" t="s">
        <v>3356</v>
      </c>
      <c r="C468" s="4" t="s">
        <v>3817</v>
      </c>
      <c r="D468" s="4" t="s">
        <v>7278</v>
      </c>
      <c r="E468" s="4" t="s">
        <v>4905</v>
      </c>
      <c r="F468" s="4" t="s">
        <v>5050</v>
      </c>
      <c r="G468" s="4" t="s">
        <v>5428</v>
      </c>
      <c r="H468" s="5" t="s">
        <v>3356</v>
      </c>
      <c r="I468" s="5" t="s">
        <v>3356</v>
      </c>
      <c r="J468" s="4" t="s">
        <v>3356</v>
      </c>
      <c r="L468" s="1" t="s">
        <v>6135</v>
      </c>
    </row>
    <row r="469" spans="1:12">
      <c r="A469" s="3" t="s">
        <v>3356</v>
      </c>
      <c r="C469" s="4" t="s">
        <v>3817</v>
      </c>
      <c r="D469" s="4" t="s">
        <v>7278</v>
      </c>
      <c r="E469" s="4" t="s">
        <v>4905</v>
      </c>
      <c r="F469" s="4" t="s">
        <v>5050</v>
      </c>
      <c r="G469" s="4" t="s">
        <v>5429</v>
      </c>
      <c r="H469" s="5" t="s">
        <v>3356</v>
      </c>
      <c r="I469" s="5" t="s">
        <v>3356</v>
      </c>
      <c r="J469" s="4" t="s">
        <v>3356</v>
      </c>
      <c r="L469" s="1" t="s">
        <v>6135</v>
      </c>
    </row>
    <row r="470" spans="1:12">
      <c r="A470" s="3" t="s">
        <v>3356</v>
      </c>
      <c r="C470" s="4" t="s">
        <v>3817</v>
      </c>
      <c r="D470" s="4" t="s">
        <v>7278</v>
      </c>
      <c r="E470" s="4" t="s">
        <v>4905</v>
      </c>
      <c r="F470" s="4" t="s">
        <v>5050</v>
      </c>
      <c r="G470" s="4" t="s">
        <v>4817</v>
      </c>
      <c r="H470" s="5" t="s">
        <v>3356</v>
      </c>
      <c r="I470" s="5" t="s">
        <v>3356</v>
      </c>
      <c r="J470" s="4" t="s">
        <v>3356</v>
      </c>
      <c r="L470" s="1" t="s">
        <v>6135</v>
      </c>
    </row>
    <row r="471" spans="1:12">
      <c r="A471" s="3" t="s">
        <v>3356</v>
      </c>
      <c r="C471" s="4" t="s">
        <v>3817</v>
      </c>
      <c r="D471" s="4" t="s">
        <v>7278</v>
      </c>
      <c r="E471" s="4" t="s">
        <v>4905</v>
      </c>
      <c r="F471" s="4" t="s">
        <v>5050</v>
      </c>
      <c r="G471" s="4" t="s">
        <v>4818</v>
      </c>
      <c r="H471" s="5" t="s">
        <v>3356</v>
      </c>
      <c r="I471" s="5" t="s">
        <v>3356</v>
      </c>
      <c r="J471" s="4" t="s">
        <v>3356</v>
      </c>
      <c r="L471" s="1" t="s">
        <v>6135</v>
      </c>
    </row>
    <row r="472" spans="1:12">
      <c r="A472" s="3" t="s">
        <v>3356</v>
      </c>
      <c r="C472" s="4" t="s">
        <v>3817</v>
      </c>
      <c r="D472" s="4" t="s">
        <v>7278</v>
      </c>
      <c r="E472" s="4" t="s">
        <v>4905</v>
      </c>
      <c r="F472" s="4" t="s">
        <v>5050</v>
      </c>
      <c r="G472" s="4" t="s">
        <v>4819</v>
      </c>
      <c r="H472" s="5" t="s">
        <v>3356</v>
      </c>
      <c r="I472" s="5" t="s">
        <v>3356</v>
      </c>
      <c r="J472" s="4" t="s">
        <v>3356</v>
      </c>
      <c r="L472" s="1" t="s">
        <v>6135</v>
      </c>
    </row>
    <row r="473" spans="1:12">
      <c r="A473" s="3" t="s">
        <v>3356</v>
      </c>
      <c r="C473" s="4" t="s">
        <v>3817</v>
      </c>
      <c r="D473" s="4" t="s">
        <v>7278</v>
      </c>
      <c r="E473" s="4" t="s">
        <v>4905</v>
      </c>
      <c r="F473" s="4" t="s">
        <v>5050</v>
      </c>
      <c r="G473" s="4" t="s">
        <v>4961</v>
      </c>
      <c r="H473" s="5" t="s">
        <v>3356</v>
      </c>
      <c r="I473" s="5" t="s">
        <v>3356</v>
      </c>
      <c r="J473" s="4" t="s">
        <v>3356</v>
      </c>
      <c r="L473" s="1" t="s">
        <v>6135</v>
      </c>
    </row>
    <row r="474" spans="1:12">
      <c r="A474" s="3" t="s">
        <v>3356</v>
      </c>
      <c r="C474" s="4" t="s">
        <v>3817</v>
      </c>
      <c r="D474" s="4" t="s">
        <v>7278</v>
      </c>
      <c r="E474" s="4" t="s">
        <v>4905</v>
      </c>
      <c r="F474" s="4" t="s">
        <v>5050</v>
      </c>
      <c r="G474" s="4" t="s">
        <v>6369</v>
      </c>
      <c r="H474" s="5" t="s">
        <v>3356</v>
      </c>
      <c r="I474" s="5" t="s">
        <v>3356</v>
      </c>
      <c r="J474" s="4" t="s">
        <v>3356</v>
      </c>
      <c r="L474" s="1" t="s">
        <v>6135</v>
      </c>
    </row>
    <row r="475" spans="1:12">
      <c r="A475" s="3" t="s">
        <v>3356</v>
      </c>
      <c r="C475" s="4" t="s">
        <v>3817</v>
      </c>
      <c r="D475" s="4" t="s">
        <v>7278</v>
      </c>
      <c r="E475" s="4" t="s">
        <v>4905</v>
      </c>
      <c r="F475" s="4" t="s">
        <v>5050</v>
      </c>
      <c r="G475" s="4" t="s">
        <v>6585</v>
      </c>
      <c r="H475" s="5" t="s">
        <v>3356</v>
      </c>
      <c r="I475" s="5" t="s">
        <v>3356</v>
      </c>
      <c r="J475" s="4" t="s">
        <v>3356</v>
      </c>
      <c r="L475" s="1" t="s">
        <v>6135</v>
      </c>
    </row>
    <row r="476" spans="1:12">
      <c r="A476" s="3" t="s">
        <v>3356</v>
      </c>
      <c r="C476" s="4" t="s">
        <v>3817</v>
      </c>
      <c r="D476" s="4" t="s">
        <v>7278</v>
      </c>
      <c r="E476" s="4" t="s">
        <v>4905</v>
      </c>
      <c r="F476" s="4" t="s">
        <v>5050</v>
      </c>
      <c r="G476" s="4" t="s">
        <v>6586</v>
      </c>
      <c r="H476" s="5" t="s">
        <v>3356</v>
      </c>
      <c r="I476" s="5" t="s">
        <v>3356</v>
      </c>
      <c r="J476" s="4" t="s">
        <v>3356</v>
      </c>
      <c r="L476" s="1" t="s">
        <v>6135</v>
      </c>
    </row>
    <row r="477" spans="1:12">
      <c r="A477" s="3" t="s">
        <v>3356</v>
      </c>
      <c r="C477" s="4" t="s">
        <v>3817</v>
      </c>
      <c r="D477" s="4" t="s">
        <v>7278</v>
      </c>
      <c r="E477" s="4" t="s">
        <v>4905</v>
      </c>
      <c r="F477" s="4" t="s">
        <v>5050</v>
      </c>
      <c r="G477" s="4" t="s">
        <v>6587</v>
      </c>
      <c r="H477" s="5" t="s">
        <v>3356</v>
      </c>
      <c r="I477" s="5" t="s">
        <v>3356</v>
      </c>
      <c r="J477" s="4" t="s">
        <v>3356</v>
      </c>
      <c r="L477" s="1" t="s">
        <v>6135</v>
      </c>
    </row>
    <row r="478" spans="1:12">
      <c r="A478" s="3" t="s">
        <v>3356</v>
      </c>
      <c r="C478" s="4" t="s">
        <v>3817</v>
      </c>
      <c r="D478" s="4" t="s">
        <v>7278</v>
      </c>
      <c r="E478" s="4" t="s">
        <v>4905</v>
      </c>
      <c r="F478" s="4" t="s">
        <v>5050</v>
      </c>
      <c r="G478" s="4" t="s">
        <v>8242</v>
      </c>
      <c r="H478" s="5" t="s">
        <v>3356</v>
      </c>
      <c r="I478" s="5" t="s">
        <v>3356</v>
      </c>
      <c r="J478" s="4" t="s">
        <v>3356</v>
      </c>
      <c r="L478" s="1" t="s">
        <v>6135</v>
      </c>
    </row>
    <row r="479" spans="1:12">
      <c r="A479" s="3" t="s">
        <v>3356</v>
      </c>
      <c r="C479" s="4" t="s">
        <v>3817</v>
      </c>
      <c r="D479" s="4" t="s">
        <v>7278</v>
      </c>
      <c r="E479" s="4" t="s">
        <v>4905</v>
      </c>
      <c r="F479" s="4" t="s">
        <v>5050</v>
      </c>
      <c r="G479" s="4" t="s">
        <v>8225</v>
      </c>
      <c r="H479" s="5" t="s">
        <v>3356</v>
      </c>
      <c r="I479" s="5" t="s">
        <v>3356</v>
      </c>
      <c r="J479" s="4" t="s">
        <v>3356</v>
      </c>
      <c r="L479" s="1" t="s">
        <v>6135</v>
      </c>
    </row>
    <row r="480" spans="1:12">
      <c r="A480" s="3" t="s">
        <v>3356</v>
      </c>
      <c r="C480" s="4" t="s">
        <v>3817</v>
      </c>
      <c r="D480" s="4" t="s">
        <v>7278</v>
      </c>
      <c r="E480" s="4" t="s">
        <v>4905</v>
      </c>
      <c r="F480" s="4" t="s">
        <v>5050</v>
      </c>
      <c r="G480" s="4" t="s">
        <v>4727</v>
      </c>
      <c r="H480" s="5" t="s">
        <v>3356</v>
      </c>
      <c r="I480" s="5" t="s">
        <v>3356</v>
      </c>
      <c r="J480" s="4" t="s">
        <v>3356</v>
      </c>
      <c r="L480" s="1" t="s">
        <v>6135</v>
      </c>
    </row>
    <row r="481" spans="1:12">
      <c r="A481" s="3" t="s">
        <v>3356</v>
      </c>
      <c r="C481" s="4" t="s">
        <v>3817</v>
      </c>
      <c r="D481" s="4" t="s">
        <v>7278</v>
      </c>
      <c r="E481" s="4" t="s">
        <v>4905</v>
      </c>
      <c r="F481" s="4" t="s">
        <v>5050</v>
      </c>
      <c r="G481" s="4" t="s">
        <v>4728</v>
      </c>
      <c r="H481" s="5" t="s">
        <v>3356</v>
      </c>
      <c r="I481" s="5" t="s">
        <v>3356</v>
      </c>
      <c r="J481" s="4" t="s">
        <v>3356</v>
      </c>
      <c r="L481" s="1" t="s">
        <v>6135</v>
      </c>
    </row>
    <row r="482" spans="1:12">
      <c r="A482" s="3" t="s">
        <v>3356</v>
      </c>
      <c r="C482" s="4" t="s">
        <v>3817</v>
      </c>
      <c r="D482" s="4" t="s">
        <v>7278</v>
      </c>
      <c r="E482" s="4" t="s">
        <v>4905</v>
      </c>
      <c r="F482" s="4" t="s">
        <v>5050</v>
      </c>
      <c r="G482" s="4" t="s">
        <v>4729</v>
      </c>
      <c r="H482" s="5" t="s">
        <v>3356</v>
      </c>
      <c r="I482" s="5" t="s">
        <v>3356</v>
      </c>
      <c r="J482" s="4" t="s">
        <v>3356</v>
      </c>
      <c r="L482" s="1" t="s">
        <v>6135</v>
      </c>
    </row>
    <row r="483" spans="1:12">
      <c r="A483" s="3" t="s">
        <v>3356</v>
      </c>
      <c r="C483" s="4" t="s">
        <v>3817</v>
      </c>
      <c r="D483" s="4" t="s">
        <v>7278</v>
      </c>
      <c r="E483" s="4" t="s">
        <v>4905</v>
      </c>
      <c r="F483" s="4" t="s">
        <v>5050</v>
      </c>
      <c r="G483" s="4" t="s">
        <v>5266</v>
      </c>
      <c r="H483" s="5" t="s">
        <v>3356</v>
      </c>
      <c r="I483" s="5" t="s">
        <v>3356</v>
      </c>
      <c r="J483" s="4" t="s">
        <v>3356</v>
      </c>
      <c r="L483" s="1" t="s">
        <v>6135</v>
      </c>
    </row>
    <row r="484" spans="1:12">
      <c r="A484" s="3" t="s">
        <v>3356</v>
      </c>
      <c r="C484" s="4" t="s">
        <v>3817</v>
      </c>
      <c r="D484" s="4" t="s">
        <v>7278</v>
      </c>
      <c r="E484" s="4" t="s">
        <v>4905</v>
      </c>
      <c r="F484" s="4" t="s">
        <v>5050</v>
      </c>
      <c r="G484" s="4" t="s">
        <v>4730</v>
      </c>
      <c r="H484" s="5" t="s">
        <v>3356</v>
      </c>
      <c r="I484" s="5" t="s">
        <v>3356</v>
      </c>
      <c r="J484" s="4" t="s">
        <v>3356</v>
      </c>
      <c r="L484" s="1" t="s">
        <v>6135</v>
      </c>
    </row>
    <row r="485" spans="1:12">
      <c r="A485" s="3" t="s">
        <v>3356</v>
      </c>
      <c r="C485" s="4" t="s">
        <v>3817</v>
      </c>
      <c r="D485" s="4" t="s">
        <v>7278</v>
      </c>
      <c r="E485" s="4" t="s">
        <v>4905</v>
      </c>
      <c r="F485" s="4" t="s">
        <v>7355</v>
      </c>
      <c r="G485" s="4" t="s">
        <v>5629</v>
      </c>
      <c r="H485" s="5" t="s">
        <v>3356</v>
      </c>
      <c r="I485" s="5" t="s">
        <v>3356</v>
      </c>
      <c r="J485" s="4" t="s">
        <v>3356</v>
      </c>
      <c r="L485" s="1" t="s">
        <v>6135</v>
      </c>
    </row>
    <row r="486" spans="1:12">
      <c r="A486" s="3" t="s">
        <v>3356</v>
      </c>
      <c r="C486" s="4" t="s">
        <v>3817</v>
      </c>
      <c r="D486" s="4" t="s">
        <v>7278</v>
      </c>
      <c r="E486" s="4" t="s">
        <v>4905</v>
      </c>
      <c r="F486" s="4" t="s">
        <v>7355</v>
      </c>
      <c r="G486" s="4" t="s">
        <v>3786</v>
      </c>
      <c r="H486" s="5" t="s">
        <v>3356</v>
      </c>
      <c r="I486" s="5" t="s">
        <v>3356</v>
      </c>
      <c r="J486" s="4" t="s">
        <v>3356</v>
      </c>
      <c r="L486" s="1" t="s">
        <v>6135</v>
      </c>
    </row>
    <row r="487" spans="1:12">
      <c r="A487" s="3" t="s">
        <v>3356</v>
      </c>
      <c r="C487" s="4" t="s">
        <v>3817</v>
      </c>
      <c r="D487" s="4" t="s">
        <v>7278</v>
      </c>
      <c r="E487" s="4" t="s">
        <v>4905</v>
      </c>
      <c r="F487" s="4" t="s">
        <v>7355</v>
      </c>
      <c r="G487" s="4" t="s">
        <v>5333</v>
      </c>
      <c r="H487" s="5" t="s">
        <v>3356</v>
      </c>
      <c r="I487" s="5" t="s">
        <v>3356</v>
      </c>
      <c r="J487" s="4" t="s">
        <v>3356</v>
      </c>
      <c r="L487" s="1" t="s">
        <v>6135</v>
      </c>
    </row>
    <row r="488" spans="1:12">
      <c r="A488" s="3" t="s">
        <v>3356</v>
      </c>
      <c r="C488" s="4" t="s">
        <v>3817</v>
      </c>
      <c r="D488" s="4" t="s">
        <v>7278</v>
      </c>
      <c r="E488" s="4" t="s">
        <v>4905</v>
      </c>
      <c r="F488" s="4" t="s">
        <v>4731</v>
      </c>
      <c r="G488" s="4" t="s">
        <v>7695</v>
      </c>
      <c r="H488" s="5" t="s">
        <v>3356</v>
      </c>
      <c r="I488" s="5" t="s">
        <v>3356</v>
      </c>
      <c r="J488" s="4" t="s">
        <v>3356</v>
      </c>
      <c r="L488" s="1" t="s">
        <v>6135</v>
      </c>
    </row>
    <row r="489" spans="1:12">
      <c r="A489" s="3" t="s">
        <v>3356</v>
      </c>
      <c r="C489" s="4" t="s">
        <v>3817</v>
      </c>
      <c r="D489" s="4" t="s">
        <v>7278</v>
      </c>
      <c r="E489" s="4" t="s">
        <v>4905</v>
      </c>
      <c r="F489" s="4" t="s">
        <v>5786</v>
      </c>
      <c r="G489" s="4" t="s">
        <v>5938</v>
      </c>
      <c r="H489" s="5" t="s">
        <v>3356</v>
      </c>
      <c r="I489" s="5" t="s">
        <v>3356</v>
      </c>
      <c r="J489" s="4" t="s">
        <v>3356</v>
      </c>
      <c r="L489" s="1" t="s">
        <v>6135</v>
      </c>
    </row>
    <row r="490" spans="1:12">
      <c r="A490" s="3" t="s">
        <v>3356</v>
      </c>
      <c r="C490" s="4" t="s">
        <v>3817</v>
      </c>
      <c r="D490" s="4" t="s">
        <v>7278</v>
      </c>
      <c r="E490" s="4" t="s">
        <v>4905</v>
      </c>
      <c r="F490" s="4" t="s">
        <v>4364</v>
      </c>
      <c r="G490" s="4" t="s">
        <v>5939</v>
      </c>
      <c r="H490" s="5" t="s">
        <v>3356</v>
      </c>
      <c r="I490" s="5" t="s">
        <v>3356</v>
      </c>
      <c r="J490" s="4" t="s">
        <v>3356</v>
      </c>
      <c r="L490" s="1" t="s">
        <v>6135</v>
      </c>
    </row>
    <row r="491" spans="1:12">
      <c r="A491" s="3" t="s">
        <v>3356</v>
      </c>
      <c r="C491" s="4" t="s">
        <v>3817</v>
      </c>
      <c r="D491" s="4" t="s">
        <v>7278</v>
      </c>
      <c r="E491" s="4" t="s">
        <v>4905</v>
      </c>
      <c r="F491" s="4" t="s">
        <v>4364</v>
      </c>
      <c r="G491" s="4" t="s">
        <v>5165</v>
      </c>
      <c r="H491" s="5" t="s">
        <v>3356</v>
      </c>
      <c r="I491" s="5" t="s">
        <v>3356</v>
      </c>
      <c r="J491" s="4" t="s">
        <v>3356</v>
      </c>
      <c r="L491" s="1" t="s">
        <v>6135</v>
      </c>
    </row>
    <row r="492" spans="1:12">
      <c r="A492" s="3" t="s">
        <v>3356</v>
      </c>
      <c r="C492" s="4" t="s">
        <v>3817</v>
      </c>
      <c r="D492" s="4" t="s">
        <v>7278</v>
      </c>
      <c r="E492" s="4" t="s">
        <v>4905</v>
      </c>
      <c r="F492" s="4" t="s">
        <v>4364</v>
      </c>
      <c r="G492" s="4" t="s">
        <v>7450</v>
      </c>
      <c r="H492" s="5" t="s">
        <v>3356</v>
      </c>
      <c r="I492" s="5" t="s">
        <v>3356</v>
      </c>
      <c r="J492" s="4" t="s">
        <v>3356</v>
      </c>
      <c r="L492" s="1" t="s">
        <v>6135</v>
      </c>
    </row>
    <row r="493" spans="1:12">
      <c r="A493" s="3" t="s">
        <v>3356</v>
      </c>
      <c r="C493" s="4" t="s">
        <v>3817</v>
      </c>
      <c r="D493" s="4" t="s">
        <v>7278</v>
      </c>
      <c r="E493" s="4" t="s">
        <v>4905</v>
      </c>
      <c r="F493" s="4" t="s">
        <v>4364</v>
      </c>
      <c r="G493" s="4" t="s">
        <v>5166</v>
      </c>
      <c r="H493" s="5" t="s">
        <v>3356</v>
      </c>
      <c r="I493" s="5" t="s">
        <v>3356</v>
      </c>
      <c r="J493" s="4" t="s">
        <v>3356</v>
      </c>
      <c r="L493" s="1" t="s">
        <v>6135</v>
      </c>
    </row>
    <row r="494" spans="1:12">
      <c r="A494" s="3" t="s">
        <v>3356</v>
      </c>
      <c r="C494" s="4" t="s">
        <v>3817</v>
      </c>
      <c r="D494" s="4" t="s">
        <v>7278</v>
      </c>
      <c r="E494" s="4" t="s">
        <v>4905</v>
      </c>
      <c r="F494" s="4" t="s">
        <v>4364</v>
      </c>
      <c r="G494" s="4" t="s">
        <v>3295</v>
      </c>
      <c r="H494" s="5" t="s">
        <v>3356</v>
      </c>
      <c r="I494" s="5" t="s">
        <v>3356</v>
      </c>
      <c r="J494" s="4" t="s">
        <v>3356</v>
      </c>
      <c r="L494" s="1" t="s">
        <v>6135</v>
      </c>
    </row>
    <row r="495" spans="1:12">
      <c r="A495" s="3" t="s">
        <v>3356</v>
      </c>
      <c r="C495" s="4" t="s">
        <v>3817</v>
      </c>
      <c r="D495" s="4" t="s">
        <v>7278</v>
      </c>
      <c r="E495" s="4" t="s">
        <v>4905</v>
      </c>
      <c r="F495" s="4" t="s">
        <v>4364</v>
      </c>
      <c r="G495" s="4" t="s">
        <v>3989</v>
      </c>
      <c r="H495" s="5" t="s">
        <v>3356</v>
      </c>
      <c r="I495" s="5" t="s">
        <v>3356</v>
      </c>
      <c r="J495" s="4" t="s">
        <v>3356</v>
      </c>
      <c r="L495" s="1" t="s">
        <v>6135</v>
      </c>
    </row>
    <row r="496" spans="1:12">
      <c r="A496" s="3" t="s">
        <v>3356</v>
      </c>
      <c r="C496" s="4" t="s">
        <v>3817</v>
      </c>
      <c r="D496" s="4" t="s">
        <v>7278</v>
      </c>
      <c r="E496" s="4" t="s">
        <v>4905</v>
      </c>
      <c r="F496" s="4" t="s">
        <v>4364</v>
      </c>
      <c r="G496" s="4" t="s">
        <v>5942</v>
      </c>
      <c r="H496" s="5" t="s">
        <v>3356</v>
      </c>
      <c r="I496" s="5" t="s">
        <v>3356</v>
      </c>
      <c r="J496" s="4" t="s">
        <v>3356</v>
      </c>
      <c r="L496" s="1" t="s">
        <v>6135</v>
      </c>
    </row>
    <row r="497" spans="1:12">
      <c r="A497" s="3" t="s">
        <v>3356</v>
      </c>
      <c r="C497" s="4" t="s">
        <v>3817</v>
      </c>
      <c r="D497" s="4" t="s">
        <v>7278</v>
      </c>
      <c r="E497" s="4" t="s">
        <v>4905</v>
      </c>
      <c r="F497" s="4" t="s">
        <v>4364</v>
      </c>
      <c r="G497" s="4" t="s">
        <v>5943</v>
      </c>
      <c r="H497" s="5" t="s">
        <v>3356</v>
      </c>
      <c r="I497" s="5" t="s">
        <v>3356</v>
      </c>
      <c r="J497" s="4" t="s">
        <v>3356</v>
      </c>
      <c r="L497" s="1" t="s">
        <v>6135</v>
      </c>
    </row>
    <row r="498" spans="1:12">
      <c r="A498" s="3" t="s">
        <v>3356</v>
      </c>
      <c r="C498" s="4" t="s">
        <v>3817</v>
      </c>
      <c r="D498" s="4" t="s">
        <v>7278</v>
      </c>
      <c r="E498" s="4" t="s">
        <v>4905</v>
      </c>
      <c r="F498" s="4" t="s">
        <v>4364</v>
      </c>
      <c r="G498" s="4" t="s">
        <v>2425</v>
      </c>
      <c r="H498" s="5" t="s">
        <v>3356</v>
      </c>
      <c r="I498" s="5" t="s">
        <v>3356</v>
      </c>
      <c r="J498" s="4" t="s">
        <v>3356</v>
      </c>
      <c r="L498" s="1" t="s">
        <v>6135</v>
      </c>
    </row>
    <row r="499" spans="1:12">
      <c r="A499" s="3" t="s">
        <v>3356</v>
      </c>
      <c r="C499" s="4" t="s">
        <v>3817</v>
      </c>
      <c r="D499" s="4" t="s">
        <v>7278</v>
      </c>
      <c r="E499" s="4" t="s">
        <v>4905</v>
      </c>
      <c r="F499" s="4" t="s">
        <v>4364</v>
      </c>
      <c r="G499" s="4" t="s">
        <v>5266</v>
      </c>
      <c r="H499" s="5" t="s">
        <v>3356</v>
      </c>
      <c r="I499" s="5" t="s">
        <v>3356</v>
      </c>
      <c r="J499" s="4" t="s">
        <v>3356</v>
      </c>
      <c r="L499" s="1" t="s">
        <v>6135</v>
      </c>
    </row>
    <row r="500" spans="1:12">
      <c r="A500" s="3" t="s">
        <v>3356</v>
      </c>
      <c r="C500" s="4" t="s">
        <v>3817</v>
      </c>
      <c r="D500" s="4" t="s">
        <v>7278</v>
      </c>
      <c r="E500" s="4" t="s">
        <v>4905</v>
      </c>
      <c r="F500" s="4" t="s">
        <v>5334</v>
      </c>
      <c r="G500" s="4" t="s">
        <v>2076</v>
      </c>
      <c r="H500" s="5" t="s">
        <v>3356</v>
      </c>
      <c r="I500" s="5" t="s">
        <v>3356</v>
      </c>
      <c r="J500" s="4" t="s">
        <v>3356</v>
      </c>
      <c r="L500" s="1" t="s">
        <v>6135</v>
      </c>
    </row>
    <row r="501" spans="1:12">
      <c r="A501" s="3" t="s">
        <v>3356</v>
      </c>
      <c r="C501" s="4" t="s">
        <v>3817</v>
      </c>
      <c r="D501" s="4" t="s">
        <v>7278</v>
      </c>
      <c r="E501" s="4" t="s">
        <v>4905</v>
      </c>
      <c r="F501" s="4" t="s">
        <v>8145</v>
      </c>
      <c r="G501" s="4" t="s">
        <v>3175</v>
      </c>
      <c r="H501" s="5">
        <v>1.2041199826559248</v>
      </c>
      <c r="I501" s="5">
        <v>16</v>
      </c>
      <c r="J501" s="4" t="s">
        <v>6736</v>
      </c>
      <c r="L501" s="1" t="s">
        <v>6135</v>
      </c>
    </row>
    <row r="502" spans="1:12">
      <c r="A502" s="3" t="s">
        <v>3356</v>
      </c>
      <c r="C502" s="4" t="s">
        <v>3817</v>
      </c>
      <c r="D502" s="4" t="s">
        <v>7278</v>
      </c>
      <c r="E502" s="4" t="s">
        <v>4905</v>
      </c>
      <c r="F502" s="4" t="s">
        <v>8145</v>
      </c>
      <c r="G502" s="4" t="s">
        <v>8146</v>
      </c>
      <c r="H502" s="5">
        <v>1.1760912590556813</v>
      </c>
      <c r="I502" s="5">
        <v>15</v>
      </c>
      <c r="J502" s="4" t="s">
        <v>6736</v>
      </c>
      <c r="L502" s="1" t="s">
        <v>6135</v>
      </c>
    </row>
    <row r="503" spans="1:12">
      <c r="A503" s="3" t="s">
        <v>3356</v>
      </c>
      <c r="C503" s="4" t="s">
        <v>3817</v>
      </c>
      <c r="D503" s="4" t="s">
        <v>7278</v>
      </c>
      <c r="E503" s="4" t="s">
        <v>4905</v>
      </c>
      <c r="F503" s="4" t="s">
        <v>8145</v>
      </c>
      <c r="G503" s="4" t="s">
        <v>5684</v>
      </c>
      <c r="H503" s="5" t="s">
        <v>3356</v>
      </c>
      <c r="I503" s="5" t="s">
        <v>3356</v>
      </c>
      <c r="J503" s="4" t="s">
        <v>3356</v>
      </c>
      <c r="L503" s="1" t="s">
        <v>6135</v>
      </c>
    </row>
    <row r="504" spans="1:12">
      <c r="A504" s="3" t="s">
        <v>3356</v>
      </c>
      <c r="C504" s="4" t="s">
        <v>3817</v>
      </c>
      <c r="D504" s="4" t="s">
        <v>7278</v>
      </c>
      <c r="E504" s="4" t="s">
        <v>4905</v>
      </c>
      <c r="F504" s="4" t="s">
        <v>5394</v>
      </c>
      <c r="G504" s="4" t="s">
        <v>5398</v>
      </c>
      <c r="H504" s="5" t="s">
        <v>3356</v>
      </c>
      <c r="I504" s="5" t="s">
        <v>3356</v>
      </c>
      <c r="J504" s="4" t="s">
        <v>3356</v>
      </c>
      <c r="L504" s="1" t="s">
        <v>6135</v>
      </c>
    </row>
    <row r="505" spans="1:12">
      <c r="A505" s="3" t="s">
        <v>3356</v>
      </c>
      <c r="C505" s="4" t="s">
        <v>3817</v>
      </c>
      <c r="D505" s="4" t="s">
        <v>7278</v>
      </c>
      <c r="E505" s="4" t="s">
        <v>4905</v>
      </c>
      <c r="F505" s="4" t="s">
        <v>5394</v>
      </c>
      <c r="G505" s="4" t="s">
        <v>5399</v>
      </c>
      <c r="H505" s="5" t="s">
        <v>3356</v>
      </c>
      <c r="I505" s="5" t="s">
        <v>3356</v>
      </c>
      <c r="J505" s="4" t="s">
        <v>3356</v>
      </c>
      <c r="L505" s="1" t="s">
        <v>6135</v>
      </c>
    </row>
    <row r="506" spans="1:12">
      <c r="A506" s="3" t="s">
        <v>3356</v>
      </c>
      <c r="C506" s="4" t="s">
        <v>3817</v>
      </c>
      <c r="D506" s="4" t="s">
        <v>7278</v>
      </c>
      <c r="E506" s="4" t="s">
        <v>4905</v>
      </c>
      <c r="F506" s="4" t="s">
        <v>5394</v>
      </c>
      <c r="G506" s="4" t="s">
        <v>5520</v>
      </c>
      <c r="H506" s="5" t="s">
        <v>3356</v>
      </c>
      <c r="I506" s="5" t="s">
        <v>3356</v>
      </c>
      <c r="J506" s="4" t="s">
        <v>3356</v>
      </c>
      <c r="L506" s="1" t="s">
        <v>6135</v>
      </c>
    </row>
    <row r="507" spans="1:12">
      <c r="A507" s="3" t="s">
        <v>3356</v>
      </c>
      <c r="C507" s="4" t="s">
        <v>3817</v>
      </c>
      <c r="D507" s="4" t="s">
        <v>7278</v>
      </c>
      <c r="E507" s="4" t="s">
        <v>4905</v>
      </c>
      <c r="F507" s="4" t="s">
        <v>5533</v>
      </c>
      <c r="G507" s="4" t="s">
        <v>3670</v>
      </c>
      <c r="H507" s="5" t="s">
        <v>3356</v>
      </c>
      <c r="I507" s="5" t="s">
        <v>3356</v>
      </c>
      <c r="J507" s="4" t="s">
        <v>3356</v>
      </c>
      <c r="L507" s="1" t="s">
        <v>6135</v>
      </c>
    </row>
    <row r="508" spans="1:12">
      <c r="A508" s="3" t="s">
        <v>3356</v>
      </c>
      <c r="C508" s="4" t="s">
        <v>3817</v>
      </c>
      <c r="D508" s="4" t="s">
        <v>7278</v>
      </c>
      <c r="E508" s="4" t="s">
        <v>4905</v>
      </c>
      <c r="F508" s="4" t="s">
        <v>7199</v>
      </c>
      <c r="G508" s="4" t="s">
        <v>3092</v>
      </c>
      <c r="H508" s="5">
        <v>0.89209460269048035</v>
      </c>
      <c r="I508" s="5">
        <v>7.8</v>
      </c>
      <c r="J508" s="4" t="s">
        <v>6736</v>
      </c>
      <c r="L508" s="1" t="s">
        <v>6135</v>
      </c>
    </row>
    <row r="509" spans="1:12">
      <c r="A509" s="3" t="s">
        <v>3356</v>
      </c>
      <c r="C509" s="4" t="s">
        <v>3817</v>
      </c>
      <c r="D509" s="4" t="s">
        <v>7278</v>
      </c>
      <c r="E509" s="4" t="s">
        <v>4905</v>
      </c>
      <c r="F509" s="4" t="s">
        <v>7199</v>
      </c>
      <c r="G509" s="4" t="s">
        <v>6026</v>
      </c>
      <c r="H509" s="5">
        <v>1</v>
      </c>
      <c r="I509" s="5">
        <v>10</v>
      </c>
      <c r="J509" s="4" t="s">
        <v>6736</v>
      </c>
      <c r="L509" s="1" t="s">
        <v>6135</v>
      </c>
    </row>
    <row r="510" spans="1:12">
      <c r="A510" s="3" t="s">
        <v>3356</v>
      </c>
      <c r="C510" s="4" t="s">
        <v>3817</v>
      </c>
      <c r="D510" s="4" t="s">
        <v>7278</v>
      </c>
      <c r="E510" s="4" t="s">
        <v>4905</v>
      </c>
      <c r="F510" s="4" t="s">
        <v>7199</v>
      </c>
      <c r="G510" s="4" t="s">
        <v>5721</v>
      </c>
      <c r="H510" s="5" t="s">
        <v>3356</v>
      </c>
      <c r="I510" s="5" t="s">
        <v>3356</v>
      </c>
      <c r="J510" s="4" t="s">
        <v>3356</v>
      </c>
      <c r="L510" s="1" t="s">
        <v>6135</v>
      </c>
    </row>
    <row r="511" spans="1:12">
      <c r="A511" s="3" t="s">
        <v>3356</v>
      </c>
      <c r="C511" s="4" t="s">
        <v>3817</v>
      </c>
      <c r="D511" s="4" t="s">
        <v>7278</v>
      </c>
      <c r="E511" s="4" t="s">
        <v>4905</v>
      </c>
      <c r="F511" s="4" t="s">
        <v>7199</v>
      </c>
      <c r="G511" s="4" t="s">
        <v>1944</v>
      </c>
      <c r="H511" s="5">
        <v>0.92116605063773871</v>
      </c>
      <c r="I511" s="5">
        <v>8.34</v>
      </c>
      <c r="J511" s="4" t="s">
        <v>6736</v>
      </c>
      <c r="L511" s="1" t="s">
        <v>6135</v>
      </c>
    </row>
    <row r="512" spans="1:12">
      <c r="A512" s="3" t="s">
        <v>3356</v>
      </c>
      <c r="C512" s="4" t="s">
        <v>3817</v>
      </c>
      <c r="D512" s="4" t="s">
        <v>7278</v>
      </c>
      <c r="E512" s="4" t="s">
        <v>4905</v>
      </c>
      <c r="F512" s="4" t="s">
        <v>7199</v>
      </c>
      <c r="G512" s="4" t="s">
        <v>5372</v>
      </c>
      <c r="H512" s="5" t="s">
        <v>3356</v>
      </c>
      <c r="I512" s="5" t="s">
        <v>3356</v>
      </c>
      <c r="J512" s="4" t="s">
        <v>3356</v>
      </c>
      <c r="L512" s="1" t="s">
        <v>6135</v>
      </c>
    </row>
    <row r="513" spans="1:12">
      <c r="A513" s="3" t="s">
        <v>3356</v>
      </c>
      <c r="C513" s="4" t="s">
        <v>3817</v>
      </c>
      <c r="D513" s="4" t="s">
        <v>7278</v>
      </c>
      <c r="E513" s="4" t="s">
        <v>4905</v>
      </c>
      <c r="F513" s="4" t="s">
        <v>7199</v>
      </c>
      <c r="G513" s="4" t="s">
        <v>6821</v>
      </c>
      <c r="H513" s="5" t="s">
        <v>3356</v>
      </c>
      <c r="I513" s="5" t="s">
        <v>3356</v>
      </c>
      <c r="J513" s="4" t="s">
        <v>3356</v>
      </c>
      <c r="L513" s="1" t="s">
        <v>6135</v>
      </c>
    </row>
    <row r="514" spans="1:12">
      <c r="A514" s="3" t="s">
        <v>3356</v>
      </c>
      <c r="C514" s="4" t="s">
        <v>3817</v>
      </c>
      <c r="D514" s="4" t="s">
        <v>7278</v>
      </c>
      <c r="E514" s="4" t="s">
        <v>4905</v>
      </c>
      <c r="F514" s="4" t="s">
        <v>7199</v>
      </c>
      <c r="G514" s="4" t="s">
        <v>6824</v>
      </c>
      <c r="H514" s="5" t="s">
        <v>3356</v>
      </c>
      <c r="I514" s="5" t="s">
        <v>3356</v>
      </c>
      <c r="J514" s="4" t="s">
        <v>3356</v>
      </c>
      <c r="L514" s="1" t="s">
        <v>6135</v>
      </c>
    </row>
    <row r="515" spans="1:12">
      <c r="A515" s="3" t="s">
        <v>3356</v>
      </c>
      <c r="C515" s="4" t="s">
        <v>3817</v>
      </c>
      <c r="D515" s="4" t="s">
        <v>7278</v>
      </c>
      <c r="E515" s="4" t="s">
        <v>4905</v>
      </c>
      <c r="F515" s="4" t="s">
        <v>7199</v>
      </c>
      <c r="G515" s="4" t="s">
        <v>8215</v>
      </c>
      <c r="H515" s="5" t="s">
        <v>3356</v>
      </c>
      <c r="I515" s="5" t="s">
        <v>3356</v>
      </c>
      <c r="J515" s="4" t="s">
        <v>3356</v>
      </c>
      <c r="L515" s="1" t="s">
        <v>6135</v>
      </c>
    </row>
    <row r="516" spans="1:12">
      <c r="A516" s="3" t="s">
        <v>3356</v>
      </c>
      <c r="C516" s="4" t="s">
        <v>3817</v>
      </c>
      <c r="D516" s="4" t="s">
        <v>7278</v>
      </c>
      <c r="E516" s="4" t="s">
        <v>4905</v>
      </c>
      <c r="F516" s="4" t="s">
        <v>7199</v>
      </c>
      <c r="G516" s="4" t="s">
        <v>6367</v>
      </c>
      <c r="H516" s="5" t="s">
        <v>3356</v>
      </c>
      <c r="I516" s="5" t="s">
        <v>3356</v>
      </c>
      <c r="J516" s="4" t="s">
        <v>3356</v>
      </c>
      <c r="L516" s="1" t="s">
        <v>6135</v>
      </c>
    </row>
    <row r="517" spans="1:12">
      <c r="A517" s="3" t="s">
        <v>3356</v>
      </c>
      <c r="C517" s="4" t="s">
        <v>3817</v>
      </c>
      <c r="D517" s="4" t="s">
        <v>7278</v>
      </c>
      <c r="E517" s="4" t="s">
        <v>4905</v>
      </c>
      <c r="F517" s="4" t="s">
        <v>7199</v>
      </c>
      <c r="G517" s="4" t="s">
        <v>5660</v>
      </c>
      <c r="H517" s="5">
        <v>0.98227123303956843</v>
      </c>
      <c r="I517" s="5">
        <v>9.6</v>
      </c>
      <c r="J517" s="4" t="s">
        <v>6736</v>
      </c>
      <c r="L517" s="1" t="s">
        <v>6135</v>
      </c>
    </row>
    <row r="518" spans="1:12">
      <c r="A518" s="3" t="s">
        <v>3356</v>
      </c>
      <c r="C518" s="4" t="s">
        <v>3817</v>
      </c>
      <c r="D518" s="4" t="s">
        <v>7278</v>
      </c>
      <c r="E518" s="4" t="s">
        <v>4905</v>
      </c>
      <c r="F518" s="4" t="s">
        <v>7199</v>
      </c>
      <c r="G518" s="4" t="s">
        <v>6539</v>
      </c>
      <c r="H518" s="5" t="s">
        <v>3356</v>
      </c>
      <c r="I518" s="5" t="s">
        <v>3356</v>
      </c>
      <c r="J518" s="4" t="s">
        <v>3356</v>
      </c>
      <c r="L518" s="1" t="s">
        <v>6135</v>
      </c>
    </row>
    <row r="519" spans="1:12">
      <c r="A519" s="3" t="s">
        <v>3356</v>
      </c>
      <c r="C519" s="4" t="s">
        <v>3817</v>
      </c>
      <c r="D519" s="4" t="s">
        <v>7278</v>
      </c>
      <c r="E519" s="4" t="s">
        <v>4905</v>
      </c>
      <c r="F519" s="4" t="s">
        <v>7199</v>
      </c>
      <c r="G519" s="4" t="s">
        <v>6540</v>
      </c>
      <c r="H519" s="5" t="s">
        <v>3356</v>
      </c>
      <c r="I519" s="5" t="s">
        <v>3356</v>
      </c>
      <c r="J519" s="4" t="s">
        <v>3356</v>
      </c>
      <c r="L519" s="1" t="s">
        <v>6135</v>
      </c>
    </row>
    <row r="520" spans="1:12">
      <c r="A520" s="3" t="s">
        <v>3356</v>
      </c>
      <c r="C520" s="4" t="s">
        <v>3817</v>
      </c>
      <c r="D520" s="4" t="s">
        <v>7278</v>
      </c>
      <c r="E520" s="4" t="s">
        <v>4905</v>
      </c>
      <c r="F520" s="4" t="s">
        <v>7199</v>
      </c>
      <c r="G520" s="4" t="s">
        <v>5104</v>
      </c>
      <c r="H520" s="5" t="s">
        <v>3356</v>
      </c>
      <c r="I520" s="5" t="s">
        <v>3356</v>
      </c>
      <c r="J520" s="4" t="s">
        <v>3356</v>
      </c>
      <c r="L520" s="1" t="s">
        <v>6135</v>
      </c>
    </row>
    <row r="521" spans="1:12">
      <c r="A521" s="3" t="s">
        <v>3356</v>
      </c>
      <c r="C521" s="4" t="s">
        <v>3817</v>
      </c>
      <c r="D521" s="4" t="s">
        <v>7278</v>
      </c>
      <c r="E521" s="4" t="s">
        <v>4905</v>
      </c>
      <c r="F521" s="4" t="s">
        <v>7199</v>
      </c>
      <c r="G521" s="4" t="s">
        <v>5105</v>
      </c>
      <c r="H521" s="5" t="s">
        <v>3356</v>
      </c>
      <c r="I521" s="5" t="s">
        <v>3356</v>
      </c>
      <c r="J521" s="4" t="s">
        <v>3356</v>
      </c>
      <c r="L521" s="1" t="s">
        <v>6135</v>
      </c>
    </row>
    <row r="522" spans="1:12">
      <c r="A522" s="3" t="s">
        <v>3356</v>
      </c>
      <c r="C522" s="4" t="s">
        <v>3817</v>
      </c>
      <c r="D522" s="4" t="s">
        <v>7278</v>
      </c>
      <c r="E522" s="4" t="s">
        <v>4905</v>
      </c>
      <c r="F522" s="4" t="s">
        <v>7199</v>
      </c>
      <c r="G522" s="4" t="s">
        <v>6384</v>
      </c>
      <c r="H522" s="5" t="s">
        <v>3356</v>
      </c>
      <c r="I522" s="5" t="s">
        <v>3356</v>
      </c>
      <c r="J522" s="4" t="s">
        <v>3356</v>
      </c>
      <c r="L522" s="1" t="s">
        <v>6135</v>
      </c>
    </row>
    <row r="523" spans="1:12">
      <c r="A523" s="3" t="s">
        <v>3356</v>
      </c>
      <c r="C523" s="4" t="s">
        <v>3817</v>
      </c>
      <c r="D523" s="4" t="s">
        <v>7278</v>
      </c>
      <c r="E523" s="4" t="s">
        <v>4905</v>
      </c>
      <c r="F523" s="4" t="s">
        <v>7199</v>
      </c>
      <c r="G523" s="4" t="s">
        <v>6214</v>
      </c>
      <c r="H523" s="5" t="s">
        <v>3356</v>
      </c>
      <c r="I523" s="5" t="s">
        <v>3356</v>
      </c>
      <c r="J523" s="4" t="s">
        <v>3356</v>
      </c>
      <c r="L523" s="1" t="s">
        <v>6135</v>
      </c>
    </row>
    <row r="524" spans="1:12">
      <c r="A524" s="3" t="s">
        <v>3356</v>
      </c>
      <c r="C524" s="4" t="s">
        <v>3817</v>
      </c>
      <c r="D524" s="4" t="s">
        <v>7278</v>
      </c>
      <c r="E524" s="4" t="s">
        <v>4905</v>
      </c>
      <c r="F524" s="4" t="s">
        <v>7199</v>
      </c>
      <c r="G524" s="4" t="s">
        <v>6073</v>
      </c>
      <c r="H524" s="5" t="s">
        <v>3356</v>
      </c>
      <c r="I524" s="5" t="s">
        <v>3356</v>
      </c>
      <c r="J524" s="4" t="s">
        <v>3356</v>
      </c>
      <c r="L524" s="1" t="s">
        <v>6135</v>
      </c>
    </row>
    <row r="525" spans="1:12">
      <c r="A525" s="3" t="s">
        <v>3356</v>
      </c>
      <c r="C525" s="4" t="s">
        <v>3817</v>
      </c>
      <c r="D525" s="4" t="s">
        <v>7278</v>
      </c>
      <c r="E525" s="4" t="s">
        <v>4905</v>
      </c>
      <c r="F525" s="4" t="s">
        <v>7199</v>
      </c>
      <c r="G525" s="4" t="s">
        <v>5232</v>
      </c>
      <c r="H525" s="5" t="s">
        <v>3356</v>
      </c>
      <c r="I525" s="5" t="s">
        <v>3356</v>
      </c>
      <c r="J525" s="4" t="s">
        <v>3356</v>
      </c>
      <c r="L525" s="1" t="s">
        <v>6135</v>
      </c>
    </row>
    <row r="526" spans="1:12">
      <c r="A526" s="3" t="s">
        <v>3356</v>
      </c>
      <c r="C526" s="4" t="s">
        <v>3817</v>
      </c>
      <c r="D526" s="4" t="s">
        <v>7278</v>
      </c>
      <c r="E526" s="4" t="s">
        <v>4905</v>
      </c>
      <c r="F526" s="4" t="s">
        <v>7199</v>
      </c>
      <c r="G526" s="4" t="s">
        <v>8068</v>
      </c>
      <c r="H526" s="5" t="s">
        <v>3356</v>
      </c>
      <c r="I526" s="5" t="s">
        <v>3356</v>
      </c>
      <c r="J526" s="4" t="s">
        <v>3356</v>
      </c>
      <c r="L526" s="1" t="s">
        <v>6135</v>
      </c>
    </row>
    <row r="527" spans="1:12">
      <c r="A527" s="3" t="s">
        <v>3356</v>
      </c>
      <c r="C527" s="4" t="s">
        <v>3817</v>
      </c>
      <c r="D527" s="4" t="s">
        <v>7278</v>
      </c>
      <c r="E527" s="4" t="s">
        <v>4905</v>
      </c>
      <c r="F527" s="4" t="s">
        <v>7199</v>
      </c>
      <c r="G527" s="4" t="s">
        <v>4056</v>
      </c>
      <c r="H527" s="5" t="s">
        <v>3356</v>
      </c>
      <c r="I527" s="5" t="s">
        <v>3356</v>
      </c>
      <c r="J527" s="4" t="s">
        <v>3356</v>
      </c>
      <c r="L527" s="1" t="s">
        <v>6135</v>
      </c>
    </row>
    <row r="528" spans="1:12">
      <c r="A528" s="3" t="s">
        <v>3356</v>
      </c>
      <c r="C528" s="4" t="s">
        <v>3817</v>
      </c>
      <c r="D528" s="4" t="s">
        <v>7278</v>
      </c>
      <c r="E528" s="4" t="s">
        <v>4905</v>
      </c>
      <c r="F528" s="4" t="s">
        <v>7199</v>
      </c>
      <c r="G528" s="4" t="s">
        <v>8137</v>
      </c>
      <c r="H528" s="5" t="s">
        <v>3356</v>
      </c>
      <c r="I528" s="5" t="s">
        <v>3356</v>
      </c>
      <c r="J528" s="4" t="s">
        <v>3356</v>
      </c>
      <c r="L528" s="1" t="s">
        <v>6135</v>
      </c>
    </row>
    <row r="529" spans="1:12">
      <c r="A529" s="3" t="s">
        <v>3356</v>
      </c>
      <c r="C529" s="4" t="s">
        <v>3817</v>
      </c>
      <c r="D529" s="4" t="s">
        <v>7278</v>
      </c>
      <c r="E529" s="4" t="s">
        <v>4905</v>
      </c>
      <c r="F529" s="4" t="s">
        <v>7199</v>
      </c>
      <c r="G529" s="4" t="s">
        <v>4045</v>
      </c>
      <c r="H529" s="5" t="s">
        <v>3356</v>
      </c>
      <c r="I529" s="5" t="s">
        <v>3356</v>
      </c>
      <c r="J529" s="4" t="s">
        <v>3356</v>
      </c>
      <c r="L529" s="1" t="s">
        <v>6135</v>
      </c>
    </row>
    <row r="530" spans="1:12">
      <c r="A530" s="3" t="s">
        <v>3356</v>
      </c>
      <c r="C530" s="4" t="s">
        <v>3817</v>
      </c>
      <c r="D530" s="4" t="s">
        <v>7278</v>
      </c>
      <c r="E530" s="4" t="s">
        <v>4905</v>
      </c>
      <c r="F530" s="4" t="s">
        <v>7199</v>
      </c>
      <c r="G530" s="4" t="s">
        <v>8069</v>
      </c>
      <c r="H530" s="5" t="s">
        <v>3356</v>
      </c>
      <c r="I530" s="5" t="s">
        <v>3356</v>
      </c>
      <c r="J530" s="4" t="s">
        <v>3356</v>
      </c>
      <c r="L530" s="1" t="s">
        <v>6135</v>
      </c>
    </row>
    <row r="531" spans="1:12">
      <c r="A531" s="3" t="s">
        <v>3356</v>
      </c>
      <c r="C531" s="4" t="s">
        <v>3817</v>
      </c>
      <c r="D531" s="4" t="s">
        <v>7278</v>
      </c>
      <c r="E531" s="4" t="s">
        <v>4905</v>
      </c>
      <c r="F531" s="4" t="s">
        <v>7199</v>
      </c>
      <c r="G531" s="4" t="s">
        <v>3876</v>
      </c>
      <c r="H531" s="5">
        <v>0.65321251377534373</v>
      </c>
      <c r="I531" s="5">
        <v>4.5</v>
      </c>
      <c r="J531" s="4" t="s">
        <v>6736</v>
      </c>
      <c r="L531" s="1" t="s">
        <v>6135</v>
      </c>
    </row>
    <row r="532" spans="1:12">
      <c r="A532" s="3" t="s">
        <v>3356</v>
      </c>
      <c r="C532" s="4" t="s">
        <v>3817</v>
      </c>
      <c r="D532" s="4" t="s">
        <v>7278</v>
      </c>
      <c r="E532" s="4" t="s">
        <v>4905</v>
      </c>
      <c r="F532" s="4" t="s">
        <v>7199</v>
      </c>
      <c r="G532" s="4" t="s">
        <v>8070</v>
      </c>
      <c r="H532" s="5" t="s">
        <v>3356</v>
      </c>
      <c r="I532" s="5" t="s">
        <v>3356</v>
      </c>
      <c r="J532" s="4" t="s">
        <v>3356</v>
      </c>
      <c r="L532" s="1" t="s">
        <v>6135</v>
      </c>
    </row>
    <row r="533" spans="1:12">
      <c r="A533" s="3" t="s">
        <v>3356</v>
      </c>
      <c r="C533" s="4" t="s">
        <v>3817</v>
      </c>
      <c r="D533" s="4" t="s">
        <v>7278</v>
      </c>
      <c r="E533" s="4" t="s">
        <v>4905</v>
      </c>
      <c r="F533" s="4" t="s">
        <v>7199</v>
      </c>
      <c r="G533" s="4" t="s">
        <v>6027</v>
      </c>
      <c r="H533" s="5">
        <v>0.82672252016899206</v>
      </c>
      <c r="I533" s="5">
        <v>6.71</v>
      </c>
      <c r="J533" s="4" t="s">
        <v>6736</v>
      </c>
      <c r="L533" s="1" t="s">
        <v>6135</v>
      </c>
    </row>
    <row r="534" spans="1:12">
      <c r="A534" s="3" t="s">
        <v>3356</v>
      </c>
      <c r="C534" s="4" t="s">
        <v>3817</v>
      </c>
      <c r="D534" s="4" t="s">
        <v>7278</v>
      </c>
      <c r="E534" s="4" t="s">
        <v>4905</v>
      </c>
      <c r="F534" s="4" t="s">
        <v>7199</v>
      </c>
      <c r="G534" s="4" t="s">
        <v>7296</v>
      </c>
      <c r="H534" s="5" t="s">
        <v>3356</v>
      </c>
      <c r="I534" s="5" t="s">
        <v>3356</v>
      </c>
      <c r="J534" s="4" t="s">
        <v>3356</v>
      </c>
      <c r="L534" s="1" t="s">
        <v>6135</v>
      </c>
    </row>
    <row r="535" spans="1:12">
      <c r="A535" s="3" t="s">
        <v>3356</v>
      </c>
      <c r="C535" s="4" t="s">
        <v>3817</v>
      </c>
      <c r="D535" s="4" t="s">
        <v>7278</v>
      </c>
      <c r="E535" s="4" t="s">
        <v>4905</v>
      </c>
      <c r="F535" s="4" t="s">
        <v>7199</v>
      </c>
      <c r="G535" s="4" t="s">
        <v>7714</v>
      </c>
      <c r="H535" s="5" t="s">
        <v>3356</v>
      </c>
      <c r="I535" s="5" t="s">
        <v>3356</v>
      </c>
      <c r="J535" s="4" t="s">
        <v>3356</v>
      </c>
      <c r="L535" s="1" t="s">
        <v>6135</v>
      </c>
    </row>
    <row r="536" spans="1:12">
      <c r="A536" s="3" t="s">
        <v>3356</v>
      </c>
      <c r="C536" s="4" t="s">
        <v>3817</v>
      </c>
      <c r="D536" s="4" t="s">
        <v>7278</v>
      </c>
      <c r="E536" s="4" t="s">
        <v>4905</v>
      </c>
      <c r="F536" s="4" t="s">
        <v>7199</v>
      </c>
      <c r="G536" s="4" t="s">
        <v>3443</v>
      </c>
      <c r="H536" s="5" t="s">
        <v>3356</v>
      </c>
      <c r="I536" s="5" t="s">
        <v>3356</v>
      </c>
      <c r="J536" s="4" t="s">
        <v>3356</v>
      </c>
      <c r="L536" s="1" t="s">
        <v>6135</v>
      </c>
    </row>
    <row r="537" spans="1:12">
      <c r="A537" s="3" t="s">
        <v>3356</v>
      </c>
      <c r="C537" s="4" t="s">
        <v>3817</v>
      </c>
      <c r="D537" s="4" t="s">
        <v>7278</v>
      </c>
      <c r="E537" s="4" t="s">
        <v>4905</v>
      </c>
      <c r="F537" s="4" t="s">
        <v>7199</v>
      </c>
      <c r="G537" s="4" t="s">
        <v>7715</v>
      </c>
      <c r="H537" s="5" t="s">
        <v>3356</v>
      </c>
      <c r="I537" s="5" t="s">
        <v>3356</v>
      </c>
      <c r="J537" s="4" t="s">
        <v>3356</v>
      </c>
      <c r="L537" s="1" t="s">
        <v>6135</v>
      </c>
    </row>
    <row r="538" spans="1:12">
      <c r="A538" s="3" t="s">
        <v>3356</v>
      </c>
      <c r="C538" s="4" t="s">
        <v>3817</v>
      </c>
      <c r="D538" s="4" t="s">
        <v>7278</v>
      </c>
      <c r="E538" s="4" t="s">
        <v>4905</v>
      </c>
      <c r="F538" s="4" t="s">
        <v>7199</v>
      </c>
      <c r="G538" s="4" t="s">
        <v>7716</v>
      </c>
      <c r="H538" s="5" t="s">
        <v>3356</v>
      </c>
      <c r="I538" s="5" t="s">
        <v>3356</v>
      </c>
      <c r="J538" s="4" t="s">
        <v>3356</v>
      </c>
      <c r="L538" s="1" t="s">
        <v>6135</v>
      </c>
    </row>
    <row r="539" spans="1:12">
      <c r="A539" s="3" t="s">
        <v>3356</v>
      </c>
      <c r="C539" s="4" t="s">
        <v>3817</v>
      </c>
      <c r="D539" s="4" t="s">
        <v>7278</v>
      </c>
      <c r="E539" s="4" t="s">
        <v>4905</v>
      </c>
      <c r="F539" s="4" t="s">
        <v>7199</v>
      </c>
      <c r="G539" s="4" t="s">
        <v>7717</v>
      </c>
      <c r="H539" s="5" t="s">
        <v>3356</v>
      </c>
      <c r="I539" s="5" t="s">
        <v>3356</v>
      </c>
      <c r="J539" s="4" t="s">
        <v>3356</v>
      </c>
      <c r="L539" s="1" t="s">
        <v>6135</v>
      </c>
    </row>
    <row r="540" spans="1:12">
      <c r="A540" s="3" t="s">
        <v>3356</v>
      </c>
      <c r="C540" s="4" t="s">
        <v>3817</v>
      </c>
      <c r="D540" s="4" t="s">
        <v>7278</v>
      </c>
      <c r="E540" s="4" t="s">
        <v>4905</v>
      </c>
      <c r="F540" s="4" t="s">
        <v>7199</v>
      </c>
      <c r="G540" s="4" t="s">
        <v>7718</v>
      </c>
      <c r="H540" s="5" t="s">
        <v>3356</v>
      </c>
      <c r="I540" s="5" t="s">
        <v>3356</v>
      </c>
      <c r="J540" s="4" t="s">
        <v>3356</v>
      </c>
      <c r="L540" s="1" t="s">
        <v>6135</v>
      </c>
    </row>
    <row r="541" spans="1:12">
      <c r="A541" s="3" t="s">
        <v>3356</v>
      </c>
      <c r="C541" s="4" t="s">
        <v>3817</v>
      </c>
      <c r="D541" s="4" t="s">
        <v>7278</v>
      </c>
      <c r="E541" s="4" t="s">
        <v>4905</v>
      </c>
      <c r="F541" s="4" t="s">
        <v>7199</v>
      </c>
      <c r="G541" s="4" t="s">
        <v>7719</v>
      </c>
      <c r="H541" s="5" t="s">
        <v>3356</v>
      </c>
      <c r="I541" s="5" t="s">
        <v>3356</v>
      </c>
      <c r="J541" s="4" t="s">
        <v>3356</v>
      </c>
      <c r="L541" s="1" t="s">
        <v>6135</v>
      </c>
    </row>
    <row r="542" spans="1:12">
      <c r="A542" s="3" t="s">
        <v>3356</v>
      </c>
      <c r="C542" s="4" t="s">
        <v>3817</v>
      </c>
      <c r="D542" s="4" t="s">
        <v>7278</v>
      </c>
      <c r="E542" s="4" t="s">
        <v>4905</v>
      </c>
      <c r="F542" s="4" t="s">
        <v>7199</v>
      </c>
      <c r="G542" s="4" t="s">
        <v>6828</v>
      </c>
      <c r="H542" s="5" t="s">
        <v>3356</v>
      </c>
      <c r="I542" s="5" t="s">
        <v>3356</v>
      </c>
      <c r="J542" s="4" t="s">
        <v>3356</v>
      </c>
      <c r="L542" s="1" t="s">
        <v>6135</v>
      </c>
    </row>
    <row r="543" spans="1:12">
      <c r="A543" s="3" t="s">
        <v>3356</v>
      </c>
      <c r="C543" s="4" t="s">
        <v>3817</v>
      </c>
      <c r="D543" s="4" t="s">
        <v>7278</v>
      </c>
      <c r="E543" s="4" t="s">
        <v>4905</v>
      </c>
      <c r="F543" s="4" t="s">
        <v>7199</v>
      </c>
      <c r="G543" s="4" t="s">
        <v>7928</v>
      </c>
      <c r="H543" s="5" t="s">
        <v>3356</v>
      </c>
      <c r="I543" s="5" t="s">
        <v>3356</v>
      </c>
      <c r="J543" s="4" t="s">
        <v>3356</v>
      </c>
      <c r="L543" s="1" t="s">
        <v>6135</v>
      </c>
    </row>
    <row r="544" spans="1:12">
      <c r="A544" s="3" t="s">
        <v>3356</v>
      </c>
      <c r="C544" s="4" t="s">
        <v>3817</v>
      </c>
      <c r="D544" s="4" t="s">
        <v>7278</v>
      </c>
      <c r="E544" s="4" t="s">
        <v>4905</v>
      </c>
      <c r="F544" s="4" t="s">
        <v>7199</v>
      </c>
      <c r="G544" s="4" t="s">
        <v>7975</v>
      </c>
      <c r="H544" s="5" t="s">
        <v>3356</v>
      </c>
      <c r="I544" s="5" t="s">
        <v>3356</v>
      </c>
      <c r="J544" s="4" t="s">
        <v>3356</v>
      </c>
      <c r="L544" s="1" t="s">
        <v>6135</v>
      </c>
    </row>
    <row r="545" spans="1:12">
      <c r="A545" s="3" t="s">
        <v>3356</v>
      </c>
      <c r="C545" s="4" t="s">
        <v>3817</v>
      </c>
      <c r="D545" s="4" t="s">
        <v>7278</v>
      </c>
      <c r="E545" s="4" t="s">
        <v>4905</v>
      </c>
      <c r="F545" s="4" t="s">
        <v>7199</v>
      </c>
      <c r="G545" s="4" t="s">
        <v>6829</v>
      </c>
      <c r="H545" s="5" t="s">
        <v>3356</v>
      </c>
      <c r="I545" s="5" t="s">
        <v>3356</v>
      </c>
      <c r="J545" s="4" t="s">
        <v>3356</v>
      </c>
      <c r="L545" s="1" t="s">
        <v>6135</v>
      </c>
    </row>
    <row r="546" spans="1:12">
      <c r="A546" s="3" t="s">
        <v>3356</v>
      </c>
      <c r="C546" s="4" t="s">
        <v>3817</v>
      </c>
      <c r="D546" s="4" t="s">
        <v>7278</v>
      </c>
      <c r="E546" s="4" t="s">
        <v>4905</v>
      </c>
      <c r="F546" s="4" t="s">
        <v>7199</v>
      </c>
      <c r="G546" s="4" t="s">
        <v>5093</v>
      </c>
      <c r="H546" s="5" t="s">
        <v>3356</v>
      </c>
      <c r="I546" s="5" t="s">
        <v>3356</v>
      </c>
      <c r="J546" s="4" t="s">
        <v>3356</v>
      </c>
      <c r="L546" s="1" t="s">
        <v>6135</v>
      </c>
    </row>
    <row r="547" spans="1:12">
      <c r="A547" s="3" t="s">
        <v>3356</v>
      </c>
      <c r="C547" s="4" t="s">
        <v>3817</v>
      </c>
      <c r="D547" s="4" t="s">
        <v>7278</v>
      </c>
      <c r="E547" s="4" t="s">
        <v>4905</v>
      </c>
      <c r="F547" s="4" t="s">
        <v>7199</v>
      </c>
      <c r="G547" s="4" t="s">
        <v>5498</v>
      </c>
      <c r="H547" s="5" t="s">
        <v>3356</v>
      </c>
      <c r="I547" s="5" t="s">
        <v>3356</v>
      </c>
      <c r="J547" s="4" t="s">
        <v>3356</v>
      </c>
      <c r="L547" s="1" t="s">
        <v>6135</v>
      </c>
    </row>
    <row r="548" spans="1:12">
      <c r="A548" s="3" t="s">
        <v>3356</v>
      </c>
      <c r="C548" s="4" t="s">
        <v>3817</v>
      </c>
      <c r="D548" s="4" t="s">
        <v>7278</v>
      </c>
      <c r="E548" s="4" t="s">
        <v>4905</v>
      </c>
      <c r="F548" s="4" t="s">
        <v>7199</v>
      </c>
      <c r="G548" s="4" t="s">
        <v>5094</v>
      </c>
      <c r="H548" s="5" t="s">
        <v>3356</v>
      </c>
      <c r="I548" s="5" t="s">
        <v>3356</v>
      </c>
      <c r="J548" s="4" t="s">
        <v>3356</v>
      </c>
      <c r="L548" s="1" t="s">
        <v>6135</v>
      </c>
    </row>
    <row r="549" spans="1:12">
      <c r="A549" s="3" t="s">
        <v>3356</v>
      </c>
      <c r="C549" s="4" t="s">
        <v>3817</v>
      </c>
      <c r="D549" s="4" t="s">
        <v>7278</v>
      </c>
      <c r="E549" s="4" t="s">
        <v>4905</v>
      </c>
      <c r="F549" s="4" t="s">
        <v>7720</v>
      </c>
      <c r="G549" s="4" t="s">
        <v>2178</v>
      </c>
      <c r="H549" s="5" t="s">
        <v>3356</v>
      </c>
      <c r="I549" s="5" t="s">
        <v>3356</v>
      </c>
      <c r="J549" s="4" t="s">
        <v>3356</v>
      </c>
      <c r="L549" s="1" t="s">
        <v>6135</v>
      </c>
    </row>
    <row r="550" spans="1:12">
      <c r="A550" s="3" t="s">
        <v>3356</v>
      </c>
      <c r="C550" s="4" t="s">
        <v>3817</v>
      </c>
      <c r="D550" s="4" t="s">
        <v>7278</v>
      </c>
      <c r="E550" s="4" t="s">
        <v>4905</v>
      </c>
      <c r="F550" s="4" t="s">
        <v>7720</v>
      </c>
      <c r="G550" s="4" t="s">
        <v>7721</v>
      </c>
      <c r="H550" s="5" t="s">
        <v>3356</v>
      </c>
      <c r="I550" s="5" t="s">
        <v>3356</v>
      </c>
      <c r="J550" s="4" t="s">
        <v>3356</v>
      </c>
      <c r="L550" s="1" t="s">
        <v>6135</v>
      </c>
    </row>
    <row r="551" spans="1:12">
      <c r="A551" s="3" t="s">
        <v>3356</v>
      </c>
      <c r="C551" s="4" t="s">
        <v>3817</v>
      </c>
      <c r="D551" s="4" t="s">
        <v>7278</v>
      </c>
      <c r="E551" s="4" t="s">
        <v>4905</v>
      </c>
      <c r="F551" s="4" t="s">
        <v>7720</v>
      </c>
      <c r="G551" s="4" t="s">
        <v>7722</v>
      </c>
      <c r="H551" s="5" t="s">
        <v>3356</v>
      </c>
      <c r="I551" s="5" t="s">
        <v>3356</v>
      </c>
      <c r="J551" s="4" t="s">
        <v>3356</v>
      </c>
      <c r="L551" s="1" t="s">
        <v>6135</v>
      </c>
    </row>
    <row r="552" spans="1:12">
      <c r="A552" s="3" t="s">
        <v>3356</v>
      </c>
      <c r="C552" s="4" t="s">
        <v>3817</v>
      </c>
      <c r="D552" s="4" t="s">
        <v>7278</v>
      </c>
      <c r="E552" s="4" t="s">
        <v>4905</v>
      </c>
      <c r="F552" s="4" t="s">
        <v>7720</v>
      </c>
      <c r="G552" s="4" t="s">
        <v>8308</v>
      </c>
      <c r="H552" s="5" t="s">
        <v>3356</v>
      </c>
      <c r="I552" s="5" t="s">
        <v>3356</v>
      </c>
      <c r="J552" s="4" t="s">
        <v>3356</v>
      </c>
      <c r="L552" s="1" t="s">
        <v>6135</v>
      </c>
    </row>
    <row r="553" spans="1:12">
      <c r="A553" s="3" t="s">
        <v>3356</v>
      </c>
      <c r="C553" s="4" t="s">
        <v>3817</v>
      </c>
      <c r="D553" s="4" t="s">
        <v>7278</v>
      </c>
      <c r="E553" s="4" t="s">
        <v>4905</v>
      </c>
      <c r="F553" s="4" t="s">
        <v>7720</v>
      </c>
      <c r="G553" s="4" t="s">
        <v>5098</v>
      </c>
      <c r="H553" s="5" t="s">
        <v>3356</v>
      </c>
      <c r="I553" s="5" t="s">
        <v>3356</v>
      </c>
      <c r="J553" s="4" t="s">
        <v>3356</v>
      </c>
      <c r="L553" s="1" t="s">
        <v>6135</v>
      </c>
    </row>
    <row r="554" spans="1:12">
      <c r="A554" s="3" t="s">
        <v>3356</v>
      </c>
      <c r="C554" s="4" t="s">
        <v>3817</v>
      </c>
      <c r="D554" s="4" t="s">
        <v>7278</v>
      </c>
      <c r="E554" s="4" t="s">
        <v>4905</v>
      </c>
      <c r="F554" s="4" t="s">
        <v>7720</v>
      </c>
      <c r="G554" s="4" t="s">
        <v>3317</v>
      </c>
      <c r="H554" s="5" t="s">
        <v>3356</v>
      </c>
      <c r="I554" s="5" t="s">
        <v>3356</v>
      </c>
      <c r="J554" s="4" t="s">
        <v>3356</v>
      </c>
      <c r="L554" s="1" t="s">
        <v>6135</v>
      </c>
    </row>
    <row r="555" spans="1:12">
      <c r="A555" s="3" t="s">
        <v>3356</v>
      </c>
      <c r="C555" s="4" t="s">
        <v>3817</v>
      </c>
      <c r="D555" s="4" t="s">
        <v>7278</v>
      </c>
      <c r="E555" s="4" t="s">
        <v>4905</v>
      </c>
      <c r="F555" s="4" t="s">
        <v>7720</v>
      </c>
      <c r="G555" s="4" t="s">
        <v>7358</v>
      </c>
      <c r="H555" s="5" t="s">
        <v>3356</v>
      </c>
      <c r="I555" s="5" t="s">
        <v>3356</v>
      </c>
      <c r="J555" s="4" t="s">
        <v>3356</v>
      </c>
      <c r="L555" s="1" t="s">
        <v>6135</v>
      </c>
    </row>
    <row r="556" spans="1:12">
      <c r="A556" s="3" t="s">
        <v>3356</v>
      </c>
      <c r="C556" s="4" t="s">
        <v>3817</v>
      </c>
      <c r="D556" s="4" t="s">
        <v>7278</v>
      </c>
      <c r="E556" s="4" t="s">
        <v>4905</v>
      </c>
      <c r="F556" s="4" t="s">
        <v>7720</v>
      </c>
      <c r="G556" s="4" t="s">
        <v>5335</v>
      </c>
      <c r="H556" s="5" t="s">
        <v>3356</v>
      </c>
      <c r="I556" s="5" t="s">
        <v>3356</v>
      </c>
      <c r="J556" s="4" t="s">
        <v>3356</v>
      </c>
      <c r="L556" s="1" t="s">
        <v>6135</v>
      </c>
    </row>
    <row r="557" spans="1:12">
      <c r="A557" s="3" t="s">
        <v>3356</v>
      </c>
      <c r="C557" s="4" t="s">
        <v>3817</v>
      </c>
      <c r="D557" s="4" t="s">
        <v>7278</v>
      </c>
      <c r="E557" s="4" t="s">
        <v>4905</v>
      </c>
      <c r="F557" s="4" t="s">
        <v>7720</v>
      </c>
      <c r="G557" s="4" t="s">
        <v>5541</v>
      </c>
      <c r="H557" s="5" t="s">
        <v>3356</v>
      </c>
      <c r="I557" s="5" t="s">
        <v>3356</v>
      </c>
      <c r="J557" s="4" t="s">
        <v>3356</v>
      </c>
      <c r="L557" s="1" t="s">
        <v>6135</v>
      </c>
    </row>
    <row r="558" spans="1:12">
      <c r="A558" s="3" t="s">
        <v>3356</v>
      </c>
      <c r="C558" s="4" t="s">
        <v>3817</v>
      </c>
      <c r="D558" s="4" t="s">
        <v>7278</v>
      </c>
      <c r="E558" s="4" t="s">
        <v>4905</v>
      </c>
      <c r="F558" s="4" t="s">
        <v>7720</v>
      </c>
      <c r="G558" s="4" t="s">
        <v>4168</v>
      </c>
      <c r="H558" s="5" t="s">
        <v>3356</v>
      </c>
      <c r="I558" s="5" t="s">
        <v>3356</v>
      </c>
      <c r="J558" s="4" t="s">
        <v>3356</v>
      </c>
      <c r="L558" s="1" t="s">
        <v>6135</v>
      </c>
    </row>
    <row r="559" spans="1:12">
      <c r="A559" s="3" t="s">
        <v>3356</v>
      </c>
      <c r="C559" s="4" t="s">
        <v>3817</v>
      </c>
      <c r="D559" s="4" t="s">
        <v>7278</v>
      </c>
      <c r="E559" s="4" t="s">
        <v>4905</v>
      </c>
      <c r="F559" s="4" t="s">
        <v>7169</v>
      </c>
      <c r="G559" s="4" t="s">
        <v>5946</v>
      </c>
      <c r="H559" s="5" t="s">
        <v>3356</v>
      </c>
      <c r="I559" s="5" t="s">
        <v>3356</v>
      </c>
      <c r="J559" s="4" t="s">
        <v>3356</v>
      </c>
      <c r="L559" s="1" t="s">
        <v>6135</v>
      </c>
    </row>
    <row r="560" spans="1:12">
      <c r="A560" s="3" t="s">
        <v>3356</v>
      </c>
      <c r="C560" s="4" t="s">
        <v>3817</v>
      </c>
      <c r="D560" s="4" t="s">
        <v>7278</v>
      </c>
      <c r="E560" s="4" t="s">
        <v>4905</v>
      </c>
      <c r="F560" s="4" t="s">
        <v>7169</v>
      </c>
      <c r="G560" s="4" t="s">
        <v>4634</v>
      </c>
      <c r="H560" s="5" t="s">
        <v>3356</v>
      </c>
      <c r="I560" s="5" t="s">
        <v>3356</v>
      </c>
      <c r="J560" s="4" t="s">
        <v>3356</v>
      </c>
      <c r="L560" s="1" t="s">
        <v>6135</v>
      </c>
    </row>
    <row r="561" spans="1:12">
      <c r="A561" s="3" t="s">
        <v>3356</v>
      </c>
      <c r="C561" s="4" t="s">
        <v>3817</v>
      </c>
      <c r="D561" s="4" t="s">
        <v>7278</v>
      </c>
      <c r="E561" s="4" t="s">
        <v>4905</v>
      </c>
      <c r="F561" s="4" t="s">
        <v>7169</v>
      </c>
      <c r="G561" s="4" t="s">
        <v>5763</v>
      </c>
      <c r="H561" s="5" t="s">
        <v>3356</v>
      </c>
      <c r="I561" s="5" t="s">
        <v>3356</v>
      </c>
      <c r="J561" s="4" t="s">
        <v>3356</v>
      </c>
      <c r="L561" s="1" t="s">
        <v>6135</v>
      </c>
    </row>
    <row r="562" spans="1:12">
      <c r="A562" s="3" t="s">
        <v>3356</v>
      </c>
      <c r="C562" s="4" t="s">
        <v>3817</v>
      </c>
      <c r="D562" s="4" t="s">
        <v>7278</v>
      </c>
      <c r="E562" s="4" t="s">
        <v>4905</v>
      </c>
      <c r="F562" s="4" t="s">
        <v>7169</v>
      </c>
      <c r="G562" s="4" t="s">
        <v>5637</v>
      </c>
      <c r="H562" s="5" t="s">
        <v>3356</v>
      </c>
      <c r="I562" s="5" t="s">
        <v>3356</v>
      </c>
      <c r="J562" s="4" t="s">
        <v>3356</v>
      </c>
      <c r="L562" s="1" t="s">
        <v>6135</v>
      </c>
    </row>
    <row r="563" spans="1:12">
      <c r="A563" s="3" t="s">
        <v>3356</v>
      </c>
      <c r="C563" s="4" t="s">
        <v>3817</v>
      </c>
      <c r="D563" s="4" t="s">
        <v>7278</v>
      </c>
      <c r="E563" s="4" t="s">
        <v>4905</v>
      </c>
      <c r="F563" s="4" t="s">
        <v>7169</v>
      </c>
      <c r="G563" s="4" t="s">
        <v>8119</v>
      </c>
      <c r="H563" s="5" t="s">
        <v>3356</v>
      </c>
      <c r="I563" s="5" t="s">
        <v>3356</v>
      </c>
      <c r="J563" s="4" t="s">
        <v>3356</v>
      </c>
      <c r="L563" s="1" t="s">
        <v>6135</v>
      </c>
    </row>
    <row r="564" spans="1:12">
      <c r="A564" s="3" t="s">
        <v>3356</v>
      </c>
      <c r="C564" s="4" t="s">
        <v>3817</v>
      </c>
      <c r="D564" s="4" t="s">
        <v>7278</v>
      </c>
      <c r="E564" s="4" t="s">
        <v>4905</v>
      </c>
      <c r="F564" s="4" t="s">
        <v>7169</v>
      </c>
      <c r="G564" s="4" t="s">
        <v>5347</v>
      </c>
      <c r="H564" s="5" t="s">
        <v>3356</v>
      </c>
      <c r="I564" s="5" t="s">
        <v>3356</v>
      </c>
      <c r="J564" s="4" t="s">
        <v>3356</v>
      </c>
      <c r="L564" s="1" t="s">
        <v>6135</v>
      </c>
    </row>
    <row r="565" spans="1:12">
      <c r="A565" s="3" t="s">
        <v>3356</v>
      </c>
      <c r="C565" s="4" t="s">
        <v>3817</v>
      </c>
      <c r="D565" s="4" t="s">
        <v>7278</v>
      </c>
      <c r="E565" s="4" t="s">
        <v>4905</v>
      </c>
      <c r="F565" s="4" t="s">
        <v>7169</v>
      </c>
      <c r="G565" s="4" t="s">
        <v>5764</v>
      </c>
      <c r="H565" s="5" t="s">
        <v>3356</v>
      </c>
      <c r="I565" s="5" t="s">
        <v>3356</v>
      </c>
      <c r="J565" s="4" t="s">
        <v>3356</v>
      </c>
      <c r="L565" s="1" t="s">
        <v>6135</v>
      </c>
    </row>
    <row r="566" spans="1:12">
      <c r="A566" s="3" t="s">
        <v>3356</v>
      </c>
      <c r="C566" s="4" t="s">
        <v>3817</v>
      </c>
      <c r="D566" s="4" t="s">
        <v>7278</v>
      </c>
      <c r="E566" s="4" t="s">
        <v>4905</v>
      </c>
      <c r="F566" s="4" t="s">
        <v>7169</v>
      </c>
      <c r="G566" s="4" t="s">
        <v>3985</v>
      </c>
      <c r="H566" s="5" t="s">
        <v>3356</v>
      </c>
      <c r="I566" s="5" t="s">
        <v>3356</v>
      </c>
      <c r="J566" s="4" t="s">
        <v>3356</v>
      </c>
      <c r="L566" s="1" t="s">
        <v>6135</v>
      </c>
    </row>
    <row r="567" spans="1:12">
      <c r="A567" s="3" t="s">
        <v>3356</v>
      </c>
      <c r="C567" s="4" t="s">
        <v>3817</v>
      </c>
      <c r="D567" s="4" t="s">
        <v>7278</v>
      </c>
      <c r="E567" s="4" t="s">
        <v>4905</v>
      </c>
      <c r="F567" s="4" t="s">
        <v>7169</v>
      </c>
      <c r="G567" s="4" t="s">
        <v>6476</v>
      </c>
      <c r="H567" s="5" t="s">
        <v>3356</v>
      </c>
      <c r="I567" s="5" t="s">
        <v>3356</v>
      </c>
      <c r="J567" s="4" t="s">
        <v>3356</v>
      </c>
      <c r="L567" s="1" t="s">
        <v>6135</v>
      </c>
    </row>
    <row r="568" spans="1:12">
      <c r="A568" s="3" t="s">
        <v>3356</v>
      </c>
      <c r="C568" s="4" t="s">
        <v>3817</v>
      </c>
      <c r="D568" s="4" t="s">
        <v>7278</v>
      </c>
      <c r="E568" s="4" t="s">
        <v>4905</v>
      </c>
      <c r="F568" s="4" t="s">
        <v>7169</v>
      </c>
      <c r="G568" s="4" t="s">
        <v>5171</v>
      </c>
      <c r="H568" s="5" t="s">
        <v>3356</v>
      </c>
      <c r="I568" s="5" t="s">
        <v>3356</v>
      </c>
      <c r="J568" s="4" t="s">
        <v>3356</v>
      </c>
      <c r="L568" s="1" t="s">
        <v>6135</v>
      </c>
    </row>
    <row r="569" spans="1:12">
      <c r="A569" s="3" t="s">
        <v>3356</v>
      </c>
      <c r="C569" s="4" t="s">
        <v>3817</v>
      </c>
      <c r="D569" s="4" t="s">
        <v>7278</v>
      </c>
      <c r="E569" s="4" t="s">
        <v>4905</v>
      </c>
      <c r="F569" s="4" t="s">
        <v>5152</v>
      </c>
      <c r="G569" s="4" t="s">
        <v>5932</v>
      </c>
      <c r="H569" s="5" t="s">
        <v>3356</v>
      </c>
      <c r="I569" s="5" t="s">
        <v>3356</v>
      </c>
      <c r="J569" s="4" t="s">
        <v>3356</v>
      </c>
      <c r="L569" s="1" t="s">
        <v>6135</v>
      </c>
    </row>
    <row r="570" spans="1:12">
      <c r="A570" s="3" t="s">
        <v>3356</v>
      </c>
      <c r="C570" s="4" t="s">
        <v>3817</v>
      </c>
      <c r="D570" s="4" t="s">
        <v>7278</v>
      </c>
      <c r="E570" s="4" t="s">
        <v>4905</v>
      </c>
      <c r="F570" s="4" t="s">
        <v>5152</v>
      </c>
      <c r="G570" s="4" t="s">
        <v>5933</v>
      </c>
      <c r="H570" s="5" t="s">
        <v>3356</v>
      </c>
      <c r="I570" s="5" t="s">
        <v>3356</v>
      </c>
      <c r="J570" s="4" t="s">
        <v>3356</v>
      </c>
      <c r="L570" s="1" t="s">
        <v>6135</v>
      </c>
    </row>
    <row r="571" spans="1:12">
      <c r="A571" s="3" t="s">
        <v>3356</v>
      </c>
      <c r="C571" s="4" t="s">
        <v>3817</v>
      </c>
      <c r="D571" s="4" t="s">
        <v>7278</v>
      </c>
      <c r="E571" s="4" t="s">
        <v>4905</v>
      </c>
      <c r="F571" s="4" t="s">
        <v>7136</v>
      </c>
      <c r="G571" s="4" t="s">
        <v>7281</v>
      </c>
      <c r="H571" s="5" t="s">
        <v>3356</v>
      </c>
      <c r="I571" s="5" t="s">
        <v>3356</v>
      </c>
      <c r="J571" s="4" t="s">
        <v>3356</v>
      </c>
      <c r="L571" s="1" t="s">
        <v>6135</v>
      </c>
    </row>
    <row r="572" spans="1:12">
      <c r="A572" s="3" t="s">
        <v>3356</v>
      </c>
      <c r="C572" s="4" t="s">
        <v>3817</v>
      </c>
      <c r="D572" s="4" t="s">
        <v>7278</v>
      </c>
      <c r="E572" s="4" t="s">
        <v>4905</v>
      </c>
      <c r="F572" s="4" t="s">
        <v>7136</v>
      </c>
      <c r="G572" s="4" t="s">
        <v>5693</v>
      </c>
      <c r="H572" s="5" t="s">
        <v>3356</v>
      </c>
      <c r="I572" s="5" t="s">
        <v>3356</v>
      </c>
      <c r="J572" s="4" t="s">
        <v>3356</v>
      </c>
      <c r="L572" s="1" t="s">
        <v>6135</v>
      </c>
    </row>
    <row r="573" spans="1:12">
      <c r="A573" s="3" t="s">
        <v>3356</v>
      </c>
      <c r="C573" s="4" t="s">
        <v>3817</v>
      </c>
      <c r="D573" s="4" t="s">
        <v>7278</v>
      </c>
      <c r="E573" s="4" t="s">
        <v>4905</v>
      </c>
      <c r="F573" s="4" t="s">
        <v>7136</v>
      </c>
      <c r="G573" s="4" t="s">
        <v>5694</v>
      </c>
      <c r="H573" s="5" t="s">
        <v>3356</v>
      </c>
      <c r="I573" s="5" t="s">
        <v>3356</v>
      </c>
      <c r="J573" s="4" t="s">
        <v>3356</v>
      </c>
      <c r="L573" s="1" t="s">
        <v>6135</v>
      </c>
    </row>
    <row r="574" spans="1:12">
      <c r="A574" s="3" t="s">
        <v>3356</v>
      </c>
      <c r="C574" s="4" t="s">
        <v>3817</v>
      </c>
      <c r="D574" s="4" t="s">
        <v>7278</v>
      </c>
      <c r="E574" s="4" t="s">
        <v>4905</v>
      </c>
      <c r="F574" s="4" t="s">
        <v>7136</v>
      </c>
      <c r="G574" s="4" t="s">
        <v>3718</v>
      </c>
      <c r="H574" s="5" t="s">
        <v>3356</v>
      </c>
      <c r="I574" s="5" t="s">
        <v>3356</v>
      </c>
      <c r="J574" s="4" t="s">
        <v>3356</v>
      </c>
      <c r="L574" s="1" t="s">
        <v>6135</v>
      </c>
    </row>
    <row r="575" spans="1:12">
      <c r="A575" s="3" t="s">
        <v>3356</v>
      </c>
      <c r="C575" s="4" t="s">
        <v>3817</v>
      </c>
      <c r="D575" s="4" t="s">
        <v>7278</v>
      </c>
      <c r="E575" s="4" t="s">
        <v>4905</v>
      </c>
      <c r="F575" s="4" t="s">
        <v>7136</v>
      </c>
      <c r="G575" s="4" t="s">
        <v>3716</v>
      </c>
      <c r="H575" s="5" t="s">
        <v>3356</v>
      </c>
      <c r="I575" s="5" t="s">
        <v>3356</v>
      </c>
      <c r="J575" s="4" t="s">
        <v>3356</v>
      </c>
      <c r="L575" s="1" t="s">
        <v>6135</v>
      </c>
    </row>
    <row r="576" spans="1:12">
      <c r="A576" s="3" t="s">
        <v>3356</v>
      </c>
      <c r="C576" s="4" t="s">
        <v>3817</v>
      </c>
      <c r="D576" s="4" t="s">
        <v>7278</v>
      </c>
      <c r="E576" s="4" t="s">
        <v>4905</v>
      </c>
      <c r="F576" s="4" t="s">
        <v>7136</v>
      </c>
      <c r="G576" s="4" t="s">
        <v>7700</v>
      </c>
      <c r="H576" s="5" t="s">
        <v>3356</v>
      </c>
      <c r="I576" s="5" t="s">
        <v>3356</v>
      </c>
      <c r="J576" s="4" t="s">
        <v>3356</v>
      </c>
      <c r="L576" s="1" t="s">
        <v>6135</v>
      </c>
    </row>
    <row r="577" spans="1:12">
      <c r="A577" s="3" t="s">
        <v>3356</v>
      </c>
      <c r="C577" s="4" t="s">
        <v>3817</v>
      </c>
      <c r="D577" s="4" t="s">
        <v>7278</v>
      </c>
      <c r="E577" s="4" t="s">
        <v>4905</v>
      </c>
      <c r="F577" s="4" t="s">
        <v>7136</v>
      </c>
      <c r="G577" s="4" t="s">
        <v>4973</v>
      </c>
      <c r="H577" s="5" t="s">
        <v>3356</v>
      </c>
      <c r="I577" s="5" t="s">
        <v>3356</v>
      </c>
      <c r="J577" s="4" t="s">
        <v>3356</v>
      </c>
      <c r="L577" s="1" t="s">
        <v>6135</v>
      </c>
    </row>
    <row r="578" spans="1:12">
      <c r="A578" s="3" t="s">
        <v>3356</v>
      </c>
      <c r="C578" s="4" t="s">
        <v>3817</v>
      </c>
      <c r="D578" s="4" t="s">
        <v>7278</v>
      </c>
      <c r="E578" s="4" t="s">
        <v>2180</v>
      </c>
      <c r="F578" s="4" t="s">
        <v>6753</v>
      </c>
      <c r="G578" s="4" t="s">
        <v>6754</v>
      </c>
      <c r="H578" s="5">
        <v>2.5831987739686229</v>
      </c>
      <c r="I578" s="5">
        <v>383</v>
      </c>
      <c r="J578" s="4" t="s">
        <v>6736</v>
      </c>
      <c r="L578" s="1" t="s">
        <v>6135</v>
      </c>
    </row>
    <row r="579" spans="1:12">
      <c r="A579" s="3" t="s">
        <v>3356</v>
      </c>
      <c r="C579" s="4" t="s">
        <v>3817</v>
      </c>
      <c r="D579" s="4" t="s">
        <v>7278</v>
      </c>
      <c r="E579" s="4" t="s">
        <v>2180</v>
      </c>
      <c r="F579" s="4" t="s">
        <v>5544</v>
      </c>
      <c r="G579" s="4" t="s">
        <v>6591</v>
      </c>
      <c r="H579" s="5" t="s">
        <v>3356</v>
      </c>
      <c r="I579" s="5" t="s">
        <v>3356</v>
      </c>
      <c r="J579" s="4" t="s">
        <v>3356</v>
      </c>
      <c r="L579" s="1" t="s">
        <v>6135</v>
      </c>
    </row>
    <row r="580" spans="1:12">
      <c r="A580" s="3" t="s">
        <v>3356</v>
      </c>
      <c r="C580" s="4" t="s">
        <v>3817</v>
      </c>
      <c r="D580" s="4" t="s">
        <v>7278</v>
      </c>
      <c r="E580" s="4" t="s">
        <v>2180</v>
      </c>
      <c r="F580" s="4" t="s">
        <v>5544</v>
      </c>
      <c r="G580" s="4" t="s">
        <v>5183</v>
      </c>
      <c r="H580" s="5" t="s">
        <v>3356</v>
      </c>
      <c r="I580" s="5" t="s">
        <v>3356</v>
      </c>
      <c r="J580" s="4" t="s">
        <v>3356</v>
      </c>
      <c r="L580" s="1" t="s">
        <v>6135</v>
      </c>
    </row>
    <row r="581" spans="1:12">
      <c r="A581" s="3" t="s">
        <v>3356</v>
      </c>
      <c r="C581" s="4" t="s">
        <v>3817</v>
      </c>
      <c r="D581" s="4" t="s">
        <v>7278</v>
      </c>
      <c r="E581" s="4" t="s">
        <v>2180</v>
      </c>
      <c r="F581" s="4" t="s">
        <v>5544</v>
      </c>
      <c r="G581" s="4" t="s">
        <v>2428</v>
      </c>
      <c r="H581" s="5" t="s">
        <v>3356</v>
      </c>
      <c r="I581" s="5" t="s">
        <v>3356</v>
      </c>
      <c r="J581" s="4" t="s">
        <v>3356</v>
      </c>
      <c r="L581" s="1" t="s">
        <v>6135</v>
      </c>
    </row>
    <row r="582" spans="1:12">
      <c r="A582" s="3" t="s">
        <v>3356</v>
      </c>
      <c r="C582" s="4" t="s">
        <v>3817</v>
      </c>
      <c r="D582" s="4" t="s">
        <v>7278</v>
      </c>
      <c r="E582" s="4" t="s">
        <v>2180</v>
      </c>
      <c r="F582" s="4" t="s">
        <v>5544</v>
      </c>
      <c r="G582" s="4" t="s">
        <v>5184</v>
      </c>
      <c r="H582" s="5" t="s">
        <v>3356</v>
      </c>
      <c r="I582" s="5" t="s">
        <v>3356</v>
      </c>
      <c r="J582" s="4" t="s">
        <v>3356</v>
      </c>
      <c r="L582" s="1" t="s">
        <v>6135</v>
      </c>
    </row>
    <row r="583" spans="1:12">
      <c r="A583" s="3" t="s">
        <v>3356</v>
      </c>
      <c r="C583" s="4" t="s">
        <v>3817</v>
      </c>
      <c r="D583" s="4" t="s">
        <v>7278</v>
      </c>
      <c r="E583" s="4" t="s">
        <v>2180</v>
      </c>
      <c r="F583" s="4" t="s">
        <v>5544</v>
      </c>
      <c r="G583" s="4" t="s">
        <v>5361</v>
      </c>
      <c r="H583" s="5" t="s">
        <v>3356</v>
      </c>
      <c r="I583" s="5" t="s">
        <v>3356</v>
      </c>
      <c r="J583" s="4" t="s">
        <v>3356</v>
      </c>
      <c r="L583" s="1" t="s">
        <v>6135</v>
      </c>
    </row>
    <row r="584" spans="1:12">
      <c r="A584" s="3" t="s">
        <v>3356</v>
      </c>
      <c r="C584" s="4" t="s">
        <v>3817</v>
      </c>
      <c r="D584" s="4" t="s">
        <v>7278</v>
      </c>
      <c r="E584" s="4" t="s">
        <v>2180</v>
      </c>
      <c r="F584" s="4" t="s">
        <v>5544</v>
      </c>
      <c r="G584" s="4" t="s">
        <v>2490</v>
      </c>
      <c r="H584" s="5" t="s">
        <v>3356</v>
      </c>
      <c r="I584" s="5" t="s">
        <v>3356</v>
      </c>
      <c r="J584" s="4" t="s">
        <v>3356</v>
      </c>
      <c r="L584" s="1" t="s">
        <v>6135</v>
      </c>
    </row>
    <row r="585" spans="1:12">
      <c r="A585" s="3" t="s">
        <v>3356</v>
      </c>
      <c r="C585" s="4" t="s">
        <v>3817</v>
      </c>
      <c r="D585" s="4" t="s">
        <v>7278</v>
      </c>
      <c r="E585" s="4" t="s">
        <v>2180</v>
      </c>
      <c r="F585" s="4" t="s">
        <v>5542</v>
      </c>
      <c r="G585" s="4" t="s">
        <v>5543</v>
      </c>
      <c r="H585" s="5" t="s">
        <v>3356</v>
      </c>
      <c r="I585" s="5" t="s">
        <v>3356</v>
      </c>
      <c r="J585" s="4" t="s">
        <v>3356</v>
      </c>
      <c r="L585" s="1" t="s">
        <v>6135</v>
      </c>
    </row>
    <row r="586" spans="1:12">
      <c r="A586" s="3" t="s">
        <v>3356</v>
      </c>
      <c r="C586" s="4" t="s">
        <v>3817</v>
      </c>
      <c r="D586" s="4" t="s">
        <v>7278</v>
      </c>
      <c r="E586" s="4" t="s">
        <v>2180</v>
      </c>
      <c r="F586" s="4" t="s">
        <v>5116</v>
      </c>
      <c r="G586" s="4" t="s">
        <v>6576</v>
      </c>
      <c r="H586" s="5" t="s">
        <v>3356</v>
      </c>
      <c r="I586" s="5" t="s">
        <v>3356</v>
      </c>
      <c r="J586" s="4" t="s">
        <v>3356</v>
      </c>
      <c r="L586" s="1" t="s">
        <v>6135</v>
      </c>
    </row>
    <row r="587" spans="1:12">
      <c r="A587" s="3" t="s">
        <v>3356</v>
      </c>
      <c r="C587" s="4" t="s">
        <v>3817</v>
      </c>
      <c r="D587" s="4" t="s">
        <v>7278</v>
      </c>
      <c r="E587" s="4" t="s">
        <v>2180</v>
      </c>
      <c r="F587" s="4" t="s">
        <v>5116</v>
      </c>
      <c r="G587" s="4" t="s">
        <v>8271</v>
      </c>
      <c r="H587" s="5" t="s">
        <v>3356</v>
      </c>
      <c r="I587" s="5" t="s">
        <v>3356</v>
      </c>
      <c r="J587" s="4" t="s">
        <v>3356</v>
      </c>
      <c r="L587" s="1" t="s">
        <v>6135</v>
      </c>
    </row>
    <row r="588" spans="1:12">
      <c r="A588" s="3" t="s">
        <v>3356</v>
      </c>
      <c r="C588" s="4" t="s">
        <v>3817</v>
      </c>
      <c r="D588" s="4" t="s">
        <v>7278</v>
      </c>
      <c r="E588" s="4" t="s">
        <v>2180</v>
      </c>
      <c r="F588" s="4" t="s">
        <v>5116</v>
      </c>
      <c r="G588" s="4" t="s">
        <v>6577</v>
      </c>
      <c r="H588" s="5" t="s">
        <v>3356</v>
      </c>
      <c r="I588" s="5" t="s">
        <v>3356</v>
      </c>
      <c r="J588" s="4" t="s">
        <v>3356</v>
      </c>
      <c r="L588" s="1" t="s">
        <v>6135</v>
      </c>
    </row>
    <row r="589" spans="1:12">
      <c r="A589" s="3" t="s">
        <v>3356</v>
      </c>
      <c r="C589" s="4" t="s">
        <v>3817</v>
      </c>
      <c r="D589" s="4" t="s">
        <v>7278</v>
      </c>
      <c r="E589" s="4" t="s">
        <v>2180</v>
      </c>
      <c r="F589" s="4" t="s">
        <v>5116</v>
      </c>
      <c r="G589" s="4" t="s">
        <v>3078</v>
      </c>
      <c r="H589" s="5" t="s">
        <v>3356</v>
      </c>
      <c r="I589" s="5" t="s">
        <v>3356</v>
      </c>
      <c r="J589" s="4" t="s">
        <v>3356</v>
      </c>
      <c r="L589" s="1" t="s">
        <v>6135</v>
      </c>
    </row>
    <row r="590" spans="1:12">
      <c r="A590" s="3" t="s">
        <v>3356</v>
      </c>
      <c r="C590" s="4" t="s">
        <v>3817</v>
      </c>
      <c r="D590" s="4" t="s">
        <v>7278</v>
      </c>
      <c r="E590" s="4" t="s">
        <v>2180</v>
      </c>
      <c r="F590" s="4" t="s">
        <v>5116</v>
      </c>
      <c r="G590" s="4" t="s">
        <v>4701</v>
      </c>
      <c r="H590" s="5" t="s">
        <v>3356</v>
      </c>
      <c r="I590" s="5" t="s">
        <v>3356</v>
      </c>
      <c r="J590" s="4" t="s">
        <v>3356</v>
      </c>
      <c r="L590" s="1" t="s">
        <v>6135</v>
      </c>
    </row>
    <row r="591" spans="1:12">
      <c r="A591" s="3" t="s">
        <v>3356</v>
      </c>
      <c r="C591" s="4" t="s">
        <v>3817</v>
      </c>
      <c r="D591" s="4" t="s">
        <v>7278</v>
      </c>
      <c r="E591" s="4" t="s">
        <v>2180</v>
      </c>
      <c r="F591" s="4" t="s">
        <v>5116</v>
      </c>
      <c r="G591" s="4" t="s">
        <v>6365</v>
      </c>
      <c r="H591" s="5" t="s">
        <v>3356</v>
      </c>
      <c r="I591" s="5" t="s">
        <v>3356</v>
      </c>
      <c r="J591" s="4" t="s">
        <v>3356</v>
      </c>
      <c r="L591" s="1" t="s">
        <v>6135</v>
      </c>
    </row>
    <row r="592" spans="1:12">
      <c r="A592" s="3" t="s">
        <v>3356</v>
      </c>
      <c r="C592" s="4" t="s">
        <v>3817</v>
      </c>
      <c r="D592" s="4" t="s">
        <v>7278</v>
      </c>
      <c r="E592" s="4" t="s">
        <v>2180</v>
      </c>
      <c r="F592" s="4" t="s">
        <v>5116</v>
      </c>
      <c r="G592" s="4" t="s">
        <v>6366</v>
      </c>
      <c r="H592" s="5" t="s">
        <v>3356</v>
      </c>
      <c r="I592" s="5" t="s">
        <v>3356</v>
      </c>
      <c r="J592" s="4" t="s">
        <v>3356</v>
      </c>
      <c r="L592" s="1" t="s">
        <v>6135</v>
      </c>
    </row>
    <row r="593" spans="1:12">
      <c r="A593" s="3" t="s">
        <v>3356</v>
      </c>
      <c r="C593" s="4" t="s">
        <v>3817</v>
      </c>
      <c r="D593" s="4" t="s">
        <v>7278</v>
      </c>
      <c r="E593" s="4" t="s">
        <v>2180</v>
      </c>
      <c r="F593" s="4" t="s">
        <v>6368</v>
      </c>
      <c r="G593" s="4" t="s">
        <v>5545</v>
      </c>
      <c r="H593" s="5" t="s">
        <v>3356</v>
      </c>
      <c r="I593" s="5" t="s">
        <v>3356</v>
      </c>
      <c r="J593" s="4" t="s">
        <v>3356</v>
      </c>
      <c r="L593" s="1" t="s">
        <v>6135</v>
      </c>
    </row>
    <row r="594" spans="1:12">
      <c r="A594" s="3" t="s">
        <v>3356</v>
      </c>
      <c r="C594" s="4" t="s">
        <v>3817</v>
      </c>
      <c r="D594" s="4" t="s">
        <v>7278</v>
      </c>
      <c r="E594" s="4" t="s">
        <v>2180</v>
      </c>
      <c r="F594" s="4" t="s">
        <v>5546</v>
      </c>
      <c r="G594" s="4" t="s">
        <v>2556</v>
      </c>
      <c r="H594" s="5" t="s">
        <v>3356</v>
      </c>
      <c r="I594" s="5" t="s">
        <v>3356</v>
      </c>
      <c r="J594" s="4" t="s">
        <v>3356</v>
      </c>
      <c r="L594" s="1" t="s">
        <v>6135</v>
      </c>
    </row>
    <row r="595" spans="1:12">
      <c r="A595" s="3" t="s">
        <v>3356</v>
      </c>
      <c r="C595" s="4" t="s">
        <v>3817</v>
      </c>
      <c r="D595" s="4" t="s">
        <v>7278</v>
      </c>
      <c r="E595" s="4" t="s">
        <v>2180</v>
      </c>
      <c r="F595" s="4" t="s">
        <v>5547</v>
      </c>
      <c r="G595" s="4" t="s">
        <v>5548</v>
      </c>
      <c r="H595" s="5" t="s">
        <v>3356</v>
      </c>
      <c r="I595" s="5" t="s">
        <v>3356</v>
      </c>
      <c r="J595" s="4" t="s">
        <v>3356</v>
      </c>
      <c r="L595" s="1" t="s">
        <v>6135</v>
      </c>
    </row>
    <row r="596" spans="1:12">
      <c r="A596" s="3" t="s">
        <v>3356</v>
      </c>
      <c r="C596" s="4" t="s">
        <v>3817</v>
      </c>
      <c r="D596" s="4" t="s">
        <v>7278</v>
      </c>
      <c r="E596" s="4" t="s">
        <v>2180</v>
      </c>
      <c r="F596" s="4" t="s">
        <v>8280</v>
      </c>
      <c r="G596" s="4" t="s">
        <v>7233</v>
      </c>
      <c r="H596" s="5" t="s">
        <v>3356</v>
      </c>
      <c r="I596" s="5" t="s">
        <v>3356</v>
      </c>
      <c r="J596" s="4" t="s">
        <v>3356</v>
      </c>
      <c r="L596" s="1" t="s">
        <v>6135</v>
      </c>
    </row>
    <row r="597" spans="1:12">
      <c r="A597" s="3" t="s">
        <v>3356</v>
      </c>
      <c r="C597" s="4" t="s">
        <v>3817</v>
      </c>
      <c r="D597" s="4" t="s">
        <v>7278</v>
      </c>
      <c r="E597" s="4" t="s">
        <v>2180</v>
      </c>
      <c r="F597" s="4" t="s">
        <v>5790</v>
      </c>
      <c r="G597" s="4" t="s">
        <v>5791</v>
      </c>
      <c r="H597" s="5" t="s">
        <v>3356</v>
      </c>
      <c r="I597" s="5" t="s">
        <v>3356</v>
      </c>
      <c r="J597" s="4" t="s">
        <v>3356</v>
      </c>
      <c r="L597" s="1" t="s">
        <v>6135</v>
      </c>
    </row>
    <row r="598" spans="1:12">
      <c r="A598" s="3" t="s">
        <v>3356</v>
      </c>
      <c r="C598" s="4" t="s">
        <v>3817</v>
      </c>
      <c r="D598" s="4" t="s">
        <v>7278</v>
      </c>
      <c r="E598" s="4" t="s">
        <v>2180</v>
      </c>
      <c r="F598" s="4" t="s">
        <v>5263</v>
      </c>
      <c r="G598" s="4" t="s">
        <v>8222</v>
      </c>
      <c r="H598" s="5" t="s">
        <v>3356</v>
      </c>
      <c r="I598" s="5" t="s">
        <v>3356</v>
      </c>
      <c r="J598" s="4" t="s">
        <v>3356</v>
      </c>
      <c r="L598" s="1" t="s">
        <v>6135</v>
      </c>
    </row>
    <row r="599" spans="1:12">
      <c r="A599" s="3" t="s">
        <v>3356</v>
      </c>
      <c r="C599" s="4" t="s">
        <v>3817</v>
      </c>
      <c r="D599" s="4" t="s">
        <v>7278</v>
      </c>
      <c r="E599" s="4" t="s">
        <v>2180</v>
      </c>
      <c r="F599" s="4" t="s">
        <v>5263</v>
      </c>
      <c r="G599" s="4" t="s">
        <v>5792</v>
      </c>
      <c r="H599" s="5" t="s">
        <v>3356</v>
      </c>
      <c r="I599" s="5" t="s">
        <v>3356</v>
      </c>
      <c r="J599" s="4" t="s">
        <v>3356</v>
      </c>
      <c r="L599" s="1" t="s">
        <v>6135</v>
      </c>
    </row>
    <row r="600" spans="1:12">
      <c r="A600" s="3" t="s">
        <v>3356</v>
      </c>
      <c r="C600" s="4" t="s">
        <v>3817</v>
      </c>
      <c r="D600" s="4" t="s">
        <v>7278</v>
      </c>
      <c r="E600" s="4" t="s">
        <v>2180</v>
      </c>
      <c r="F600" s="4" t="s">
        <v>5263</v>
      </c>
      <c r="G600" s="4" t="s">
        <v>5601</v>
      </c>
      <c r="H600" s="5" t="s">
        <v>3356</v>
      </c>
      <c r="I600" s="5" t="s">
        <v>3356</v>
      </c>
      <c r="J600" s="4" t="s">
        <v>3356</v>
      </c>
      <c r="L600" s="1" t="s">
        <v>6135</v>
      </c>
    </row>
    <row r="601" spans="1:12">
      <c r="A601" s="3" t="s">
        <v>3356</v>
      </c>
      <c r="C601" s="4" t="s">
        <v>3817</v>
      </c>
      <c r="D601" s="4" t="s">
        <v>7278</v>
      </c>
      <c r="E601" s="4" t="s">
        <v>2180</v>
      </c>
      <c r="F601" s="4" t="s">
        <v>5263</v>
      </c>
      <c r="G601" s="4" t="s">
        <v>5264</v>
      </c>
      <c r="H601" s="5">
        <v>1.954242509439325</v>
      </c>
      <c r="I601" s="5">
        <v>90</v>
      </c>
      <c r="J601" s="4" t="s">
        <v>6736</v>
      </c>
      <c r="L601" s="1" t="s">
        <v>6135</v>
      </c>
    </row>
    <row r="602" spans="1:12">
      <c r="A602" s="3" t="s">
        <v>3356</v>
      </c>
      <c r="C602" s="4" t="s">
        <v>3817</v>
      </c>
      <c r="D602" s="4" t="s">
        <v>7278</v>
      </c>
      <c r="E602" s="4" t="s">
        <v>2180</v>
      </c>
      <c r="F602" s="4" t="s">
        <v>5263</v>
      </c>
      <c r="G602" s="4" t="s">
        <v>5793</v>
      </c>
      <c r="H602" s="5" t="s">
        <v>3356</v>
      </c>
      <c r="I602" s="5" t="s">
        <v>3356</v>
      </c>
      <c r="J602" s="4" t="s">
        <v>3356</v>
      </c>
      <c r="L602" s="1" t="s">
        <v>6135</v>
      </c>
    </row>
    <row r="603" spans="1:12">
      <c r="A603" s="3" t="s">
        <v>3356</v>
      </c>
      <c r="C603" s="4" t="s">
        <v>3817</v>
      </c>
      <c r="D603" s="4" t="s">
        <v>7278</v>
      </c>
      <c r="E603" s="4" t="s">
        <v>2180</v>
      </c>
      <c r="F603" s="4" t="s">
        <v>5263</v>
      </c>
      <c r="G603" s="4" t="s">
        <v>4843</v>
      </c>
      <c r="H603" s="5" t="s">
        <v>3356</v>
      </c>
      <c r="I603" s="5" t="s">
        <v>3356</v>
      </c>
      <c r="J603" s="4" t="s">
        <v>3356</v>
      </c>
      <c r="L603" s="1" t="s">
        <v>6135</v>
      </c>
    </row>
    <row r="604" spans="1:12">
      <c r="A604" s="3" t="s">
        <v>3356</v>
      </c>
      <c r="C604" s="4" t="s">
        <v>3817</v>
      </c>
      <c r="D604" s="4" t="s">
        <v>7278</v>
      </c>
      <c r="E604" s="4" t="s">
        <v>2180</v>
      </c>
      <c r="F604" s="4" t="s">
        <v>5263</v>
      </c>
      <c r="G604" s="4" t="s">
        <v>5539</v>
      </c>
      <c r="H604" s="5" t="s">
        <v>3356</v>
      </c>
      <c r="I604" s="5" t="s">
        <v>3356</v>
      </c>
      <c r="J604" s="4" t="s">
        <v>3356</v>
      </c>
      <c r="L604" s="1" t="s">
        <v>6135</v>
      </c>
    </row>
    <row r="605" spans="1:12">
      <c r="A605" s="3" t="s">
        <v>3356</v>
      </c>
      <c r="C605" s="4" t="s">
        <v>3817</v>
      </c>
      <c r="D605" s="4" t="s">
        <v>7278</v>
      </c>
      <c r="E605" s="4" t="s">
        <v>2180</v>
      </c>
      <c r="F605" s="4" t="s">
        <v>5263</v>
      </c>
      <c r="G605" s="4" t="s">
        <v>3702</v>
      </c>
      <c r="H605" s="5" t="s">
        <v>3356</v>
      </c>
      <c r="I605" s="5" t="s">
        <v>3356</v>
      </c>
      <c r="J605" s="4" t="s">
        <v>3356</v>
      </c>
      <c r="L605" s="1" t="s">
        <v>6135</v>
      </c>
    </row>
    <row r="606" spans="1:12">
      <c r="A606" s="3" t="s">
        <v>3356</v>
      </c>
      <c r="C606" s="4" t="s">
        <v>3817</v>
      </c>
      <c r="D606" s="4" t="s">
        <v>7278</v>
      </c>
      <c r="E606" s="4" t="s">
        <v>2180</v>
      </c>
      <c r="F606" s="4" t="s">
        <v>5263</v>
      </c>
      <c r="G606" s="4" t="s">
        <v>8279</v>
      </c>
      <c r="H606" s="5" t="s">
        <v>3356</v>
      </c>
      <c r="I606" s="5" t="s">
        <v>3356</v>
      </c>
      <c r="J606" s="4" t="s">
        <v>3356</v>
      </c>
      <c r="L606" s="1" t="s">
        <v>6135</v>
      </c>
    </row>
    <row r="607" spans="1:12">
      <c r="A607" s="3" t="s">
        <v>3356</v>
      </c>
      <c r="C607" s="4" t="s">
        <v>3817</v>
      </c>
      <c r="D607" s="4" t="s">
        <v>7278</v>
      </c>
      <c r="E607" s="4" t="s">
        <v>2180</v>
      </c>
      <c r="F607" s="4" t="s">
        <v>8233</v>
      </c>
      <c r="G607" s="4" t="s">
        <v>4402</v>
      </c>
      <c r="H607" s="5" t="s">
        <v>3356</v>
      </c>
      <c r="I607" s="5" t="s">
        <v>3356</v>
      </c>
      <c r="J607" s="4" t="s">
        <v>3356</v>
      </c>
      <c r="L607" s="1" t="s">
        <v>6135</v>
      </c>
    </row>
    <row r="608" spans="1:12">
      <c r="A608" s="3" t="s">
        <v>3356</v>
      </c>
      <c r="C608" s="3" t="s">
        <v>3817</v>
      </c>
      <c r="D608" s="3" t="s">
        <v>7278</v>
      </c>
      <c r="E608" s="3" t="s">
        <v>2180</v>
      </c>
      <c r="F608" s="3" t="s">
        <v>8233</v>
      </c>
      <c r="G608" s="3" t="s">
        <v>3786</v>
      </c>
      <c r="H608" s="6" t="s">
        <v>3356</v>
      </c>
      <c r="I608" s="6" t="s">
        <v>3356</v>
      </c>
      <c r="J608" s="3" t="s">
        <v>3356</v>
      </c>
      <c r="L608" s="1" t="s">
        <v>6135</v>
      </c>
    </row>
    <row r="609" spans="1:12">
      <c r="A609" s="3" t="s">
        <v>3356</v>
      </c>
      <c r="C609" s="3" t="s">
        <v>3817</v>
      </c>
      <c r="D609" s="3" t="s">
        <v>7278</v>
      </c>
      <c r="E609" s="3" t="s">
        <v>2180</v>
      </c>
      <c r="F609" s="3" t="s">
        <v>8233</v>
      </c>
      <c r="G609" s="3" t="s">
        <v>8236</v>
      </c>
      <c r="H609" s="6" t="s">
        <v>3356</v>
      </c>
      <c r="I609" s="6" t="s">
        <v>3356</v>
      </c>
      <c r="J609" s="3" t="s">
        <v>3356</v>
      </c>
      <c r="L609" s="1" t="s">
        <v>6135</v>
      </c>
    </row>
    <row r="610" spans="1:12">
      <c r="A610" s="3" t="s">
        <v>3356</v>
      </c>
      <c r="C610" s="3" t="s">
        <v>3817</v>
      </c>
      <c r="D610" s="3" t="s">
        <v>7278</v>
      </c>
      <c r="E610" s="3" t="s">
        <v>2180</v>
      </c>
      <c r="F610" s="3" t="s">
        <v>8233</v>
      </c>
      <c r="G610" s="3" t="s">
        <v>3456</v>
      </c>
      <c r="H610" s="6" t="s">
        <v>3356</v>
      </c>
      <c r="I610" s="6" t="s">
        <v>3356</v>
      </c>
      <c r="J610" s="3" t="s">
        <v>3356</v>
      </c>
      <c r="L610" s="1" t="s">
        <v>6135</v>
      </c>
    </row>
    <row r="611" spans="1:12">
      <c r="A611" s="3" t="s">
        <v>3356</v>
      </c>
      <c r="C611" s="3" t="s">
        <v>3817</v>
      </c>
      <c r="D611" s="3" t="s">
        <v>7278</v>
      </c>
      <c r="E611" s="3" t="s">
        <v>2180</v>
      </c>
      <c r="F611" s="3" t="s">
        <v>8281</v>
      </c>
      <c r="G611" s="3" t="s">
        <v>8232</v>
      </c>
      <c r="H611" s="6" t="s">
        <v>3356</v>
      </c>
      <c r="I611" s="6" t="s">
        <v>3356</v>
      </c>
      <c r="J611" s="3" t="s">
        <v>3356</v>
      </c>
      <c r="L611" s="1" t="s">
        <v>6135</v>
      </c>
    </row>
    <row r="612" spans="1:12">
      <c r="A612" s="3" t="s">
        <v>3356</v>
      </c>
      <c r="C612" s="3" t="s">
        <v>3817</v>
      </c>
      <c r="D612" s="3" t="s">
        <v>7278</v>
      </c>
      <c r="E612" s="3" t="s">
        <v>2180</v>
      </c>
      <c r="F612" s="3" t="s">
        <v>8281</v>
      </c>
      <c r="G612" s="3" t="s">
        <v>4195</v>
      </c>
      <c r="H612" s="6" t="s">
        <v>3356</v>
      </c>
      <c r="I612" s="6" t="s">
        <v>3356</v>
      </c>
      <c r="J612" s="3" t="s">
        <v>3356</v>
      </c>
      <c r="L612" s="1" t="s">
        <v>6135</v>
      </c>
    </row>
    <row r="613" spans="1:12">
      <c r="A613" s="3" t="s">
        <v>3356</v>
      </c>
      <c r="C613" s="3" t="s">
        <v>3817</v>
      </c>
      <c r="D613" s="3" t="s">
        <v>7278</v>
      </c>
      <c r="E613" s="3" t="s">
        <v>7424</v>
      </c>
      <c r="F613" s="3" t="s">
        <v>5467</v>
      </c>
      <c r="G613" s="3" t="s">
        <v>6177</v>
      </c>
      <c r="H613" s="6">
        <v>2.255272505103306</v>
      </c>
      <c r="I613" s="6">
        <v>180</v>
      </c>
      <c r="J613" s="3" t="s">
        <v>6736</v>
      </c>
      <c r="L613" s="1" t="s">
        <v>6135</v>
      </c>
    </row>
    <row r="614" spans="1:12">
      <c r="A614" s="3" t="s">
        <v>3356</v>
      </c>
      <c r="C614" s="3" t="s">
        <v>3817</v>
      </c>
      <c r="D614" s="3" t="s">
        <v>7278</v>
      </c>
      <c r="E614" s="3" t="s">
        <v>7424</v>
      </c>
      <c r="F614" s="3" t="s">
        <v>6502</v>
      </c>
      <c r="G614" s="3" t="s">
        <v>4380</v>
      </c>
      <c r="H614" s="6">
        <v>0.84509804001425681</v>
      </c>
      <c r="I614" s="6">
        <v>7</v>
      </c>
      <c r="J614" s="3" t="s">
        <v>6736</v>
      </c>
      <c r="L614" s="1" t="s">
        <v>6135</v>
      </c>
    </row>
    <row r="615" spans="1:12">
      <c r="A615" s="3" t="s">
        <v>3356</v>
      </c>
      <c r="C615" s="3" t="s">
        <v>3817</v>
      </c>
      <c r="D615" s="3" t="s">
        <v>7278</v>
      </c>
      <c r="E615" s="3" t="s">
        <v>7424</v>
      </c>
      <c r="F615" s="3" t="s">
        <v>6283</v>
      </c>
      <c r="G615" s="3" t="s">
        <v>5087</v>
      </c>
      <c r="H615" s="6">
        <v>2.0492180226701815</v>
      </c>
      <c r="I615" s="6">
        <v>112</v>
      </c>
      <c r="J615" s="3" t="s">
        <v>6736</v>
      </c>
      <c r="L615" s="1" t="s">
        <v>6135</v>
      </c>
    </row>
    <row r="616" spans="1:12">
      <c r="A616" s="3" t="s">
        <v>3356</v>
      </c>
      <c r="C616" s="3" t="s">
        <v>3817</v>
      </c>
      <c r="D616" s="3" t="s">
        <v>7278</v>
      </c>
      <c r="E616" s="3" t="s">
        <v>7424</v>
      </c>
      <c r="F616" s="3" t="s">
        <v>6284</v>
      </c>
      <c r="G616" s="3" t="s">
        <v>6285</v>
      </c>
      <c r="H616" s="6">
        <v>1.9003671286564703</v>
      </c>
      <c r="I616" s="6">
        <v>79.5</v>
      </c>
      <c r="J616" s="3" t="s">
        <v>6736</v>
      </c>
      <c r="L616" s="1" t="s">
        <v>6135</v>
      </c>
    </row>
    <row r="617" spans="1:12">
      <c r="A617" s="3" t="s">
        <v>3356</v>
      </c>
      <c r="C617" s="3" t="s">
        <v>3817</v>
      </c>
      <c r="D617" s="3" t="s">
        <v>7278</v>
      </c>
      <c r="E617" s="3" t="s">
        <v>7424</v>
      </c>
      <c r="F617" s="3" t="s">
        <v>6624</v>
      </c>
      <c r="G617" s="3" t="s">
        <v>4679</v>
      </c>
      <c r="H617" s="6" t="s">
        <v>3356</v>
      </c>
      <c r="I617" s="6" t="s">
        <v>3356</v>
      </c>
      <c r="J617" s="3" t="s">
        <v>3356</v>
      </c>
      <c r="L617" s="1" t="s">
        <v>6135</v>
      </c>
    </row>
    <row r="618" spans="1:12">
      <c r="A618" s="3" t="s">
        <v>3356</v>
      </c>
      <c r="C618" s="3" t="s">
        <v>3817</v>
      </c>
      <c r="D618" s="3" t="s">
        <v>7278</v>
      </c>
      <c r="E618" s="3" t="s">
        <v>7424</v>
      </c>
      <c r="F618" s="3" t="s">
        <v>6624</v>
      </c>
      <c r="G618" s="3" t="s">
        <v>5256</v>
      </c>
      <c r="H618" s="6" t="s">
        <v>3356</v>
      </c>
      <c r="I618" s="6" t="s">
        <v>3356</v>
      </c>
      <c r="J618" s="3" t="s">
        <v>3356</v>
      </c>
      <c r="L618" s="1" t="s">
        <v>6135</v>
      </c>
    </row>
    <row r="619" spans="1:12">
      <c r="A619" s="3" t="s">
        <v>3356</v>
      </c>
      <c r="C619" s="3" t="s">
        <v>3817</v>
      </c>
      <c r="D619" s="3" t="s">
        <v>7278</v>
      </c>
      <c r="E619" s="3" t="s">
        <v>7424</v>
      </c>
      <c r="F619" s="3" t="s">
        <v>6624</v>
      </c>
      <c r="G619" s="3" t="s">
        <v>5248</v>
      </c>
      <c r="H619" s="6">
        <v>1.5910646070264991</v>
      </c>
      <c r="I619" s="6">
        <v>39</v>
      </c>
      <c r="J619" s="3" t="s">
        <v>6736</v>
      </c>
      <c r="L619" s="1" t="s">
        <v>6135</v>
      </c>
    </row>
    <row r="620" spans="1:12">
      <c r="A620" s="3" t="s">
        <v>3356</v>
      </c>
      <c r="C620" s="3" t="s">
        <v>3817</v>
      </c>
      <c r="D620" s="3" t="s">
        <v>7278</v>
      </c>
      <c r="E620" s="3" t="s">
        <v>7424</v>
      </c>
      <c r="F620" s="3" t="s">
        <v>6624</v>
      </c>
      <c r="G620" s="3" t="s">
        <v>4400</v>
      </c>
      <c r="H620" s="6" t="s">
        <v>3356</v>
      </c>
      <c r="I620" s="6" t="s">
        <v>3356</v>
      </c>
      <c r="J620" s="3" t="s">
        <v>3356</v>
      </c>
      <c r="L620" s="1" t="s">
        <v>6135</v>
      </c>
    </row>
    <row r="621" spans="1:12">
      <c r="A621" s="3" t="s">
        <v>3356</v>
      </c>
      <c r="C621" s="3" t="s">
        <v>3817</v>
      </c>
      <c r="D621" s="3" t="s">
        <v>7278</v>
      </c>
      <c r="E621" s="3" t="s">
        <v>7424</v>
      </c>
      <c r="F621" s="3" t="s">
        <v>6624</v>
      </c>
      <c r="G621" s="3" t="s">
        <v>3786</v>
      </c>
      <c r="H621" s="6" t="s">
        <v>3356</v>
      </c>
      <c r="I621" s="6" t="s">
        <v>3356</v>
      </c>
      <c r="J621" s="3" t="s">
        <v>3356</v>
      </c>
      <c r="L621" s="1" t="s">
        <v>6135</v>
      </c>
    </row>
    <row r="622" spans="1:12">
      <c r="A622" s="3" t="s">
        <v>3356</v>
      </c>
      <c r="C622" s="3" t="s">
        <v>3817</v>
      </c>
      <c r="D622" s="3" t="s">
        <v>7278</v>
      </c>
      <c r="E622" s="3" t="s">
        <v>7424</v>
      </c>
      <c r="F622" s="3" t="s">
        <v>6624</v>
      </c>
      <c r="G622" s="3" t="s">
        <v>7486</v>
      </c>
      <c r="H622" s="6" t="s">
        <v>3356</v>
      </c>
      <c r="I622" s="6" t="s">
        <v>3356</v>
      </c>
      <c r="J622" s="3" t="s">
        <v>3356</v>
      </c>
      <c r="L622" s="1" t="s">
        <v>6135</v>
      </c>
    </row>
    <row r="623" spans="1:12">
      <c r="A623" s="3" t="s">
        <v>3356</v>
      </c>
      <c r="C623" s="3" t="s">
        <v>3817</v>
      </c>
      <c r="D623" s="3" t="s">
        <v>7278</v>
      </c>
      <c r="E623" s="3" t="s">
        <v>7424</v>
      </c>
      <c r="F623" s="3" t="s">
        <v>6624</v>
      </c>
      <c r="G623" s="3" t="s">
        <v>7431</v>
      </c>
      <c r="H623" s="6" t="s">
        <v>3356</v>
      </c>
      <c r="I623" s="6" t="s">
        <v>3356</v>
      </c>
      <c r="J623" s="3" t="s">
        <v>3356</v>
      </c>
      <c r="L623" s="1" t="s">
        <v>6135</v>
      </c>
    </row>
    <row r="624" spans="1:12">
      <c r="A624" s="3" t="s">
        <v>3356</v>
      </c>
      <c r="C624" s="3" t="s">
        <v>3817</v>
      </c>
      <c r="D624" s="3" t="s">
        <v>7278</v>
      </c>
      <c r="E624" s="3" t="s">
        <v>7424</v>
      </c>
      <c r="F624" s="3" t="s">
        <v>6624</v>
      </c>
      <c r="G624" s="3" t="s">
        <v>5257</v>
      </c>
      <c r="H624" s="6" t="s">
        <v>3356</v>
      </c>
      <c r="I624" s="6" t="s">
        <v>3356</v>
      </c>
      <c r="J624" s="3" t="s">
        <v>3356</v>
      </c>
      <c r="L624" s="1" t="s">
        <v>6135</v>
      </c>
    </row>
    <row r="625" spans="1:12">
      <c r="A625" s="3" t="s">
        <v>3356</v>
      </c>
      <c r="C625" s="3" t="s">
        <v>3817</v>
      </c>
      <c r="D625" s="3" t="s">
        <v>7278</v>
      </c>
      <c r="E625" s="3" t="s">
        <v>7424</v>
      </c>
      <c r="F625" s="3" t="s">
        <v>6624</v>
      </c>
      <c r="G625" s="3" t="s">
        <v>3549</v>
      </c>
      <c r="H625" s="6" t="s">
        <v>3356</v>
      </c>
      <c r="I625" s="6" t="s">
        <v>3356</v>
      </c>
      <c r="J625" s="3" t="s">
        <v>3356</v>
      </c>
      <c r="L625" s="1" t="s">
        <v>6135</v>
      </c>
    </row>
    <row r="626" spans="1:12">
      <c r="A626" s="3" t="s">
        <v>3356</v>
      </c>
      <c r="C626" s="3" t="s">
        <v>3817</v>
      </c>
      <c r="D626" s="3" t="s">
        <v>7278</v>
      </c>
      <c r="E626" s="3" t="s">
        <v>7424</v>
      </c>
      <c r="F626" s="3" t="s">
        <v>6624</v>
      </c>
      <c r="G626" s="3" t="s">
        <v>7423</v>
      </c>
      <c r="H626" s="6" t="s">
        <v>3356</v>
      </c>
      <c r="I626" s="6" t="s">
        <v>3356</v>
      </c>
      <c r="J626" s="3" t="s">
        <v>3356</v>
      </c>
      <c r="L626" s="1" t="s">
        <v>6135</v>
      </c>
    </row>
    <row r="627" spans="1:12">
      <c r="A627" s="3" t="s">
        <v>3356</v>
      </c>
      <c r="C627" s="3" t="s">
        <v>3817</v>
      </c>
      <c r="D627" s="3" t="s">
        <v>7278</v>
      </c>
      <c r="E627" s="3" t="s">
        <v>7424</v>
      </c>
      <c r="F627" s="3" t="s">
        <v>6624</v>
      </c>
      <c r="G627" s="3" t="s">
        <v>5849</v>
      </c>
      <c r="H627" s="6">
        <v>1.6989700043360187</v>
      </c>
      <c r="I627" s="6">
        <v>50</v>
      </c>
      <c r="J627" s="3" t="s">
        <v>6736</v>
      </c>
      <c r="L627" s="1" t="s">
        <v>6135</v>
      </c>
    </row>
    <row r="628" spans="1:12">
      <c r="A628" s="3" t="s">
        <v>3356</v>
      </c>
      <c r="C628" s="3" t="s">
        <v>3817</v>
      </c>
      <c r="D628" s="3" t="s">
        <v>7278</v>
      </c>
      <c r="E628" s="3" t="s">
        <v>7424</v>
      </c>
      <c r="F628" s="3" t="s">
        <v>6624</v>
      </c>
      <c r="G628" s="3" t="s">
        <v>4852</v>
      </c>
      <c r="H628" s="6" t="s">
        <v>3356</v>
      </c>
      <c r="I628" s="6" t="s">
        <v>3356</v>
      </c>
      <c r="J628" s="3" t="s">
        <v>3356</v>
      </c>
      <c r="L628" s="1" t="s">
        <v>6135</v>
      </c>
    </row>
    <row r="629" spans="1:12">
      <c r="A629" s="3" t="s">
        <v>3356</v>
      </c>
      <c r="C629" s="3" t="s">
        <v>3817</v>
      </c>
      <c r="D629" s="3" t="s">
        <v>7278</v>
      </c>
      <c r="E629" s="3" t="s">
        <v>7424</v>
      </c>
      <c r="F629" s="3" t="s">
        <v>7425</v>
      </c>
      <c r="G629" s="3" t="s">
        <v>4305</v>
      </c>
      <c r="H629" s="6">
        <v>1.842609239610562</v>
      </c>
      <c r="I629" s="6">
        <v>69.599999999999994</v>
      </c>
      <c r="J629" s="3" t="s">
        <v>6736</v>
      </c>
      <c r="L629" s="1" t="s">
        <v>6135</v>
      </c>
    </row>
    <row r="630" spans="1:12">
      <c r="A630" s="3" t="s">
        <v>3356</v>
      </c>
      <c r="C630" s="3" t="s">
        <v>3817</v>
      </c>
      <c r="D630" s="3" t="s">
        <v>7278</v>
      </c>
      <c r="E630" s="3" t="s">
        <v>7424</v>
      </c>
      <c r="F630" s="3" t="s">
        <v>3550</v>
      </c>
      <c r="G630" s="3" t="s">
        <v>3551</v>
      </c>
      <c r="H630" s="6" t="s">
        <v>3356</v>
      </c>
      <c r="I630" s="6" t="s">
        <v>3356</v>
      </c>
      <c r="J630" s="3" t="s">
        <v>3356</v>
      </c>
      <c r="L630" s="1" t="s">
        <v>6135</v>
      </c>
    </row>
    <row r="631" spans="1:12">
      <c r="A631" s="3" t="s">
        <v>3356</v>
      </c>
      <c r="C631" s="3" t="s">
        <v>3817</v>
      </c>
      <c r="D631" s="3" t="s">
        <v>7278</v>
      </c>
      <c r="E631" s="3" t="s">
        <v>7424</v>
      </c>
      <c r="F631" s="3" t="s">
        <v>3550</v>
      </c>
      <c r="G631" s="3" t="s">
        <v>4195</v>
      </c>
      <c r="H631" s="6" t="s">
        <v>3356</v>
      </c>
      <c r="I631" s="6" t="s">
        <v>3356</v>
      </c>
      <c r="J631" s="3" t="s">
        <v>3356</v>
      </c>
      <c r="L631" s="1" t="s">
        <v>6135</v>
      </c>
    </row>
    <row r="632" spans="1:12">
      <c r="A632" s="3" t="s">
        <v>3356</v>
      </c>
      <c r="C632" s="3" t="s">
        <v>3817</v>
      </c>
      <c r="D632" s="3" t="s">
        <v>7278</v>
      </c>
      <c r="E632" s="3" t="s">
        <v>7424</v>
      </c>
      <c r="F632" s="3" t="s">
        <v>3550</v>
      </c>
      <c r="G632" s="3" t="s">
        <v>3804</v>
      </c>
      <c r="H632" s="6" t="s">
        <v>3356</v>
      </c>
      <c r="I632" s="6" t="s">
        <v>3356</v>
      </c>
      <c r="J632" s="3" t="s">
        <v>3356</v>
      </c>
      <c r="L632" s="1" t="s">
        <v>6135</v>
      </c>
    </row>
    <row r="633" spans="1:12">
      <c r="A633" s="3" t="s">
        <v>3356</v>
      </c>
      <c r="C633" s="3" t="s">
        <v>3817</v>
      </c>
      <c r="D633" s="3" t="s">
        <v>7278</v>
      </c>
      <c r="E633" s="3" t="s">
        <v>7424</v>
      </c>
      <c r="F633" s="3" t="s">
        <v>5850</v>
      </c>
      <c r="G633" s="3" t="s">
        <v>4813</v>
      </c>
      <c r="H633" s="6">
        <v>2.3521825181113627</v>
      </c>
      <c r="I633" s="6">
        <v>225</v>
      </c>
      <c r="J633" s="3" t="s">
        <v>6736</v>
      </c>
      <c r="L633" s="1" t="s">
        <v>6135</v>
      </c>
    </row>
    <row r="634" spans="1:12">
      <c r="A634" s="3" t="s">
        <v>3356</v>
      </c>
      <c r="C634" s="3" t="s">
        <v>3817</v>
      </c>
      <c r="D634" s="3" t="s">
        <v>7278</v>
      </c>
      <c r="E634" s="3" t="s">
        <v>7424</v>
      </c>
      <c r="F634" s="3" t="s">
        <v>5851</v>
      </c>
      <c r="G634" s="3" t="s">
        <v>5815</v>
      </c>
      <c r="H634" s="6">
        <v>2.9385197251764921</v>
      </c>
      <c r="I634" s="6">
        <v>868</v>
      </c>
      <c r="J634" s="3" t="s">
        <v>6736</v>
      </c>
      <c r="L634" s="1" t="s">
        <v>6135</v>
      </c>
    </row>
    <row r="635" spans="1:12">
      <c r="A635" s="3" t="s">
        <v>3356</v>
      </c>
      <c r="C635" s="3" t="s">
        <v>3817</v>
      </c>
      <c r="D635" s="3" t="s">
        <v>7345</v>
      </c>
      <c r="E635" s="3" t="s">
        <v>7346</v>
      </c>
      <c r="F635" s="3" t="s">
        <v>5464</v>
      </c>
      <c r="G635" s="3" t="s">
        <v>4174</v>
      </c>
      <c r="H635" s="6" t="s">
        <v>3356</v>
      </c>
      <c r="I635" s="6" t="s">
        <v>3356</v>
      </c>
      <c r="J635" s="3" t="s">
        <v>3356</v>
      </c>
      <c r="L635" s="1" t="s">
        <v>6135</v>
      </c>
    </row>
    <row r="636" spans="1:12">
      <c r="A636" s="3" t="s">
        <v>3356</v>
      </c>
      <c r="C636" s="3" t="s">
        <v>3817</v>
      </c>
      <c r="D636" s="3" t="s">
        <v>7345</v>
      </c>
      <c r="E636" s="3" t="s">
        <v>7346</v>
      </c>
      <c r="F636" s="3" t="s">
        <v>7340</v>
      </c>
      <c r="G636" s="3" t="s">
        <v>2207</v>
      </c>
      <c r="H636" s="6" t="s">
        <v>3356</v>
      </c>
      <c r="I636" s="6" t="s">
        <v>3356</v>
      </c>
      <c r="J636" s="3" t="s">
        <v>3356</v>
      </c>
      <c r="L636" s="1" t="s">
        <v>6135</v>
      </c>
    </row>
    <row r="637" spans="1:12">
      <c r="A637" s="3" t="s">
        <v>3356</v>
      </c>
      <c r="C637" s="3" t="s">
        <v>3817</v>
      </c>
      <c r="D637" s="3" t="s">
        <v>7345</v>
      </c>
      <c r="E637" s="3" t="s">
        <v>7346</v>
      </c>
      <c r="F637" s="3" t="s">
        <v>7340</v>
      </c>
      <c r="G637" s="3" t="s">
        <v>5718</v>
      </c>
      <c r="H637" s="6" t="s">
        <v>3356</v>
      </c>
      <c r="I637" s="6" t="s">
        <v>3356</v>
      </c>
      <c r="J637" s="3" t="s">
        <v>3356</v>
      </c>
      <c r="L637" s="1" t="s">
        <v>6135</v>
      </c>
    </row>
    <row r="638" spans="1:12">
      <c r="A638" s="3" t="s">
        <v>3356</v>
      </c>
      <c r="C638" s="3" t="s">
        <v>3817</v>
      </c>
      <c r="D638" s="3" t="s">
        <v>7345</v>
      </c>
      <c r="E638" s="3" t="s">
        <v>7346</v>
      </c>
      <c r="F638" s="3" t="s">
        <v>7340</v>
      </c>
      <c r="G638" s="3" t="s">
        <v>5719</v>
      </c>
      <c r="H638" s="6" t="s">
        <v>3356</v>
      </c>
      <c r="I638" s="6" t="s">
        <v>3356</v>
      </c>
      <c r="J638" s="3" t="s">
        <v>3356</v>
      </c>
      <c r="L638" s="1" t="s">
        <v>6135</v>
      </c>
    </row>
    <row r="639" spans="1:12">
      <c r="A639" s="3" t="s">
        <v>3356</v>
      </c>
      <c r="C639" s="3" t="s">
        <v>3817</v>
      </c>
      <c r="D639" s="3" t="s">
        <v>7345</v>
      </c>
      <c r="E639" s="3" t="s">
        <v>7346</v>
      </c>
      <c r="F639" s="3" t="s">
        <v>7340</v>
      </c>
      <c r="G639" s="3" t="s">
        <v>5720</v>
      </c>
      <c r="H639" s="6" t="s">
        <v>3356</v>
      </c>
      <c r="I639" s="6" t="s">
        <v>3356</v>
      </c>
      <c r="J639" s="3" t="s">
        <v>3356</v>
      </c>
      <c r="L639" s="1" t="s">
        <v>6135</v>
      </c>
    </row>
    <row r="640" spans="1:12">
      <c r="A640" s="3" t="s">
        <v>3356</v>
      </c>
      <c r="C640" s="3" t="s">
        <v>3817</v>
      </c>
      <c r="D640" s="3" t="s">
        <v>7345</v>
      </c>
      <c r="E640" s="3" t="s">
        <v>7346</v>
      </c>
      <c r="F640" s="3" t="s">
        <v>7340</v>
      </c>
      <c r="G640" s="3" t="s">
        <v>5188</v>
      </c>
      <c r="H640" s="6" t="s">
        <v>3356</v>
      </c>
      <c r="I640" s="6" t="s">
        <v>3356</v>
      </c>
      <c r="J640" s="3" t="s">
        <v>3356</v>
      </c>
      <c r="L640" s="1" t="s">
        <v>6135</v>
      </c>
    </row>
    <row r="641" spans="1:12">
      <c r="A641" s="3" t="s">
        <v>3356</v>
      </c>
      <c r="C641" s="3" t="s">
        <v>3817</v>
      </c>
      <c r="D641" s="3" t="s">
        <v>7345</v>
      </c>
      <c r="E641" s="3" t="s">
        <v>7346</v>
      </c>
      <c r="F641" s="3" t="s">
        <v>7340</v>
      </c>
      <c r="G641" s="3" t="s">
        <v>8140</v>
      </c>
      <c r="H641" s="6">
        <v>3.5797835966168101</v>
      </c>
      <c r="I641" s="6">
        <v>3800</v>
      </c>
      <c r="J641" s="3" t="s">
        <v>6736</v>
      </c>
      <c r="L641" s="1" t="s">
        <v>6135</v>
      </c>
    </row>
    <row r="642" spans="1:12">
      <c r="A642" s="3" t="s">
        <v>3356</v>
      </c>
      <c r="C642" s="3" t="s">
        <v>3817</v>
      </c>
      <c r="D642" s="3" t="s">
        <v>7345</v>
      </c>
      <c r="E642" s="3" t="s">
        <v>7346</v>
      </c>
      <c r="F642" s="3" t="s">
        <v>7340</v>
      </c>
      <c r="G642" s="3" t="s">
        <v>5750</v>
      </c>
      <c r="H642" s="6" t="s">
        <v>3356</v>
      </c>
      <c r="I642" s="6" t="s">
        <v>3356</v>
      </c>
      <c r="J642" s="3" t="s">
        <v>3356</v>
      </c>
      <c r="L642" s="1" t="s">
        <v>6135</v>
      </c>
    </row>
    <row r="643" spans="1:12">
      <c r="A643" s="3" t="s">
        <v>3356</v>
      </c>
      <c r="C643" s="3" t="s">
        <v>3817</v>
      </c>
      <c r="D643" s="3" t="s">
        <v>7345</v>
      </c>
      <c r="E643" s="3" t="s">
        <v>7346</v>
      </c>
      <c r="F643" s="3" t="s">
        <v>7340</v>
      </c>
      <c r="G643" s="3" t="s">
        <v>7990</v>
      </c>
      <c r="H643" s="6" t="s">
        <v>3356</v>
      </c>
      <c r="I643" s="6" t="s">
        <v>3356</v>
      </c>
      <c r="J643" s="3" t="s">
        <v>3356</v>
      </c>
      <c r="L643" s="1" t="s">
        <v>6135</v>
      </c>
    </row>
    <row r="644" spans="1:12">
      <c r="A644" s="3" t="s">
        <v>3356</v>
      </c>
      <c r="C644" s="3" t="s">
        <v>3817</v>
      </c>
      <c r="D644" s="3" t="s">
        <v>7345</v>
      </c>
      <c r="E644" s="3" t="s">
        <v>7346</v>
      </c>
      <c r="F644" s="3" t="s">
        <v>7340</v>
      </c>
      <c r="G644" s="3" t="s">
        <v>5751</v>
      </c>
      <c r="H644" s="6" t="s">
        <v>3356</v>
      </c>
      <c r="I644" s="6" t="s">
        <v>3356</v>
      </c>
      <c r="J644" s="3" t="s">
        <v>3356</v>
      </c>
      <c r="L644" s="1" t="s">
        <v>6135</v>
      </c>
    </row>
    <row r="645" spans="1:12">
      <c r="A645" s="3" t="s">
        <v>3356</v>
      </c>
      <c r="C645" s="3" t="s">
        <v>3817</v>
      </c>
      <c r="D645" s="3" t="s">
        <v>7345</v>
      </c>
      <c r="E645" s="3" t="s">
        <v>7346</v>
      </c>
      <c r="F645" s="3" t="s">
        <v>7340</v>
      </c>
      <c r="G645" s="3" t="s">
        <v>8271</v>
      </c>
      <c r="H645" s="6" t="s">
        <v>3356</v>
      </c>
      <c r="I645" s="6" t="s">
        <v>3356</v>
      </c>
      <c r="J645" s="3" t="s">
        <v>3356</v>
      </c>
      <c r="L645" s="1" t="s">
        <v>6135</v>
      </c>
    </row>
    <row r="646" spans="1:12">
      <c r="A646" s="3" t="s">
        <v>3356</v>
      </c>
      <c r="C646" s="3" t="s">
        <v>3817</v>
      </c>
      <c r="D646" s="3" t="s">
        <v>7345</v>
      </c>
      <c r="E646" s="3" t="s">
        <v>7346</v>
      </c>
      <c r="F646" s="3" t="s">
        <v>7340</v>
      </c>
      <c r="G646" s="3" t="s">
        <v>5752</v>
      </c>
      <c r="H646" s="6" t="s">
        <v>3356</v>
      </c>
      <c r="I646" s="6" t="s">
        <v>3356</v>
      </c>
      <c r="J646" s="3" t="s">
        <v>3356</v>
      </c>
      <c r="L646" s="1" t="s">
        <v>6135</v>
      </c>
    </row>
    <row r="647" spans="1:12">
      <c r="A647" s="3" t="s">
        <v>3356</v>
      </c>
      <c r="C647" s="3" t="s">
        <v>3817</v>
      </c>
      <c r="D647" s="3" t="s">
        <v>7345</v>
      </c>
      <c r="E647" s="3" t="s">
        <v>7346</v>
      </c>
      <c r="F647" s="3" t="s">
        <v>7340</v>
      </c>
      <c r="G647" s="3" t="s">
        <v>5753</v>
      </c>
      <c r="H647" s="6" t="s">
        <v>3356</v>
      </c>
      <c r="I647" s="6" t="s">
        <v>3356</v>
      </c>
      <c r="J647" s="3" t="s">
        <v>3356</v>
      </c>
      <c r="L647" s="1" t="s">
        <v>6135</v>
      </c>
    </row>
    <row r="648" spans="1:12">
      <c r="A648" s="3" t="s">
        <v>3356</v>
      </c>
      <c r="C648" s="3" t="s">
        <v>3817</v>
      </c>
      <c r="D648" s="3" t="s">
        <v>7345</v>
      </c>
      <c r="E648" s="3" t="s">
        <v>7346</v>
      </c>
      <c r="F648" s="3" t="s">
        <v>7340</v>
      </c>
      <c r="G648" s="3" t="s">
        <v>5754</v>
      </c>
      <c r="H648" s="6" t="s">
        <v>3356</v>
      </c>
      <c r="I648" s="6" t="s">
        <v>3356</v>
      </c>
      <c r="J648" s="3" t="s">
        <v>3356</v>
      </c>
      <c r="L648" s="1" t="s">
        <v>6135</v>
      </c>
    </row>
    <row r="649" spans="1:12">
      <c r="A649" s="3" t="s">
        <v>3356</v>
      </c>
      <c r="C649" s="3" t="s">
        <v>3817</v>
      </c>
      <c r="D649" s="3" t="s">
        <v>7345</v>
      </c>
      <c r="E649" s="3" t="s">
        <v>7346</v>
      </c>
      <c r="F649" s="3" t="s">
        <v>7340</v>
      </c>
      <c r="G649" s="3" t="s">
        <v>4967</v>
      </c>
      <c r="H649" s="6" t="s">
        <v>3356</v>
      </c>
      <c r="I649" s="6" t="s">
        <v>3356</v>
      </c>
      <c r="J649" s="3" t="s">
        <v>3356</v>
      </c>
      <c r="L649" s="1" t="s">
        <v>6135</v>
      </c>
    </row>
    <row r="650" spans="1:12">
      <c r="A650" s="3" t="s">
        <v>3356</v>
      </c>
      <c r="C650" s="3" t="s">
        <v>3817</v>
      </c>
      <c r="D650" s="3" t="s">
        <v>7345</v>
      </c>
      <c r="E650" s="3" t="s">
        <v>7346</v>
      </c>
      <c r="F650" s="3" t="s">
        <v>7340</v>
      </c>
      <c r="G650" s="3" t="s">
        <v>5755</v>
      </c>
      <c r="H650" s="6" t="s">
        <v>3356</v>
      </c>
      <c r="I650" s="6" t="s">
        <v>3356</v>
      </c>
      <c r="J650" s="3" t="s">
        <v>3356</v>
      </c>
      <c r="L650" s="1" t="s">
        <v>6135</v>
      </c>
    </row>
    <row r="651" spans="1:12">
      <c r="A651" s="3" t="s">
        <v>3356</v>
      </c>
      <c r="C651" s="3" t="s">
        <v>3817</v>
      </c>
      <c r="D651" s="3" t="s">
        <v>7345</v>
      </c>
      <c r="E651" s="3" t="s">
        <v>7346</v>
      </c>
      <c r="F651" s="3" t="s">
        <v>7340</v>
      </c>
      <c r="G651" s="3" t="s">
        <v>5816</v>
      </c>
      <c r="H651" s="6">
        <v>3.3979400086720375</v>
      </c>
      <c r="I651" s="6">
        <v>2500</v>
      </c>
      <c r="J651" s="3" t="s">
        <v>6736</v>
      </c>
      <c r="L651" s="1" t="s">
        <v>6135</v>
      </c>
    </row>
    <row r="652" spans="1:12">
      <c r="A652" s="3" t="s">
        <v>3356</v>
      </c>
      <c r="C652" s="3" t="s">
        <v>3817</v>
      </c>
      <c r="D652" s="3" t="s">
        <v>7345</v>
      </c>
      <c r="E652" s="3" t="s">
        <v>7346</v>
      </c>
      <c r="F652" s="3" t="s">
        <v>7340</v>
      </c>
      <c r="G652" s="3" t="s">
        <v>5756</v>
      </c>
      <c r="H652" s="6" t="s">
        <v>3356</v>
      </c>
      <c r="I652" s="6" t="s">
        <v>3356</v>
      </c>
      <c r="J652" s="3" t="s">
        <v>3356</v>
      </c>
      <c r="L652" s="1" t="s">
        <v>6135</v>
      </c>
    </row>
    <row r="653" spans="1:12">
      <c r="A653" s="3" t="s">
        <v>3356</v>
      </c>
      <c r="C653" s="3" t="s">
        <v>3817</v>
      </c>
      <c r="D653" s="3" t="s">
        <v>7345</v>
      </c>
      <c r="E653" s="3" t="s">
        <v>7346</v>
      </c>
      <c r="F653" s="3" t="s">
        <v>7340</v>
      </c>
      <c r="G653" s="3" t="s">
        <v>4918</v>
      </c>
      <c r="H653" s="6" t="s">
        <v>3356</v>
      </c>
      <c r="I653" s="6" t="s">
        <v>3356</v>
      </c>
      <c r="J653" s="3" t="s">
        <v>3356</v>
      </c>
      <c r="L653" s="1" t="s">
        <v>6135</v>
      </c>
    </row>
    <row r="654" spans="1:12">
      <c r="A654" s="3" t="s">
        <v>3356</v>
      </c>
      <c r="C654" s="3" t="s">
        <v>3817</v>
      </c>
      <c r="D654" s="3" t="s">
        <v>7345</v>
      </c>
      <c r="E654" s="3" t="s">
        <v>7346</v>
      </c>
      <c r="F654" s="3" t="s">
        <v>7340</v>
      </c>
      <c r="G654" s="3" t="s">
        <v>8313</v>
      </c>
      <c r="H654" s="6" t="s">
        <v>3356</v>
      </c>
      <c r="I654" s="6" t="s">
        <v>3356</v>
      </c>
      <c r="J654" s="3" t="s">
        <v>3356</v>
      </c>
      <c r="L654" s="1" t="s">
        <v>6135</v>
      </c>
    </row>
    <row r="655" spans="1:12">
      <c r="A655" s="3" t="s">
        <v>3356</v>
      </c>
      <c r="C655" s="3" t="s">
        <v>3817</v>
      </c>
      <c r="D655" s="3" t="s">
        <v>7345</v>
      </c>
      <c r="E655" s="3" t="s">
        <v>7346</v>
      </c>
      <c r="F655" s="3" t="s">
        <v>4974</v>
      </c>
      <c r="G655" s="3" t="s">
        <v>4975</v>
      </c>
      <c r="H655" s="6" t="s">
        <v>3356</v>
      </c>
      <c r="I655" s="6" t="s">
        <v>3356</v>
      </c>
      <c r="J655" s="3" t="s">
        <v>3356</v>
      </c>
      <c r="L655" s="1" t="s">
        <v>6135</v>
      </c>
    </row>
    <row r="656" spans="1:12">
      <c r="A656" s="3" t="s">
        <v>3356</v>
      </c>
      <c r="C656" s="3" t="s">
        <v>3817</v>
      </c>
      <c r="D656" s="3" t="s">
        <v>7345</v>
      </c>
      <c r="E656" s="3" t="s">
        <v>7346</v>
      </c>
      <c r="F656" s="3" t="s">
        <v>4976</v>
      </c>
      <c r="G656" s="3" t="s">
        <v>5940</v>
      </c>
      <c r="H656" s="6" t="s">
        <v>3356</v>
      </c>
      <c r="I656" s="6" t="s">
        <v>3356</v>
      </c>
      <c r="J656" s="3" t="s">
        <v>3356</v>
      </c>
      <c r="L656" s="1" t="s">
        <v>6135</v>
      </c>
    </row>
    <row r="657" spans="1:12">
      <c r="A657" s="3" t="s">
        <v>3356</v>
      </c>
      <c r="C657" s="3" t="s">
        <v>3817</v>
      </c>
      <c r="D657" s="3" t="s">
        <v>7345</v>
      </c>
      <c r="E657" s="3" t="s">
        <v>7346</v>
      </c>
      <c r="F657" s="3" t="s">
        <v>2089</v>
      </c>
      <c r="G657" s="3" t="s">
        <v>5179</v>
      </c>
      <c r="H657" s="6" t="s">
        <v>3356</v>
      </c>
      <c r="I657" s="6" t="s">
        <v>3356</v>
      </c>
      <c r="J657" s="3" t="s">
        <v>3356</v>
      </c>
      <c r="L657" s="1" t="s">
        <v>6135</v>
      </c>
    </row>
    <row r="658" spans="1:12">
      <c r="A658" s="3" t="s">
        <v>3356</v>
      </c>
      <c r="C658" s="3" t="s">
        <v>3817</v>
      </c>
      <c r="D658" s="3" t="s">
        <v>7345</v>
      </c>
      <c r="E658" s="3" t="s">
        <v>7346</v>
      </c>
      <c r="F658" s="3" t="s">
        <v>2089</v>
      </c>
      <c r="G658" s="3" t="s">
        <v>5180</v>
      </c>
      <c r="H658" s="6" t="s">
        <v>3356</v>
      </c>
      <c r="I658" s="6" t="s">
        <v>3356</v>
      </c>
      <c r="J658" s="3" t="s">
        <v>3356</v>
      </c>
      <c r="L658" s="1" t="s">
        <v>6135</v>
      </c>
    </row>
    <row r="659" spans="1:12">
      <c r="A659" s="3" t="s">
        <v>3356</v>
      </c>
      <c r="C659" s="3" t="s">
        <v>3817</v>
      </c>
      <c r="D659" s="3" t="s">
        <v>7345</v>
      </c>
      <c r="E659" s="3" t="s">
        <v>7542</v>
      </c>
      <c r="F659" s="3" t="s">
        <v>4239</v>
      </c>
      <c r="G659" s="3" t="s">
        <v>7757</v>
      </c>
      <c r="H659" s="6" t="s">
        <v>3356</v>
      </c>
      <c r="I659" s="6" t="s">
        <v>3356</v>
      </c>
      <c r="J659" s="3" t="s">
        <v>3356</v>
      </c>
      <c r="L659" s="1" t="s">
        <v>6135</v>
      </c>
    </row>
    <row r="660" spans="1:12">
      <c r="A660" s="3" t="s">
        <v>3356</v>
      </c>
      <c r="C660" s="3" t="s">
        <v>3817</v>
      </c>
      <c r="D660" s="3" t="s">
        <v>7345</v>
      </c>
      <c r="E660" s="3" t="s">
        <v>7542</v>
      </c>
      <c r="F660" s="3" t="s">
        <v>4239</v>
      </c>
      <c r="G660" s="3" t="s">
        <v>7758</v>
      </c>
      <c r="H660" s="6" t="s">
        <v>3356</v>
      </c>
      <c r="I660" s="6" t="s">
        <v>3356</v>
      </c>
      <c r="J660" s="3" t="s">
        <v>3356</v>
      </c>
      <c r="L660" s="1" t="s">
        <v>6135</v>
      </c>
    </row>
    <row r="661" spans="1:12">
      <c r="A661" s="3" t="s">
        <v>3356</v>
      </c>
      <c r="C661" s="3" t="s">
        <v>3817</v>
      </c>
      <c r="D661" s="3" t="s">
        <v>7345</v>
      </c>
      <c r="E661" s="3" t="s">
        <v>7542</v>
      </c>
      <c r="F661" s="3" t="s">
        <v>4239</v>
      </c>
      <c r="G661" s="3" t="s">
        <v>7761</v>
      </c>
      <c r="H661" s="6" t="s">
        <v>3356</v>
      </c>
      <c r="I661" s="6" t="s">
        <v>3356</v>
      </c>
      <c r="J661" s="3" t="s">
        <v>3356</v>
      </c>
      <c r="L661" s="1" t="s">
        <v>6135</v>
      </c>
    </row>
    <row r="662" spans="1:12">
      <c r="A662" s="3" t="s">
        <v>3356</v>
      </c>
      <c r="C662" s="3" t="s">
        <v>3817</v>
      </c>
      <c r="D662" s="3" t="s">
        <v>7345</v>
      </c>
      <c r="E662" s="3" t="s">
        <v>7542</v>
      </c>
      <c r="F662" s="3" t="s">
        <v>4239</v>
      </c>
      <c r="G662" s="3" t="s">
        <v>7762</v>
      </c>
      <c r="H662" s="6" t="s">
        <v>3356</v>
      </c>
      <c r="I662" s="6" t="s">
        <v>3356</v>
      </c>
      <c r="J662" s="3" t="s">
        <v>3356</v>
      </c>
      <c r="L662" s="1" t="s">
        <v>6135</v>
      </c>
    </row>
    <row r="663" spans="1:12">
      <c r="A663" s="3" t="s">
        <v>3356</v>
      </c>
      <c r="C663" s="3" t="s">
        <v>3817</v>
      </c>
      <c r="D663" s="3" t="s">
        <v>7345</v>
      </c>
      <c r="E663" s="3" t="s">
        <v>7542</v>
      </c>
      <c r="F663" s="3" t="s">
        <v>4239</v>
      </c>
      <c r="G663" s="3" t="s">
        <v>6310</v>
      </c>
      <c r="H663" s="6" t="s">
        <v>3356</v>
      </c>
      <c r="I663" s="6" t="s">
        <v>3356</v>
      </c>
      <c r="J663" s="3" t="s">
        <v>3356</v>
      </c>
      <c r="L663" s="1" t="s">
        <v>6135</v>
      </c>
    </row>
    <row r="664" spans="1:12">
      <c r="A664" s="3" t="s">
        <v>3356</v>
      </c>
      <c r="C664" s="3" t="s">
        <v>3817</v>
      </c>
      <c r="D664" s="3" t="s">
        <v>7345</v>
      </c>
      <c r="E664" s="3" t="s">
        <v>7542</v>
      </c>
      <c r="F664" s="3" t="s">
        <v>4239</v>
      </c>
      <c r="G664" s="3" t="s">
        <v>7360</v>
      </c>
      <c r="H664" s="6" t="s">
        <v>3356</v>
      </c>
      <c r="I664" s="6" t="s">
        <v>3356</v>
      </c>
      <c r="J664" s="3" t="s">
        <v>3356</v>
      </c>
      <c r="L664" s="1" t="s">
        <v>6135</v>
      </c>
    </row>
    <row r="665" spans="1:12">
      <c r="A665" s="3" t="s">
        <v>3356</v>
      </c>
      <c r="C665" s="3" t="s">
        <v>3817</v>
      </c>
      <c r="D665" s="3" t="s">
        <v>7345</v>
      </c>
      <c r="E665" s="3" t="s">
        <v>7542</v>
      </c>
      <c r="F665" s="3" t="s">
        <v>4239</v>
      </c>
      <c r="G665" s="3" t="s">
        <v>7763</v>
      </c>
      <c r="H665" s="6" t="s">
        <v>3356</v>
      </c>
      <c r="I665" s="6" t="s">
        <v>3356</v>
      </c>
      <c r="J665" s="3" t="s">
        <v>3356</v>
      </c>
      <c r="L665" s="1" t="s">
        <v>6135</v>
      </c>
    </row>
    <row r="666" spans="1:12">
      <c r="A666" s="3" t="s">
        <v>3356</v>
      </c>
      <c r="C666" s="3" t="s">
        <v>3817</v>
      </c>
      <c r="D666" s="3" t="s">
        <v>7345</v>
      </c>
      <c r="E666" s="3" t="s">
        <v>7542</v>
      </c>
      <c r="F666" s="3" t="s">
        <v>4239</v>
      </c>
      <c r="G666" s="3" t="s">
        <v>7658</v>
      </c>
      <c r="H666" s="6" t="s">
        <v>3356</v>
      </c>
      <c r="I666" s="6" t="s">
        <v>3356</v>
      </c>
      <c r="J666" s="3" t="s">
        <v>3356</v>
      </c>
      <c r="L666" s="1" t="s">
        <v>6135</v>
      </c>
    </row>
    <row r="667" spans="1:12">
      <c r="A667" s="3" t="s">
        <v>3356</v>
      </c>
      <c r="C667" s="3" t="s">
        <v>3817</v>
      </c>
      <c r="D667" s="3" t="s">
        <v>7345</v>
      </c>
      <c r="E667" s="3" t="s">
        <v>7542</v>
      </c>
      <c r="F667" s="3" t="s">
        <v>4239</v>
      </c>
      <c r="G667" s="3" t="s">
        <v>6115</v>
      </c>
      <c r="H667" s="6" t="s">
        <v>3356</v>
      </c>
      <c r="I667" s="6" t="s">
        <v>3356</v>
      </c>
      <c r="J667" s="3" t="s">
        <v>3356</v>
      </c>
      <c r="L667" s="1" t="s">
        <v>6135</v>
      </c>
    </row>
    <row r="668" spans="1:12">
      <c r="A668" s="3" t="s">
        <v>3356</v>
      </c>
      <c r="C668" s="3" t="s">
        <v>3817</v>
      </c>
      <c r="D668" s="3" t="s">
        <v>7345</v>
      </c>
      <c r="E668" s="3" t="s">
        <v>7542</v>
      </c>
      <c r="F668" s="3" t="s">
        <v>4239</v>
      </c>
      <c r="G668" s="3" t="s">
        <v>7659</v>
      </c>
      <c r="H668" s="6" t="s">
        <v>3356</v>
      </c>
      <c r="I668" s="6" t="s">
        <v>3356</v>
      </c>
      <c r="J668" s="3" t="s">
        <v>3356</v>
      </c>
      <c r="L668" s="1" t="s">
        <v>6135</v>
      </c>
    </row>
    <row r="669" spans="1:12">
      <c r="A669" s="3" t="s">
        <v>3356</v>
      </c>
      <c r="C669" s="3" t="s">
        <v>3817</v>
      </c>
      <c r="D669" s="3" t="s">
        <v>7345</v>
      </c>
      <c r="E669" s="3" t="s">
        <v>7542</v>
      </c>
      <c r="F669" s="3" t="s">
        <v>4239</v>
      </c>
      <c r="G669" s="3" t="s">
        <v>7660</v>
      </c>
      <c r="H669" s="6" t="s">
        <v>3356</v>
      </c>
      <c r="I669" s="6" t="s">
        <v>3356</v>
      </c>
      <c r="J669" s="3" t="s">
        <v>3356</v>
      </c>
      <c r="L669" s="1" t="s">
        <v>6135</v>
      </c>
    </row>
    <row r="670" spans="1:12">
      <c r="A670" s="3" t="s">
        <v>3356</v>
      </c>
      <c r="C670" s="3" t="s">
        <v>3817</v>
      </c>
      <c r="D670" s="3" t="s">
        <v>7345</v>
      </c>
      <c r="E670" s="3" t="s">
        <v>7542</v>
      </c>
      <c r="F670" s="3" t="s">
        <v>4239</v>
      </c>
      <c r="G670" s="3" t="s">
        <v>7661</v>
      </c>
      <c r="H670" s="6" t="s">
        <v>3356</v>
      </c>
      <c r="I670" s="6" t="s">
        <v>3356</v>
      </c>
      <c r="J670" s="3" t="s">
        <v>3356</v>
      </c>
      <c r="L670" s="1" t="s">
        <v>6135</v>
      </c>
    </row>
    <row r="671" spans="1:12">
      <c r="A671" s="3" t="s">
        <v>3356</v>
      </c>
      <c r="C671" s="3" t="s">
        <v>3817</v>
      </c>
      <c r="D671" s="3" t="s">
        <v>7345</v>
      </c>
      <c r="E671" s="3" t="s">
        <v>7542</v>
      </c>
      <c r="F671" s="3" t="s">
        <v>4239</v>
      </c>
      <c r="G671" s="3" t="s">
        <v>5034</v>
      </c>
      <c r="H671" s="6" t="s">
        <v>3356</v>
      </c>
      <c r="I671" s="6" t="s">
        <v>3356</v>
      </c>
      <c r="J671" s="3" t="s">
        <v>3356</v>
      </c>
      <c r="L671" s="1" t="s">
        <v>6135</v>
      </c>
    </row>
    <row r="672" spans="1:12">
      <c r="A672" s="3" t="s">
        <v>3356</v>
      </c>
      <c r="C672" s="3" t="s">
        <v>3817</v>
      </c>
      <c r="D672" s="3" t="s">
        <v>7345</v>
      </c>
      <c r="E672" s="3" t="s">
        <v>7542</v>
      </c>
      <c r="F672" s="3" t="s">
        <v>4239</v>
      </c>
      <c r="G672" s="3" t="s">
        <v>4141</v>
      </c>
      <c r="H672" s="6" t="s">
        <v>3356</v>
      </c>
      <c r="I672" s="6" t="s">
        <v>3356</v>
      </c>
      <c r="J672" s="3" t="s">
        <v>3356</v>
      </c>
      <c r="L672" s="1" t="s">
        <v>6135</v>
      </c>
    </row>
    <row r="673" spans="1:12">
      <c r="A673" s="3" t="s">
        <v>3356</v>
      </c>
      <c r="C673" s="3" t="s">
        <v>3817</v>
      </c>
      <c r="D673" s="3" t="s">
        <v>7345</v>
      </c>
      <c r="E673" s="3" t="s">
        <v>7542</v>
      </c>
      <c r="F673" s="3" t="s">
        <v>4239</v>
      </c>
      <c r="G673" s="3" t="s">
        <v>5407</v>
      </c>
      <c r="H673" s="6" t="s">
        <v>3356</v>
      </c>
      <c r="I673" s="6" t="s">
        <v>3356</v>
      </c>
      <c r="J673" s="3" t="s">
        <v>3356</v>
      </c>
      <c r="L673" s="1" t="s">
        <v>6135</v>
      </c>
    </row>
    <row r="674" spans="1:12">
      <c r="A674" s="3" t="s">
        <v>3356</v>
      </c>
      <c r="C674" s="3" t="s">
        <v>3817</v>
      </c>
      <c r="D674" s="3" t="s">
        <v>7345</v>
      </c>
      <c r="E674" s="3" t="s">
        <v>7542</v>
      </c>
      <c r="F674" s="3" t="s">
        <v>4239</v>
      </c>
      <c r="G674" s="3" t="s">
        <v>5117</v>
      </c>
      <c r="H674" s="6" t="s">
        <v>3356</v>
      </c>
      <c r="I674" s="6" t="s">
        <v>3356</v>
      </c>
      <c r="J674" s="3" t="s">
        <v>3356</v>
      </c>
      <c r="L674" s="1" t="s">
        <v>6135</v>
      </c>
    </row>
    <row r="675" spans="1:12">
      <c r="A675" s="3" t="s">
        <v>3356</v>
      </c>
      <c r="C675" s="3" t="s">
        <v>3817</v>
      </c>
      <c r="D675" s="3" t="s">
        <v>7345</v>
      </c>
      <c r="E675" s="3" t="s">
        <v>7542</v>
      </c>
      <c r="F675" s="3" t="s">
        <v>4239</v>
      </c>
      <c r="G675" s="3" t="s">
        <v>4808</v>
      </c>
      <c r="H675" s="6" t="s">
        <v>3356</v>
      </c>
      <c r="I675" s="6" t="s">
        <v>3356</v>
      </c>
      <c r="J675" s="3" t="s">
        <v>3356</v>
      </c>
      <c r="L675" s="1" t="s">
        <v>6135</v>
      </c>
    </row>
    <row r="676" spans="1:12">
      <c r="A676" s="3" t="s">
        <v>3356</v>
      </c>
      <c r="C676" s="3" t="s">
        <v>3817</v>
      </c>
      <c r="D676" s="3" t="s">
        <v>7345</v>
      </c>
      <c r="E676" s="3" t="s">
        <v>7542</v>
      </c>
      <c r="F676" s="3" t="s">
        <v>4239</v>
      </c>
      <c r="G676" s="3" t="s">
        <v>7423</v>
      </c>
      <c r="H676" s="6" t="s">
        <v>3356</v>
      </c>
      <c r="I676" s="6" t="s">
        <v>3356</v>
      </c>
      <c r="J676" s="3" t="s">
        <v>3356</v>
      </c>
      <c r="L676" s="1" t="s">
        <v>6135</v>
      </c>
    </row>
    <row r="677" spans="1:12">
      <c r="A677" s="3" t="s">
        <v>3356</v>
      </c>
      <c r="C677" s="3" t="s">
        <v>3817</v>
      </c>
      <c r="D677" s="3" t="s">
        <v>7345</v>
      </c>
      <c r="E677" s="3" t="s">
        <v>7542</v>
      </c>
      <c r="F677" s="3" t="s">
        <v>4239</v>
      </c>
      <c r="G677" s="3" t="s">
        <v>6474</v>
      </c>
      <c r="H677" s="6" t="s">
        <v>3356</v>
      </c>
      <c r="I677" s="6" t="s">
        <v>3356</v>
      </c>
      <c r="J677" s="3" t="s">
        <v>3356</v>
      </c>
      <c r="L677" s="1" t="s">
        <v>6135</v>
      </c>
    </row>
    <row r="678" spans="1:12">
      <c r="A678" s="3" t="s">
        <v>3356</v>
      </c>
      <c r="C678" s="3" t="s">
        <v>3817</v>
      </c>
      <c r="D678" s="3" t="s">
        <v>7345</v>
      </c>
      <c r="E678" s="3" t="s">
        <v>7542</v>
      </c>
      <c r="F678" s="3" t="s">
        <v>4239</v>
      </c>
      <c r="G678" s="3" t="s">
        <v>4446</v>
      </c>
      <c r="H678" s="6" t="s">
        <v>3356</v>
      </c>
      <c r="I678" s="6" t="s">
        <v>3356</v>
      </c>
      <c r="J678" s="3" t="s">
        <v>3356</v>
      </c>
      <c r="L678" s="1" t="s">
        <v>6135</v>
      </c>
    </row>
    <row r="679" spans="1:12">
      <c r="A679" s="3" t="s">
        <v>3356</v>
      </c>
      <c r="C679" s="3" t="s">
        <v>3817</v>
      </c>
      <c r="D679" s="3" t="s">
        <v>7345</v>
      </c>
      <c r="E679" s="3" t="s">
        <v>7542</v>
      </c>
      <c r="F679" s="3" t="s">
        <v>4239</v>
      </c>
      <c r="G679" s="3" t="s">
        <v>4809</v>
      </c>
      <c r="H679" s="6" t="s">
        <v>3356</v>
      </c>
      <c r="I679" s="6" t="s">
        <v>3356</v>
      </c>
      <c r="J679" s="3" t="s">
        <v>3356</v>
      </c>
      <c r="L679" s="1" t="s">
        <v>6135</v>
      </c>
    </row>
    <row r="680" spans="1:12">
      <c r="A680" s="3" t="s">
        <v>3356</v>
      </c>
      <c r="C680" s="3" t="s">
        <v>3817</v>
      </c>
      <c r="D680" s="3" t="s">
        <v>7345</v>
      </c>
      <c r="E680" s="3" t="s">
        <v>7542</v>
      </c>
      <c r="F680" s="3" t="s">
        <v>4239</v>
      </c>
      <c r="G680" s="3" t="s">
        <v>4800</v>
      </c>
      <c r="H680" s="6" t="s">
        <v>3356</v>
      </c>
      <c r="I680" s="6" t="s">
        <v>3356</v>
      </c>
      <c r="J680" s="3" t="s">
        <v>3356</v>
      </c>
      <c r="L680" s="1" t="s">
        <v>6135</v>
      </c>
    </row>
    <row r="681" spans="1:12">
      <c r="A681" s="3" t="s">
        <v>3356</v>
      </c>
      <c r="C681" s="3" t="s">
        <v>3817</v>
      </c>
      <c r="D681" s="3" t="s">
        <v>7345</v>
      </c>
      <c r="E681" s="3" t="s">
        <v>7542</v>
      </c>
      <c r="F681" s="3" t="s">
        <v>4239</v>
      </c>
      <c r="G681" s="3" t="s">
        <v>4852</v>
      </c>
      <c r="H681" s="6" t="s">
        <v>3356</v>
      </c>
      <c r="I681" s="6" t="s">
        <v>3356</v>
      </c>
      <c r="J681" s="3" t="s">
        <v>3356</v>
      </c>
      <c r="L681" s="1" t="s">
        <v>6135</v>
      </c>
    </row>
    <row r="682" spans="1:12">
      <c r="A682" s="3" t="s">
        <v>3356</v>
      </c>
      <c r="C682" s="3" t="s">
        <v>3817</v>
      </c>
      <c r="D682" s="3" t="s">
        <v>7345</v>
      </c>
      <c r="E682" s="3" t="s">
        <v>7542</v>
      </c>
      <c r="F682" s="3" t="s">
        <v>7672</v>
      </c>
      <c r="G682" s="3" t="s">
        <v>5463</v>
      </c>
      <c r="H682" s="6" t="s">
        <v>3356</v>
      </c>
      <c r="I682" s="6" t="s">
        <v>3356</v>
      </c>
      <c r="J682" s="3" t="s">
        <v>3356</v>
      </c>
      <c r="L682" s="1" t="s">
        <v>6135</v>
      </c>
    </row>
    <row r="683" spans="1:12">
      <c r="A683" s="3" t="s">
        <v>3356</v>
      </c>
      <c r="C683" s="3" t="s">
        <v>3817</v>
      </c>
      <c r="D683" s="3" t="s">
        <v>3791</v>
      </c>
      <c r="E683" s="3" t="s">
        <v>4235</v>
      </c>
      <c r="F683" s="3" t="s">
        <v>4256</v>
      </c>
      <c r="G683" s="3" t="s">
        <v>4847</v>
      </c>
      <c r="H683" s="6" t="s">
        <v>3356</v>
      </c>
      <c r="I683" s="6" t="s">
        <v>3356</v>
      </c>
      <c r="J683" s="3" t="s">
        <v>3356</v>
      </c>
      <c r="L683" s="1" t="s">
        <v>6135</v>
      </c>
    </row>
    <row r="684" spans="1:12">
      <c r="A684" s="3" t="s">
        <v>3356</v>
      </c>
      <c r="C684" s="3" t="s">
        <v>3817</v>
      </c>
      <c r="D684" s="3" t="s">
        <v>3791</v>
      </c>
      <c r="E684" s="3" t="s">
        <v>4235</v>
      </c>
      <c r="F684" s="3" t="s">
        <v>4246</v>
      </c>
      <c r="G684" s="3" t="s">
        <v>5697</v>
      </c>
      <c r="H684" s="6" t="s">
        <v>3356</v>
      </c>
      <c r="I684" s="6" t="s">
        <v>3356</v>
      </c>
      <c r="J684" s="3" t="s">
        <v>3356</v>
      </c>
      <c r="L684" s="1" t="s">
        <v>6135</v>
      </c>
    </row>
    <row r="685" spans="1:12">
      <c r="A685" s="3" t="s">
        <v>3356</v>
      </c>
      <c r="C685" s="3" t="s">
        <v>3817</v>
      </c>
      <c r="D685" s="3" t="s">
        <v>7115</v>
      </c>
      <c r="E685" s="3" t="s">
        <v>4475</v>
      </c>
      <c r="F685" s="3" t="s">
        <v>5817</v>
      </c>
      <c r="G685" s="3" t="s">
        <v>5818</v>
      </c>
      <c r="H685" s="6">
        <v>4.012837224705172</v>
      </c>
      <c r="I685" s="6">
        <v>10300</v>
      </c>
      <c r="J685" s="3" t="s">
        <v>6736</v>
      </c>
      <c r="L685" s="1" t="s">
        <v>6135</v>
      </c>
    </row>
    <row r="686" spans="1:12">
      <c r="A686" s="3" t="s">
        <v>3356</v>
      </c>
      <c r="C686" s="3" t="s">
        <v>3817</v>
      </c>
      <c r="D686" s="3" t="s">
        <v>7058</v>
      </c>
      <c r="E686" s="3" t="s">
        <v>7011</v>
      </c>
      <c r="F686" s="3" t="s">
        <v>4453</v>
      </c>
      <c r="G686" s="3" t="s">
        <v>8261</v>
      </c>
      <c r="H686" s="6" t="s">
        <v>3356</v>
      </c>
      <c r="I686" s="6" t="s">
        <v>3356</v>
      </c>
      <c r="J686" s="3" t="s">
        <v>3356</v>
      </c>
      <c r="L686" s="1" t="s">
        <v>6135</v>
      </c>
    </row>
    <row r="687" spans="1:12">
      <c r="A687" s="3" t="s">
        <v>3356</v>
      </c>
      <c r="C687" s="3" t="s">
        <v>3817</v>
      </c>
      <c r="D687" s="3" t="s">
        <v>2551</v>
      </c>
      <c r="E687" s="3" t="s">
        <v>2552</v>
      </c>
      <c r="F687" s="3" t="s">
        <v>5514</v>
      </c>
      <c r="G687" s="3" t="s">
        <v>5815</v>
      </c>
      <c r="H687" s="6" t="s">
        <v>3356</v>
      </c>
      <c r="I687" s="6" t="s">
        <v>3356</v>
      </c>
      <c r="J687" s="3" t="s">
        <v>3356</v>
      </c>
      <c r="L687" s="1" t="s">
        <v>6135</v>
      </c>
    </row>
    <row r="688" spans="1:12">
      <c r="A688" s="3" t="s">
        <v>3356</v>
      </c>
      <c r="C688" s="3" t="s">
        <v>3817</v>
      </c>
      <c r="D688" s="3" t="s">
        <v>2551</v>
      </c>
      <c r="E688" s="3" t="s">
        <v>7229</v>
      </c>
      <c r="F688" s="3" t="s">
        <v>7272</v>
      </c>
      <c r="G688" s="3" t="s">
        <v>4805</v>
      </c>
      <c r="H688" s="6" t="s">
        <v>3356</v>
      </c>
      <c r="I688" s="6" t="s">
        <v>3356</v>
      </c>
      <c r="J688" s="3" t="s">
        <v>3356</v>
      </c>
      <c r="L688" s="1" t="s">
        <v>6135</v>
      </c>
    </row>
    <row r="689" spans="1:12">
      <c r="A689" s="3" t="s">
        <v>3356</v>
      </c>
      <c r="C689" s="3" t="s">
        <v>3817</v>
      </c>
      <c r="D689" s="3" t="s">
        <v>2551</v>
      </c>
      <c r="E689" s="3" t="s">
        <v>7229</v>
      </c>
      <c r="F689" s="3" t="s">
        <v>7272</v>
      </c>
      <c r="G689" s="3" t="s">
        <v>4806</v>
      </c>
      <c r="H689" s="6" t="s">
        <v>3356</v>
      </c>
      <c r="I689" s="6" t="s">
        <v>3356</v>
      </c>
      <c r="J689" s="3" t="s">
        <v>3356</v>
      </c>
      <c r="L689" s="1" t="s">
        <v>6135</v>
      </c>
    </row>
    <row r="690" spans="1:12">
      <c r="A690" s="3" t="s">
        <v>3356</v>
      </c>
      <c r="C690" s="3" t="s">
        <v>3817</v>
      </c>
      <c r="D690" s="3" t="s">
        <v>2551</v>
      </c>
      <c r="E690" s="3" t="s">
        <v>7229</v>
      </c>
      <c r="F690" s="3" t="s">
        <v>7272</v>
      </c>
      <c r="G690" s="3" t="s">
        <v>5944</v>
      </c>
      <c r="H690" s="6" t="s">
        <v>3356</v>
      </c>
      <c r="I690" s="6" t="s">
        <v>3356</v>
      </c>
      <c r="J690" s="3" t="s">
        <v>3356</v>
      </c>
      <c r="L690" s="1" t="s">
        <v>6135</v>
      </c>
    </row>
    <row r="691" spans="1:12">
      <c r="A691" s="3" t="s">
        <v>3356</v>
      </c>
      <c r="C691" s="3" t="s">
        <v>3817</v>
      </c>
      <c r="D691" s="3" t="s">
        <v>2551</v>
      </c>
      <c r="E691" s="3" t="s">
        <v>7229</v>
      </c>
      <c r="F691" s="3" t="s">
        <v>7272</v>
      </c>
      <c r="G691" s="3" t="s">
        <v>5819</v>
      </c>
      <c r="H691" s="6">
        <v>2.8419848045901137</v>
      </c>
      <c r="I691" s="6">
        <v>695</v>
      </c>
      <c r="J691" s="3" t="s">
        <v>6736</v>
      </c>
      <c r="L691" s="1" t="s">
        <v>6135</v>
      </c>
    </row>
    <row r="692" spans="1:12">
      <c r="A692" s="3" t="s">
        <v>3356</v>
      </c>
      <c r="C692" s="3" t="s">
        <v>3817</v>
      </c>
      <c r="D692" s="3" t="s">
        <v>2551</v>
      </c>
      <c r="E692" s="3" t="s">
        <v>7229</v>
      </c>
      <c r="F692" s="3" t="s">
        <v>5164</v>
      </c>
      <c r="G692" s="3" t="s">
        <v>6702</v>
      </c>
      <c r="H692" s="6" t="s">
        <v>3356</v>
      </c>
      <c r="I692" s="6" t="s">
        <v>3356</v>
      </c>
      <c r="J692" s="3" t="s">
        <v>3356</v>
      </c>
      <c r="L692" s="1" t="s">
        <v>6135</v>
      </c>
    </row>
    <row r="693" spans="1:12">
      <c r="A693" s="3" t="s">
        <v>3356</v>
      </c>
      <c r="C693" s="3" t="s">
        <v>3817</v>
      </c>
      <c r="D693" s="3" t="s">
        <v>2551</v>
      </c>
      <c r="E693" s="3" t="s">
        <v>7229</v>
      </c>
      <c r="F693" s="3" t="s">
        <v>5164</v>
      </c>
      <c r="G693" s="3" t="s">
        <v>4306</v>
      </c>
      <c r="H693" s="6" t="s">
        <v>3356</v>
      </c>
      <c r="I693" s="6" t="s">
        <v>3356</v>
      </c>
      <c r="J693" s="3" t="s">
        <v>3356</v>
      </c>
      <c r="L693" s="1" t="s">
        <v>6135</v>
      </c>
    </row>
    <row r="694" spans="1:12">
      <c r="A694" s="3" t="s">
        <v>3356</v>
      </c>
      <c r="C694" s="3" t="s">
        <v>3817</v>
      </c>
      <c r="D694" s="3" t="s">
        <v>2551</v>
      </c>
      <c r="E694" s="3" t="s">
        <v>7229</v>
      </c>
      <c r="F694" s="3" t="s">
        <v>5164</v>
      </c>
      <c r="G694" s="3" t="s">
        <v>5532</v>
      </c>
      <c r="H694" s="6" t="s">
        <v>3356</v>
      </c>
      <c r="I694" s="6" t="s">
        <v>3356</v>
      </c>
      <c r="J694" s="3" t="s">
        <v>3356</v>
      </c>
      <c r="L694" s="1" t="s">
        <v>6135</v>
      </c>
    </row>
    <row r="695" spans="1:12">
      <c r="A695" s="3" t="s">
        <v>3356</v>
      </c>
      <c r="C695" s="3" t="s">
        <v>3817</v>
      </c>
      <c r="D695" s="3" t="s">
        <v>2551</v>
      </c>
      <c r="E695" s="3" t="s">
        <v>7229</v>
      </c>
      <c r="F695" s="3" t="s">
        <v>4816</v>
      </c>
      <c r="G695" s="3" t="s">
        <v>5924</v>
      </c>
      <c r="H695" s="6" t="s">
        <v>3356</v>
      </c>
      <c r="I695" s="6" t="s">
        <v>3356</v>
      </c>
      <c r="J695" s="3" t="s">
        <v>3356</v>
      </c>
      <c r="L695" s="1" t="s">
        <v>6135</v>
      </c>
    </row>
    <row r="696" spans="1:12">
      <c r="A696" s="3" t="s">
        <v>3356</v>
      </c>
      <c r="C696" s="3" t="s">
        <v>3817</v>
      </c>
      <c r="D696" s="3" t="s">
        <v>2551</v>
      </c>
      <c r="E696" s="3" t="s">
        <v>7229</v>
      </c>
      <c r="F696" s="3" t="s">
        <v>4816</v>
      </c>
      <c r="G696" s="3" t="s">
        <v>5925</v>
      </c>
      <c r="H696" s="6" t="s">
        <v>3356</v>
      </c>
      <c r="I696" s="6" t="s">
        <v>3356</v>
      </c>
      <c r="J696" s="3" t="s">
        <v>3356</v>
      </c>
      <c r="L696" s="1" t="s">
        <v>6135</v>
      </c>
    </row>
    <row r="697" spans="1:12">
      <c r="A697" s="3" t="s">
        <v>3356</v>
      </c>
      <c r="C697" s="3" t="s">
        <v>3817</v>
      </c>
      <c r="D697" s="3" t="s">
        <v>2551</v>
      </c>
      <c r="E697" s="3" t="s">
        <v>7229</v>
      </c>
      <c r="F697" s="3" t="s">
        <v>5926</v>
      </c>
      <c r="G697" s="3" t="s">
        <v>5695</v>
      </c>
      <c r="H697" s="6" t="s">
        <v>3356</v>
      </c>
      <c r="I697" s="6" t="s">
        <v>3356</v>
      </c>
      <c r="J697" s="3" t="s">
        <v>3356</v>
      </c>
      <c r="L697" s="1" t="s">
        <v>6135</v>
      </c>
    </row>
    <row r="698" spans="1:12">
      <c r="A698" s="3" t="s">
        <v>3356</v>
      </c>
      <c r="C698" s="3" t="s">
        <v>3817</v>
      </c>
      <c r="D698" s="3" t="s">
        <v>7273</v>
      </c>
      <c r="E698" s="3" t="s">
        <v>2558</v>
      </c>
      <c r="F698" s="3" t="s">
        <v>2559</v>
      </c>
      <c r="G698" s="3" t="s">
        <v>5820</v>
      </c>
      <c r="H698" s="6">
        <v>5.4393326938302629</v>
      </c>
      <c r="I698" s="6">
        <v>275000</v>
      </c>
      <c r="J698" s="3" t="s">
        <v>6736</v>
      </c>
      <c r="L698" s="1" t="s">
        <v>6135</v>
      </c>
    </row>
    <row r="699" spans="1:12">
      <c r="A699" s="3" t="s">
        <v>3356</v>
      </c>
      <c r="C699" s="3" t="s">
        <v>3817</v>
      </c>
      <c r="D699" s="3" t="s">
        <v>7273</v>
      </c>
      <c r="E699" s="3" t="s">
        <v>2558</v>
      </c>
      <c r="F699" s="3" t="s">
        <v>2559</v>
      </c>
      <c r="G699" s="3" t="s">
        <v>4335</v>
      </c>
      <c r="H699" s="6">
        <v>5.3617278360175931</v>
      </c>
      <c r="I699" s="6">
        <v>230000</v>
      </c>
      <c r="J699" s="3" t="s">
        <v>6736</v>
      </c>
      <c r="L699" s="1" t="s">
        <v>6135</v>
      </c>
    </row>
    <row r="700" spans="1:12">
      <c r="A700" s="3" t="s">
        <v>3356</v>
      </c>
      <c r="C700" s="3" t="s">
        <v>3817</v>
      </c>
      <c r="D700" s="3" t="s">
        <v>7273</v>
      </c>
      <c r="E700" s="3" t="s">
        <v>2558</v>
      </c>
      <c r="F700" s="3" t="s">
        <v>2559</v>
      </c>
      <c r="G700" s="3" t="s">
        <v>5997</v>
      </c>
      <c r="H700" s="6">
        <v>5.4393326938302629</v>
      </c>
      <c r="I700" s="6">
        <v>275000</v>
      </c>
      <c r="J700" s="3" t="s">
        <v>6736</v>
      </c>
      <c r="L700" s="1" t="s">
        <v>6135</v>
      </c>
    </row>
    <row r="701" spans="1:12">
      <c r="A701" s="3" t="s">
        <v>3356</v>
      </c>
      <c r="C701" s="3" t="s">
        <v>3817</v>
      </c>
      <c r="D701" s="3" t="s">
        <v>7273</v>
      </c>
      <c r="E701" s="3" t="s">
        <v>2558</v>
      </c>
      <c r="F701" s="3" t="s">
        <v>2559</v>
      </c>
      <c r="G701" s="3" t="s">
        <v>5101</v>
      </c>
      <c r="H701" s="6" t="s">
        <v>3356</v>
      </c>
      <c r="I701" s="6" t="s">
        <v>3356</v>
      </c>
      <c r="J701" s="3" t="s">
        <v>3356</v>
      </c>
      <c r="L701" s="1" t="s">
        <v>6135</v>
      </c>
    </row>
    <row r="702" spans="1:12">
      <c r="A702" s="3" t="s">
        <v>3356</v>
      </c>
      <c r="C702" s="3" t="s">
        <v>3817</v>
      </c>
      <c r="D702" s="3" t="s">
        <v>7273</v>
      </c>
      <c r="E702" s="3" t="s">
        <v>2558</v>
      </c>
      <c r="F702" s="3" t="s">
        <v>2559</v>
      </c>
      <c r="G702" s="3" t="s">
        <v>5102</v>
      </c>
      <c r="H702" s="6" t="s">
        <v>3356</v>
      </c>
      <c r="I702" s="6" t="s">
        <v>3356</v>
      </c>
      <c r="J702" s="3" t="s">
        <v>3356</v>
      </c>
      <c r="L702" s="1" t="s">
        <v>6135</v>
      </c>
    </row>
    <row r="703" spans="1:12">
      <c r="A703" s="3" t="s">
        <v>3356</v>
      </c>
      <c r="C703" s="3" t="s">
        <v>3817</v>
      </c>
      <c r="D703" s="3" t="s">
        <v>7273</v>
      </c>
      <c r="E703" s="3" t="s">
        <v>2515</v>
      </c>
      <c r="F703" s="3" t="s">
        <v>6478</v>
      </c>
      <c r="G703" s="3" t="s">
        <v>6166</v>
      </c>
      <c r="H703" s="6">
        <v>6.1461280356782382</v>
      </c>
      <c r="I703" s="6">
        <v>1400000</v>
      </c>
      <c r="J703" s="3" t="s">
        <v>6736</v>
      </c>
      <c r="L703" s="1" t="s">
        <v>6135</v>
      </c>
    </row>
    <row r="704" spans="1:12">
      <c r="A704" s="3" t="s">
        <v>3356</v>
      </c>
      <c r="C704" s="3" t="s">
        <v>3817</v>
      </c>
      <c r="D704" s="3" t="s">
        <v>7273</v>
      </c>
      <c r="E704" s="3" t="s">
        <v>2515</v>
      </c>
      <c r="F704" s="3" t="s">
        <v>5602</v>
      </c>
      <c r="G704" s="3" t="s">
        <v>5265</v>
      </c>
      <c r="H704" s="6">
        <v>6.2430380486862944</v>
      </c>
      <c r="I704" s="6">
        <v>1750000</v>
      </c>
      <c r="J704" s="3" t="s">
        <v>6736</v>
      </c>
      <c r="L704" s="1" t="s">
        <v>6135</v>
      </c>
    </row>
    <row r="705" spans="1:12">
      <c r="A705" s="3" t="s">
        <v>3356</v>
      </c>
      <c r="C705" s="3" t="s">
        <v>3817</v>
      </c>
      <c r="D705" s="3" t="s">
        <v>7273</v>
      </c>
      <c r="E705" s="3" t="s">
        <v>2515</v>
      </c>
      <c r="F705" s="3" t="s">
        <v>5602</v>
      </c>
      <c r="G705" s="3" t="s">
        <v>5603</v>
      </c>
      <c r="H705" s="6">
        <v>6.204119982655925</v>
      </c>
      <c r="I705" s="6">
        <v>1600000</v>
      </c>
      <c r="J705" s="3" t="s">
        <v>6736</v>
      </c>
      <c r="L705" s="1" t="s">
        <v>6135</v>
      </c>
    </row>
    <row r="706" spans="1:12">
      <c r="A706" s="3" t="s">
        <v>3356</v>
      </c>
      <c r="C706" s="3" t="s">
        <v>3817</v>
      </c>
      <c r="D706" s="3" t="s">
        <v>7273</v>
      </c>
      <c r="E706" s="3" t="s">
        <v>7157</v>
      </c>
      <c r="F706" s="3" t="s">
        <v>7158</v>
      </c>
      <c r="G706" s="3" t="s">
        <v>5230</v>
      </c>
      <c r="H706" s="6">
        <v>5.3010299956639813</v>
      </c>
      <c r="I706" s="6">
        <v>200000</v>
      </c>
      <c r="J706" s="3" t="s">
        <v>6736</v>
      </c>
      <c r="L706" s="1" t="s">
        <v>6135</v>
      </c>
    </row>
    <row r="707" spans="1:12">
      <c r="A707" s="3" t="s">
        <v>3356</v>
      </c>
      <c r="C707" s="3" t="s">
        <v>3817</v>
      </c>
      <c r="D707" s="3" t="s">
        <v>4821</v>
      </c>
      <c r="E707" s="3" t="s">
        <v>4822</v>
      </c>
      <c r="F707" s="3" t="s">
        <v>5047</v>
      </c>
      <c r="G707" s="3" t="s">
        <v>4503</v>
      </c>
      <c r="H707" s="6">
        <v>4.2016701796465812</v>
      </c>
      <c r="I707" s="6">
        <v>15910</v>
      </c>
      <c r="J707" s="3" t="s">
        <v>6736</v>
      </c>
      <c r="L707" s="1" t="s">
        <v>6135</v>
      </c>
    </row>
    <row r="708" spans="1:12">
      <c r="A708" s="3" t="s">
        <v>3356</v>
      </c>
      <c r="C708" s="3" t="s">
        <v>3817</v>
      </c>
      <c r="D708" s="3" t="s">
        <v>4821</v>
      </c>
      <c r="E708" s="3" t="s">
        <v>4822</v>
      </c>
      <c r="F708" s="3" t="s">
        <v>5047</v>
      </c>
      <c r="G708" s="3" t="s">
        <v>5614</v>
      </c>
      <c r="H708" s="6">
        <v>3.6253124509616739</v>
      </c>
      <c r="I708" s="6">
        <v>4220</v>
      </c>
      <c r="J708" s="3" t="s">
        <v>6736</v>
      </c>
      <c r="L708" s="1" t="s">
        <v>6135</v>
      </c>
    </row>
    <row r="709" spans="1:12">
      <c r="A709" s="3" t="s">
        <v>3356</v>
      </c>
      <c r="C709" s="3" t="s">
        <v>3817</v>
      </c>
      <c r="D709" s="3" t="s">
        <v>4821</v>
      </c>
      <c r="E709" s="3" t="s">
        <v>4822</v>
      </c>
      <c r="F709" s="3" t="s">
        <v>5047</v>
      </c>
      <c r="G709" s="3" t="s">
        <v>5181</v>
      </c>
      <c r="H709" s="6" t="s">
        <v>3356</v>
      </c>
      <c r="I709" s="6" t="s">
        <v>3356</v>
      </c>
      <c r="J709" s="3" t="s">
        <v>3356</v>
      </c>
      <c r="L709" s="1" t="s">
        <v>6135</v>
      </c>
    </row>
    <row r="710" spans="1:12">
      <c r="A710" s="3" t="s">
        <v>3356</v>
      </c>
      <c r="C710" s="3" t="s">
        <v>3817</v>
      </c>
      <c r="D710" s="3" t="s">
        <v>7250</v>
      </c>
      <c r="E710" s="3" t="s">
        <v>7251</v>
      </c>
      <c r="F710" s="3" t="s">
        <v>1943</v>
      </c>
      <c r="G710" s="3" t="s">
        <v>5528</v>
      </c>
      <c r="H710" s="6" t="s">
        <v>3356</v>
      </c>
      <c r="I710" s="6" t="s">
        <v>3356</v>
      </c>
      <c r="J710" s="3" t="s">
        <v>3356</v>
      </c>
      <c r="L710" s="1" t="s">
        <v>6135</v>
      </c>
    </row>
    <row r="711" spans="1:12">
      <c r="A711" s="3" t="s">
        <v>3356</v>
      </c>
      <c r="C711" s="3" t="s">
        <v>3817</v>
      </c>
      <c r="D711" s="3" t="s">
        <v>7250</v>
      </c>
      <c r="E711" s="3" t="s">
        <v>5057</v>
      </c>
      <c r="F711" s="3" t="s">
        <v>5058</v>
      </c>
      <c r="G711" s="3" t="s">
        <v>5529</v>
      </c>
      <c r="H711" s="6" t="s">
        <v>3356</v>
      </c>
      <c r="I711" s="6" t="s">
        <v>3356</v>
      </c>
      <c r="J711" s="3" t="s">
        <v>3356</v>
      </c>
      <c r="L711" s="1" t="s">
        <v>6135</v>
      </c>
    </row>
    <row r="712" spans="1:12">
      <c r="A712" s="3" t="s">
        <v>3356</v>
      </c>
      <c r="C712" s="3" t="s">
        <v>3817</v>
      </c>
      <c r="D712" s="3" t="s">
        <v>7250</v>
      </c>
      <c r="E712" s="3" t="s">
        <v>6300</v>
      </c>
      <c r="F712" s="3" t="s">
        <v>3594</v>
      </c>
      <c r="G712" s="3" t="s">
        <v>4399</v>
      </c>
      <c r="H712" s="6" t="s">
        <v>3356</v>
      </c>
      <c r="I712" s="6" t="s">
        <v>3356</v>
      </c>
      <c r="J712" s="3" t="s">
        <v>3356</v>
      </c>
      <c r="L712" s="1" t="s">
        <v>6135</v>
      </c>
    </row>
    <row r="713" spans="1:12">
      <c r="A713" s="3" t="s">
        <v>3356</v>
      </c>
      <c r="C713" s="3" t="s">
        <v>3817</v>
      </c>
      <c r="D713" s="3" t="s">
        <v>7250</v>
      </c>
      <c r="E713" s="3" t="s">
        <v>6300</v>
      </c>
      <c r="F713" s="3" t="s">
        <v>3164</v>
      </c>
      <c r="G713" s="3" t="s">
        <v>4400</v>
      </c>
      <c r="H713" s="6" t="s">
        <v>3356</v>
      </c>
      <c r="I713" s="6" t="s">
        <v>3356</v>
      </c>
      <c r="J713" s="3" t="s">
        <v>3356</v>
      </c>
      <c r="L713" s="1" t="s">
        <v>6135</v>
      </c>
    </row>
    <row r="714" spans="1:12">
      <c r="A714" s="3" t="s">
        <v>3356</v>
      </c>
      <c r="C714" s="3" t="s">
        <v>3817</v>
      </c>
      <c r="D714" s="3" t="s">
        <v>7250</v>
      </c>
      <c r="E714" s="3" t="s">
        <v>6300</v>
      </c>
      <c r="F714" s="3" t="s">
        <v>3164</v>
      </c>
      <c r="G714" s="3" t="s">
        <v>5530</v>
      </c>
      <c r="H714" s="6" t="s">
        <v>3356</v>
      </c>
      <c r="I714" s="6" t="s">
        <v>3356</v>
      </c>
      <c r="J714" s="3" t="s">
        <v>3356</v>
      </c>
      <c r="L714" s="1" t="s">
        <v>6135</v>
      </c>
    </row>
    <row r="715" spans="1:12">
      <c r="A715" s="3" t="s">
        <v>3356</v>
      </c>
      <c r="C715" s="3" t="s">
        <v>3817</v>
      </c>
      <c r="D715" s="3" t="s">
        <v>7250</v>
      </c>
      <c r="E715" s="3" t="s">
        <v>6300</v>
      </c>
      <c r="F715" s="3" t="s">
        <v>3164</v>
      </c>
      <c r="G715" s="3" t="s">
        <v>5531</v>
      </c>
      <c r="H715" s="6" t="s">
        <v>3356</v>
      </c>
      <c r="I715" s="6" t="s">
        <v>3356</v>
      </c>
      <c r="J715" s="3" t="s">
        <v>3356</v>
      </c>
      <c r="L715" s="1" t="s">
        <v>6135</v>
      </c>
    </row>
    <row r="716" spans="1:12">
      <c r="A716" s="3" t="s">
        <v>3356</v>
      </c>
      <c r="C716" s="3" t="s">
        <v>3817</v>
      </c>
      <c r="D716" s="3" t="s">
        <v>7250</v>
      </c>
      <c r="E716" s="3" t="s">
        <v>6300</v>
      </c>
      <c r="F716" s="3" t="s">
        <v>3164</v>
      </c>
      <c r="G716" s="3" t="s">
        <v>2425</v>
      </c>
      <c r="H716" s="6" t="s">
        <v>3356</v>
      </c>
      <c r="I716" s="6" t="s">
        <v>3356</v>
      </c>
      <c r="J716" s="3" t="s">
        <v>3356</v>
      </c>
      <c r="L716" s="1" t="s">
        <v>6135</v>
      </c>
    </row>
    <row r="717" spans="1:12">
      <c r="A717" s="3" t="s">
        <v>3356</v>
      </c>
      <c r="C717" s="3" t="s">
        <v>3817</v>
      </c>
      <c r="D717" s="3" t="s">
        <v>7250</v>
      </c>
      <c r="E717" s="3" t="s">
        <v>6300</v>
      </c>
      <c r="F717" s="3" t="s">
        <v>3164</v>
      </c>
      <c r="G717" s="3" t="s">
        <v>5699</v>
      </c>
      <c r="H717" s="6" t="s">
        <v>3356</v>
      </c>
      <c r="I717" s="6" t="s">
        <v>3356</v>
      </c>
      <c r="J717" s="3" t="s">
        <v>3356</v>
      </c>
      <c r="L717" s="1" t="s">
        <v>6135</v>
      </c>
    </row>
    <row r="718" spans="1:12">
      <c r="A718" s="3" t="s">
        <v>3356</v>
      </c>
      <c r="C718" s="3" t="s">
        <v>3817</v>
      </c>
      <c r="D718" s="3" t="s">
        <v>7250</v>
      </c>
      <c r="E718" s="3" t="s">
        <v>6300</v>
      </c>
      <c r="F718" s="3" t="s">
        <v>3164</v>
      </c>
      <c r="G718" s="3" t="s">
        <v>5395</v>
      </c>
      <c r="H718" s="6" t="s">
        <v>3356</v>
      </c>
      <c r="I718" s="6" t="s">
        <v>3356</v>
      </c>
      <c r="J718" s="3" t="s">
        <v>3356</v>
      </c>
      <c r="L718" s="1" t="s">
        <v>6135</v>
      </c>
    </row>
    <row r="719" spans="1:12">
      <c r="A719" s="3" t="s">
        <v>3356</v>
      </c>
      <c r="C719" s="3" t="s">
        <v>3817</v>
      </c>
      <c r="D719" s="3" t="s">
        <v>7250</v>
      </c>
      <c r="E719" s="3" t="s">
        <v>6300</v>
      </c>
      <c r="F719" s="3" t="s">
        <v>3216</v>
      </c>
      <c r="G719" s="3" t="s">
        <v>4911</v>
      </c>
      <c r="H719" s="6" t="s">
        <v>3356</v>
      </c>
      <c r="I719" s="6" t="s">
        <v>3356</v>
      </c>
      <c r="J719" s="3" t="s">
        <v>3356</v>
      </c>
      <c r="L719" s="1" t="s">
        <v>6135</v>
      </c>
    </row>
    <row r="720" spans="1:12">
      <c r="A720" s="3" t="s">
        <v>3356</v>
      </c>
      <c r="C720" s="3" t="s">
        <v>3817</v>
      </c>
      <c r="D720" s="3" t="s">
        <v>7250</v>
      </c>
      <c r="E720" s="3" t="s">
        <v>6300</v>
      </c>
      <c r="F720" s="3" t="s">
        <v>8025</v>
      </c>
      <c r="G720" s="3" t="s">
        <v>5615</v>
      </c>
      <c r="H720" s="6">
        <v>4</v>
      </c>
      <c r="I720" s="6">
        <v>10000</v>
      </c>
      <c r="J720" s="3" t="s">
        <v>6736</v>
      </c>
      <c r="L720" s="1" t="s">
        <v>6135</v>
      </c>
    </row>
    <row r="721" spans="1:12">
      <c r="A721" s="3" t="s">
        <v>3356</v>
      </c>
      <c r="C721" s="3" t="s">
        <v>3817</v>
      </c>
      <c r="D721" s="3" t="s">
        <v>7250</v>
      </c>
      <c r="E721" s="3" t="s">
        <v>6300</v>
      </c>
      <c r="F721" s="3" t="s">
        <v>8025</v>
      </c>
      <c r="G721" s="3" t="s">
        <v>5911</v>
      </c>
      <c r="H721" s="6" t="s">
        <v>3356</v>
      </c>
      <c r="I721" s="6" t="s">
        <v>3356</v>
      </c>
      <c r="J721" s="3" t="s">
        <v>3356</v>
      </c>
      <c r="L721" s="1" t="s">
        <v>6135</v>
      </c>
    </row>
    <row r="722" spans="1:12">
      <c r="A722" s="3" t="s">
        <v>3356</v>
      </c>
      <c r="C722" s="3" t="s">
        <v>3817</v>
      </c>
      <c r="D722" s="3" t="s">
        <v>7250</v>
      </c>
      <c r="E722" s="3" t="s">
        <v>6300</v>
      </c>
      <c r="F722" s="3" t="s">
        <v>8025</v>
      </c>
      <c r="G722" s="3" t="s">
        <v>5912</v>
      </c>
      <c r="H722" s="6" t="s">
        <v>3356</v>
      </c>
      <c r="I722" s="6" t="s">
        <v>3356</v>
      </c>
      <c r="J722" s="3" t="s">
        <v>3356</v>
      </c>
      <c r="L722" s="1" t="s">
        <v>6135</v>
      </c>
    </row>
    <row r="723" spans="1:12">
      <c r="A723" s="3" t="s">
        <v>3356</v>
      </c>
      <c r="C723" s="3" t="s">
        <v>3817</v>
      </c>
      <c r="D723" s="3" t="s">
        <v>7250</v>
      </c>
      <c r="E723" s="3" t="s">
        <v>6300</v>
      </c>
      <c r="F723" s="3" t="s">
        <v>8025</v>
      </c>
      <c r="G723" s="3" t="s">
        <v>5616</v>
      </c>
      <c r="H723" s="6">
        <v>4</v>
      </c>
      <c r="I723" s="6">
        <v>10000</v>
      </c>
      <c r="J723" s="3" t="s">
        <v>6736</v>
      </c>
      <c r="L723" s="1" t="s">
        <v>6135</v>
      </c>
    </row>
    <row r="724" spans="1:12">
      <c r="A724" s="3" t="s">
        <v>3356</v>
      </c>
      <c r="C724" s="3" t="s">
        <v>3817</v>
      </c>
      <c r="D724" s="3" t="s">
        <v>7250</v>
      </c>
      <c r="E724" s="3" t="s">
        <v>6300</v>
      </c>
      <c r="F724" s="3" t="s">
        <v>8025</v>
      </c>
      <c r="G724" s="3" t="s">
        <v>5913</v>
      </c>
      <c r="H724" s="6" t="s">
        <v>3356</v>
      </c>
      <c r="I724" s="6" t="s">
        <v>3356</v>
      </c>
      <c r="J724" s="3" t="s">
        <v>3356</v>
      </c>
      <c r="L724" s="1" t="s">
        <v>6135</v>
      </c>
    </row>
    <row r="725" spans="1:12">
      <c r="A725" s="3" t="s">
        <v>3356</v>
      </c>
      <c r="C725" s="3" t="s">
        <v>3817</v>
      </c>
      <c r="D725" s="3" t="s">
        <v>7250</v>
      </c>
      <c r="E725" s="3" t="s">
        <v>6300</v>
      </c>
      <c r="F725" s="3" t="s">
        <v>8025</v>
      </c>
      <c r="G725" s="3" t="s">
        <v>5176</v>
      </c>
      <c r="H725" s="6" t="s">
        <v>3356</v>
      </c>
      <c r="I725" s="6" t="s">
        <v>3356</v>
      </c>
      <c r="J725" s="3" t="s">
        <v>3356</v>
      </c>
      <c r="L725" s="1" t="s">
        <v>6135</v>
      </c>
    </row>
    <row r="726" spans="1:12">
      <c r="A726" s="3" t="s">
        <v>3356</v>
      </c>
      <c r="C726" s="3" t="s">
        <v>3817</v>
      </c>
      <c r="D726" s="3" t="s">
        <v>7250</v>
      </c>
      <c r="E726" s="3" t="s">
        <v>6300</v>
      </c>
      <c r="F726" s="3" t="s">
        <v>8025</v>
      </c>
      <c r="G726" s="3" t="s">
        <v>5617</v>
      </c>
      <c r="H726" s="6">
        <v>4</v>
      </c>
      <c r="I726" s="6">
        <v>10000</v>
      </c>
      <c r="J726" s="3" t="s">
        <v>6736</v>
      </c>
      <c r="L726" s="1" t="s">
        <v>6135</v>
      </c>
    </row>
    <row r="727" spans="1:12">
      <c r="A727" s="3" t="s">
        <v>3356</v>
      </c>
      <c r="C727" s="3" t="s">
        <v>3817</v>
      </c>
      <c r="D727" s="3" t="s">
        <v>7250</v>
      </c>
      <c r="E727" s="3" t="s">
        <v>6300</v>
      </c>
      <c r="F727" s="3" t="s">
        <v>8025</v>
      </c>
      <c r="G727" s="3" t="s">
        <v>5618</v>
      </c>
      <c r="H727" s="6">
        <v>4</v>
      </c>
      <c r="I727" s="6">
        <v>10000</v>
      </c>
      <c r="J727" s="3" t="s">
        <v>6736</v>
      </c>
      <c r="L727" s="1" t="s">
        <v>6135</v>
      </c>
    </row>
    <row r="728" spans="1:12">
      <c r="A728" s="3" t="s">
        <v>3356</v>
      </c>
      <c r="C728" s="3" t="s">
        <v>3817</v>
      </c>
      <c r="D728" s="3" t="s">
        <v>7250</v>
      </c>
      <c r="E728" s="3" t="s">
        <v>6300</v>
      </c>
      <c r="F728" s="3" t="s">
        <v>8025</v>
      </c>
      <c r="G728" s="3" t="s">
        <v>5619</v>
      </c>
      <c r="H728" s="6">
        <v>3.9590413923210934</v>
      </c>
      <c r="I728" s="6">
        <v>9100</v>
      </c>
      <c r="J728" s="3" t="s">
        <v>6736</v>
      </c>
      <c r="L728" s="1" t="s">
        <v>6135</v>
      </c>
    </row>
    <row r="729" spans="1:12">
      <c r="A729" s="3" t="s">
        <v>3356</v>
      </c>
      <c r="C729" s="3" t="s">
        <v>3817</v>
      </c>
      <c r="D729" s="3" t="s">
        <v>7250</v>
      </c>
      <c r="E729" s="3" t="s">
        <v>6300</v>
      </c>
      <c r="F729" s="3" t="s">
        <v>8025</v>
      </c>
      <c r="G729" s="3" t="s">
        <v>5177</v>
      </c>
      <c r="H729" s="6" t="s">
        <v>3356</v>
      </c>
      <c r="I729" s="6" t="s">
        <v>3356</v>
      </c>
      <c r="J729" s="3" t="s">
        <v>3356</v>
      </c>
      <c r="L729" s="1" t="s">
        <v>6135</v>
      </c>
    </row>
    <row r="730" spans="1:12">
      <c r="A730" s="3" t="s">
        <v>3356</v>
      </c>
      <c r="C730" s="3" t="s">
        <v>3817</v>
      </c>
      <c r="D730" s="3" t="s">
        <v>7250</v>
      </c>
      <c r="E730" s="3" t="s">
        <v>6300</v>
      </c>
      <c r="F730" s="3" t="s">
        <v>8025</v>
      </c>
      <c r="G730" s="3" t="s">
        <v>5620</v>
      </c>
      <c r="H730" s="6">
        <v>4</v>
      </c>
      <c r="I730" s="6">
        <v>10000</v>
      </c>
      <c r="J730" s="3" t="s">
        <v>6736</v>
      </c>
      <c r="L730" s="1" t="s">
        <v>6135</v>
      </c>
    </row>
    <row r="731" spans="1:12">
      <c r="A731" s="3" t="s">
        <v>3356</v>
      </c>
      <c r="C731" s="3" t="s">
        <v>3817</v>
      </c>
      <c r="D731" s="3" t="s">
        <v>7250</v>
      </c>
      <c r="E731" s="3" t="s">
        <v>6300</v>
      </c>
      <c r="F731" s="3" t="s">
        <v>8025</v>
      </c>
      <c r="G731" s="3" t="s">
        <v>5604</v>
      </c>
      <c r="H731" s="6">
        <v>4</v>
      </c>
      <c r="I731" s="6">
        <v>10000</v>
      </c>
      <c r="J731" s="3" t="s">
        <v>6736</v>
      </c>
      <c r="L731" s="1" t="s">
        <v>6135</v>
      </c>
    </row>
    <row r="732" spans="1:12">
      <c r="A732" s="3" t="s">
        <v>3356</v>
      </c>
      <c r="C732" s="3" t="s">
        <v>3817</v>
      </c>
      <c r="D732" s="3" t="s">
        <v>7250</v>
      </c>
      <c r="E732" s="3" t="s">
        <v>6300</v>
      </c>
      <c r="F732" s="3" t="s">
        <v>8025</v>
      </c>
      <c r="G732" s="3" t="s">
        <v>5612</v>
      </c>
      <c r="H732" s="6">
        <v>3.6020599913279625</v>
      </c>
      <c r="I732" s="6">
        <v>4000</v>
      </c>
      <c r="J732" s="3" t="s">
        <v>6736</v>
      </c>
      <c r="L732" s="1" t="s">
        <v>6135</v>
      </c>
    </row>
    <row r="733" spans="1:12">
      <c r="A733" s="3" t="s">
        <v>3356</v>
      </c>
      <c r="C733" s="3" t="s">
        <v>3817</v>
      </c>
      <c r="D733" s="3" t="s">
        <v>7250</v>
      </c>
      <c r="E733" s="3" t="s">
        <v>6300</v>
      </c>
      <c r="F733" s="3" t="s">
        <v>8025</v>
      </c>
      <c r="G733" s="3" t="s">
        <v>4800</v>
      </c>
      <c r="H733" s="6" t="s">
        <v>3356</v>
      </c>
      <c r="I733" s="6" t="s">
        <v>3356</v>
      </c>
      <c r="J733" s="3" t="s">
        <v>3356</v>
      </c>
      <c r="L733" s="1" t="s">
        <v>6135</v>
      </c>
    </row>
    <row r="734" spans="1:12">
      <c r="A734" s="3" t="s">
        <v>3356</v>
      </c>
      <c r="C734" s="3" t="s">
        <v>3817</v>
      </c>
      <c r="D734" s="3" t="s">
        <v>7250</v>
      </c>
      <c r="E734" s="3" t="s">
        <v>6300</v>
      </c>
      <c r="F734" s="3" t="s">
        <v>8025</v>
      </c>
      <c r="G734" s="3" t="s">
        <v>5391</v>
      </c>
      <c r="H734" s="6" t="s">
        <v>3356</v>
      </c>
      <c r="I734" s="6" t="s">
        <v>3356</v>
      </c>
      <c r="J734" s="3" t="s">
        <v>3356</v>
      </c>
      <c r="L734" s="1" t="s">
        <v>6135</v>
      </c>
    </row>
    <row r="735" spans="1:12">
      <c r="A735" s="3" t="s">
        <v>3356</v>
      </c>
      <c r="C735" s="3" t="s">
        <v>3817</v>
      </c>
      <c r="D735" s="3" t="s">
        <v>7250</v>
      </c>
      <c r="E735" s="3" t="s">
        <v>6300</v>
      </c>
      <c r="F735" s="3" t="s">
        <v>5359</v>
      </c>
      <c r="G735" s="3" t="s">
        <v>3569</v>
      </c>
      <c r="H735" s="6" t="s">
        <v>3356</v>
      </c>
      <c r="I735" s="6" t="s">
        <v>3356</v>
      </c>
      <c r="J735" s="3" t="s">
        <v>3356</v>
      </c>
      <c r="L735" s="1" t="s">
        <v>6135</v>
      </c>
    </row>
    <row r="736" spans="1:12">
      <c r="A736" s="3" t="s">
        <v>3356</v>
      </c>
      <c r="C736" s="3" t="s">
        <v>3817</v>
      </c>
      <c r="D736" s="3" t="s">
        <v>7250</v>
      </c>
      <c r="E736" s="3" t="s">
        <v>6300</v>
      </c>
      <c r="F736" s="3" t="s">
        <v>5359</v>
      </c>
      <c r="G736" s="3" t="s">
        <v>5823</v>
      </c>
      <c r="H736" s="6">
        <v>4.2787536009528289</v>
      </c>
      <c r="I736" s="6">
        <v>19000</v>
      </c>
      <c r="J736" s="3" t="s">
        <v>6736</v>
      </c>
      <c r="L736" s="1" t="s">
        <v>6135</v>
      </c>
    </row>
    <row r="737" spans="1:12">
      <c r="A737" s="3" t="s">
        <v>3356</v>
      </c>
      <c r="C737" s="3" t="s">
        <v>3817</v>
      </c>
      <c r="D737" s="3" t="s">
        <v>7250</v>
      </c>
      <c r="E737" s="3" t="s">
        <v>6300</v>
      </c>
      <c r="F737" s="3" t="s">
        <v>5402</v>
      </c>
      <c r="G737" s="3" t="s">
        <v>5403</v>
      </c>
      <c r="H737" s="6">
        <v>3.7958800173440754</v>
      </c>
      <c r="I737" s="6">
        <v>6250</v>
      </c>
      <c r="J737" s="3" t="s">
        <v>6736</v>
      </c>
      <c r="L737" s="1" t="s">
        <v>6135</v>
      </c>
    </row>
    <row r="738" spans="1:12">
      <c r="A738" s="3" t="s">
        <v>3356</v>
      </c>
      <c r="C738" s="3" t="s">
        <v>3817</v>
      </c>
      <c r="D738" s="3" t="s">
        <v>7250</v>
      </c>
      <c r="E738" s="3" t="s">
        <v>6300</v>
      </c>
      <c r="F738" s="3" t="s">
        <v>5402</v>
      </c>
      <c r="G738" s="3" t="s">
        <v>5392</v>
      </c>
      <c r="H738" s="6" t="s">
        <v>3356</v>
      </c>
      <c r="I738" s="6" t="s">
        <v>3356</v>
      </c>
      <c r="J738" s="3" t="s">
        <v>3356</v>
      </c>
      <c r="L738" s="1" t="s">
        <v>6135</v>
      </c>
    </row>
    <row r="739" spans="1:12">
      <c r="A739" s="3" t="s">
        <v>3356</v>
      </c>
      <c r="C739" s="3" t="s">
        <v>3817</v>
      </c>
      <c r="D739" s="3" t="s">
        <v>7250</v>
      </c>
      <c r="E739" s="3" t="s">
        <v>6300</v>
      </c>
      <c r="F739" s="3" t="s">
        <v>5402</v>
      </c>
      <c r="G739" s="3" t="s">
        <v>5396</v>
      </c>
      <c r="H739" s="6" t="s">
        <v>3356</v>
      </c>
      <c r="I739" s="6" t="s">
        <v>3356</v>
      </c>
      <c r="J739" s="3" t="s">
        <v>3356</v>
      </c>
      <c r="L739" s="1" t="s">
        <v>6135</v>
      </c>
    </row>
    <row r="740" spans="1:12">
      <c r="A740" s="3" t="s">
        <v>3356</v>
      </c>
      <c r="C740" s="3" t="s">
        <v>3817</v>
      </c>
      <c r="D740" s="3" t="s">
        <v>7250</v>
      </c>
      <c r="E740" s="3" t="s">
        <v>6300</v>
      </c>
      <c r="F740" s="3" t="s">
        <v>5402</v>
      </c>
      <c r="G740" s="3" t="s">
        <v>5637</v>
      </c>
      <c r="H740" s="6" t="s">
        <v>3356</v>
      </c>
      <c r="I740" s="6" t="s">
        <v>3356</v>
      </c>
      <c r="J740" s="3" t="s">
        <v>3356</v>
      </c>
      <c r="L740" s="1" t="s">
        <v>6135</v>
      </c>
    </row>
    <row r="741" spans="1:12">
      <c r="A741" s="3" t="s">
        <v>3356</v>
      </c>
      <c r="C741" s="3" t="s">
        <v>3817</v>
      </c>
      <c r="D741" s="3" t="s">
        <v>7250</v>
      </c>
      <c r="E741" s="3" t="s">
        <v>6300</v>
      </c>
      <c r="F741" s="3" t="s">
        <v>5402</v>
      </c>
      <c r="G741" s="3" t="s">
        <v>5404</v>
      </c>
      <c r="H741" s="6">
        <v>3.7993405494535817</v>
      </c>
      <c r="I741" s="6">
        <v>6300</v>
      </c>
      <c r="J741" s="3" t="s">
        <v>6736</v>
      </c>
      <c r="L741" s="1" t="s">
        <v>6135</v>
      </c>
    </row>
    <row r="742" spans="1:12">
      <c r="A742" s="3" t="s">
        <v>3356</v>
      </c>
      <c r="C742" s="3" t="s">
        <v>3817</v>
      </c>
      <c r="D742" s="3" t="s">
        <v>7250</v>
      </c>
      <c r="E742" s="3" t="s">
        <v>6300</v>
      </c>
      <c r="F742" s="3" t="s">
        <v>5402</v>
      </c>
      <c r="G742" s="3" t="s">
        <v>5397</v>
      </c>
      <c r="H742" s="6" t="s">
        <v>3356</v>
      </c>
      <c r="I742" s="6" t="s">
        <v>3356</v>
      </c>
      <c r="J742" s="3" t="s">
        <v>3356</v>
      </c>
      <c r="L742" s="1" t="s">
        <v>6135</v>
      </c>
    </row>
    <row r="743" spans="1:12">
      <c r="A743" s="3" t="s">
        <v>3356</v>
      </c>
      <c r="C743" s="3" t="s">
        <v>3817</v>
      </c>
      <c r="D743" s="3" t="s">
        <v>7250</v>
      </c>
      <c r="E743" s="3" t="s">
        <v>6300</v>
      </c>
      <c r="F743" s="3" t="s">
        <v>5402</v>
      </c>
      <c r="G743" s="3" t="s">
        <v>5389</v>
      </c>
      <c r="H743" s="6">
        <v>3.7993405494535817</v>
      </c>
      <c r="I743" s="6">
        <v>6300</v>
      </c>
      <c r="J743" s="3" t="s">
        <v>6736</v>
      </c>
      <c r="L743" s="1" t="s">
        <v>6135</v>
      </c>
    </row>
    <row r="744" spans="1:12">
      <c r="A744" s="3" t="s">
        <v>3356</v>
      </c>
      <c r="C744" s="3" t="s">
        <v>3817</v>
      </c>
      <c r="D744" s="3" t="s">
        <v>7250</v>
      </c>
      <c r="E744" s="3" t="s">
        <v>6300</v>
      </c>
      <c r="F744" s="3" t="s">
        <v>5402</v>
      </c>
      <c r="G744" s="3" t="s">
        <v>4852</v>
      </c>
      <c r="H744" s="6" t="s">
        <v>3356</v>
      </c>
      <c r="I744" s="6" t="s">
        <v>3356</v>
      </c>
      <c r="J744" s="3" t="s">
        <v>3356</v>
      </c>
      <c r="L744" s="1" t="s">
        <v>6135</v>
      </c>
    </row>
    <row r="745" spans="1:12">
      <c r="A745" s="3" t="s">
        <v>3356</v>
      </c>
      <c r="C745" s="3" t="s">
        <v>3817</v>
      </c>
      <c r="D745" s="3" t="s">
        <v>7250</v>
      </c>
      <c r="E745" s="3" t="s">
        <v>6300</v>
      </c>
      <c r="F745" s="3" t="s">
        <v>3178</v>
      </c>
      <c r="G745" s="3" t="s">
        <v>8274</v>
      </c>
      <c r="H745" s="6" t="s">
        <v>3356</v>
      </c>
      <c r="I745" s="6" t="s">
        <v>3356</v>
      </c>
      <c r="J745" s="3" t="s">
        <v>3356</v>
      </c>
      <c r="L745" s="1" t="s">
        <v>6135</v>
      </c>
    </row>
    <row r="746" spans="1:12">
      <c r="A746" s="3" t="s">
        <v>3356</v>
      </c>
      <c r="C746" s="3" t="s">
        <v>3817</v>
      </c>
      <c r="D746" s="3" t="s">
        <v>7250</v>
      </c>
      <c r="E746" s="3" t="s">
        <v>6300</v>
      </c>
      <c r="F746" s="3" t="s">
        <v>3178</v>
      </c>
      <c r="G746" s="3" t="s">
        <v>5531</v>
      </c>
      <c r="H746" s="6" t="s">
        <v>3356</v>
      </c>
      <c r="I746" s="6" t="s">
        <v>3356</v>
      </c>
      <c r="J746" s="3" t="s">
        <v>3356</v>
      </c>
      <c r="L746" s="1" t="s">
        <v>6135</v>
      </c>
    </row>
    <row r="747" spans="1:12">
      <c r="A747" s="3" t="s">
        <v>3356</v>
      </c>
      <c r="C747" s="3" t="s">
        <v>3817</v>
      </c>
      <c r="D747" s="3" t="s">
        <v>7250</v>
      </c>
      <c r="E747" s="3" t="s">
        <v>6300</v>
      </c>
      <c r="F747" s="3" t="s">
        <v>3178</v>
      </c>
      <c r="G747" s="3" t="s">
        <v>4882</v>
      </c>
      <c r="H747" s="6" t="s">
        <v>3356</v>
      </c>
      <c r="I747" s="6" t="s">
        <v>3356</v>
      </c>
      <c r="J747" s="3" t="s">
        <v>3356</v>
      </c>
      <c r="L747" s="1" t="s">
        <v>6135</v>
      </c>
    </row>
    <row r="748" spans="1:12">
      <c r="A748" s="3" t="s">
        <v>3356</v>
      </c>
      <c r="C748" s="3" t="s">
        <v>3817</v>
      </c>
      <c r="D748" s="3" t="s">
        <v>7250</v>
      </c>
      <c r="E748" s="3" t="s">
        <v>6300</v>
      </c>
      <c r="F748" s="3" t="s">
        <v>4720</v>
      </c>
      <c r="G748" s="3" t="s">
        <v>5304</v>
      </c>
      <c r="H748" s="6" t="s">
        <v>3356</v>
      </c>
      <c r="I748" s="6" t="s">
        <v>3356</v>
      </c>
      <c r="J748" s="3" t="s">
        <v>3356</v>
      </c>
      <c r="L748" s="1" t="s">
        <v>6135</v>
      </c>
    </row>
    <row r="749" spans="1:12">
      <c r="A749" s="3" t="s">
        <v>3356</v>
      </c>
      <c r="C749" s="3" t="s">
        <v>3817</v>
      </c>
      <c r="D749" s="3" t="s">
        <v>7250</v>
      </c>
      <c r="E749" s="3" t="s">
        <v>6300</v>
      </c>
      <c r="F749" s="3" t="s">
        <v>4720</v>
      </c>
      <c r="G749" s="3" t="s">
        <v>3542</v>
      </c>
      <c r="H749" s="6" t="s">
        <v>3356</v>
      </c>
      <c r="I749" s="6" t="s">
        <v>3356</v>
      </c>
      <c r="J749" s="3" t="s">
        <v>3356</v>
      </c>
      <c r="L749" s="1" t="s">
        <v>6135</v>
      </c>
    </row>
    <row r="750" spans="1:12">
      <c r="A750" s="3" t="s">
        <v>3356</v>
      </c>
      <c r="C750" s="3" t="s">
        <v>3817</v>
      </c>
      <c r="D750" s="3" t="s">
        <v>7250</v>
      </c>
      <c r="E750" s="3" t="s">
        <v>6300</v>
      </c>
      <c r="F750" s="3" t="s">
        <v>4720</v>
      </c>
      <c r="G750" s="3" t="s">
        <v>5305</v>
      </c>
      <c r="H750" s="6" t="s">
        <v>3356</v>
      </c>
      <c r="I750" s="6" t="s">
        <v>3356</v>
      </c>
      <c r="J750" s="3" t="s">
        <v>3356</v>
      </c>
      <c r="L750" s="1" t="s">
        <v>6135</v>
      </c>
    </row>
    <row r="751" spans="1:12">
      <c r="A751" s="3" t="s">
        <v>3356</v>
      </c>
      <c r="C751" s="3" t="s">
        <v>3817</v>
      </c>
      <c r="D751" s="3" t="s">
        <v>7250</v>
      </c>
      <c r="E751" s="3" t="s">
        <v>6300</v>
      </c>
      <c r="F751" s="3" t="s">
        <v>4720</v>
      </c>
      <c r="G751" s="3" t="s">
        <v>7712</v>
      </c>
      <c r="H751" s="6" t="s">
        <v>3356</v>
      </c>
      <c r="I751" s="6" t="s">
        <v>3356</v>
      </c>
      <c r="J751" s="3" t="s">
        <v>3356</v>
      </c>
      <c r="L751" s="1" t="s">
        <v>6135</v>
      </c>
    </row>
    <row r="752" spans="1:12">
      <c r="A752" s="3" t="s">
        <v>3356</v>
      </c>
      <c r="C752" s="3" t="s">
        <v>3817</v>
      </c>
      <c r="D752" s="3" t="s">
        <v>7250</v>
      </c>
      <c r="E752" s="3" t="s">
        <v>6300</v>
      </c>
      <c r="F752" s="3" t="s">
        <v>4720</v>
      </c>
      <c r="G752" s="3" t="s">
        <v>7713</v>
      </c>
      <c r="H752" s="6" t="s">
        <v>3356</v>
      </c>
      <c r="I752" s="6" t="s">
        <v>3356</v>
      </c>
      <c r="J752" s="3" t="s">
        <v>3356</v>
      </c>
      <c r="L752" s="1" t="s">
        <v>6135</v>
      </c>
    </row>
    <row r="753" spans="1:12">
      <c r="A753" s="3" t="s">
        <v>3356</v>
      </c>
      <c r="C753" s="3" t="s">
        <v>3817</v>
      </c>
      <c r="D753" s="3" t="s">
        <v>7250</v>
      </c>
      <c r="E753" s="3" t="s">
        <v>6300</v>
      </c>
      <c r="F753" s="3" t="s">
        <v>5106</v>
      </c>
      <c r="G753" s="3" t="s">
        <v>4723</v>
      </c>
      <c r="H753" s="6">
        <v>4.1613680022349753</v>
      </c>
      <c r="I753" s="6">
        <v>14500</v>
      </c>
      <c r="J753" s="3" t="s">
        <v>6736</v>
      </c>
      <c r="L753" s="1" t="s">
        <v>6135</v>
      </c>
    </row>
    <row r="754" spans="1:12">
      <c r="A754" s="3" t="s">
        <v>3356</v>
      </c>
      <c r="C754" s="3" t="s">
        <v>3817</v>
      </c>
      <c r="D754" s="3" t="s">
        <v>7250</v>
      </c>
      <c r="E754" s="3" t="s">
        <v>6300</v>
      </c>
      <c r="F754" s="3" t="s">
        <v>4724</v>
      </c>
      <c r="G754" s="3" t="s">
        <v>2341</v>
      </c>
      <c r="H754" s="6" t="s">
        <v>3356</v>
      </c>
      <c r="I754" s="6" t="s">
        <v>3356</v>
      </c>
      <c r="J754" s="3" t="s">
        <v>3356</v>
      </c>
      <c r="L754" s="1" t="s">
        <v>6135</v>
      </c>
    </row>
    <row r="755" spans="1:12">
      <c r="A755" s="3" t="s">
        <v>3356</v>
      </c>
      <c r="C755" s="3" t="s">
        <v>3817</v>
      </c>
      <c r="D755" s="3" t="s">
        <v>7250</v>
      </c>
      <c r="E755" s="3" t="s">
        <v>6300</v>
      </c>
      <c r="F755" s="3" t="s">
        <v>4724</v>
      </c>
      <c r="G755" s="3" t="s">
        <v>3792</v>
      </c>
      <c r="H755" s="6">
        <v>3.9216864754836021</v>
      </c>
      <c r="I755" s="6">
        <v>8350</v>
      </c>
      <c r="J755" s="3" t="s">
        <v>6736</v>
      </c>
      <c r="L755" s="1" t="s">
        <v>6135</v>
      </c>
    </row>
    <row r="756" spans="1:12">
      <c r="A756" s="3" t="s">
        <v>3356</v>
      </c>
      <c r="C756" s="3" t="s">
        <v>3817</v>
      </c>
      <c r="D756" s="3" t="s">
        <v>7250</v>
      </c>
      <c r="E756" s="3" t="s">
        <v>6300</v>
      </c>
      <c r="F756" s="3" t="s">
        <v>4724</v>
      </c>
      <c r="G756" s="3" t="s">
        <v>5234</v>
      </c>
      <c r="H756" s="6" t="s">
        <v>3356</v>
      </c>
      <c r="I756" s="6" t="s">
        <v>3356</v>
      </c>
      <c r="J756" s="3" t="s">
        <v>3356</v>
      </c>
      <c r="L756" s="1" t="s">
        <v>6135</v>
      </c>
    </row>
    <row r="757" spans="1:12">
      <c r="A757" s="3" t="s">
        <v>3356</v>
      </c>
      <c r="C757" s="3" t="s">
        <v>3817</v>
      </c>
      <c r="D757" s="3" t="s">
        <v>7250</v>
      </c>
      <c r="E757" s="3" t="s">
        <v>6300</v>
      </c>
      <c r="F757" s="3" t="s">
        <v>4724</v>
      </c>
      <c r="G757" s="3" t="s">
        <v>5235</v>
      </c>
      <c r="H757" s="6" t="s">
        <v>3356</v>
      </c>
      <c r="I757" s="6" t="s">
        <v>3356</v>
      </c>
      <c r="J757" s="3" t="s">
        <v>3356</v>
      </c>
      <c r="L757" s="1" t="s">
        <v>6135</v>
      </c>
    </row>
    <row r="758" spans="1:12">
      <c r="A758" s="3" t="s">
        <v>3356</v>
      </c>
      <c r="C758" s="3" t="s">
        <v>3817</v>
      </c>
      <c r="D758" s="3" t="s">
        <v>7250</v>
      </c>
      <c r="E758" s="3" t="s">
        <v>6300</v>
      </c>
      <c r="F758" s="3" t="s">
        <v>4724</v>
      </c>
      <c r="G758" s="3" t="s">
        <v>5835</v>
      </c>
      <c r="H758" s="6">
        <v>3.9111576087399764</v>
      </c>
      <c r="I758" s="6">
        <v>8150</v>
      </c>
      <c r="J758" s="3" t="s">
        <v>6736</v>
      </c>
      <c r="L758" s="1" t="s">
        <v>6135</v>
      </c>
    </row>
    <row r="759" spans="1:12">
      <c r="A759" s="3" t="s">
        <v>3356</v>
      </c>
      <c r="C759" s="3" t="s">
        <v>3817</v>
      </c>
      <c r="D759" s="3" t="s">
        <v>7250</v>
      </c>
      <c r="E759" s="3" t="s">
        <v>6300</v>
      </c>
      <c r="F759" s="3" t="s">
        <v>4724</v>
      </c>
      <c r="G759" s="3" t="s">
        <v>7543</v>
      </c>
      <c r="H759" s="6">
        <v>3.8162412999917832</v>
      </c>
      <c r="I759" s="6">
        <v>6550</v>
      </c>
      <c r="J759" s="3" t="s">
        <v>6736</v>
      </c>
      <c r="L759" s="1" t="s">
        <v>6135</v>
      </c>
    </row>
    <row r="760" spans="1:12">
      <c r="A760" s="3" t="s">
        <v>3356</v>
      </c>
      <c r="C760" s="3" t="s">
        <v>3817</v>
      </c>
      <c r="D760" s="3" t="s">
        <v>7250</v>
      </c>
      <c r="E760" s="3" t="s">
        <v>6300</v>
      </c>
      <c r="F760" s="3" t="s">
        <v>4724</v>
      </c>
      <c r="G760" s="3" t="s">
        <v>6795</v>
      </c>
      <c r="H760" s="6" t="s">
        <v>3356</v>
      </c>
      <c r="I760" s="6" t="s">
        <v>3356</v>
      </c>
      <c r="J760" s="3" t="s">
        <v>3356</v>
      </c>
      <c r="L760" s="1" t="s">
        <v>6135</v>
      </c>
    </row>
    <row r="761" spans="1:12">
      <c r="A761" s="3" t="s">
        <v>3356</v>
      </c>
      <c r="C761" s="3" t="s">
        <v>3817</v>
      </c>
      <c r="D761" s="3" t="s">
        <v>7250</v>
      </c>
      <c r="E761" s="3" t="s">
        <v>6300</v>
      </c>
      <c r="F761" s="3" t="s">
        <v>4724</v>
      </c>
      <c r="G761" s="3" t="s">
        <v>5836</v>
      </c>
      <c r="H761" s="6">
        <v>4.0588054866759071</v>
      </c>
      <c r="I761" s="6">
        <v>11450</v>
      </c>
      <c r="J761" s="3" t="s">
        <v>6736</v>
      </c>
      <c r="L761" s="1" t="s">
        <v>6135</v>
      </c>
    </row>
    <row r="762" spans="1:12">
      <c r="A762" s="3" t="s">
        <v>3356</v>
      </c>
      <c r="C762" s="3" t="s">
        <v>3817</v>
      </c>
      <c r="D762" s="3" t="s">
        <v>7250</v>
      </c>
      <c r="E762" s="3" t="s">
        <v>6300</v>
      </c>
      <c r="F762" s="3" t="s">
        <v>4724</v>
      </c>
      <c r="G762" s="3" t="s">
        <v>7318</v>
      </c>
      <c r="H762" s="6">
        <v>3.8162412999917832</v>
      </c>
      <c r="I762" s="6">
        <v>6550</v>
      </c>
      <c r="J762" s="3" t="s">
        <v>6736</v>
      </c>
      <c r="L762" s="1" t="s">
        <v>6135</v>
      </c>
    </row>
    <row r="763" spans="1:12">
      <c r="A763" s="3" t="s">
        <v>3356</v>
      </c>
      <c r="C763" s="3" t="s">
        <v>3817</v>
      </c>
      <c r="D763" s="3" t="s">
        <v>7250</v>
      </c>
      <c r="E763" s="3" t="s">
        <v>6737</v>
      </c>
      <c r="F763" s="3" t="s">
        <v>5698</v>
      </c>
      <c r="G763" s="3" t="s">
        <v>4110</v>
      </c>
      <c r="H763" s="6" t="s">
        <v>3356</v>
      </c>
      <c r="I763" s="6" t="s">
        <v>3356</v>
      </c>
      <c r="J763" s="3" t="s">
        <v>3356</v>
      </c>
      <c r="L763" s="1" t="s">
        <v>6135</v>
      </c>
    </row>
    <row r="764" spans="1:12">
      <c r="A764" s="3" t="s">
        <v>3356</v>
      </c>
      <c r="C764" s="3" t="s">
        <v>3817</v>
      </c>
      <c r="D764" s="3" t="s">
        <v>7250</v>
      </c>
      <c r="E764" s="3" t="s">
        <v>6737</v>
      </c>
      <c r="F764" s="3" t="s">
        <v>5837</v>
      </c>
      <c r="G764" s="3" t="s">
        <v>5838</v>
      </c>
      <c r="H764" s="6">
        <v>2.5899496013257077</v>
      </c>
      <c r="I764" s="6">
        <v>389</v>
      </c>
      <c r="J764" s="3" t="s">
        <v>6736</v>
      </c>
      <c r="L764" s="1" t="s">
        <v>6135</v>
      </c>
    </row>
    <row r="765" spans="1:12">
      <c r="A765" s="3" t="s">
        <v>3356</v>
      </c>
      <c r="C765" s="3" t="s">
        <v>3817</v>
      </c>
      <c r="D765" s="3" t="s">
        <v>7250</v>
      </c>
      <c r="E765" s="3" t="s">
        <v>6737</v>
      </c>
      <c r="F765" s="3" t="s">
        <v>5837</v>
      </c>
      <c r="G765" s="3" t="s">
        <v>5110</v>
      </c>
      <c r="H765" s="6">
        <v>2.5899496013257077</v>
      </c>
      <c r="I765" s="6">
        <v>389</v>
      </c>
      <c r="J765" s="3" t="s">
        <v>6736</v>
      </c>
      <c r="L765" s="1" t="s">
        <v>6135</v>
      </c>
    </row>
    <row r="766" spans="1:12">
      <c r="A766" s="3" t="s">
        <v>3356</v>
      </c>
      <c r="C766" s="3" t="s">
        <v>3817</v>
      </c>
      <c r="D766" s="3" t="s">
        <v>7250</v>
      </c>
      <c r="E766" s="3" t="s">
        <v>6737</v>
      </c>
      <c r="F766" s="3" t="s">
        <v>5578</v>
      </c>
      <c r="G766" s="3" t="s">
        <v>5579</v>
      </c>
      <c r="H766" s="6">
        <v>2.4771212547196626</v>
      </c>
      <c r="I766" s="6">
        <v>300</v>
      </c>
      <c r="J766" s="3" t="s">
        <v>6736</v>
      </c>
      <c r="L766" s="1" t="s">
        <v>6135</v>
      </c>
    </row>
    <row r="767" spans="1:12">
      <c r="A767" s="3" t="s">
        <v>3356</v>
      </c>
      <c r="C767" s="3" t="s">
        <v>3817</v>
      </c>
      <c r="D767" s="3" t="s">
        <v>7250</v>
      </c>
      <c r="E767" s="3" t="s">
        <v>6737</v>
      </c>
      <c r="F767" s="3" t="s">
        <v>5578</v>
      </c>
      <c r="G767" s="3" t="s">
        <v>4557</v>
      </c>
      <c r="H767" s="6">
        <v>1.8325089127062364</v>
      </c>
      <c r="I767" s="6">
        <v>68</v>
      </c>
      <c r="J767" s="3" t="s">
        <v>6736</v>
      </c>
      <c r="L767" s="1" t="s">
        <v>6135</v>
      </c>
    </row>
    <row r="768" spans="1:12">
      <c r="A768" s="3" t="s">
        <v>3356</v>
      </c>
      <c r="C768" s="3" t="s">
        <v>3817</v>
      </c>
      <c r="D768" s="3" t="s">
        <v>7250</v>
      </c>
      <c r="E768" s="3" t="s">
        <v>6737</v>
      </c>
      <c r="F768" s="3" t="s">
        <v>5578</v>
      </c>
      <c r="G768" s="3" t="s">
        <v>2329</v>
      </c>
      <c r="H768" s="6" t="s">
        <v>3356</v>
      </c>
      <c r="I768" s="6" t="s">
        <v>3356</v>
      </c>
      <c r="J768" s="3" t="s">
        <v>3356</v>
      </c>
      <c r="L768" s="1" t="s">
        <v>6135</v>
      </c>
    </row>
    <row r="769" spans="1:12">
      <c r="A769" s="3" t="s">
        <v>3356</v>
      </c>
      <c r="C769" s="3" t="s">
        <v>3817</v>
      </c>
      <c r="D769" s="3" t="s">
        <v>7250</v>
      </c>
      <c r="E769" s="3" t="s">
        <v>6737</v>
      </c>
      <c r="F769" s="3" t="s">
        <v>5580</v>
      </c>
      <c r="G769" s="3" t="s">
        <v>5581</v>
      </c>
      <c r="H769" s="6">
        <v>2.6283889300503116</v>
      </c>
      <c r="I769" s="6">
        <v>425</v>
      </c>
      <c r="J769" s="3" t="s">
        <v>6736</v>
      </c>
      <c r="L769" s="1" t="s">
        <v>6135</v>
      </c>
    </row>
    <row r="770" spans="1:12">
      <c r="A770" s="3" t="s">
        <v>3356</v>
      </c>
      <c r="C770" s="3" t="s">
        <v>3817</v>
      </c>
      <c r="D770" s="3" t="s">
        <v>7250</v>
      </c>
      <c r="E770" s="3" t="s">
        <v>3565</v>
      </c>
      <c r="F770" s="3" t="s">
        <v>8118</v>
      </c>
      <c r="G770" s="3" t="s">
        <v>8119</v>
      </c>
      <c r="H770" s="6">
        <v>3.3010299956639813</v>
      </c>
      <c r="I770" s="6">
        <v>2000</v>
      </c>
      <c r="J770" s="3" t="s">
        <v>6736</v>
      </c>
      <c r="L770" s="1" t="s">
        <v>6135</v>
      </c>
    </row>
    <row r="771" spans="1:12">
      <c r="A771" s="3" t="s">
        <v>3356</v>
      </c>
      <c r="C771" s="3" t="s">
        <v>3817</v>
      </c>
      <c r="D771" s="3" t="s">
        <v>7250</v>
      </c>
      <c r="E771" s="3" t="s">
        <v>6313</v>
      </c>
      <c r="F771" s="3" t="s">
        <v>6314</v>
      </c>
      <c r="G771" s="3" t="s">
        <v>5379</v>
      </c>
      <c r="H771" s="6" t="s">
        <v>3356</v>
      </c>
      <c r="I771" s="6" t="s">
        <v>3356</v>
      </c>
      <c r="J771" s="3" t="s">
        <v>3356</v>
      </c>
      <c r="L771" s="1" t="s">
        <v>6135</v>
      </c>
    </row>
    <row r="772" spans="1:12">
      <c r="A772" s="3" t="s">
        <v>3356</v>
      </c>
      <c r="C772" s="3" t="s">
        <v>3817</v>
      </c>
      <c r="D772" s="3" t="s">
        <v>7250</v>
      </c>
      <c r="E772" s="3" t="s">
        <v>6313</v>
      </c>
      <c r="F772" s="3" t="s">
        <v>6316</v>
      </c>
      <c r="G772" s="3" t="s">
        <v>5775</v>
      </c>
      <c r="H772" s="6" t="s">
        <v>3356</v>
      </c>
      <c r="I772" s="6" t="s">
        <v>3356</v>
      </c>
      <c r="J772" s="3" t="s">
        <v>3356</v>
      </c>
      <c r="L772" s="1" t="s">
        <v>6135</v>
      </c>
    </row>
    <row r="773" spans="1:12">
      <c r="A773" s="3" t="s">
        <v>3356</v>
      </c>
      <c r="C773" s="3" t="s">
        <v>3817</v>
      </c>
      <c r="D773" s="3" t="s">
        <v>7250</v>
      </c>
      <c r="E773" s="3" t="s">
        <v>6313</v>
      </c>
      <c r="F773" s="3" t="s">
        <v>6316</v>
      </c>
      <c r="G773" s="3" t="s">
        <v>8120</v>
      </c>
      <c r="H773" s="6">
        <v>2.2671717284030137</v>
      </c>
      <c r="I773" s="6">
        <v>185</v>
      </c>
      <c r="J773" s="3" t="s">
        <v>6736</v>
      </c>
      <c r="L773" s="1" t="s">
        <v>6135</v>
      </c>
    </row>
    <row r="774" spans="1:12">
      <c r="A774" s="3" t="s">
        <v>3356</v>
      </c>
      <c r="C774" s="3" t="s">
        <v>3817</v>
      </c>
      <c r="D774" s="3" t="s">
        <v>7250</v>
      </c>
      <c r="E774" s="3" t="s">
        <v>6313</v>
      </c>
      <c r="F774" s="3" t="s">
        <v>6354</v>
      </c>
      <c r="G774" s="3" t="s">
        <v>5113</v>
      </c>
      <c r="H774" s="6">
        <v>3.1139433523068369</v>
      </c>
      <c r="I774" s="6">
        <v>1300</v>
      </c>
      <c r="J774" s="3" t="s">
        <v>6736</v>
      </c>
      <c r="L774" s="1" t="s">
        <v>6135</v>
      </c>
    </row>
    <row r="775" spans="1:12">
      <c r="A775" s="3" t="s">
        <v>3356</v>
      </c>
      <c r="C775" s="3" t="s">
        <v>3817</v>
      </c>
      <c r="D775" s="3" t="s">
        <v>7250</v>
      </c>
      <c r="E775" s="3" t="s">
        <v>6355</v>
      </c>
      <c r="F775" s="3" t="s">
        <v>6051</v>
      </c>
      <c r="G775" s="3" t="s">
        <v>2992</v>
      </c>
      <c r="H775" s="6" t="s">
        <v>3356</v>
      </c>
      <c r="I775" s="6" t="s">
        <v>3356</v>
      </c>
      <c r="J775" s="3" t="s">
        <v>3356</v>
      </c>
      <c r="L775" s="1" t="s">
        <v>6135</v>
      </c>
    </row>
    <row r="776" spans="1:12">
      <c r="A776" s="3" t="s">
        <v>3356</v>
      </c>
      <c r="C776" s="3" t="s">
        <v>3817</v>
      </c>
      <c r="D776" s="3" t="s">
        <v>7250</v>
      </c>
      <c r="E776" s="3" t="s">
        <v>6355</v>
      </c>
      <c r="F776" s="3" t="s">
        <v>5114</v>
      </c>
      <c r="G776" s="3" t="s">
        <v>7234</v>
      </c>
      <c r="H776" s="6">
        <v>4.6989700043360187</v>
      </c>
      <c r="I776" s="6">
        <v>50000</v>
      </c>
      <c r="J776" s="3" t="s">
        <v>6736</v>
      </c>
      <c r="L776" s="1" t="s">
        <v>6135</v>
      </c>
    </row>
    <row r="777" spans="1:12">
      <c r="A777" s="3" t="s">
        <v>3356</v>
      </c>
      <c r="C777" s="3" t="s">
        <v>3817</v>
      </c>
      <c r="D777" s="3" t="s">
        <v>7250</v>
      </c>
      <c r="E777" s="3" t="s">
        <v>3566</v>
      </c>
      <c r="F777" s="3" t="s">
        <v>5582</v>
      </c>
      <c r="G777" s="3" t="s">
        <v>4399</v>
      </c>
      <c r="H777" s="6">
        <v>3.6989700043360187</v>
      </c>
      <c r="I777" s="6">
        <v>5000</v>
      </c>
      <c r="J777" s="3" t="s">
        <v>6736</v>
      </c>
      <c r="L777" s="1" t="s">
        <v>6135</v>
      </c>
    </row>
    <row r="778" spans="1:12">
      <c r="A778" s="3" t="s">
        <v>3356</v>
      </c>
      <c r="C778" s="3" t="s">
        <v>3817</v>
      </c>
      <c r="D778" s="3" t="s">
        <v>7250</v>
      </c>
      <c r="E778" s="3" t="s">
        <v>3566</v>
      </c>
      <c r="F778" s="3" t="s">
        <v>5582</v>
      </c>
      <c r="G778" s="3" t="s">
        <v>3569</v>
      </c>
      <c r="H778" s="6" t="s">
        <v>3356</v>
      </c>
      <c r="I778" s="6" t="s">
        <v>3356</v>
      </c>
      <c r="J778" s="3" t="s">
        <v>3356</v>
      </c>
      <c r="L778" s="1" t="s">
        <v>6135</v>
      </c>
    </row>
    <row r="779" spans="1:12">
      <c r="A779" s="3" t="s">
        <v>3356</v>
      </c>
      <c r="C779" s="3" t="s">
        <v>3817</v>
      </c>
      <c r="D779" s="3" t="s">
        <v>7250</v>
      </c>
      <c r="E779" s="3" t="s">
        <v>3566</v>
      </c>
      <c r="F779" s="3" t="s">
        <v>5582</v>
      </c>
      <c r="G779" s="3" t="s">
        <v>5089</v>
      </c>
      <c r="H779" s="6" t="s">
        <v>3356</v>
      </c>
      <c r="I779" s="6" t="s">
        <v>3356</v>
      </c>
      <c r="J779" s="3" t="s">
        <v>3356</v>
      </c>
      <c r="L779" s="1" t="s">
        <v>6135</v>
      </c>
    </row>
    <row r="780" spans="1:12">
      <c r="A780" s="3" t="s">
        <v>3356</v>
      </c>
      <c r="C780" s="3" t="s">
        <v>3817</v>
      </c>
      <c r="D780" s="3" t="s">
        <v>7250</v>
      </c>
      <c r="E780" s="3" t="s">
        <v>3566</v>
      </c>
      <c r="F780" s="3" t="s">
        <v>5582</v>
      </c>
      <c r="G780" s="3" t="s">
        <v>5583</v>
      </c>
      <c r="H780" s="6">
        <v>3.8129133566428557</v>
      </c>
      <c r="I780" s="6">
        <v>6500</v>
      </c>
      <c r="J780" s="3" t="s">
        <v>6736</v>
      </c>
      <c r="L780" s="1" t="s">
        <v>6135</v>
      </c>
    </row>
    <row r="781" spans="1:12">
      <c r="A781" s="3" t="s">
        <v>3356</v>
      </c>
      <c r="C781" s="3" t="s">
        <v>3817</v>
      </c>
      <c r="D781" s="3" t="s">
        <v>7250</v>
      </c>
      <c r="E781" s="3" t="s">
        <v>3566</v>
      </c>
      <c r="F781" s="3" t="s">
        <v>5582</v>
      </c>
      <c r="G781" s="3" t="s">
        <v>5584</v>
      </c>
      <c r="H781" s="6">
        <v>3.7634279935629373</v>
      </c>
      <c r="I781" s="6">
        <v>5800</v>
      </c>
      <c r="J781" s="3" t="s">
        <v>6736</v>
      </c>
      <c r="L781" s="1" t="s">
        <v>6135</v>
      </c>
    </row>
    <row r="782" spans="1:12">
      <c r="A782" s="3" t="s">
        <v>3356</v>
      </c>
      <c r="C782" s="3" t="s">
        <v>3817</v>
      </c>
      <c r="D782" s="3" t="s">
        <v>7250</v>
      </c>
      <c r="E782" s="3" t="s">
        <v>3566</v>
      </c>
      <c r="F782" s="3" t="s">
        <v>5582</v>
      </c>
      <c r="G782" s="3" t="s">
        <v>5585</v>
      </c>
      <c r="H782" s="6">
        <v>3.6989700043360187</v>
      </c>
      <c r="I782" s="6">
        <v>5000</v>
      </c>
      <c r="J782" s="3" t="s">
        <v>6736</v>
      </c>
      <c r="L782" s="1" t="s">
        <v>6135</v>
      </c>
    </row>
    <row r="783" spans="1:12">
      <c r="A783" s="3" t="s">
        <v>3356</v>
      </c>
      <c r="C783" s="3" t="s">
        <v>3817</v>
      </c>
      <c r="D783" s="3" t="s">
        <v>7250</v>
      </c>
      <c r="E783" s="3" t="s">
        <v>3566</v>
      </c>
      <c r="F783" s="3" t="s">
        <v>5582</v>
      </c>
      <c r="G783" s="3" t="s">
        <v>3616</v>
      </c>
      <c r="H783" s="6" t="s">
        <v>3356</v>
      </c>
      <c r="I783" s="6" t="s">
        <v>3356</v>
      </c>
      <c r="J783" s="3" t="s">
        <v>3356</v>
      </c>
      <c r="L783" s="1" t="s">
        <v>6135</v>
      </c>
    </row>
    <row r="784" spans="1:12">
      <c r="A784" s="3" t="s">
        <v>3356</v>
      </c>
      <c r="C784" s="3" t="s">
        <v>3817</v>
      </c>
      <c r="D784" s="3" t="s">
        <v>7250</v>
      </c>
      <c r="E784" s="3" t="s">
        <v>3566</v>
      </c>
      <c r="F784" s="3" t="s">
        <v>5582</v>
      </c>
      <c r="G784" s="3" t="s">
        <v>7154</v>
      </c>
      <c r="H784" s="6">
        <v>3.8129133566428557</v>
      </c>
      <c r="I784" s="6">
        <v>6500</v>
      </c>
      <c r="J784" s="3" t="s">
        <v>6736</v>
      </c>
      <c r="L784" s="1" t="s">
        <v>6135</v>
      </c>
    </row>
    <row r="785" spans="1:12">
      <c r="A785" s="3" t="s">
        <v>3356</v>
      </c>
      <c r="C785" s="3" t="s">
        <v>3817</v>
      </c>
      <c r="D785" s="3" t="s">
        <v>7250</v>
      </c>
      <c r="E785" s="3" t="s">
        <v>3566</v>
      </c>
      <c r="F785" s="3" t="s">
        <v>5582</v>
      </c>
      <c r="G785" s="3" t="s">
        <v>5586</v>
      </c>
      <c r="H785" s="6">
        <v>3.7781512503836434</v>
      </c>
      <c r="I785" s="6">
        <v>6000</v>
      </c>
      <c r="J785" s="3" t="s">
        <v>6736</v>
      </c>
      <c r="L785" s="1" t="s">
        <v>6135</v>
      </c>
    </row>
    <row r="786" spans="1:12">
      <c r="A786" s="3" t="s">
        <v>3356</v>
      </c>
      <c r="C786" s="3" t="s">
        <v>3817</v>
      </c>
      <c r="D786" s="3" t="s">
        <v>7250</v>
      </c>
      <c r="E786" s="3" t="s">
        <v>3566</v>
      </c>
      <c r="F786" s="3" t="s">
        <v>5582</v>
      </c>
      <c r="G786" s="3" t="s">
        <v>5836</v>
      </c>
      <c r="H786" s="6" t="s">
        <v>3356</v>
      </c>
      <c r="I786" s="6" t="s">
        <v>3356</v>
      </c>
      <c r="J786" s="3" t="s">
        <v>3356</v>
      </c>
      <c r="L786" s="1" t="s">
        <v>6135</v>
      </c>
    </row>
    <row r="787" spans="1:12">
      <c r="A787" s="3" t="s">
        <v>3356</v>
      </c>
      <c r="C787" s="3" t="s">
        <v>3817</v>
      </c>
      <c r="D787" s="3" t="s">
        <v>7250</v>
      </c>
      <c r="E787" s="3" t="s">
        <v>3566</v>
      </c>
      <c r="F787" s="3" t="s">
        <v>5582</v>
      </c>
      <c r="G787" s="3" t="s">
        <v>5587</v>
      </c>
      <c r="H787" s="6">
        <v>4.0413926851582254</v>
      </c>
      <c r="I787" s="6">
        <v>11000</v>
      </c>
      <c r="J787" s="3" t="s">
        <v>6736</v>
      </c>
      <c r="L787" s="1" t="s">
        <v>6135</v>
      </c>
    </row>
    <row r="788" spans="1:12">
      <c r="A788" s="3" t="s">
        <v>3356</v>
      </c>
      <c r="C788" s="3" t="s">
        <v>3817</v>
      </c>
      <c r="D788" s="3" t="s">
        <v>7250</v>
      </c>
      <c r="E788" s="3" t="s">
        <v>6739</v>
      </c>
      <c r="F788" s="3" t="s">
        <v>8121</v>
      </c>
      <c r="G788" s="3" t="s">
        <v>7488</v>
      </c>
      <c r="H788" s="6">
        <v>2.9542425094393248</v>
      </c>
      <c r="I788" s="6">
        <v>900</v>
      </c>
      <c r="J788" s="3" t="s">
        <v>6736</v>
      </c>
      <c r="L788" s="1" t="s">
        <v>6135</v>
      </c>
    </row>
    <row r="789" spans="1:12">
      <c r="A789" s="3" t="s">
        <v>3356</v>
      </c>
      <c r="C789" s="3" t="s">
        <v>3817</v>
      </c>
      <c r="D789" s="3" t="s">
        <v>7250</v>
      </c>
      <c r="E789" s="3" t="s">
        <v>6739</v>
      </c>
      <c r="F789" s="3" t="s">
        <v>8122</v>
      </c>
      <c r="G789" s="3" t="s">
        <v>8123</v>
      </c>
      <c r="H789" s="6">
        <v>3.9294189257142929</v>
      </c>
      <c r="I789" s="6">
        <v>8500</v>
      </c>
      <c r="J789" s="3" t="s">
        <v>6736</v>
      </c>
      <c r="L789" s="1" t="s">
        <v>6135</v>
      </c>
    </row>
    <row r="790" spans="1:12">
      <c r="A790" s="3" t="s">
        <v>3356</v>
      </c>
      <c r="C790" s="3" t="s">
        <v>3817</v>
      </c>
      <c r="D790" s="3" t="s">
        <v>7250</v>
      </c>
      <c r="E790" s="3" t="s">
        <v>6739</v>
      </c>
      <c r="F790" s="3" t="s">
        <v>5657</v>
      </c>
      <c r="G790" s="3" t="s">
        <v>5519</v>
      </c>
      <c r="H790" s="6" t="s">
        <v>3356</v>
      </c>
      <c r="I790" s="6" t="s">
        <v>3356</v>
      </c>
      <c r="J790" s="3" t="s">
        <v>3356</v>
      </c>
      <c r="L790" s="1" t="s">
        <v>6135</v>
      </c>
    </row>
    <row r="791" spans="1:12">
      <c r="A791" s="3" t="s">
        <v>3356</v>
      </c>
      <c r="C791" s="3" t="s">
        <v>3817</v>
      </c>
      <c r="D791" s="3" t="s">
        <v>7250</v>
      </c>
      <c r="E791" s="3" t="s">
        <v>6739</v>
      </c>
      <c r="F791" s="3" t="s">
        <v>5657</v>
      </c>
      <c r="G791" s="3" t="s">
        <v>5774</v>
      </c>
      <c r="H791" s="6" t="s">
        <v>3356</v>
      </c>
      <c r="I791" s="6" t="s">
        <v>3356</v>
      </c>
      <c r="J791" s="3" t="s">
        <v>3356</v>
      </c>
      <c r="L791" s="1" t="s">
        <v>6135</v>
      </c>
    </row>
    <row r="792" spans="1:12">
      <c r="A792" s="3" t="s">
        <v>3356</v>
      </c>
      <c r="C792" s="3" t="s">
        <v>3817</v>
      </c>
      <c r="D792" s="3" t="s">
        <v>7250</v>
      </c>
      <c r="E792" s="3" t="s">
        <v>6739</v>
      </c>
      <c r="F792" s="3" t="s">
        <v>5657</v>
      </c>
      <c r="G792" s="3" t="s">
        <v>5658</v>
      </c>
      <c r="H792" s="6">
        <v>3.6989700043360187</v>
      </c>
      <c r="I792" s="6">
        <v>5000</v>
      </c>
      <c r="J792" s="3" t="s">
        <v>6736</v>
      </c>
      <c r="L792" s="1" t="s">
        <v>6135</v>
      </c>
    </row>
    <row r="793" spans="1:12">
      <c r="A793" s="3" t="s">
        <v>3356</v>
      </c>
      <c r="C793" s="3" t="s">
        <v>3817</v>
      </c>
      <c r="D793" s="3" t="s">
        <v>7250</v>
      </c>
      <c r="E793" s="3" t="s">
        <v>8133</v>
      </c>
      <c r="F793" s="3" t="s">
        <v>5659</v>
      </c>
      <c r="G793" s="3" t="s">
        <v>5660</v>
      </c>
      <c r="H793" s="6">
        <v>3.3979400086720375</v>
      </c>
      <c r="I793" s="6">
        <v>2500</v>
      </c>
      <c r="J793" s="3" t="s">
        <v>6736</v>
      </c>
      <c r="L793" s="1" t="s">
        <v>6135</v>
      </c>
    </row>
    <row r="794" spans="1:12">
      <c r="A794" s="3" t="s">
        <v>3356</v>
      </c>
      <c r="C794" s="3" t="s">
        <v>3817</v>
      </c>
      <c r="D794" s="3" t="s">
        <v>7250</v>
      </c>
      <c r="E794" s="3" t="s">
        <v>8133</v>
      </c>
      <c r="F794" s="3" t="s">
        <v>5659</v>
      </c>
      <c r="G794" s="3" t="s">
        <v>6528</v>
      </c>
      <c r="H794" s="6">
        <v>3.3010299956639813</v>
      </c>
      <c r="I794" s="6">
        <v>2000</v>
      </c>
      <c r="J794" s="3" t="s">
        <v>6736</v>
      </c>
      <c r="L794" s="1" t="s">
        <v>6135</v>
      </c>
    </row>
    <row r="795" spans="1:12">
      <c r="A795" s="3" t="s">
        <v>3356</v>
      </c>
      <c r="C795" s="3" t="s">
        <v>3817</v>
      </c>
      <c r="D795" s="3" t="s">
        <v>7250</v>
      </c>
      <c r="E795" s="3" t="s">
        <v>8133</v>
      </c>
      <c r="F795" s="3" t="s">
        <v>5659</v>
      </c>
      <c r="G795" s="3" t="s">
        <v>5661</v>
      </c>
      <c r="H795" s="6">
        <v>3.3010299956639813</v>
      </c>
      <c r="I795" s="6">
        <v>2000</v>
      </c>
      <c r="J795" s="3" t="s">
        <v>6736</v>
      </c>
      <c r="L795" s="1" t="s">
        <v>6135</v>
      </c>
    </row>
    <row r="796" spans="1:12">
      <c r="A796" s="3" t="s">
        <v>3356</v>
      </c>
      <c r="C796" s="3" t="s">
        <v>3817</v>
      </c>
      <c r="D796" s="3" t="s">
        <v>7250</v>
      </c>
      <c r="E796" s="3" t="s">
        <v>8133</v>
      </c>
      <c r="F796" s="3" t="s">
        <v>5659</v>
      </c>
      <c r="G796" s="3" t="s">
        <v>5286</v>
      </c>
      <c r="H796" s="6">
        <v>3.3010299956639813</v>
      </c>
      <c r="I796" s="6">
        <v>2000</v>
      </c>
      <c r="J796" s="3" t="s">
        <v>6736</v>
      </c>
      <c r="L796" s="1" t="s">
        <v>6135</v>
      </c>
    </row>
    <row r="797" spans="1:12">
      <c r="A797" s="3" t="s">
        <v>3356</v>
      </c>
      <c r="C797" s="3" t="s">
        <v>3817</v>
      </c>
      <c r="D797" s="3" t="s">
        <v>7250</v>
      </c>
      <c r="E797" s="3" t="s">
        <v>8133</v>
      </c>
      <c r="F797" s="3" t="s">
        <v>5659</v>
      </c>
      <c r="G797" s="3" t="s">
        <v>5647</v>
      </c>
      <c r="H797" s="6">
        <v>3.3010299956639813</v>
      </c>
      <c r="I797" s="6">
        <v>2000</v>
      </c>
      <c r="J797" s="3" t="s">
        <v>6736</v>
      </c>
      <c r="L797" s="1" t="s">
        <v>6135</v>
      </c>
    </row>
    <row r="798" spans="1:12">
      <c r="A798" s="3" t="s">
        <v>3356</v>
      </c>
      <c r="C798" s="3" t="s">
        <v>3817</v>
      </c>
      <c r="D798" s="3" t="s">
        <v>7250</v>
      </c>
      <c r="E798" s="3" t="s">
        <v>8133</v>
      </c>
      <c r="F798" s="3" t="s">
        <v>5648</v>
      </c>
      <c r="G798" s="3" t="s">
        <v>7364</v>
      </c>
      <c r="H798" s="6" t="s">
        <v>3356</v>
      </c>
      <c r="I798" s="6" t="s">
        <v>3356</v>
      </c>
      <c r="J798" s="3" t="s">
        <v>3356</v>
      </c>
      <c r="L798" s="1" t="s">
        <v>6135</v>
      </c>
    </row>
    <row r="799" spans="1:12">
      <c r="A799" s="3" t="s">
        <v>3356</v>
      </c>
      <c r="C799" s="3" t="s">
        <v>3817</v>
      </c>
      <c r="D799" s="3" t="s">
        <v>7250</v>
      </c>
      <c r="E799" s="3" t="s">
        <v>8133</v>
      </c>
      <c r="F799" s="3" t="s">
        <v>5648</v>
      </c>
      <c r="G799" s="3" t="s">
        <v>2210</v>
      </c>
      <c r="H799" s="6">
        <v>3.2430380486862944</v>
      </c>
      <c r="I799" s="6">
        <v>1750</v>
      </c>
      <c r="J799" s="3" t="s">
        <v>6736</v>
      </c>
      <c r="L799" s="1" t="s">
        <v>6135</v>
      </c>
    </row>
    <row r="800" spans="1:12">
      <c r="A800" s="3" t="s">
        <v>3356</v>
      </c>
      <c r="C800" s="3" t="s">
        <v>3817</v>
      </c>
      <c r="D800" s="3" t="s">
        <v>7250</v>
      </c>
      <c r="E800" s="3" t="s">
        <v>8133</v>
      </c>
      <c r="F800" s="3" t="s">
        <v>5648</v>
      </c>
      <c r="G800" s="3" t="s">
        <v>8213</v>
      </c>
      <c r="H800" s="6" t="s">
        <v>3356</v>
      </c>
      <c r="I800" s="6" t="s">
        <v>3356</v>
      </c>
      <c r="J800" s="3" t="s">
        <v>3356</v>
      </c>
      <c r="L800" s="1" t="s">
        <v>6135</v>
      </c>
    </row>
    <row r="801" spans="1:12">
      <c r="A801" s="3" t="s">
        <v>3356</v>
      </c>
      <c r="C801" s="3" t="s">
        <v>3817</v>
      </c>
      <c r="D801" s="3" t="s">
        <v>7250</v>
      </c>
      <c r="E801" s="3" t="s">
        <v>8133</v>
      </c>
      <c r="F801" s="3" t="s">
        <v>5645</v>
      </c>
      <c r="G801" s="3" t="s">
        <v>8124</v>
      </c>
      <c r="H801" s="6">
        <v>3.3010299956639813</v>
      </c>
      <c r="I801" s="6">
        <v>2000</v>
      </c>
      <c r="J801" s="3" t="s">
        <v>6736</v>
      </c>
      <c r="L801" s="1" t="s">
        <v>6135</v>
      </c>
    </row>
    <row r="802" spans="1:12">
      <c r="A802" s="3" t="s">
        <v>3356</v>
      </c>
      <c r="C802" s="3" t="s">
        <v>3817</v>
      </c>
      <c r="D802" s="3" t="s">
        <v>7250</v>
      </c>
      <c r="E802" s="3" t="s">
        <v>8133</v>
      </c>
      <c r="F802" s="3" t="s">
        <v>8125</v>
      </c>
      <c r="G802" s="3" t="s">
        <v>5646</v>
      </c>
      <c r="H802" s="6">
        <v>3.4771212547196626</v>
      </c>
      <c r="I802" s="6">
        <v>3000</v>
      </c>
      <c r="J802" s="3" t="s">
        <v>6736</v>
      </c>
      <c r="L802" s="1" t="s">
        <v>6135</v>
      </c>
    </row>
    <row r="803" spans="1:12">
      <c r="A803" s="3" t="s">
        <v>3356</v>
      </c>
      <c r="C803" s="3" t="s">
        <v>3817</v>
      </c>
      <c r="D803" s="3" t="s">
        <v>7250</v>
      </c>
      <c r="E803" s="3" t="s">
        <v>3227</v>
      </c>
      <c r="F803" s="3" t="s">
        <v>3610</v>
      </c>
      <c r="G803" s="3" t="s">
        <v>7364</v>
      </c>
      <c r="H803" s="6" t="s">
        <v>3356</v>
      </c>
      <c r="I803" s="6" t="s">
        <v>3356</v>
      </c>
      <c r="J803" s="3" t="s">
        <v>3356</v>
      </c>
      <c r="L803" s="1" t="s">
        <v>6135</v>
      </c>
    </row>
    <row r="804" spans="1:12">
      <c r="A804" s="3" t="s">
        <v>3356</v>
      </c>
      <c r="C804" s="3" t="s">
        <v>3817</v>
      </c>
      <c r="D804" s="3" t="s">
        <v>7250</v>
      </c>
      <c r="E804" s="3" t="s">
        <v>3227</v>
      </c>
      <c r="F804" s="3" t="s">
        <v>6003</v>
      </c>
      <c r="G804" s="3" t="s">
        <v>5236</v>
      </c>
      <c r="H804" s="6">
        <v>2.3010299956639813</v>
      </c>
      <c r="I804" s="6">
        <v>200</v>
      </c>
      <c r="J804" s="3" t="s">
        <v>6736</v>
      </c>
      <c r="L804" s="1" t="s">
        <v>6135</v>
      </c>
    </row>
    <row r="805" spans="1:12">
      <c r="A805" s="3" t="s">
        <v>3356</v>
      </c>
      <c r="C805" s="3" t="s">
        <v>3817</v>
      </c>
      <c r="D805" s="3" t="s">
        <v>7250</v>
      </c>
      <c r="E805" s="3" t="s">
        <v>3227</v>
      </c>
      <c r="F805" s="3" t="s">
        <v>5270</v>
      </c>
      <c r="G805" s="3" t="s">
        <v>5868</v>
      </c>
      <c r="H805" s="6">
        <v>3</v>
      </c>
      <c r="I805" s="6">
        <v>1000</v>
      </c>
      <c r="J805" s="3" t="s">
        <v>6736</v>
      </c>
      <c r="L805" s="1" t="s">
        <v>6135</v>
      </c>
    </row>
    <row r="806" spans="1:12">
      <c r="A806" s="3" t="s">
        <v>3356</v>
      </c>
      <c r="C806" s="3" t="s">
        <v>3817</v>
      </c>
      <c r="D806" s="3" t="s">
        <v>7250</v>
      </c>
      <c r="E806" s="3" t="s">
        <v>3227</v>
      </c>
      <c r="F806" s="3" t="s">
        <v>5270</v>
      </c>
      <c r="G806" s="3" t="s">
        <v>7234</v>
      </c>
      <c r="H806" s="6">
        <v>3</v>
      </c>
      <c r="I806" s="6">
        <v>1000</v>
      </c>
      <c r="J806" s="3" t="s">
        <v>6736</v>
      </c>
      <c r="L806" s="1" t="s">
        <v>6135</v>
      </c>
    </row>
    <row r="807" spans="1:12">
      <c r="A807" s="3" t="s">
        <v>3356</v>
      </c>
      <c r="C807" s="3" t="s">
        <v>3817</v>
      </c>
      <c r="D807" s="3" t="s">
        <v>7250</v>
      </c>
      <c r="E807" s="3" t="s">
        <v>3338</v>
      </c>
      <c r="F807" s="3" t="s">
        <v>5871</v>
      </c>
      <c r="G807" s="3" t="s">
        <v>3630</v>
      </c>
      <c r="H807" s="6" t="s">
        <v>3356</v>
      </c>
      <c r="I807" s="6" t="s">
        <v>3356</v>
      </c>
      <c r="J807" s="3" t="s">
        <v>3356</v>
      </c>
      <c r="L807" s="1" t="s">
        <v>6135</v>
      </c>
    </row>
    <row r="808" spans="1:12">
      <c r="A808" s="3" t="s">
        <v>3356</v>
      </c>
      <c r="C808" s="3" t="s">
        <v>3817</v>
      </c>
      <c r="D808" s="3" t="s">
        <v>7250</v>
      </c>
      <c r="E808" s="3" t="s">
        <v>3338</v>
      </c>
      <c r="F808" s="3" t="s">
        <v>5871</v>
      </c>
      <c r="G808" s="3" t="s">
        <v>4060</v>
      </c>
      <c r="H808" s="6" t="s">
        <v>3356</v>
      </c>
      <c r="I808" s="6" t="s">
        <v>3356</v>
      </c>
      <c r="J808" s="3" t="s">
        <v>3356</v>
      </c>
      <c r="L808" s="1" t="s">
        <v>6135</v>
      </c>
    </row>
    <row r="809" spans="1:12">
      <c r="A809" s="3" t="s">
        <v>3356</v>
      </c>
      <c r="C809" s="3" t="s">
        <v>3817</v>
      </c>
      <c r="D809" s="3" t="s">
        <v>7250</v>
      </c>
      <c r="E809" s="3" t="s">
        <v>3338</v>
      </c>
      <c r="F809" s="3" t="s">
        <v>5871</v>
      </c>
      <c r="G809" s="3" t="s">
        <v>7491</v>
      </c>
      <c r="H809" s="6" t="s">
        <v>3356</v>
      </c>
      <c r="I809" s="6" t="s">
        <v>3356</v>
      </c>
      <c r="J809" s="3" t="s">
        <v>3356</v>
      </c>
      <c r="L809" s="1" t="s">
        <v>6135</v>
      </c>
    </row>
    <row r="810" spans="1:12">
      <c r="A810" s="3" t="s">
        <v>3356</v>
      </c>
      <c r="C810" s="3" t="s">
        <v>3817</v>
      </c>
      <c r="D810" s="3" t="s">
        <v>7250</v>
      </c>
      <c r="E810" s="3" t="s">
        <v>3338</v>
      </c>
      <c r="F810" s="3" t="s">
        <v>5871</v>
      </c>
      <c r="G810" s="3" t="s">
        <v>1995</v>
      </c>
      <c r="H810" s="6" t="s">
        <v>3356</v>
      </c>
      <c r="I810" s="6" t="s">
        <v>3356</v>
      </c>
      <c r="J810" s="3" t="s">
        <v>3356</v>
      </c>
      <c r="L810" s="1" t="s">
        <v>6135</v>
      </c>
    </row>
    <row r="811" spans="1:12">
      <c r="A811" s="3" t="s">
        <v>3356</v>
      </c>
      <c r="C811" s="3" t="s">
        <v>3817</v>
      </c>
      <c r="D811" s="3" t="s">
        <v>7250</v>
      </c>
      <c r="E811" s="3" t="s">
        <v>3338</v>
      </c>
      <c r="F811" s="3" t="s">
        <v>5871</v>
      </c>
      <c r="G811" s="3" t="s">
        <v>5872</v>
      </c>
      <c r="H811" s="6">
        <v>2.7781512503836434</v>
      </c>
      <c r="I811" s="6">
        <v>600</v>
      </c>
      <c r="J811" s="3" t="s">
        <v>6736</v>
      </c>
      <c r="L811" s="1" t="s">
        <v>6135</v>
      </c>
    </row>
    <row r="812" spans="1:12">
      <c r="A812" s="3" t="s">
        <v>3356</v>
      </c>
      <c r="C812" s="3" t="s">
        <v>3817</v>
      </c>
      <c r="D812" s="3" t="s">
        <v>7250</v>
      </c>
      <c r="E812" s="3" t="s">
        <v>3338</v>
      </c>
      <c r="F812" s="3" t="s">
        <v>5871</v>
      </c>
      <c r="G812" s="3" t="s">
        <v>5701</v>
      </c>
      <c r="H812" s="6" t="s">
        <v>3356</v>
      </c>
      <c r="I812" s="6" t="s">
        <v>3356</v>
      </c>
      <c r="J812" s="3" t="s">
        <v>3356</v>
      </c>
      <c r="L812" s="1" t="s">
        <v>6135</v>
      </c>
    </row>
    <row r="813" spans="1:12">
      <c r="A813" s="3" t="s">
        <v>3356</v>
      </c>
      <c r="C813" s="3" t="s">
        <v>3817</v>
      </c>
      <c r="D813" s="3" t="s">
        <v>7250</v>
      </c>
      <c r="E813" s="3" t="s">
        <v>3338</v>
      </c>
      <c r="F813" s="3" t="s">
        <v>5871</v>
      </c>
      <c r="G813" s="3" t="s">
        <v>5935</v>
      </c>
      <c r="H813" s="6" t="s">
        <v>3356</v>
      </c>
      <c r="I813" s="6" t="s">
        <v>3356</v>
      </c>
      <c r="J813" s="3" t="s">
        <v>3356</v>
      </c>
      <c r="L813" s="1" t="s">
        <v>6135</v>
      </c>
    </row>
    <row r="814" spans="1:12">
      <c r="A814" s="3" t="s">
        <v>3356</v>
      </c>
      <c r="C814" s="3" t="s">
        <v>3817</v>
      </c>
      <c r="D814" s="3" t="s">
        <v>7250</v>
      </c>
      <c r="E814" s="3" t="s">
        <v>3575</v>
      </c>
      <c r="F814" s="3" t="s">
        <v>5873</v>
      </c>
      <c r="G814" s="3" t="s">
        <v>5874</v>
      </c>
      <c r="H814" s="6">
        <v>2.0791812460476247</v>
      </c>
      <c r="I814" s="6">
        <v>120</v>
      </c>
      <c r="J814" s="3" t="s">
        <v>6736</v>
      </c>
      <c r="L814" s="1" t="s">
        <v>6135</v>
      </c>
    </row>
    <row r="815" spans="1:12">
      <c r="A815" s="3" t="s">
        <v>3356</v>
      </c>
      <c r="C815" s="3" t="s">
        <v>3817</v>
      </c>
      <c r="D815" s="3" t="s">
        <v>7250</v>
      </c>
      <c r="E815" s="3" t="s">
        <v>3575</v>
      </c>
      <c r="F815" s="3" t="s">
        <v>5873</v>
      </c>
      <c r="G815" s="3" t="s">
        <v>5934</v>
      </c>
      <c r="H815" s="6" t="s">
        <v>3356</v>
      </c>
      <c r="I815" s="6" t="s">
        <v>3356</v>
      </c>
      <c r="J815" s="3" t="s">
        <v>3356</v>
      </c>
      <c r="L815" s="1" t="s">
        <v>6135</v>
      </c>
    </row>
    <row r="816" spans="1:12">
      <c r="A816" s="3" t="s">
        <v>3356</v>
      </c>
      <c r="C816" s="3" t="s">
        <v>3817</v>
      </c>
      <c r="D816" s="3" t="s">
        <v>7250</v>
      </c>
      <c r="E816" s="3" t="s">
        <v>3575</v>
      </c>
      <c r="F816" s="3" t="s">
        <v>5873</v>
      </c>
      <c r="G816" s="3" t="s">
        <v>5776</v>
      </c>
      <c r="H816" s="6" t="s">
        <v>3356</v>
      </c>
      <c r="I816" s="6" t="s">
        <v>3356</v>
      </c>
      <c r="J816" s="3" t="s">
        <v>3356</v>
      </c>
      <c r="L816" s="1" t="s">
        <v>6135</v>
      </c>
    </row>
    <row r="817" spans="1:12">
      <c r="A817" s="3" t="s">
        <v>3356</v>
      </c>
      <c r="C817" s="3" t="s">
        <v>3817</v>
      </c>
      <c r="D817" s="3" t="s">
        <v>7250</v>
      </c>
      <c r="E817" s="3" t="s">
        <v>3575</v>
      </c>
      <c r="F817" s="3" t="s">
        <v>5873</v>
      </c>
      <c r="G817" s="3" t="s">
        <v>5777</v>
      </c>
      <c r="H817" s="6" t="s">
        <v>3356</v>
      </c>
      <c r="I817" s="6" t="s">
        <v>3356</v>
      </c>
      <c r="J817" s="3" t="s">
        <v>3356</v>
      </c>
      <c r="L817" s="1" t="s">
        <v>6135</v>
      </c>
    </row>
    <row r="818" spans="1:12">
      <c r="A818" s="3" t="s">
        <v>3356</v>
      </c>
      <c r="C818" s="3" t="s">
        <v>3817</v>
      </c>
      <c r="D818" s="3" t="s">
        <v>7250</v>
      </c>
      <c r="E818" s="3" t="s">
        <v>3575</v>
      </c>
      <c r="F818" s="3" t="s">
        <v>5873</v>
      </c>
      <c r="G818" s="3" t="s">
        <v>5656</v>
      </c>
      <c r="H818" s="6">
        <v>2</v>
      </c>
      <c r="I818" s="6">
        <v>100</v>
      </c>
      <c r="J818" s="3" t="s">
        <v>6736</v>
      </c>
      <c r="L818" s="1" t="s">
        <v>6135</v>
      </c>
    </row>
    <row r="819" spans="1:12">
      <c r="A819" s="3" t="s">
        <v>3356</v>
      </c>
      <c r="C819" s="3" t="s">
        <v>3817</v>
      </c>
      <c r="D819" s="3" t="s">
        <v>4084</v>
      </c>
      <c r="E819" s="3" t="s">
        <v>3613</v>
      </c>
      <c r="F819" s="3" t="s">
        <v>5452</v>
      </c>
      <c r="G819" s="3" t="s">
        <v>3429</v>
      </c>
      <c r="H819" s="6">
        <v>6.6989700043360187</v>
      </c>
      <c r="I819" s="6">
        <v>5000000</v>
      </c>
      <c r="J819" s="3" t="s">
        <v>6736</v>
      </c>
      <c r="L819" s="1" t="s">
        <v>6135</v>
      </c>
    </row>
    <row r="820" spans="1:12">
      <c r="A820" s="3" t="s">
        <v>3356</v>
      </c>
      <c r="C820" s="3" t="s">
        <v>3817</v>
      </c>
      <c r="D820" s="3" t="s">
        <v>3618</v>
      </c>
      <c r="E820" s="3" t="s">
        <v>3392</v>
      </c>
      <c r="F820" s="3" t="s">
        <v>3393</v>
      </c>
      <c r="G820" s="3" t="s">
        <v>4473</v>
      </c>
      <c r="H820" s="6" t="s">
        <v>3356</v>
      </c>
      <c r="I820" s="6" t="s">
        <v>3356</v>
      </c>
      <c r="J820" s="3" t="s">
        <v>3356</v>
      </c>
      <c r="L820" s="1" t="s">
        <v>6135</v>
      </c>
    </row>
    <row r="821" spans="1:12">
      <c r="A821" s="3" t="s">
        <v>3356</v>
      </c>
      <c r="C821" s="3" t="s">
        <v>3817</v>
      </c>
      <c r="D821" s="3" t="s">
        <v>3618</v>
      </c>
      <c r="E821" s="3" t="s">
        <v>3392</v>
      </c>
      <c r="F821" s="3" t="s">
        <v>3396</v>
      </c>
      <c r="G821" s="3" t="s">
        <v>4141</v>
      </c>
      <c r="H821" s="6" t="s">
        <v>3356</v>
      </c>
      <c r="I821" s="6" t="s">
        <v>3356</v>
      </c>
      <c r="J821" s="3" t="s">
        <v>3356</v>
      </c>
      <c r="L821" s="1" t="s">
        <v>6135</v>
      </c>
    </row>
    <row r="822" spans="1:12">
      <c r="A822" s="3" t="s">
        <v>3356</v>
      </c>
      <c r="C822" s="3" t="s">
        <v>3817</v>
      </c>
      <c r="D822" s="3" t="s">
        <v>3618</v>
      </c>
      <c r="E822" s="3" t="s">
        <v>3392</v>
      </c>
      <c r="F822" s="3" t="s">
        <v>5424</v>
      </c>
      <c r="G822" s="3" t="s">
        <v>6460</v>
      </c>
      <c r="H822" s="6" t="s">
        <v>3356</v>
      </c>
      <c r="I822" s="6" t="s">
        <v>3356</v>
      </c>
      <c r="J822" s="3" t="s">
        <v>3356</v>
      </c>
      <c r="L822" s="1" t="s">
        <v>6135</v>
      </c>
    </row>
    <row r="823" spans="1:12">
      <c r="A823" s="3" t="s">
        <v>3356</v>
      </c>
      <c r="C823" s="3" t="s">
        <v>3817</v>
      </c>
      <c r="D823" s="3" t="s">
        <v>3618</v>
      </c>
      <c r="E823" s="3" t="s">
        <v>3409</v>
      </c>
      <c r="F823" s="3" t="s">
        <v>3410</v>
      </c>
      <c r="G823" s="3" t="s">
        <v>5453</v>
      </c>
      <c r="H823" s="6">
        <v>2.6085260335771943</v>
      </c>
      <c r="I823" s="6">
        <v>406</v>
      </c>
      <c r="J823" s="3" t="s">
        <v>6736</v>
      </c>
      <c r="L823" s="1" t="s">
        <v>6135</v>
      </c>
    </row>
    <row r="824" spans="1:12">
      <c r="A824" s="3" t="s">
        <v>3356</v>
      </c>
      <c r="C824" s="3" t="s">
        <v>3817</v>
      </c>
      <c r="D824" s="3" t="s">
        <v>3618</v>
      </c>
      <c r="E824" s="3" t="s">
        <v>3409</v>
      </c>
      <c r="F824" s="3" t="s">
        <v>3039</v>
      </c>
      <c r="G824" s="3" t="s">
        <v>5461</v>
      </c>
      <c r="H824" s="6">
        <v>1.9731278535996986</v>
      </c>
      <c r="I824" s="6">
        <v>94</v>
      </c>
      <c r="J824" s="3" t="s">
        <v>6736</v>
      </c>
      <c r="L824" s="1" t="s">
        <v>6135</v>
      </c>
    </row>
    <row r="825" spans="1:12">
      <c r="A825" s="3" t="s">
        <v>3356</v>
      </c>
      <c r="C825" s="3" t="s">
        <v>3817</v>
      </c>
      <c r="D825" s="3" t="s">
        <v>3618</v>
      </c>
      <c r="E825" s="3" t="s">
        <v>3409</v>
      </c>
      <c r="F825" s="3" t="s">
        <v>3039</v>
      </c>
      <c r="G825" s="3" t="s">
        <v>7244</v>
      </c>
      <c r="H825" s="6" t="s">
        <v>3356</v>
      </c>
      <c r="I825" s="6" t="s">
        <v>3356</v>
      </c>
      <c r="J825" s="3" t="s">
        <v>3356</v>
      </c>
      <c r="L825" s="1" t="s">
        <v>6135</v>
      </c>
    </row>
    <row r="826" spans="1:12">
      <c r="A826" s="3" t="s">
        <v>3356</v>
      </c>
      <c r="C826" s="3" t="s">
        <v>3817</v>
      </c>
      <c r="D826" s="3" t="s">
        <v>3618</v>
      </c>
      <c r="E826" s="3" t="s">
        <v>3409</v>
      </c>
      <c r="F826" s="3" t="s">
        <v>3039</v>
      </c>
      <c r="G826" s="3" t="s">
        <v>5462</v>
      </c>
      <c r="H826" s="6">
        <v>2.4345689040341987</v>
      </c>
      <c r="I826" s="6">
        <v>272</v>
      </c>
      <c r="J826" s="3" t="s">
        <v>6736</v>
      </c>
      <c r="L826" s="1" t="s">
        <v>6135</v>
      </c>
    </row>
    <row r="827" spans="1:12">
      <c r="A827" s="3" t="s">
        <v>3356</v>
      </c>
      <c r="C827" s="3" t="s">
        <v>3817</v>
      </c>
      <c r="D827" s="3" t="s">
        <v>3618</v>
      </c>
      <c r="E827" s="3" t="s">
        <v>3409</v>
      </c>
      <c r="F827" s="3" t="s">
        <v>3039</v>
      </c>
      <c r="G827" s="3" t="s">
        <v>5281</v>
      </c>
      <c r="H827" s="6" t="s">
        <v>3356</v>
      </c>
      <c r="I827" s="6" t="s">
        <v>3356</v>
      </c>
      <c r="J827" s="3" t="s">
        <v>3356</v>
      </c>
      <c r="L827" s="1" t="s">
        <v>6135</v>
      </c>
    </row>
    <row r="828" spans="1:12">
      <c r="A828" s="3" t="s">
        <v>3356</v>
      </c>
      <c r="C828" s="3" t="s">
        <v>3817</v>
      </c>
      <c r="D828" s="3" t="s">
        <v>3618</v>
      </c>
      <c r="E828" s="3" t="s">
        <v>3779</v>
      </c>
      <c r="F828" s="3" t="s">
        <v>5293</v>
      </c>
      <c r="G828" s="3" t="s">
        <v>6032</v>
      </c>
      <c r="H828" s="6">
        <v>3.7520484478194387</v>
      </c>
      <c r="I828" s="6">
        <v>5650</v>
      </c>
      <c r="J828" s="3" t="s">
        <v>6736</v>
      </c>
      <c r="L828" s="1" t="s">
        <v>6135</v>
      </c>
    </row>
    <row r="829" spans="1:12">
      <c r="A829" s="3" t="s">
        <v>3356</v>
      </c>
      <c r="C829" s="3" t="s">
        <v>3817</v>
      </c>
      <c r="D829" s="3" t="s">
        <v>3618</v>
      </c>
      <c r="E829" s="3" t="s">
        <v>3779</v>
      </c>
      <c r="F829" s="3" t="s">
        <v>6008</v>
      </c>
      <c r="G829" s="3" t="s">
        <v>6034</v>
      </c>
      <c r="H829" s="6">
        <v>3.1760912590556813</v>
      </c>
      <c r="I829" s="6">
        <v>1500</v>
      </c>
      <c r="J829" s="3" t="s">
        <v>6736</v>
      </c>
      <c r="L829" s="1" t="s">
        <v>6135</v>
      </c>
    </row>
    <row r="830" spans="1:12">
      <c r="A830" s="3" t="s">
        <v>3356</v>
      </c>
      <c r="C830" s="3" t="s">
        <v>3817</v>
      </c>
      <c r="D830" s="3" t="s">
        <v>3618</v>
      </c>
      <c r="E830" s="3" t="s">
        <v>3779</v>
      </c>
      <c r="F830" s="3" t="s">
        <v>6008</v>
      </c>
      <c r="G830" s="3" t="s">
        <v>6651</v>
      </c>
      <c r="H830" s="6" t="s">
        <v>3356</v>
      </c>
      <c r="I830" s="6" t="s">
        <v>3356</v>
      </c>
      <c r="J830" s="3" t="s">
        <v>3356</v>
      </c>
      <c r="L830" s="1" t="s">
        <v>6135</v>
      </c>
    </row>
    <row r="831" spans="1:12">
      <c r="A831" s="3" t="s">
        <v>3356</v>
      </c>
      <c r="C831" s="3" t="s">
        <v>3817</v>
      </c>
      <c r="D831" s="3" t="s">
        <v>3618</v>
      </c>
      <c r="E831" s="3" t="s">
        <v>3779</v>
      </c>
      <c r="F831" s="3" t="s">
        <v>6008</v>
      </c>
      <c r="G831" s="3" t="s">
        <v>6652</v>
      </c>
      <c r="H831" s="6" t="s">
        <v>3356</v>
      </c>
      <c r="I831" s="6" t="s">
        <v>3356</v>
      </c>
      <c r="J831" s="3" t="s">
        <v>3356</v>
      </c>
      <c r="L831" s="1" t="s">
        <v>6135</v>
      </c>
    </row>
    <row r="832" spans="1:12">
      <c r="A832" s="3" t="s">
        <v>3356</v>
      </c>
      <c r="C832" s="3" t="s">
        <v>3817</v>
      </c>
      <c r="D832" s="3" t="s">
        <v>3618</v>
      </c>
      <c r="E832" s="3" t="s">
        <v>3779</v>
      </c>
      <c r="F832" s="3" t="s">
        <v>5196</v>
      </c>
      <c r="G832" s="3" t="s">
        <v>2983</v>
      </c>
      <c r="H832" s="6" t="s">
        <v>3356</v>
      </c>
      <c r="I832" s="6" t="s">
        <v>3356</v>
      </c>
      <c r="J832" s="3" t="s">
        <v>3356</v>
      </c>
      <c r="L832" s="1" t="s">
        <v>6135</v>
      </c>
    </row>
    <row r="833" spans="1:12">
      <c r="A833" s="3" t="s">
        <v>3356</v>
      </c>
      <c r="C833" s="3" t="s">
        <v>3817</v>
      </c>
      <c r="D833" s="3" t="s">
        <v>3618</v>
      </c>
      <c r="E833" s="3" t="s">
        <v>3779</v>
      </c>
      <c r="F833" s="3" t="s">
        <v>5197</v>
      </c>
      <c r="G833" s="3" t="s">
        <v>3985</v>
      </c>
      <c r="H833" s="6" t="s">
        <v>3356</v>
      </c>
      <c r="I833" s="6" t="s">
        <v>3356</v>
      </c>
      <c r="J833" s="3" t="s">
        <v>3356</v>
      </c>
      <c r="L833" s="1" t="s">
        <v>6135</v>
      </c>
    </row>
    <row r="834" spans="1:12">
      <c r="A834" s="3" t="s">
        <v>3356</v>
      </c>
      <c r="C834" s="3" t="s">
        <v>3817</v>
      </c>
      <c r="D834" s="3" t="s">
        <v>3618</v>
      </c>
      <c r="E834" s="3" t="s">
        <v>3779</v>
      </c>
      <c r="F834" s="3" t="s">
        <v>5197</v>
      </c>
      <c r="G834" s="3" t="s">
        <v>5198</v>
      </c>
      <c r="H834" s="6" t="s">
        <v>3356</v>
      </c>
      <c r="I834" s="6" t="s">
        <v>3356</v>
      </c>
      <c r="J834" s="3" t="s">
        <v>3356</v>
      </c>
      <c r="L834" s="1" t="s">
        <v>6135</v>
      </c>
    </row>
    <row r="835" spans="1:12">
      <c r="A835" s="3" t="s">
        <v>3356</v>
      </c>
      <c r="C835" s="3" t="s">
        <v>3817</v>
      </c>
      <c r="D835" s="3" t="s">
        <v>3618</v>
      </c>
      <c r="E835" s="3" t="s">
        <v>3779</v>
      </c>
      <c r="F835" s="3" t="s">
        <v>3555</v>
      </c>
      <c r="G835" s="3" t="s">
        <v>5189</v>
      </c>
      <c r="H835" s="6" t="s">
        <v>3356</v>
      </c>
      <c r="I835" s="6" t="s">
        <v>3356</v>
      </c>
      <c r="J835" s="3" t="s">
        <v>3356</v>
      </c>
      <c r="L835" s="1" t="s">
        <v>6135</v>
      </c>
    </row>
    <row r="836" spans="1:12">
      <c r="A836" s="3" t="s">
        <v>3356</v>
      </c>
      <c r="C836" s="3" t="s">
        <v>3817</v>
      </c>
      <c r="D836" s="3" t="s">
        <v>3618</v>
      </c>
      <c r="E836" s="3" t="s">
        <v>3779</v>
      </c>
      <c r="F836" s="3" t="s">
        <v>3555</v>
      </c>
      <c r="G836" s="3" t="s">
        <v>7385</v>
      </c>
      <c r="H836" s="6" t="s">
        <v>3356</v>
      </c>
      <c r="I836" s="6" t="s">
        <v>3356</v>
      </c>
      <c r="J836" s="3" t="s">
        <v>3356</v>
      </c>
      <c r="L836" s="1" t="s">
        <v>6135</v>
      </c>
    </row>
    <row r="837" spans="1:12">
      <c r="A837" s="3" t="s">
        <v>3356</v>
      </c>
      <c r="C837" s="3" t="s">
        <v>3817</v>
      </c>
      <c r="D837" s="3" t="s">
        <v>3618</v>
      </c>
      <c r="E837" s="3" t="s">
        <v>3779</v>
      </c>
      <c r="F837" s="3" t="s">
        <v>3555</v>
      </c>
      <c r="G837" s="3" t="s">
        <v>2177</v>
      </c>
      <c r="H837" s="6" t="s">
        <v>3356</v>
      </c>
      <c r="I837" s="6" t="s">
        <v>3356</v>
      </c>
      <c r="J837" s="3" t="s">
        <v>3356</v>
      </c>
      <c r="L837" s="1" t="s">
        <v>6135</v>
      </c>
    </row>
    <row r="838" spans="1:12">
      <c r="A838" s="3" t="s">
        <v>3356</v>
      </c>
      <c r="C838" s="3" t="s">
        <v>3817</v>
      </c>
      <c r="D838" s="3" t="s">
        <v>3618</v>
      </c>
      <c r="E838" s="3" t="s">
        <v>3779</v>
      </c>
      <c r="F838" s="3" t="s">
        <v>3555</v>
      </c>
      <c r="G838" s="3" t="s">
        <v>5035</v>
      </c>
      <c r="H838" s="6" t="s">
        <v>3356</v>
      </c>
      <c r="I838" s="6" t="s">
        <v>3356</v>
      </c>
      <c r="J838" s="3" t="s">
        <v>3356</v>
      </c>
      <c r="L838" s="1" t="s">
        <v>6135</v>
      </c>
    </row>
    <row r="839" spans="1:12">
      <c r="A839" s="3" t="s">
        <v>3356</v>
      </c>
      <c r="C839" s="3" t="s">
        <v>3817</v>
      </c>
      <c r="D839" s="3" t="s">
        <v>3618</v>
      </c>
      <c r="E839" s="3" t="s">
        <v>3779</v>
      </c>
      <c r="F839" s="3" t="s">
        <v>5204</v>
      </c>
      <c r="G839" s="3" t="s">
        <v>5205</v>
      </c>
      <c r="H839" s="6" t="s">
        <v>3356</v>
      </c>
      <c r="I839" s="6" t="s">
        <v>3356</v>
      </c>
      <c r="J839" s="3" t="s">
        <v>3356</v>
      </c>
      <c r="L839" s="1" t="s">
        <v>6135</v>
      </c>
    </row>
    <row r="840" spans="1:12">
      <c r="A840" s="3" t="s">
        <v>3356</v>
      </c>
      <c r="C840" s="3" t="s">
        <v>3817</v>
      </c>
      <c r="D840" s="3" t="s">
        <v>3618</v>
      </c>
      <c r="E840" s="3" t="s">
        <v>3779</v>
      </c>
      <c r="F840" s="3" t="s">
        <v>5204</v>
      </c>
      <c r="G840" s="3" t="s">
        <v>5206</v>
      </c>
      <c r="H840" s="6" t="s">
        <v>3356</v>
      </c>
      <c r="I840" s="6" t="s">
        <v>3356</v>
      </c>
      <c r="J840" s="3" t="s">
        <v>3356</v>
      </c>
      <c r="L840" s="1" t="s">
        <v>6135</v>
      </c>
    </row>
    <row r="841" spans="1:12">
      <c r="A841" s="3" t="s">
        <v>3356</v>
      </c>
      <c r="C841" s="3" t="s">
        <v>3817</v>
      </c>
      <c r="D841" s="3" t="s">
        <v>3618</v>
      </c>
      <c r="E841" s="3" t="s">
        <v>3779</v>
      </c>
      <c r="F841" s="3" t="s">
        <v>5204</v>
      </c>
      <c r="G841" s="3" t="s">
        <v>3607</v>
      </c>
      <c r="H841" s="6" t="s">
        <v>3356</v>
      </c>
      <c r="I841" s="6" t="s">
        <v>3356</v>
      </c>
      <c r="J841" s="3" t="s">
        <v>3356</v>
      </c>
      <c r="L841" s="1" t="s">
        <v>6135</v>
      </c>
    </row>
    <row r="842" spans="1:12">
      <c r="A842" s="3" t="s">
        <v>3356</v>
      </c>
      <c r="C842" s="3" t="s">
        <v>3817</v>
      </c>
      <c r="D842" s="3" t="s">
        <v>3618</v>
      </c>
      <c r="E842" s="3" t="s">
        <v>3779</v>
      </c>
      <c r="F842" s="3" t="s">
        <v>5204</v>
      </c>
      <c r="G842" s="3" t="s">
        <v>5207</v>
      </c>
      <c r="H842" s="6" t="s">
        <v>3356</v>
      </c>
      <c r="I842" s="6" t="s">
        <v>3356</v>
      </c>
      <c r="J842" s="3" t="s">
        <v>3356</v>
      </c>
      <c r="L842" s="1" t="s">
        <v>6135</v>
      </c>
    </row>
    <row r="843" spans="1:12">
      <c r="A843" s="3" t="s">
        <v>3356</v>
      </c>
      <c r="C843" s="3" t="s">
        <v>3817</v>
      </c>
      <c r="D843" s="3" t="s">
        <v>3618</v>
      </c>
      <c r="E843" s="3" t="s">
        <v>3779</v>
      </c>
      <c r="F843" s="3" t="s">
        <v>5204</v>
      </c>
      <c r="G843" s="3" t="s">
        <v>5864</v>
      </c>
      <c r="H843" s="6" t="s">
        <v>3356</v>
      </c>
      <c r="I843" s="6" t="s">
        <v>3356</v>
      </c>
      <c r="J843" s="3" t="s">
        <v>3356</v>
      </c>
      <c r="L843" s="1" t="s">
        <v>6135</v>
      </c>
    </row>
    <row r="844" spans="1:12">
      <c r="A844" s="3" t="s">
        <v>3356</v>
      </c>
      <c r="C844" s="3" t="s">
        <v>3817</v>
      </c>
      <c r="D844" s="3" t="s">
        <v>3618</v>
      </c>
      <c r="E844" s="3" t="s">
        <v>3779</v>
      </c>
      <c r="F844" s="3" t="s">
        <v>5839</v>
      </c>
      <c r="G844" s="3" t="s">
        <v>5840</v>
      </c>
      <c r="H844" s="6">
        <v>3.1027766148834415</v>
      </c>
      <c r="I844" s="6">
        <v>1267</v>
      </c>
      <c r="J844" s="3" t="s">
        <v>6736</v>
      </c>
      <c r="L844" s="1" t="s">
        <v>6135</v>
      </c>
    </row>
    <row r="845" spans="1:12">
      <c r="A845" s="3" t="s">
        <v>3356</v>
      </c>
      <c r="C845" s="3" t="s">
        <v>3817</v>
      </c>
      <c r="D845" s="3" t="s">
        <v>3618</v>
      </c>
      <c r="E845" s="3" t="s">
        <v>3779</v>
      </c>
      <c r="F845" s="3" t="s">
        <v>5839</v>
      </c>
      <c r="G845" s="3" t="s">
        <v>5199</v>
      </c>
      <c r="H845" s="6" t="s">
        <v>3356</v>
      </c>
      <c r="I845" s="6" t="s">
        <v>3356</v>
      </c>
      <c r="J845" s="3" t="s">
        <v>3356</v>
      </c>
      <c r="L845" s="1" t="s">
        <v>6135</v>
      </c>
    </row>
    <row r="846" spans="1:12">
      <c r="A846" s="3" t="s">
        <v>3356</v>
      </c>
      <c r="C846" s="3" t="s">
        <v>3817</v>
      </c>
      <c r="D846" s="3" t="s">
        <v>3618</v>
      </c>
      <c r="E846" s="3" t="s">
        <v>3779</v>
      </c>
      <c r="F846" s="3" t="s">
        <v>5839</v>
      </c>
      <c r="G846" s="3" t="s">
        <v>7664</v>
      </c>
      <c r="H846" s="6" t="s">
        <v>3356</v>
      </c>
      <c r="I846" s="6" t="s">
        <v>3356</v>
      </c>
      <c r="J846" s="3" t="s">
        <v>3356</v>
      </c>
      <c r="L846" s="1" t="s">
        <v>6135</v>
      </c>
    </row>
    <row r="847" spans="1:12">
      <c r="A847" s="3" t="s">
        <v>3356</v>
      </c>
      <c r="C847" s="3" t="s">
        <v>3817</v>
      </c>
      <c r="D847" s="3" t="s">
        <v>3618</v>
      </c>
      <c r="E847" s="3" t="s">
        <v>3779</v>
      </c>
      <c r="F847" s="3" t="s">
        <v>6457</v>
      </c>
      <c r="G847" s="3" t="s">
        <v>6286</v>
      </c>
      <c r="H847" s="6" t="s">
        <v>3356</v>
      </c>
      <c r="I847" s="6" t="s">
        <v>3356</v>
      </c>
      <c r="J847" s="3" t="s">
        <v>3356</v>
      </c>
      <c r="L847" s="1" t="s">
        <v>6135</v>
      </c>
    </row>
    <row r="848" spans="1:12">
      <c r="A848" s="3" t="s">
        <v>3356</v>
      </c>
      <c r="C848" s="3" t="s">
        <v>3817</v>
      </c>
      <c r="D848" s="3" t="s">
        <v>3618</v>
      </c>
      <c r="E848" s="3" t="s">
        <v>6506</v>
      </c>
      <c r="F848" s="3" t="s">
        <v>6507</v>
      </c>
      <c r="G848" s="3" t="s">
        <v>5664</v>
      </c>
      <c r="H848" s="6">
        <v>4.3979400086720375</v>
      </c>
      <c r="I848" s="6">
        <v>25000</v>
      </c>
      <c r="J848" s="3" t="s">
        <v>6736</v>
      </c>
      <c r="L848" s="1" t="s">
        <v>6135</v>
      </c>
    </row>
    <row r="849" spans="1:12">
      <c r="A849" s="3" t="s">
        <v>3356</v>
      </c>
      <c r="C849" s="3" t="s">
        <v>3817</v>
      </c>
      <c r="D849" s="3" t="s">
        <v>3618</v>
      </c>
      <c r="E849" s="3" t="s">
        <v>3340</v>
      </c>
      <c r="F849" s="3" t="s">
        <v>5469</v>
      </c>
      <c r="G849" s="3" t="s">
        <v>5470</v>
      </c>
      <c r="H849" s="6">
        <v>2.2671717284030137</v>
      </c>
      <c r="I849" s="6">
        <v>185</v>
      </c>
      <c r="J849" s="3" t="s">
        <v>6736</v>
      </c>
      <c r="L849" s="1" t="s">
        <v>6135</v>
      </c>
    </row>
    <row r="850" spans="1:12">
      <c r="A850" s="3" t="s">
        <v>3356</v>
      </c>
      <c r="C850" s="3" t="s">
        <v>3817</v>
      </c>
      <c r="D850" s="3" t="s">
        <v>3618</v>
      </c>
      <c r="E850" s="3" t="s">
        <v>3340</v>
      </c>
      <c r="F850" s="3" t="s">
        <v>5469</v>
      </c>
      <c r="G850" s="3" t="s">
        <v>5287</v>
      </c>
      <c r="H850" s="6" t="s">
        <v>3356</v>
      </c>
      <c r="I850" s="6" t="s">
        <v>3356</v>
      </c>
      <c r="J850" s="3" t="s">
        <v>3356</v>
      </c>
      <c r="L850" s="1" t="s">
        <v>6135</v>
      </c>
    </row>
    <row r="851" spans="1:12">
      <c r="A851" s="3" t="s">
        <v>3356</v>
      </c>
      <c r="C851" s="3" t="s">
        <v>3817</v>
      </c>
      <c r="D851" s="3" t="s">
        <v>3618</v>
      </c>
      <c r="E851" s="3" t="s">
        <v>3340</v>
      </c>
      <c r="F851" s="3" t="s">
        <v>5288</v>
      </c>
      <c r="G851" s="3" t="s">
        <v>5134</v>
      </c>
      <c r="H851" s="6" t="s">
        <v>3356</v>
      </c>
      <c r="I851" s="6" t="s">
        <v>3356</v>
      </c>
      <c r="J851" s="3" t="s">
        <v>3356</v>
      </c>
      <c r="L851" s="1" t="s">
        <v>6135</v>
      </c>
    </row>
    <row r="852" spans="1:12">
      <c r="A852" s="3" t="s">
        <v>3356</v>
      </c>
      <c r="C852" s="3" t="s">
        <v>3817</v>
      </c>
      <c r="D852" s="3" t="s">
        <v>3618</v>
      </c>
      <c r="E852" s="3" t="s">
        <v>3340</v>
      </c>
      <c r="F852" s="3" t="s">
        <v>5032</v>
      </c>
      <c r="G852" s="3" t="s">
        <v>5033</v>
      </c>
      <c r="H852" s="6">
        <v>2.2612628687924934</v>
      </c>
      <c r="I852" s="6">
        <v>182.5</v>
      </c>
      <c r="J852" s="3" t="s">
        <v>6736</v>
      </c>
      <c r="L852" s="1" t="s">
        <v>6135</v>
      </c>
    </row>
    <row r="853" spans="1:12">
      <c r="A853" s="3" t="s">
        <v>3356</v>
      </c>
      <c r="C853" s="3" t="s">
        <v>3817</v>
      </c>
      <c r="D853" s="3" t="s">
        <v>3618</v>
      </c>
      <c r="E853" s="3" t="s">
        <v>3340</v>
      </c>
      <c r="F853" s="3" t="s">
        <v>5135</v>
      </c>
      <c r="G853" s="3" t="s">
        <v>4741</v>
      </c>
      <c r="H853" s="6" t="s">
        <v>3356</v>
      </c>
      <c r="I853" s="6" t="s">
        <v>3356</v>
      </c>
      <c r="J853" s="3" t="s">
        <v>3356</v>
      </c>
      <c r="L853" s="1" t="s">
        <v>6135</v>
      </c>
    </row>
    <row r="854" spans="1:12">
      <c r="A854" s="3" t="s">
        <v>3356</v>
      </c>
      <c r="C854" s="3" t="s">
        <v>3817</v>
      </c>
      <c r="D854" s="3" t="s">
        <v>3618</v>
      </c>
      <c r="E854" s="3" t="s">
        <v>3246</v>
      </c>
      <c r="F854" s="3" t="s">
        <v>2936</v>
      </c>
      <c r="G854" s="3" t="s">
        <v>7697</v>
      </c>
      <c r="H854" s="6" t="s">
        <v>3356</v>
      </c>
      <c r="I854" s="6" t="s">
        <v>3356</v>
      </c>
      <c r="J854" s="3" t="s">
        <v>3356</v>
      </c>
      <c r="L854" s="1" t="s">
        <v>6135</v>
      </c>
    </row>
    <row r="855" spans="1:12">
      <c r="A855" s="3" t="s">
        <v>3356</v>
      </c>
      <c r="C855" s="3" t="s">
        <v>3817</v>
      </c>
      <c r="D855" s="3" t="s">
        <v>3618</v>
      </c>
      <c r="E855" s="3" t="s">
        <v>3246</v>
      </c>
      <c r="F855" s="3" t="s">
        <v>2936</v>
      </c>
      <c r="G855" s="3" t="s">
        <v>5103</v>
      </c>
      <c r="H855" s="6" t="s">
        <v>3356</v>
      </c>
      <c r="I855" s="6" t="s">
        <v>3356</v>
      </c>
      <c r="J855" s="3" t="s">
        <v>3356</v>
      </c>
      <c r="L855" s="1" t="s">
        <v>6135</v>
      </c>
    </row>
    <row r="856" spans="1:12">
      <c r="A856" s="3" t="s">
        <v>3356</v>
      </c>
      <c r="C856" s="3" t="s">
        <v>3817</v>
      </c>
      <c r="D856" s="3" t="s">
        <v>3618</v>
      </c>
      <c r="E856" s="3" t="s">
        <v>6223</v>
      </c>
      <c r="F856" s="3" t="s">
        <v>5195</v>
      </c>
      <c r="G856" s="3" t="s">
        <v>6617</v>
      </c>
      <c r="H856" s="6" t="s">
        <v>3356</v>
      </c>
      <c r="I856" s="6" t="s">
        <v>3356</v>
      </c>
      <c r="J856" s="3" t="s">
        <v>3356</v>
      </c>
      <c r="L856" s="1" t="s">
        <v>6135</v>
      </c>
    </row>
    <row r="857" spans="1:12">
      <c r="A857" s="3" t="s">
        <v>3356</v>
      </c>
      <c r="C857" s="3" t="s">
        <v>3817</v>
      </c>
      <c r="D857" s="3" t="s">
        <v>3618</v>
      </c>
      <c r="E857" s="3" t="s">
        <v>6223</v>
      </c>
      <c r="F857" s="3" t="s">
        <v>5195</v>
      </c>
      <c r="G857" s="3" t="s">
        <v>6410</v>
      </c>
      <c r="H857" s="6" t="s">
        <v>3356</v>
      </c>
      <c r="I857" s="6" t="s">
        <v>3356</v>
      </c>
      <c r="J857" s="3" t="s">
        <v>3356</v>
      </c>
      <c r="L857" s="1" t="s">
        <v>6135</v>
      </c>
    </row>
    <row r="858" spans="1:12">
      <c r="A858" s="3" t="s">
        <v>3356</v>
      </c>
      <c r="C858" s="3" t="s">
        <v>3817</v>
      </c>
      <c r="D858" s="3" t="s">
        <v>3618</v>
      </c>
      <c r="E858" s="3" t="s">
        <v>6223</v>
      </c>
      <c r="F858" s="3" t="s">
        <v>5195</v>
      </c>
      <c r="G858" s="3" t="s">
        <v>6033</v>
      </c>
      <c r="H858" s="6">
        <v>1.6989700043360187</v>
      </c>
      <c r="I858" s="6">
        <v>50</v>
      </c>
      <c r="J858" s="3" t="s">
        <v>6736</v>
      </c>
      <c r="L858" s="1" t="s">
        <v>6135</v>
      </c>
    </row>
    <row r="859" spans="1:12">
      <c r="A859" s="3" t="s">
        <v>3356</v>
      </c>
      <c r="C859" s="3" t="s">
        <v>3817</v>
      </c>
      <c r="D859" s="3" t="s">
        <v>3618</v>
      </c>
      <c r="E859" s="3" t="s">
        <v>6223</v>
      </c>
      <c r="F859" s="3" t="s">
        <v>5195</v>
      </c>
      <c r="G859" s="3" t="s">
        <v>5251</v>
      </c>
      <c r="H859" s="6">
        <v>2.3654879848908998</v>
      </c>
      <c r="I859" s="6">
        <v>232</v>
      </c>
      <c r="J859" s="3" t="s">
        <v>6736</v>
      </c>
      <c r="L859" s="1" t="s">
        <v>6135</v>
      </c>
    </row>
    <row r="860" spans="1:12">
      <c r="A860" s="3" t="s">
        <v>3356</v>
      </c>
      <c r="C860" s="3" t="s">
        <v>3817</v>
      </c>
      <c r="D860" s="3" t="s">
        <v>3618</v>
      </c>
      <c r="E860" s="3" t="s">
        <v>6223</v>
      </c>
      <c r="F860" s="3" t="s">
        <v>5195</v>
      </c>
      <c r="G860" s="3" t="s">
        <v>3123</v>
      </c>
      <c r="H860" s="6" t="s">
        <v>3356</v>
      </c>
      <c r="I860" s="6" t="s">
        <v>3356</v>
      </c>
      <c r="J860" s="3" t="s">
        <v>3356</v>
      </c>
      <c r="L860" s="1" t="s">
        <v>6135</v>
      </c>
    </row>
    <row r="861" spans="1:12">
      <c r="A861" s="3" t="s">
        <v>3356</v>
      </c>
      <c r="C861" s="3" t="s">
        <v>3817</v>
      </c>
      <c r="D861" s="3" t="s">
        <v>3618</v>
      </c>
      <c r="E861" s="3" t="s">
        <v>6223</v>
      </c>
      <c r="F861" s="3" t="s">
        <v>5195</v>
      </c>
      <c r="G861" s="3" t="s">
        <v>6444</v>
      </c>
      <c r="H861" s="6" t="s">
        <v>3356</v>
      </c>
      <c r="I861" s="6" t="s">
        <v>3356</v>
      </c>
      <c r="J861" s="3" t="s">
        <v>3356</v>
      </c>
      <c r="L861" s="1" t="s">
        <v>6135</v>
      </c>
    </row>
    <row r="862" spans="1:12">
      <c r="A862" s="3" t="s">
        <v>3356</v>
      </c>
      <c r="C862" s="3" t="s">
        <v>3817</v>
      </c>
      <c r="D862" s="3" t="s">
        <v>3618</v>
      </c>
      <c r="E862" s="3" t="s">
        <v>6223</v>
      </c>
      <c r="F862" s="3" t="s">
        <v>5195</v>
      </c>
      <c r="G862" s="3" t="s">
        <v>5838</v>
      </c>
      <c r="H862" s="6" t="s">
        <v>3356</v>
      </c>
      <c r="I862" s="6" t="s">
        <v>3356</v>
      </c>
      <c r="J862" s="3" t="s">
        <v>3356</v>
      </c>
      <c r="L862" s="1" t="s">
        <v>6135</v>
      </c>
    </row>
    <row r="863" spans="1:12">
      <c r="A863" s="3" t="s">
        <v>3356</v>
      </c>
      <c r="C863" s="3" t="s">
        <v>3817</v>
      </c>
      <c r="D863" s="3" t="s">
        <v>3618</v>
      </c>
      <c r="E863" s="3" t="s">
        <v>6223</v>
      </c>
      <c r="F863" s="3" t="s">
        <v>5195</v>
      </c>
      <c r="G863" s="3" t="s">
        <v>5643</v>
      </c>
      <c r="H863" s="6" t="s">
        <v>3356</v>
      </c>
      <c r="I863" s="6" t="s">
        <v>3356</v>
      </c>
      <c r="J863" s="3" t="s">
        <v>3356</v>
      </c>
      <c r="L863" s="1" t="s">
        <v>6135</v>
      </c>
    </row>
    <row r="864" spans="1:12">
      <c r="A864" s="3" t="s">
        <v>3356</v>
      </c>
      <c r="C864" s="3" t="s">
        <v>3817</v>
      </c>
      <c r="D864" s="3" t="s">
        <v>3618</v>
      </c>
      <c r="E864" s="3" t="s">
        <v>6223</v>
      </c>
      <c r="F864" s="3" t="s">
        <v>5195</v>
      </c>
      <c r="G864" s="3" t="s">
        <v>8225</v>
      </c>
      <c r="H864" s="6" t="s">
        <v>3356</v>
      </c>
      <c r="I864" s="6" t="s">
        <v>3356</v>
      </c>
      <c r="J864" s="3" t="s">
        <v>3356</v>
      </c>
      <c r="L864" s="1" t="s">
        <v>6135</v>
      </c>
    </row>
    <row r="865" spans="1:12">
      <c r="A865" s="3" t="s">
        <v>3356</v>
      </c>
      <c r="C865" s="3" t="s">
        <v>3817</v>
      </c>
      <c r="D865" s="3" t="s">
        <v>3618</v>
      </c>
      <c r="E865" s="3" t="s">
        <v>6223</v>
      </c>
      <c r="F865" s="3" t="s">
        <v>5195</v>
      </c>
      <c r="G865" s="3" t="s">
        <v>2134</v>
      </c>
      <c r="H865" s="6">
        <v>1.7160033436347992</v>
      </c>
      <c r="I865" s="6">
        <v>52</v>
      </c>
      <c r="J865" s="3" t="s">
        <v>6736</v>
      </c>
      <c r="L865" s="1" t="s">
        <v>6135</v>
      </c>
    </row>
    <row r="866" spans="1:12">
      <c r="A866" s="3" t="s">
        <v>3356</v>
      </c>
      <c r="C866" s="3" t="s">
        <v>3817</v>
      </c>
      <c r="D866" s="3" t="s">
        <v>3618</v>
      </c>
      <c r="E866" s="3" t="s">
        <v>6223</v>
      </c>
      <c r="F866" s="3" t="s">
        <v>5195</v>
      </c>
      <c r="G866" s="3" t="s">
        <v>8132</v>
      </c>
      <c r="H866" s="6" t="s">
        <v>3356</v>
      </c>
      <c r="I866" s="6" t="s">
        <v>3356</v>
      </c>
      <c r="J866" s="3" t="s">
        <v>3356</v>
      </c>
      <c r="L866" s="1" t="s">
        <v>6135</v>
      </c>
    </row>
    <row r="867" spans="1:12">
      <c r="A867" s="3" t="s">
        <v>3356</v>
      </c>
      <c r="C867" s="3" t="s">
        <v>3817</v>
      </c>
      <c r="D867" s="3" t="s">
        <v>3618</v>
      </c>
      <c r="E867" s="3" t="s">
        <v>6223</v>
      </c>
      <c r="F867" s="3" t="s">
        <v>8298</v>
      </c>
      <c r="G867" s="3" t="s">
        <v>8299</v>
      </c>
      <c r="H867" s="6" t="s">
        <v>3356</v>
      </c>
      <c r="I867" s="6" t="s">
        <v>3356</v>
      </c>
      <c r="J867" s="3" t="s">
        <v>3356</v>
      </c>
      <c r="L867" s="1" t="s">
        <v>6135</v>
      </c>
    </row>
    <row r="868" spans="1:12">
      <c r="A868" s="3" t="s">
        <v>3356</v>
      </c>
      <c r="C868" s="3" t="s">
        <v>3817</v>
      </c>
      <c r="D868" s="3" t="s">
        <v>3618</v>
      </c>
      <c r="E868" s="3" t="s">
        <v>6223</v>
      </c>
      <c r="F868" s="3" t="s">
        <v>6020</v>
      </c>
      <c r="G868" s="3" t="s">
        <v>5484</v>
      </c>
      <c r="H868" s="6" t="s">
        <v>3356</v>
      </c>
      <c r="I868" s="6" t="s">
        <v>3356</v>
      </c>
      <c r="J868" s="3" t="s">
        <v>3356</v>
      </c>
      <c r="L868" s="1" t="s">
        <v>6135</v>
      </c>
    </row>
    <row r="869" spans="1:12">
      <c r="A869" s="3" t="s">
        <v>3356</v>
      </c>
      <c r="C869" s="3" t="s">
        <v>3817</v>
      </c>
      <c r="D869" s="3" t="s">
        <v>3618</v>
      </c>
      <c r="E869" s="3" t="s">
        <v>6223</v>
      </c>
      <c r="F869" s="3" t="s">
        <v>5252</v>
      </c>
      <c r="G869" s="3" t="s">
        <v>5253</v>
      </c>
      <c r="H869" s="6">
        <v>2</v>
      </c>
      <c r="I869" s="6">
        <v>100</v>
      </c>
      <c r="J869" s="3" t="s">
        <v>6736</v>
      </c>
      <c r="L869" s="1" t="s">
        <v>6135</v>
      </c>
    </row>
    <row r="870" spans="1:12">
      <c r="A870" s="3" t="s">
        <v>3356</v>
      </c>
      <c r="C870" s="3" t="s">
        <v>3817</v>
      </c>
      <c r="D870" s="3" t="s">
        <v>3618</v>
      </c>
      <c r="E870" s="3" t="s">
        <v>6223</v>
      </c>
      <c r="F870" s="3" t="s">
        <v>6031</v>
      </c>
      <c r="G870" s="3" t="s">
        <v>6470</v>
      </c>
      <c r="H870" s="6" t="s">
        <v>3356</v>
      </c>
      <c r="I870" s="6" t="s">
        <v>3356</v>
      </c>
      <c r="J870" s="3" t="s">
        <v>3356</v>
      </c>
      <c r="L870" s="1" t="s">
        <v>6135</v>
      </c>
    </row>
    <row r="871" spans="1:12">
      <c r="A871" s="3" t="s">
        <v>3356</v>
      </c>
      <c r="C871" s="3" t="s">
        <v>3817</v>
      </c>
      <c r="D871" s="3" t="s">
        <v>3618</v>
      </c>
      <c r="E871" s="3" t="s">
        <v>6223</v>
      </c>
      <c r="F871" s="3" t="s">
        <v>3339</v>
      </c>
      <c r="G871" s="3" t="s">
        <v>8139</v>
      </c>
      <c r="H871" s="6" t="s">
        <v>3356</v>
      </c>
      <c r="I871" s="6" t="s">
        <v>3356</v>
      </c>
      <c r="J871" s="3" t="s">
        <v>3356</v>
      </c>
      <c r="L871" s="1" t="s">
        <v>6135</v>
      </c>
    </row>
    <row r="872" spans="1:12">
      <c r="A872" s="3" t="s">
        <v>3356</v>
      </c>
      <c r="C872" s="3" t="s">
        <v>3817</v>
      </c>
      <c r="D872" s="3" t="s">
        <v>3618</v>
      </c>
      <c r="E872" s="3" t="s">
        <v>6223</v>
      </c>
      <c r="F872" s="3" t="s">
        <v>6750</v>
      </c>
      <c r="G872" s="3" t="s">
        <v>7088</v>
      </c>
      <c r="H872" s="6" t="s">
        <v>3356</v>
      </c>
      <c r="I872" s="6" t="s">
        <v>3356</v>
      </c>
      <c r="J872" s="3" t="s">
        <v>3356</v>
      </c>
      <c r="L872" s="1" t="s">
        <v>6135</v>
      </c>
    </row>
    <row r="873" spans="1:12">
      <c r="A873" s="3" t="s">
        <v>3356</v>
      </c>
      <c r="C873" s="3" t="s">
        <v>3817</v>
      </c>
      <c r="D873" s="3" t="s">
        <v>3618</v>
      </c>
      <c r="E873" s="3" t="s">
        <v>6223</v>
      </c>
      <c r="F873" s="3" t="s">
        <v>6224</v>
      </c>
      <c r="G873" s="3" t="s">
        <v>6452</v>
      </c>
      <c r="H873" s="6" t="s">
        <v>3356</v>
      </c>
      <c r="I873" s="6" t="s">
        <v>3356</v>
      </c>
      <c r="J873" s="3" t="s">
        <v>3356</v>
      </c>
      <c r="L873" s="1" t="s">
        <v>6135</v>
      </c>
    </row>
    <row r="874" spans="1:12">
      <c r="A874" s="3" t="s">
        <v>3356</v>
      </c>
      <c r="C874" s="3" t="s">
        <v>3817</v>
      </c>
      <c r="D874" s="3" t="s">
        <v>3618</v>
      </c>
      <c r="E874" s="3" t="s">
        <v>6223</v>
      </c>
      <c r="F874" s="3" t="s">
        <v>6224</v>
      </c>
      <c r="G874" s="3" t="s">
        <v>6757</v>
      </c>
      <c r="H874" s="6" t="s">
        <v>3356</v>
      </c>
      <c r="I874" s="6" t="s">
        <v>3356</v>
      </c>
      <c r="J874" s="3" t="s">
        <v>3356</v>
      </c>
      <c r="L874" s="1" t="s">
        <v>6135</v>
      </c>
    </row>
    <row r="875" spans="1:12">
      <c r="A875" s="3" t="s">
        <v>3356</v>
      </c>
      <c r="C875" s="3" t="s">
        <v>3817</v>
      </c>
      <c r="D875" s="3" t="s">
        <v>3618</v>
      </c>
      <c r="E875" s="3" t="s">
        <v>6223</v>
      </c>
      <c r="F875" s="3" t="s">
        <v>6755</v>
      </c>
      <c r="G875" s="3" t="s">
        <v>5842</v>
      </c>
      <c r="H875" s="6" t="s">
        <v>3356</v>
      </c>
      <c r="I875" s="6" t="s">
        <v>3356</v>
      </c>
      <c r="J875" s="3" t="s">
        <v>3356</v>
      </c>
      <c r="L875" s="1" t="s">
        <v>6135</v>
      </c>
    </row>
    <row r="876" spans="1:12">
      <c r="A876" s="3" t="s">
        <v>3356</v>
      </c>
      <c r="C876" s="3" t="s">
        <v>3817</v>
      </c>
      <c r="D876" s="3" t="s">
        <v>3618</v>
      </c>
      <c r="E876" s="3" t="s">
        <v>6223</v>
      </c>
      <c r="F876" s="3" t="s">
        <v>8128</v>
      </c>
      <c r="G876" s="3" t="s">
        <v>5650</v>
      </c>
      <c r="H876" s="6" t="s">
        <v>3356</v>
      </c>
      <c r="I876" s="6" t="s">
        <v>3356</v>
      </c>
      <c r="J876" s="3" t="s">
        <v>3356</v>
      </c>
      <c r="L876" s="1" t="s">
        <v>6135</v>
      </c>
    </row>
    <row r="877" spans="1:12">
      <c r="A877" s="3" t="s">
        <v>3356</v>
      </c>
      <c r="C877" s="3" t="s">
        <v>3817</v>
      </c>
      <c r="D877" s="3" t="s">
        <v>3618</v>
      </c>
      <c r="E877" s="3" t="s">
        <v>6223</v>
      </c>
      <c r="F877" s="3" t="s">
        <v>8128</v>
      </c>
      <c r="G877" s="3" t="s">
        <v>3514</v>
      </c>
      <c r="H877" s="6" t="s">
        <v>3356</v>
      </c>
      <c r="I877" s="6" t="s">
        <v>3356</v>
      </c>
      <c r="J877" s="3" t="s">
        <v>3356</v>
      </c>
      <c r="L877" s="1" t="s">
        <v>6135</v>
      </c>
    </row>
    <row r="878" spans="1:12">
      <c r="A878" s="3" t="s">
        <v>3356</v>
      </c>
      <c r="C878" s="3" t="s">
        <v>3817</v>
      </c>
      <c r="D878" s="3" t="s">
        <v>3618</v>
      </c>
      <c r="E878" s="3" t="s">
        <v>6223</v>
      </c>
      <c r="F878" s="3" t="s">
        <v>8128</v>
      </c>
      <c r="G878" s="3" t="s">
        <v>6019</v>
      </c>
      <c r="H878" s="6" t="s">
        <v>3356</v>
      </c>
      <c r="I878" s="6" t="s">
        <v>3356</v>
      </c>
      <c r="J878" s="3" t="s">
        <v>3356</v>
      </c>
      <c r="L878" s="1" t="s">
        <v>6135</v>
      </c>
    </row>
    <row r="879" spans="1:12">
      <c r="A879" s="3" t="s">
        <v>3356</v>
      </c>
      <c r="C879" s="3" t="s">
        <v>3817</v>
      </c>
      <c r="D879" s="3" t="s">
        <v>3618</v>
      </c>
      <c r="E879" s="3" t="s">
        <v>6223</v>
      </c>
      <c r="F879" s="3" t="s">
        <v>6016</v>
      </c>
      <c r="G879" s="3" t="s">
        <v>4184</v>
      </c>
      <c r="H879" s="6" t="s">
        <v>3356</v>
      </c>
      <c r="I879" s="6" t="s">
        <v>3356</v>
      </c>
      <c r="J879" s="3" t="s">
        <v>3356</v>
      </c>
      <c r="L879" s="1" t="s">
        <v>6135</v>
      </c>
    </row>
    <row r="880" spans="1:12">
      <c r="A880" s="3" t="s">
        <v>3356</v>
      </c>
      <c r="C880" s="3" t="s">
        <v>3817</v>
      </c>
      <c r="D880" s="3" t="s">
        <v>3618</v>
      </c>
      <c r="E880" s="3" t="s">
        <v>6223</v>
      </c>
      <c r="F880" s="3" t="s">
        <v>6016</v>
      </c>
      <c r="G880" s="3" t="s">
        <v>8136</v>
      </c>
      <c r="H880" s="6" t="s">
        <v>3356</v>
      </c>
      <c r="I880" s="6" t="s">
        <v>3356</v>
      </c>
      <c r="J880" s="3" t="s">
        <v>3356</v>
      </c>
      <c r="L880" s="1" t="s">
        <v>6135</v>
      </c>
    </row>
    <row r="881" spans="1:12">
      <c r="A881" s="3" t="s">
        <v>3356</v>
      </c>
      <c r="C881" s="3" t="s">
        <v>3817</v>
      </c>
      <c r="D881" s="3" t="s">
        <v>3618</v>
      </c>
      <c r="E881" s="3" t="s">
        <v>6223</v>
      </c>
      <c r="F881" s="3" t="s">
        <v>6016</v>
      </c>
      <c r="G881" s="3" t="s">
        <v>8137</v>
      </c>
      <c r="H881" s="6" t="s">
        <v>3356</v>
      </c>
      <c r="I881" s="6" t="s">
        <v>3356</v>
      </c>
      <c r="J881" s="3" t="s">
        <v>3356</v>
      </c>
      <c r="L881" s="1" t="s">
        <v>6135</v>
      </c>
    </row>
    <row r="882" spans="1:12">
      <c r="A882" s="3" t="s">
        <v>3356</v>
      </c>
      <c r="C882" s="3" t="s">
        <v>3817</v>
      </c>
      <c r="D882" s="3" t="s">
        <v>3618</v>
      </c>
      <c r="E882" s="3" t="s">
        <v>6223</v>
      </c>
      <c r="F882" s="3" t="s">
        <v>6016</v>
      </c>
      <c r="G882" s="3" t="s">
        <v>6451</v>
      </c>
      <c r="H882" s="6" t="s">
        <v>3356</v>
      </c>
      <c r="I882" s="6" t="s">
        <v>3356</v>
      </c>
      <c r="J882" s="3" t="s">
        <v>3356</v>
      </c>
      <c r="L882" s="1" t="s">
        <v>6135</v>
      </c>
    </row>
    <row r="883" spans="1:12">
      <c r="A883" s="3" t="s">
        <v>3356</v>
      </c>
      <c r="C883" s="3" t="s">
        <v>3817</v>
      </c>
      <c r="D883" s="3" t="s">
        <v>3618</v>
      </c>
      <c r="E883" s="3" t="s">
        <v>6223</v>
      </c>
      <c r="F883" s="3" t="s">
        <v>6016</v>
      </c>
      <c r="G883" s="3" t="s">
        <v>5379</v>
      </c>
      <c r="H883" s="6" t="s">
        <v>3356</v>
      </c>
      <c r="I883" s="6" t="s">
        <v>3356</v>
      </c>
      <c r="J883" s="3" t="s">
        <v>3356</v>
      </c>
      <c r="L883" s="1" t="s">
        <v>6135</v>
      </c>
    </row>
    <row r="884" spans="1:12">
      <c r="A884" s="3" t="s">
        <v>3356</v>
      </c>
      <c r="C884" s="3" t="s">
        <v>3817</v>
      </c>
      <c r="D884" s="3" t="s">
        <v>3618</v>
      </c>
      <c r="E884" s="3" t="s">
        <v>6223</v>
      </c>
      <c r="F884" s="3" t="s">
        <v>6016</v>
      </c>
      <c r="G884" s="3" t="s">
        <v>4852</v>
      </c>
      <c r="H884" s="6" t="s">
        <v>3356</v>
      </c>
      <c r="I884" s="6" t="s">
        <v>3356</v>
      </c>
      <c r="J884" s="3" t="s">
        <v>3356</v>
      </c>
      <c r="L884" s="1" t="s">
        <v>6135</v>
      </c>
    </row>
    <row r="885" spans="1:12">
      <c r="A885" s="3" t="s">
        <v>3356</v>
      </c>
      <c r="C885" s="3" t="s">
        <v>3817</v>
      </c>
      <c r="D885" s="3" t="s">
        <v>3618</v>
      </c>
      <c r="E885" s="3" t="s">
        <v>6223</v>
      </c>
      <c r="F885" s="3" t="s">
        <v>5250</v>
      </c>
      <c r="G885" s="3" t="s">
        <v>5843</v>
      </c>
      <c r="H885" s="6" t="s">
        <v>3356</v>
      </c>
      <c r="I885" s="6" t="s">
        <v>3356</v>
      </c>
      <c r="J885" s="3" t="s">
        <v>3356</v>
      </c>
      <c r="L885" s="1" t="s">
        <v>6135</v>
      </c>
    </row>
    <row r="886" spans="1:12">
      <c r="A886" s="3" t="s">
        <v>3356</v>
      </c>
      <c r="C886" s="3" t="s">
        <v>3817</v>
      </c>
      <c r="D886" s="3" t="s">
        <v>3618</v>
      </c>
      <c r="E886" s="3" t="s">
        <v>6223</v>
      </c>
      <c r="F886" s="3" t="s">
        <v>5250</v>
      </c>
      <c r="G886" s="3" t="s">
        <v>5466</v>
      </c>
      <c r="H886" s="6">
        <v>1</v>
      </c>
      <c r="I886" s="6">
        <v>10</v>
      </c>
      <c r="J886" s="3" t="s">
        <v>6736</v>
      </c>
      <c r="L886" s="1" t="s">
        <v>6135</v>
      </c>
    </row>
    <row r="887" spans="1:12">
      <c r="A887" s="3" t="s">
        <v>3356</v>
      </c>
      <c r="C887" s="3" t="s">
        <v>3817</v>
      </c>
      <c r="D887" s="3" t="s">
        <v>3618</v>
      </c>
      <c r="E887" s="3" t="s">
        <v>6223</v>
      </c>
      <c r="F887" s="3" t="s">
        <v>5250</v>
      </c>
      <c r="G887" s="3" t="s">
        <v>5601</v>
      </c>
      <c r="H887" s="6" t="s">
        <v>3356</v>
      </c>
      <c r="I887" s="6" t="s">
        <v>3356</v>
      </c>
      <c r="J887" s="3" t="s">
        <v>3356</v>
      </c>
      <c r="L887" s="1" t="s">
        <v>6135</v>
      </c>
    </row>
    <row r="888" spans="1:12">
      <c r="A888" s="3" t="s">
        <v>3356</v>
      </c>
      <c r="C888" s="3" t="s">
        <v>3817</v>
      </c>
      <c r="D888" s="3" t="s">
        <v>3618</v>
      </c>
      <c r="E888" s="3" t="s">
        <v>6223</v>
      </c>
      <c r="F888" s="3" t="s">
        <v>5250</v>
      </c>
      <c r="G888" s="3" t="s">
        <v>8216</v>
      </c>
      <c r="H888" s="6" t="s">
        <v>3356</v>
      </c>
      <c r="I888" s="6" t="s">
        <v>3356</v>
      </c>
      <c r="J888" s="3" t="s">
        <v>3356</v>
      </c>
      <c r="L888" s="1" t="s">
        <v>6135</v>
      </c>
    </row>
    <row r="889" spans="1:12">
      <c r="A889" s="3" t="s">
        <v>3356</v>
      </c>
      <c r="C889" s="3" t="s">
        <v>3817</v>
      </c>
      <c r="D889" s="3" t="s">
        <v>3618</v>
      </c>
      <c r="E889" s="3" t="s">
        <v>6223</v>
      </c>
      <c r="F889" s="3" t="s">
        <v>5250</v>
      </c>
      <c r="G889" s="3" t="s">
        <v>3569</v>
      </c>
      <c r="H889" s="6" t="s">
        <v>3356</v>
      </c>
      <c r="I889" s="6" t="s">
        <v>3356</v>
      </c>
      <c r="J889" s="3" t="s">
        <v>3356</v>
      </c>
      <c r="L889" s="1" t="s">
        <v>6135</v>
      </c>
    </row>
    <row r="890" spans="1:12">
      <c r="A890" s="3" t="s">
        <v>3356</v>
      </c>
      <c r="C890" s="3" t="s">
        <v>3817</v>
      </c>
      <c r="D890" s="3" t="s">
        <v>3618</v>
      </c>
      <c r="E890" s="3" t="s">
        <v>6223</v>
      </c>
      <c r="F890" s="3" t="s">
        <v>5250</v>
      </c>
      <c r="G890" s="3" t="s">
        <v>5814</v>
      </c>
      <c r="H890" s="6" t="s">
        <v>3356</v>
      </c>
      <c r="I890" s="6" t="s">
        <v>3356</v>
      </c>
      <c r="J890" s="3" t="s">
        <v>3356</v>
      </c>
      <c r="L890" s="1" t="s">
        <v>6135</v>
      </c>
    </row>
    <row r="891" spans="1:12">
      <c r="A891" s="3" t="s">
        <v>3356</v>
      </c>
      <c r="C891" s="3" t="s">
        <v>3817</v>
      </c>
      <c r="D891" s="3" t="s">
        <v>3618</v>
      </c>
      <c r="E891" s="3" t="s">
        <v>6223</v>
      </c>
      <c r="F891" s="3" t="s">
        <v>5250</v>
      </c>
      <c r="G891" s="3" t="s">
        <v>6471</v>
      </c>
      <c r="H891" s="6" t="s">
        <v>3356</v>
      </c>
      <c r="I891" s="6" t="s">
        <v>3356</v>
      </c>
      <c r="J891" s="3" t="s">
        <v>3356</v>
      </c>
      <c r="L891" s="1" t="s">
        <v>6135</v>
      </c>
    </row>
    <row r="892" spans="1:12">
      <c r="A892" s="3" t="s">
        <v>3356</v>
      </c>
      <c r="C892" s="3" t="s">
        <v>3817</v>
      </c>
      <c r="D892" s="3" t="s">
        <v>3618</v>
      </c>
      <c r="E892" s="3" t="s">
        <v>6223</v>
      </c>
      <c r="F892" s="3" t="s">
        <v>5250</v>
      </c>
      <c r="G892" s="3" t="s">
        <v>5039</v>
      </c>
      <c r="H892" s="6">
        <v>1</v>
      </c>
      <c r="I892" s="6">
        <v>10</v>
      </c>
      <c r="J892" s="3" t="s">
        <v>6736</v>
      </c>
      <c r="L892" s="1" t="s">
        <v>6135</v>
      </c>
    </row>
    <row r="893" spans="1:12">
      <c r="A893" s="3" t="s">
        <v>3356</v>
      </c>
      <c r="C893" s="3" t="s">
        <v>3817</v>
      </c>
      <c r="D893" s="3" t="s">
        <v>3618</v>
      </c>
      <c r="E893" s="3" t="s">
        <v>6223</v>
      </c>
      <c r="F893" s="3" t="s">
        <v>5250</v>
      </c>
      <c r="G893" s="3" t="s">
        <v>5841</v>
      </c>
      <c r="H893" s="6" t="s">
        <v>3356</v>
      </c>
      <c r="I893" s="6" t="s">
        <v>3356</v>
      </c>
      <c r="J893" s="3" t="s">
        <v>3356</v>
      </c>
      <c r="L893" s="1" t="s">
        <v>6135</v>
      </c>
    </row>
    <row r="894" spans="1:12">
      <c r="A894" s="3" t="s">
        <v>3356</v>
      </c>
      <c r="C894" s="3" t="s">
        <v>3817</v>
      </c>
      <c r="D894" s="3" t="s">
        <v>3618</v>
      </c>
      <c r="E894" s="3" t="s">
        <v>6223</v>
      </c>
      <c r="F894" s="3" t="s">
        <v>5250</v>
      </c>
      <c r="G894" s="3" t="s">
        <v>5643</v>
      </c>
      <c r="H894" s="6" t="s">
        <v>3356</v>
      </c>
      <c r="I894" s="6" t="s">
        <v>3356</v>
      </c>
      <c r="J894" s="3" t="s">
        <v>3356</v>
      </c>
      <c r="L894" s="1" t="s">
        <v>6135</v>
      </c>
    </row>
    <row r="895" spans="1:12">
      <c r="A895" s="3" t="s">
        <v>3356</v>
      </c>
      <c r="C895" s="3" t="s">
        <v>3817</v>
      </c>
      <c r="D895" s="3" t="s">
        <v>3618</v>
      </c>
      <c r="E895" s="3" t="s">
        <v>6223</v>
      </c>
      <c r="F895" s="3" t="s">
        <v>5250</v>
      </c>
      <c r="G895" s="3" t="s">
        <v>5846</v>
      </c>
      <c r="H895" s="6" t="s">
        <v>3356</v>
      </c>
      <c r="I895" s="6" t="s">
        <v>3356</v>
      </c>
      <c r="J895" s="3" t="s">
        <v>3356</v>
      </c>
      <c r="L895" s="1" t="s">
        <v>6135</v>
      </c>
    </row>
    <row r="896" spans="1:12">
      <c r="A896" s="3" t="s">
        <v>3356</v>
      </c>
      <c r="C896" s="3" t="s">
        <v>3817</v>
      </c>
      <c r="D896" s="3" t="s">
        <v>3618</v>
      </c>
      <c r="E896" s="3" t="s">
        <v>6223</v>
      </c>
      <c r="F896" s="3" t="s">
        <v>5250</v>
      </c>
      <c r="G896" s="3" t="s">
        <v>5847</v>
      </c>
      <c r="H896" s="6" t="s">
        <v>3356</v>
      </c>
      <c r="I896" s="6" t="s">
        <v>3356</v>
      </c>
      <c r="J896" s="3" t="s">
        <v>3356</v>
      </c>
      <c r="L896" s="1" t="s">
        <v>6135</v>
      </c>
    </row>
    <row r="897" spans="1:12">
      <c r="A897" s="3" t="s">
        <v>3356</v>
      </c>
      <c r="C897" s="3" t="s">
        <v>3817</v>
      </c>
      <c r="D897" s="3" t="s">
        <v>3618</v>
      </c>
      <c r="E897" s="3" t="s">
        <v>6223</v>
      </c>
      <c r="F897" s="3" t="s">
        <v>5250</v>
      </c>
      <c r="G897" s="3" t="s">
        <v>5848</v>
      </c>
      <c r="H897" s="6" t="s">
        <v>3356</v>
      </c>
      <c r="I897" s="6" t="s">
        <v>3356</v>
      </c>
      <c r="J897" s="3" t="s">
        <v>3356</v>
      </c>
      <c r="L897" s="1" t="s">
        <v>6135</v>
      </c>
    </row>
    <row r="898" spans="1:12">
      <c r="A898" s="3" t="s">
        <v>3356</v>
      </c>
      <c r="C898" s="3" t="s">
        <v>3817</v>
      </c>
      <c r="D898" s="3" t="s">
        <v>3618</v>
      </c>
      <c r="E898" s="3" t="s">
        <v>6223</v>
      </c>
      <c r="F898" s="3" t="s">
        <v>6758</v>
      </c>
      <c r="G898" s="3" t="s">
        <v>3576</v>
      </c>
      <c r="H898" s="6" t="s">
        <v>3356</v>
      </c>
      <c r="I898" s="6" t="s">
        <v>3356</v>
      </c>
      <c r="J898" s="3" t="s">
        <v>3356</v>
      </c>
      <c r="L898" s="1" t="s">
        <v>6135</v>
      </c>
    </row>
    <row r="899" spans="1:12">
      <c r="A899" s="3" t="s">
        <v>3356</v>
      </c>
      <c r="C899" s="3" t="s">
        <v>3817</v>
      </c>
      <c r="D899" s="3" t="s">
        <v>3618</v>
      </c>
      <c r="E899" s="3" t="s">
        <v>6223</v>
      </c>
      <c r="F899" s="3" t="s">
        <v>6758</v>
      </c>
      <c r="G899" s="3" t="s">
        <v>5511</v>
      </c>
      <c r="H899" s="6" t="s">
        <v>3356</v>
      </c>
      <c r="I899" s="6" t="s">
        <v>3356</v>
      </c>
      <c r="J899" s="3" t="s">
        <v>3356</v>
      </c>
      <c r="L899" s="1" t="s">
        <v>6135</v>
      </c>
    </row>
    <row r="900" spans="1:12">
      <c r="A900" s="3" t="s">
        <v>3356</v>
      </c>
      <c r="C900" s="3" t="s">
        <v>3817</v>
      </c>
      <c r="D900" s="3" t="s">
        <v>3618</v>
      </c>
      <c r="E900" s="3" t="s">
        <v>6223</v>
      </c>
      <c r="F900" s="3" t="s">
        <v>6758</v>
      </c>
      <c r="G900" s="3" t="s">
        <v>6749</v>
      </c>
      <c r="H900" s="6" t="s">
        <v>3356</v>
      </c>
      <c r="I900" s="6" t="s">
        <v>3356</v>
      </c>
      <c r="J900" s="3" t="s">
        <v>3356</v>
      </c>
      <c r="L900" s="1" t="s">
        <v>6135</v>
      </c>
    </row>
    <row r="901" spans="1:12">
      <c r="A901" s="3" t="s">
        <v>3356</v>
      </c>
      <c r="C901" s="3" t="s">
        <v>3817</v>
      </c>
      <c r="D901" s="3" t="s">
        <v>3618</v>
      </c>
      <c r="E901" s="3" t="s">
        <v>6464</v>
      </c>
      <c r="F901" s="3" t="s">
        <v>7746</v>
      </c>
      <c r="G901" s="3" t="s">
        <v>4830</v>
      </c>
      <c r="H901" s="6" t="s">
        <v>3356</v>
      </c>
      <c r="I901" s="6" t="s">
        <v>3356</v>
      </c>
      <c r="J901" s="3" t="s">
        <v>3356</v>
      </c>
      <c r="L901" s="1" t="s">
        <v>6135</v>
      </c>
    </row>
    <row r="902" spans="1:12">
      <c r="A902" s="3" t="s">
        <v>3356</v>
      </c>
      <c r="C902" s="3" t="s">
        <v>3817</v>
      </c>
      <c r="D902" s="3" t="s">
        <v>3618</v>
      </c>
      <c r="E902" s="3" t="s">
        <v>6464</v>
      </c>
      <c r="F902" s="3" t="s">
        <v>7746</v>
      </c>
      <c r="G902" s="3" t="s">
        <v>4831</v>
      </c>
      <c r="H902" s="6" t="s">
        <v>3356</v>
      </c>
      <c r="I902" s="6" t="s">
        <v>3356</v>
      </c>
      <c r="J902" s="3" t="s">
        <v>3356</v>
      </c>
      <c r="L902" s="1" t="s">
        <v>6135</v>
      </c>
    </row>
    <row r="903" spans="1:12">
      <c r="A903" s="3" t="s">
        <v>3356</v>
      </c>
      <c r="C903" s="3" t="s">
        <v>3817</v>
      </c>
      <c r="D903" s="3" t="s">
        <v>3618</v>
      </c>
      <c r="E903" s="3" t="s">
        <v>6464</v>
      </c>
      <c r="F903" s="3" t="s">
        <v>4832</v>
      </c>
      <c r="G903" s="3" t="s">
        <v>4833</v>
      </c>
      <c r="H903" s="6" t="s">
        <v>3356</v>
      </c>
      <c r="I903" s="6" t="s">
        <v>3356</v>
      </c>
      <c r="J903" s="3" t="s">
        <v>3356</v>
      </c>
      <c r="L903" s="1" t="s">
        <v>6135</v>
      </c>
    </row>
    <row r="904" spans="1:12">
      <c r="A904" s="3" t="s">
        <v>3356</v>
      </c>
      <c r="C904" s="3" t="s">
        <v>3817</v>
      </c>
      <c r="D904" s="3" t="s">
        <v>3618</v>
      </c>
      <c r="E904" s="3" t="s">
        <v>6464</v>
      </c>
      <c r="F904" s="3" t="s">
        <v>4832</v>
      </c>
      <c r="G904" s="3" t="s">
        <v>4834</v>
      </c>
      <c r="H904" s="6" t="s">
        <v>3356</v>
      </c>
      <c r="I904" s="6" t="s">
        <v>3356</v>
      </c>
      <c r="J904" s="3" t="s">
        <v>3356</v>
      </c>
      <c r="L904" s="1" t="s">
        <v>6135</v>
      </c>
    </row>
    <row r="905" spans="1:12">
      <c r="A905" s="3" t="s">
        <v>3356</v>
      </c>
      <c r="C905" s="3" t="s">
        <v>3817</v>
      </c>
      <c r="D905" s="3" t="s">
        <v>3618</v>
      </c>
      <c r="E905" s="3" t="s">
        <v>6464</v>
      </c>
      <c r="F905" s="3" t="s">
        <v>3145</v>
      </c>
      <c r="G905" s="3" t="s">
        <v>5381</v>
      </c>
      <c r="H905" s="6" t="s">
        <v>3356</v>
      </c>
      <c r="I905" s="6" t="s">
        <v>3356</v>
      </c>
      <c r="J905" s="3" t="s">
        <v>3356</v>
      </c>
      <c r="L905" s="1" t="s">
        <v>6135</v>
      </c>
    </row>
    <row r="906" spans="1:12">
      <c r="A906" s="3" t="s">
        <v>3356</v>
      </c>
      <c r="C906" s="3" t="s">
        <v>3817</v>
      </c>
      <c r="D906" s="3" t="s">
        <v>3618</v>
      </c>
      <c r="E906" s="3" t="s">
        <v>6464</v>
      </c>
      <c r="F906" s="3" t="s">
        <v>3145</v>
      </c>
      <c r="G906" s="3" t="s">
        <v>5382</v>
      </c>
      <c r="H906" s="6" t="s">
        <v>3356</v>
      </c>
      <c r="I906" s="6" t="s">
        <v>3356</v>
      </c>
      <c r="J906" s="3" t="s">
        <v>3356</v>
      </c>
      <c r="L906" s="1" t="s">
        <v>6135</v>
      </c>
    </row>
    <row r="907" spans="1:12">
      <c r="A907" s="3" t="s">
        <v>3356</v>
      </c>
      <c r="C907" s="3" t="s">
        <v>3817</v>
      </c>
      <c r="D907" s="3" t="s">
        <v>3618</v>
      </c>
      <c r="E907" s="3" t="s">
        <v>6464</v>
      </c>
      <c r="F907" s="3" t="s">
        <v>4029</v>
      </c>
      <c r="G907" s="3" t="s">
        <v>4848</v>
      </c>
      <c r="H907" s="6" t="s">
        <v>3356</v>
      </c>
      <c r="I907" s="6" t="s">
        <v>3356</v>
      </c>
      <c r="J907" s="3" t="s">
        <v>3356</v>
      </c>
      <c r="L907" s="1" t="s">
        <v>6135</v>
      </c>
    </row>
    <row r="908" spans="1:12">
      <c r="A908" s="3" t="s">
        <v>3356</v>
      </c>
      <c r="C908" s="3" t="s">
        <v>3817</v>
      </c>
      <c r="D908" s="3" t="s">
        <v>3618</v>
      </c>
      <c r="E908" s="3" t="s">
        <v>6464</v>
      </c>
      <c r="F908" s="3" t="s">
        <v>3552</v>
      </c>
      <c r="G908" s="3" t="s">
        <v>3141</v>
      </c>
      <c r="H908" s="6" t="s">
        <v>3356</v>
      </c>
      <c r="I908" s="6" t="s">
        <v>3356</v>
      </c>
      <c r="J908" s="3" t="s">
        <v>3356</v>
      </c>
      <c r="L908" s="1" t="s">
        <v>6135</v>
      </c>
    </row>
    <row r="909" spans="1:12">
      <c r="A909" s="3" t="s">
        <v>3356</v>
      </c>
      <c r="C909" s="3" t="s">
        <v>3817</v>
      </c>
      <c r="D909" s="3" t="s">
        <v>3618</v>
      </c>
      <c r="E909" s="3" t="s">
        <v>5368</v>
      </c>
      <c r="F909" s="3" t="s">
        <v>5866</v>
      </c>
      <c r="G909" s="3" t="s">
        <v>4014</v>
      </c>
      <c r="H909" s="6">
        <v>3.469822015978163</v>
      </c>
      <c r="I909" s="6">
        <v>2950</v>
      </c>
      <c r="J909" s="3" t="s">
        <v>6736</v>
      </c>
      <c r="L909" s="1" t="s">
        <v>6135</v>
      </c>
    </row>
    <row r="910" spans="1:12">
      <c r="A910" s="3" t="s">
        <v>3356</v>
      </c>
      <c r="C910" s="3" t="s">
        <v>3817</v>
      </c>
      <c r="D910" s="3" t="s">
        <v>3618</v>
      </c>
      <c r="E910" s="3" t="s">
        <v>5368</v>
      </c>
      <c r="F910" s="3" t="s">
        <v>5866</v>
      </c>
      <c r="G910" s="3" t="s">
        <v>5379</v>
      </c>
      <c r="H910" s="6" t="s">
        <v>3356</v>
      </c>
      <c r="I910" s="6" t="s">
        <v>3356</v>
      </c>
      <c r="J910" s="3" t="s">
        <v>3356</v>
      </c>
      <c r="L910" s="1" t="s">
        <v>6135</v>
      </c>
    </row>
    <row r="911" spans="1:12">
      <c r="A911" s="3" t="s">
        <v>3356</v>
      </c>
      <c r="C911" s="3" t="s">
        <v>3817</v>
      </c>
      <c r="D911" s="3" t="s">
        <v>3618</v>
      </c>
      <c r="E911" s="3" t="s">
        <v>5524</v>
      </c>
      <c r="F911" s="3" t="s">
        <v>8229</v>
      </c>
      <c r="G911" s="3" t="s">
        <v>6446</v>
      </c>
      <c r="H911" s="6" t="s">
        <v>3356</v>
      </c>
      <c r="I911" s="6" t="s">
        <v>3356</v>
      </c>
      <c r="J911" s="3" t="s">
        <v>3356</v>
      </c>
      <c r="L911" s="1" t="s">
        <v>6135</v>
      </c>
    </row>
    <row r="912" spans="1:12">
      <c r="A912" s="3" t="s">
        <v>3356</v>
      </c>
      <c r="C912" s="3" t="s">
        <v>3817</v>
      </c>
      <c r="D912" s="3" t="s">
        <v>3618</v>
      </c>
      <c r="E912" s="3" t="s">
        <v>5524</v>
      </c>
      <c r="F912" s="3" t="s">
        <v>8229</v>
      </c>
      <c r="G912" s="3" t="s">
        <v>6447</v>
      </c>
      <c r="H912" s="6" t="s">
        <v>3356</v>
      </c>
      <c r="I912" s="6" t="s">
        <v>3356</v>
      </c>
      <c r="J912" s="3" t="s">
        <v>3356</v>
      </c>
      <c r="L912" s="1" t="s">
        <v>6135</v>
      </c>
    </row>
    <row r="913" spans="1:12">
      <c r="A913" s="3" t="s">
        <v>3356</v>
      </c>
      <c r="C913" s="3" t="s">
        <v>3817</v>
      </c>
      <c r="D913" s="3" t="s">
        <v>3618</v>
      </c>
      <c r="E913" s="3" t="s">
        <v>5524</v>
      </c>
      <c r="F913" s="3" t="s">
        <v>8229</v>
      </c>
      <c r="G913" s="3" t="s">
        <v>6448</v>
      </c>
      <c r="H913" s="6" t="s">
        <v>3356</v>
      </c>
      <c r="I913" s="6" t="s">
        <v>3356</v>
      </c>
      <c r="J913" s="3" t="s">
        <v>3356</v>
      </c>
      <c r="L913" s="1" t="s">
        <v>6135</v>
      </c>
    </row>
    <row r="914" spans="1:12">
      <c r="A914" s="3" t="s">
        <v>3356</v>
      </c>
      <c r="C914" s="3" t="s">
        <v>3817</v>
      </c>
      <c r="D914" s="3" t="s">
        <v>3618</v>
      </c>
      <c r="E914" s="3" t="s">
        <v>5524</v>
      </c>
      <c r="F914" s="3" t="s">
        <v>8229</v>
      </c>
      <c r="G914" s="3" t="s">
        <v>6449</v>
      </c>
      <c r="H914" s="6" t="s">
        <v>3356</v>
      </c>
      <c r="I914" s="6" t="s">
        <v>3356</v>
      </c>
      <c r="J914" s="3" t="s">
        <v>3356</v>
      </c>
      <c r="L914" s="1" t="s">
        <v>6135</v>
      </c>
    </row>
    <row r="915" spans="1:12">
      <c r="A915" s="3" t="s">
        <v>3356</v>
      </c>
      <c r="C915" s="3" t="s">
        <v>3817</v>
      </c>
      <c r="D915" s="3" t="s">
        <v>3618</v>
      </c>
      <c r="E915" s="3" t="s">
        <v>5524</v>
      </c>
      <c r="F915" s="3" t="s">
        <v>8229</v>
      </c>
      <c r="G915" s="3" t="s">
        <v>6450</v>
      </c>
      <c r="H915" s="6" t="s">
        <v>3356</v>
      </c>
      <c r="I915" s="6" t="s">
        <v>3356</v>
      </c>
      <c r="J915" s="3" t="s">
        <v>3356</v>
      </c>
      <c r="L915" s="1" t="s">
        <v>6135</v>
      </c>
    </row>
    <row r="916" spans="1:12">
      <c r="A916" s="3" t="s">
        <v>3356</v>
      </c>
      <c r="C916" s="3" t="s">
        <v>3817</v>
      </c>
      <c r="D916" s="3" t="s">
        <v>3618</v>
      </c>
      <c r="E916" s="3" t="s">
        <v>5524</v>
      </c>
      <c r="F916" s="3" t="s">
        <v>8229</v>
      </c>
      <c r="G916" s="3" t="s">
        <v>6738</v>
      </c>
      <c r="H916" s="6" t="s">
        <v>3356</v>
      </c>
      <c r="I916" s="6" t="s">
        <v>3356</v>
      </c>
      <c r="J916" s="3" t="s">
        <v>3356</v>
      </c>
      <c r="L916" s="1" t="s">
        <v>6135</v>
      </c>
    </row>
    <row r="917" spans="1:12">
      <c r="A917" s="3" t="s">
        <v>3356</v>
      </c>
      <c r="C917" s="3" t="s">
        <v>3817</v>
      </c>
      <c r="D917" s="3" t="s">
        <v>3618</v>
      </c>
      <c r="E917" s="3" t="s">
        <v>5524</v>
      </c>
      <c r="F917" s="3" t="s">
        <v>3537</v>
      </c>
      <c r="G917" s="3" t="s">
        <v>5040</v>
      </c>
      <c r="H917" s="6">
        <v>2.5561818466529114</v>
      </c>
      <c r="I917" s="6">
        <v>359.9</v>
      </c>
      <c r="J917" s="3" t="s">
        <v>6736</v>
      </c>
      <c r="L917" s="1" t="s">
        <v>6135</v>
      </c>
    </row>
    <row r="918" spans="1:12">
      <c r="A918" s="3" t="s">
        <v>3356</v>
      </c>
      <c r="C918" s="3" t="s">
        <v>3817</v>
      </c>
      <c r="D918" s="3" t="s">
        <v>3618</v>
      </c>
      <c r="E918" s="3" t="s">
        <v>5524</v>
      </c>
      <c r="F918" s="3" t="s">
        <v>3537</v>
      </c>
      <c r="G918" s="3" t="s">
        <v>6616</v>
      </c>
      <c r="H918" s="6" t="s">
        <v>3356</v>
      </c>
      <c r="I918" s="6" t="s">
        <v>3356</v>
      </c>
      <c r="J918" s="3" t="s">
        <v>3356</v>
      </c>
      <c r="L918" s="1" t="s">
        <v>6135</v>
      </c>
    </row>
    <row r="919" spans="1:12">
      <c r="A919" s="3" t="s">
        <v>3356</v>
      </c>
      <c r="C919" s="3" t="s">
        <v>3817</v>
      </c>
      <c r="D919" s="3" t="s">
        <v>3618</v>
      </c>
      <c r="E919" s="3" t="s">
        <v>5524</v>
      </c>
      <c r="F919" s="3" t="s">
        <v>3537</v>
      </c>
      <c r="G919" s="3" t="s">
        <v>4209</v>
      </c>
      <c r="H919" s="6" t="s">
        <v>3356</v>
      </c>
      <c r="I919" s="6" t="s">
        <v>3356</v>
      </c>
      <c r="J919" s="3" t="s">
        <v>3356</v>
      </c>
      <c r="L919" s="1" t="s">
        <v>6135</v>
      </c>
    </row>
    <row r="920" spans="1:12">
      <c r="A920" s="3" t="s">
        <v>3356</v>
      </c>
      <c r="C920" s="3" t="s">
        <v>3817</v>
      </c>
      <c r="D920" s="3" t="s">
        <v>3618</v>
      </c>
      <c r="E920" s="3" t="s">
        <v>5524</v>
      </c>
      <c r="F920" s="3" t="s">
        <v>3537</v>
      </c>
      <c r="G920" s="3" t="s">
        <v>5148</v>
      </c>
      <c r="H920" s="6" t="s">
        <v>3356</v>
      </c>
      <c r="I920" s="6" t="s">
        <v>3356</v>
      </c>
      <c r="J920" s="3" t="s">
        <v>3356</v>
      </c>
      <c r="L920" s="1" t="s">
        <v>6135</v>
      </c>
    </row>
    <row r="921" spans="1:12">
      <c r="A921" s="3" t="s">
        <v>3356</v>
      </c>
      <c r="C921" s="3" t="s">
        <v>3817</v>
      </c>
      <c r="D921" s="3" t="s">
        <v>3618</v>
      </c>
      <c r="E921" s="3" t="s">
        <v>6078</v>
      </c>
      <c r="F921" s="3" t="s">
        <v>6647</v>
      </c>
      <c r="G921" s="3" t="s">
        <v>6623</v>
      </c>
      <c r="H921" s="6" t="s">
        <v>3356</v>
      </c>
      <c r="I921" s="6" t="s">
        <v>3356</v>
      </c>
      <c r="J921" s="3" t="s">
        <v>3356</v>
      </c>
      <c r="L921" s="1" t="s">
        <v>6135</v>
      </c>
    </row>
    <row r="922" spans="1:12">
      <c r="A922" s="3" t="s">
        <v>3356</v>
      </c>
      <c r="C922" s="3" t="s">
        <v>3817</v>
      </c>
      <c r="D922" s="3" t="s">
        <v>3618</v>
      </c>
      <c r="E922" s="3" t="s">
        <v>6078</v>
      </c>
      <c r="F922" s="3" t="s">
        <v>6645</v>
      </c>
      <c r="G922" s="3" t="s">
        <v>6646</v>
      </c>
      <c r="H922" s="6" t="s">
        <v>3356</v>
      </c>
      <c r="I922" s="6" t="s">
        <v>3356</v>
      </c>
      <c r="J922" s="3" t="s">
        <v>3356</v>
      </c>
      <c r="L922" s="1" t="s">
        <v>6135</v>
      </c>
    </row>
    <row r="923" spans="1:12">
      <c r="A923" s="3" t="s">
        <v>3356</v>
      </c>
      <c r="C923" s="3" t="s">
        <v>3817</v>
      </c>
      <c r="D923" s="3" t="s">
        <v>3618</v>
      </c>
      <c r="E923" s="3" t="s">
        <v>6078</v>
      </c>
      <c r="F923" s="3" t="s">
        <v>6645</v>
      </c>
      <c r="G923" s="3" t="s">
        <v>7332</v>
      </c>
      <c r="H923" s="6" t="s">
        <v>3356</v>
      </c>
      <c r="I923" s="6" t="s">
        <v>3356</v>
      </c>
      <c r="J923" s="3" t="s">
        <v>3356</v>
      </c>
      <c r="L923" s="1" t="s">
        <v>6135</v>
      </c>
    </row>
    <row r="924" spans="1:12">
      <c r="A924" s="3" t="s">
        <v>3356</v>
      </c>
      <c r="C924" s="3" t="s">
        <v>3817</v>
      </c>
      <c r="D924" s="3" t="s">
        <v>3618</v>
      </c>
      <c r="E924" s="3" t="s">
        <v>6078</v>
      </c>
      <c r="F924" s="3" t="s">
        <v>3146</v>
      </c>
      <c r="G924" s="3" t="s">
        <v>3375</v>
      </c>
      <c r="H924" s="6" t="s">
        <v>3356</v>
      </c>
      <c r="I924" s="6" t="s">
        <v>3356</v>
      </c>
      <c r="J924" s="3" t="s">
        <v>3356</v>
      </c>
      <c r="L924" s="1" t="s">
        <v>6135</v>
      </c>
    </row>
    <row r="925" spans="1:12">
      <c r="A925" s="3" t="s">
        <v>3356</v>
      </c>
      <c r="C925" s="3" t="s">
        <v>3817</v>
      </c>
      <c r="D925" s="3" t="s">
        <v>3618</v>
      </c>
      <c r="E925" s="3" t="s">
        <v>6078</v>
      </c>
      <c r="F925" s="3" t="s">
        <v>3376</v>
      </c>
      <c r="G925" s="3" t="s">
        <v>6172</v>
      </c>
      <c r="H925" s="6" t="s">
        <v>3356</v>
      </c>
      <c r="I925" s="6" t="s">
        <v>3356</v>
      </c>
      <c r="J925" s="3" t="s">
        <v>3356</v>
      </c>
      <c r="L925" s="1" t="s">
        <v>6135</v>
      </c>
    </row>
    <row r="926" spans="1:12">
      <c r="A926" s="3" t="s">
        <v>3356</v>
      </c>
      <c r="C926" s="3" t="s">
        <v>3817</v>
      </c>
      <c r="D926" s="3" t="s">
        <v>3618</v>
      </c>
      <c r="E926" s="3" t="s">
        <v>4007</v>
      </c>
      <c r="F926" s="3" t="s">
        <v>4008</v>
      </c>
      <c r="G926" s="3" t="s">
        <v>5821</v>
      </c>
      <c r="H926" s="6" t="s">
        <v>3356</v>
      </c>
      <c r="I926" s="6" t="s">
        <v>3356</v>
      </c>
      <c r="J926" s="3" t="s">
        <v>3356</v>
      </c>
      <c r="L926" s="1" t="s">
        <v>6135</v>
      </c>
    </row>
    <row r="927" spans="1:12">
      <c r="A927" s="3" t="s">
        <v>3356</v>
      </c>
      <c r="C927" s="3" t="s">
        <v>3817</v>
      </c>
      <c r="D927" s="3" t="s">
        <v>3618</v>
      </c>
      <c r="E927" s="3" t="s">
        <v>4007</v>
      </c>
      <c r="F927" s="3" t="s">
        <v>3011</v>
      </c>
      <c r="G927" s="3" t="s">
        <v>4404</v>
      </c>
      <c r="H927" s="6">
        <v>1.9292145037373938</v>
      </c>
      <c r="I927" s="6">
        <v>84.96</v>
      </c>
      <c r="J927" s="3" t="s">
        <v>6736</v>
      </c>
      <c r="L927" s="1" t="s">
        <v>6135</v>
      </c>
    </row>
    <row r="928" spans="1:12">
      <c r="A928" s="3" t="s">
        <v>3356</v>
      </c>
      <c r="C928" s="3" t="s">
        <v>3817</v>
      </c>
      <c r="D928" s="3" t="s">
        <v>3618</v>
      </c>
      <c r="E928" s="3" t="s">
        <v>4007</v>
      </c>
      <c r="F928" s="3" t="s">
        <v>3011</v>
      </c>
      <c r="G928" s="3" t="s">
        <v>3124</v>
      </c>
      <c r="H928" s="6" t="s">
        <v>3356</v>
      </c>
      <c r="I928" s="6" t="s">
        <v>3356</v>
      </c>
      <c r="J928" s="3" t="s">
        <v>3356</v>
      </c>
      <c r="L928" s="1" t="s">
        <v>6135</v>
      </c>
    </row>
    <row r="929" spans="1:12">
      <c r="A929" s="3" t="s">
        <v>3356</v>
      </c>
      <c r="C929" s="3" t="s">
        <v>3817</v>
      </c>
      <c r="D929" s="3" t="s">
        <v>3618</v>
      </c>
      <c r="E929" s="3" t="s">
        <v>4007</v>
      </c>
      <c r="F929" s="3" t="s">
        <v>3011</v>
      </c>
      <c r="G929" s="3" t="s">
        <v>8271</v>
      </c>
      <c r="H929" s="6" t="s">
        <v>3356</v>
      </c>
      <c r="I929" s="6" t="s">
        <v>3356</v>
      </c>
      <c r="J929" s="3" t="s">
        <v>3356</v>
      </c>
      <c r="L929" s="1" t="s">
        <v>6135</v>
      </c>
    </row>
    <row r="930" spans="1:12">
      <c r="A930" s="3" t="s">
        <v>3356</v>
      </c>
      <c r="C930" s="3" t="s">
        <v>3817</v>
      </c>
      <c r="D930" s="3" t="s">
        <v>3618</v>
      </c>
      <c r="E930" s="3" t="s">
        <v>4007</v>
      </c>
      <c r="F930" s="3" t="s">
        <v>3011</v>
      </c>
      <c r="G930" s="3" t="s">
        <v>8126</v>
      </c>
      <c r="H930" s="6" t="s">
        <v>3356</v>
      </c>
      <c r="I930" s="6" t="s">
        <v>3356</v>
      </c>
      <c r="J930" s="3" t="s">
        <v>3356</v>
      </c>
      <c r="L930" s="1" t="s">
        <v>6135</v>
      </c>
    </row>
    <row r="931" spans="1:12">
      <c r="A931" s="3" t="s">
        <v>3356</v>
      </c>
      <c r="C931" s="3" t="s">
        <v>3817</v>
      </c>
      <c r="D931" s="3" t="s">
        <v>3618</v>
      </c>
      <c r="E931" s="3" t="s">
        <v>4007</v>
      </c>
      <c r="F931" s="3" t="s">
        <v>6383</v>
      </c>
      <c r="G931" s="3" t="s">
        <v>8127</v>
      </c>
      <c r="H931" s="6" t="s">
        <v>3356</v>
      </c>
      <c r="I931" s="6" t="s">
        <v>3356</v>
      </c>
      <c r="J931" s="3" t="s">
        <v>3356</v>
      </c>
      <c r="L931" s="1" t="s">
        <v>6135</v>
      </c>
    </row>
    <row r="932" spans="1:12">
      <c r="A932" s="3" t="s">
        <v>3356</v>
      </c>
      <c r="C932" s="3" t="s">
        <v>3817</v>
      </c>
      <c r="D932" s="3" t="s">
        <v>3618</v>
      </c>
      <c r="E932" s="3" t="s">
        <v>7240</v>
      </c>
      <c r="F932" s="3" t="s">
        <v>7241</v>
      </c>
      <c r="G932" s="3" t="s">
        <v>2349</v>
      </c>
      <c r="H932" s="6" t="s">
        <v>3356</v>
      </c>
      <c r="I932" s="6" t="s">
        <v>3356</v>
      </c>
      <c r="J932" s="3" t="s">
        <v>3356</v>
      </c>
      <c r="L932" s="1" t="s">
        <v>6135</v>
      </c>
    </row>
    <row r="933" spans="1:12">
      <c r="A933" s="3" t="s">
        <v>3356</v>
      </c>
      <c r="C933" s="3" t="s">
        <v>3817</v>
      </c>
      <c r="D933" s="3" t="s">
        <v>3618</v>
      </c>
      <c r="E933" s="3" t="s">
        <v>7240</v>
      </c>
      <c r="F933" s="3" t="s">
        <v>7243</v>
      </c>
      <c r="G933" s="3" t="s">
        <v>5486</v>
      </c>
      <c r="H933" s="6">
        <v>3.6020599913279625</v>
      </c>
      <c r="I933" s="6">
        <v>4000</v>
      </c>
      <c r="J933" s="3" t="s">
        <v>6736</v>
      </c>
      <c r="L933" s="1" t="s">
        <v>6135</v>
      </c>
    </row>
    <row r="934" spans="1:12">
      <c r="A934" s="3" t="s">
        <v>3356</v>
      </c>
      <c r="C934" s="3" t="s">
        <v>3817</v>
      </c>
      <c r="D934" s="3" t="s">
        <v>3618</v>
      </c>
      <c r="E934" s="3" t="s">
        <v>7240</v>
      </c>
      <c r="F934" s="3" t="s">
        <v>7243</v>
      </c>
      <c r="G934" s="3" t="s">
        <v>5282</v>
      </c>
      <c r="H934" s="6" t="s">
        <v>3356</v>
      </c>
      <c r="I934" s="6" t="s">
        <v>3356</v>
      </c>
      <c r="J934" s="3" t="s">
        <v>3356</v>
      </c>
      <c r="L934" s="1" t="s">
        <v>6135</v>
      </c>
    </row>
    <row r="935" spans="1:12">
      <c r="A935" s="3" t="s">
        <v>3356</v>
      </c>
      <c r="C935" s="3" t="s">
        <v>3817</v>
      </c>
      <c r="D935" s="3" t="s">
        <v>3618</v>
      </c>
      <c r="E935" s="3" t="s">
        <v>7240</v>
      </c>
      <c r="F935" s="3" t="s">
        <v>7243</v>
      </c>
      <c r="G935" s="3" t="s">
        <v>4108</v>
      </c>
      <c r="H935" s="6">
        <v>4.1613680022349753</v>
      </c>
      <c r="I935" s="6">
        <v>14500</v>
      </c>
      <c r="J935" s="3" t="s">
        <v>6736</v>
      </c>
      <c r="L935" s="1" t="s">
        <v>6135</v>
      </c>
    </row>
    <row r="936" spans="1:12">
      <c r="A936" s="3" t="s">
        <v>3356</v>
      </c>
      <c r="C936" s="3" t="s">
        <v>3817</v>
      </c>
      <c r="D936" s="3" t="s">
        <v>3618</v>
      </c>
      <c r="E936" s="3" t="s">
        <v>7240</v>
      </c>
      <c r="F936" s="3" t="s">
        <v>7243</v>
      </c>
      <c r="G936" s="3" t="s">
        <v>5614</v>
      </c>
      <c r="H936" s="6" t="s">
        <v>3356</v>
      </c>
      <c r="I936" s="6" t="s">
        <v>3356</v>
      </c>
      <c r="J936" s="3" t="s">
        <v>3356</v>
      </c>
      <c r="L936" s="1" t="s">
        <v>6135</v>
      </c>
    </row>
    <row r="937" spans="1:12">
      <c r="A937" s="3" t="s">
        <v>3356</v>
      </c>
      <c r="C937" s="3" t="s">
        <v>3817</v>
      </c>
      <c r="D937" s="3" t="s">
        <v>3618</v>
      </c>
      <c r="E937" s="3" t="s">
        <v>7240</v>
      </c>
      <c r="F937" s="3" t="s">
        <v>7243</v>
      </c>
      <c r="G937" s="3" t="s">
        <v>5487</v>
      </c>
      <c r="H937" s="6">
        <v>3.6020599913279625</v>
      </c>
      <c r="I937" s="6">
        <v>4000</v>
      </c>
      <c r="J937" s="3" t="s">
        <v>6736</v>
      </c>
      <c r="L937" s="1" t="s">
        <v>6135</v>
      </c>
    </row>
    <row r="938" spans="1:12">
      <c r="A938" s="3" t="s">
        <v>3356</v>
      </c>
      <c r="C938" s="3" t="s">
        <v>3817</v>
      </c>
      <c r="D938" s="3" t="s">
        <v>3618</v>
      </c>
      <c r="E938" s="3" t="s">
        <v>7240</v>
      </c>
      <c r="F938" s="3" t="s">
        <v>7243</v>
      </c>
      <c r="G938" s="3" t="s">
        <v>7578</v>
      </c>
      <c r="H938" s="6" t="s">
        <v>3356</v>
      </c>
      <c r="I938" s="6" t="s">
        <v>3356</v>
      </c>
      <c r="J938" s="3" t="s">
        <v>3356</v>
      </c>
      <c r="L938" s="1" t="s">
        <v>6135</v>
      </c>
    </row>
    <row r="939" spans="1:12">
      <c r="A939" s="3" t="s">
        <v>3356</v>
      </c>
      <c r="C939" s="3" t="s">
        <v>3817</v>
      </c>
      <c r="D939" s="3" t="s">
        <v>3618</v>
      </c>
      <c r="E939" s="3" t="s">
        <v>7240</v>
      </c>
      <c r="F939" s="3" t="s">
        <v>7579</v>
      </c>
      <c r="G939" s="3" t="s">
        <v>7580</v>
      </c>
      <c r="H939" s="6" t="s">
        <v>3356</v>
      </c>
      <c r="I939" s="6" t="s">
        <v>3356</v>
      </c>
      <c r="J939" s="3" t="s">
        <v>3356</v>
      </c>
      <c r="L939" s="1" t="s">
        <v>6135</v>
      </c>
    </row>
    <row r="940" spans="1:12">
      <c r="A940" s="3" t="s">
        <v>3356</v>
      </c>
      <c r="C940" s="3" t="s">
        <v>3817</v>
      </c>
      <c r="D940" s="3" t="s">
        <v>3618</v>
      </c>
      <c r="E940" s="3" t="s">
        <v>3638</v>
      </c>
      <c r="F940" s="3" t="s">
        <v>3074</v>
      </c>
      <c r="G940" s="3" t="s">
        <v>3075</v>
      </c>
      <c r="H940" s="6" t="s">
        <v>3356</v>
      </c>
      <c r="I940" s="6" t="s">
        <v>3356</v>
      </c>
      <c r="J940" s="3" t="s">
        <v>3356</v>
      </c>
      <c r="L940" s="1" t="s">
        <v>6135</v>
      </c>
    </row>
    <row r="941" spans="1:12">
      <c r="A941" s="3" t="s">
        <v>3356</v>
      </c>
      <c r="C941" s="3" t="s">
        <v>3817</v>
      </c>
      <c r="D941" s="3" t="s">
        <v>3618</v>
      </c>
      <c r="E941" s="3" t="s">
        <v>3638</v>
      </c>
      <c r="F941" s="3" t="s">
        <v>3639</v>
      </c>
      <c r="G941" s="3" t="s">
        <v>3076</v>
      </c>
      <c r="H941" s="6" t="s">
        <v>3356</v>
      </c>
      <c r="I941" s="6" t="s">
        <v>3356</v>
      </c>
      <c r="J941" s="3" t="s">
        <v>3356</v>
      </c>
      <c r="L941" s="1" t="s">
        <v>6135</v>
      </c>
    </row>
    <row r="942" spans="1:12">
      <c r="A942" s="3" t="s">
        <v>3356</v>
      </c>
      <c r="C942" s="3" t="s">
        <v>3817</v>
      </c>
      <c r="D942" s="3" t="s">
        <v>3618</v>
      </c>
      <c r="E942" s="3" t="s">
        <v>3638</v>
      </c>
      <c r="F942" s="3" t="s">
        <v>3639</v>
      </c>
      <c r="G942" s="3" t="s">
        <v>6395</v>
      </c>
      <c r="H942" s="6" t="s">
        <v>3356</v>
      </c>
      <c r="I942" s="6" t="s">
        <v>3356</v>
      </c>
      <c r="J942" s="3" t="s">
        <v>3356</v>
      </c>
      <c r="L942" s="1" t="s">
        <v>6135</v>
      </c>
    </row>
    <row r="943" spans="1:12">
      <c r="A943" s="3" t="s">
        <v>3356</v>
      </c>
      <c r="C943" s="3" t="s">
        <v>3817</v>
      </c>
      <c r="D943" s="3" t="s">
        <v>3618</v>
      </c>
      <c r="E943" s="3" t="s">
        <v>3638</v>
      </c>
      <c r="F943" s="3" t="s">
        <v>3639</v>
      </c>
      <c r="G943" s="3" t="s">
        <v>7991</v>
      </c>
      <c r="H943" s="6" t="s">
        <v>3356</v>
      </c>
      <c r="I943" s="6" t="s">
        <v>3356</v>
      </c>
      <c r="J943" s="3" t="s">
        <v>3356</v>
      </c>
      <c r="L943" s="1" t="s">
        <v>6135</v>
      </c>
    </row>
    <row r="944" spans="1:12">
      <c r="A944" s="3" t="s">
        <v>3356</v>
      </c>
      <c r="C944" s="3" t="s">
        <v>3817</v>
      </c>
      <c r="D944" s="3" t="s">
        <v>3618</v>
      </c>
      <c r="E944" s="3" t="s">
        <v>3638</v>
      </c>
      <c r="F944" s="3" t="s">
        <v>3639</v>
      </c>
      <c r="G944" s="3" t="s">
        <v>3617</v>
      </c>
      <c r="H944" s="6" t="s">
        <v>3356</v>
      </c>
      <c r="I944" s="6" t="s">
        <v>3356</v>
      </c>
      <c r="J944" s="3" t="s">
        <v>3356</v>
      </c>
      <c r="L944" s="1" t="s">
        <v>6135</v>
      </c>
    </row>
    <row r="945" spans="1:12">
      <c r="A945" s="3" t="s">
        <v>3356</v>
      </c>
      <c r="C945" s="3" t="s">
        <v>3817</v>
      </c>
      <c r="D945" s="3" t="s">
        <v>3618</v>
      </c>
      <c r="E945" s="3" t="s">
        <v>3638</v>
      </c>
      <c r="F945" s="3" t="s">
        <v>3639</v>
      </c>
      <c r="G945" s="3" t="s">
        <v>6396</v>
      </c>
      <c r="H945" s="6" t="s">
        <v>3356</v>
      </c>
      <c r="I945" s="6" t="s">
        <v>3356</v>
      </c>
      <c r="J945" s="3" t="s">
        <v>3356</v>
      </c>
      <c r="L945" s="1" t="s">
        <v>6135</v>
      </c>
    </row>
    <row r="946" spans="1:12">
      <c r="A946" s="3" t="s">
        <v>3356</v>
      </c>
      <c r="C946" s="3" t="s">
        <v>3817</v>
      </c>
      <c r="D946" s="3" t="s">
        <v>3618</v>
      </c>
      <c r="E946" s="3" t="s">
        <v>3638</v>
      </c>
      <c r="F946" s="3" t="s">
        <v>3639</v>
      </c>
      <c r="G946" s="3" t="s">
        <v>4098</v>
      </c>
      <c r="H946" s="6" t="s">
        <v>3356</v>
      </c>
      <c r="I946" s="6" t="s">
        <v>3356</v>
      </c>
      <c r="J946" s="3" t="s">
        <v>3356</v>
      </c>
      <c r="L946" s="1" t="s">
        <v>6135</v>
      </c>
    </row>
    <row r="947" spans="1:12">
      <c r="A947" s="3" t="s">
        <v>3356</v>
      </c>
      <c r="C947" s="3" t="s">
        <v>3817</v>
      </c>
      <c r="D947" s="3" t="s">
        <v>3618</v>
      </c>
      <c r="E947" s="3" t="s">
        <v>3638</v>
      </c>
      <c r="F947" s="3" t="s">
        <v>3639</v>
      </c>
      <c r="G947" s="3" t="s">
        <v>4099</v>
      </c>
      <c r="H947" s="6" t="s">
        <v>3356</v>
      </c>
      <c r="I947" s="6" t="s">
        <v>3356</v>
      </c>
      <c r="J947" s="3" t="s">
        <v>3356</v>
      </c>
      <c r="L947" s="1" t="s">
        <v>6135</v>
      </c>
    </row>
    <row r="948" spans="1:12">
      <c r="A948" s="3" t="s">
        <v>3356</v>
      </c>
      <c r="C948" s="3" t="s">
        <v>3817</v>
      </c>
      <c r="D948" s="3" t="s">
        <v>3618</v>
      </c>
      <c r="E948" s="3" t="s">
        <v>3638</v>
      </c>
      <c r="F948" s="3" t="s">
        <v>3639</v>
      </c>
      <c r="G948" s="3" t="s">
        <v>6533</v>
      </c>
      <c r="H948" s="6" t="s">
        <v>3356</v>
      </c>
      <c r="I948" s="6" t="s">
        <v>3356</v>
      </c>
      <c r="J948" s="3" t="s">
        <v>3356</v>
      </c>
      <c r="L948" s="1" t="s">
        <v>6135</v>
      </c>
    </row>
    <row r="949" spans="1:12">
      <c r="A949" s="3" t="s">
        <v>3356</v>
      </c>
      <c r="C949" s="3" t="s">
        <v>3817</v>
      </c>
      <c r="D949" s="3" t="s">
        <v>3618</v>
      </c>
      <c r="E949" s="3" t="s">
        <v>3638</v>
      </c>
      <c r="F949" s="3" t="s">
        <v>3186</v>
      </c>
      <c r="G949" s="3" t="s">
        <v>5461</v>
      </c>
      <c r="H949" s="6" t="s">
        <v>3356</v>
      </c>
      <c r="I949" s="6" t="s">
        <v>3356</v>
      </c>
      <c r="J949" s="3" t="s">
        <v>3356</v>
      </c>
      <c r="L949" s="1" t="s">
        <v>6135</v>
      </c>
    </row>
    <row r="950" spans="1:12">
      <c r="A950" s="3" t="s">
        <v>3356</v>
      </c>
      <c r="C950" s="3" t="s">
        <v>3817</v>
      </c>
      <c r="D950" s="3" t="s">
        <v>3618</v>
      </c>
      <c r="E950" s="3" t="s">
        <v>3638</v>
      </c>
      <c r="F950" s="3" t="s">
        <v>3186</v>
      </c>
      <c r="G950" s="3" t="s">
        <v>7281</v>
      </c>
      <c r="H950" s="6" t="s">
        <v>3356</v>
      </c>
      <c r="I950" s="6" t="s">
        <v>3356</v>
      </c>
      <c r="J950" s="3" t="s">
        <v>3356</v>
      </c>
      <c r="L950" s="1" t="s">
        <v>6135</v>
      </c>
    </row>
    <row r="951" spans="1:12">
      <c r="A951" s="3" t="s">
        <v>3356</v>
      </c>
      <c r="C951" s="3" t="s">
        <v>3817</v>
      </c>
      <c r="D951" s="3" t="s">
        <v>3618</v>
      </c>
      <c r="E951" s="3" t="s">
        <v>3638</v>
      </c>
      <c r="F951" s="3" t="s">
        <v>3186</v>
      </c>
      <c r="G951" s="3" t="s">
        <v>4092</v>
      </c>
      <c r="H951" s="6" t="s">
        <v>3356</v>
      </c>
      <c r="I951" s="6" t="s">
        <v>3356</v>
      </c>
      <c r="J951" s="3" t="s">
        <v>3356</v>
      </c>
      <c r="L951" s="1" t="s">
        <v>6135</v>
      </c>
    </row>
    <row r="952" spans="1:12">
      <c r="A952" s="3" t="s">
        <v>3356</v>
      </c>
      <c r="C952" s="3" t="s">
        <v>3817</v>
      </c>
      <c r="D952" s="3" t="s">
        <v>3618</v>
      </c>
      <c r="E952" s="3" t="s">
        <v>3638</v>
      </c>
      <c r="F952" s="3" t="s">
        <v>3186</v>
      </c>
      <c r="G952" s="3" t="s">
        <v>7929</v>
      </c>
      <c r="H952" s="6" t="s">
        <v>3356</v>
      </c>
      <c r="I952" s="6" t="s">
        <v>3356</v>
      </c>
      <c r="J952" s="3" t="s">
        <v>3356</v>
      </c>
      <c r="L952" s="1" t="s">
        <v>6135</v>
      </c>
    </row>
    <row r="953" spans="1:12">
      <c r="A953" s="3" t="s">
        <v>3356</v>
      </c>
      <c r="C953" s="3" t="s">
        <v>3817</v>
      </c>
      <c r="D953" s="3" t="s">
        <v>3618</v>
      </c>
      <c r="E953" s="3" t="s">
        <v>3638</v>
      </c>
      <c r="F953" s="3" t="s">
        <v>3186</v>
      </c>
      <c r="G953" s="3" t="s">
        <v>8246</v>
      </c>
      <c r="H953" s="6" t="s">
        <v>3356</v>
      </c>
      <c r="I953" s="6" t="s">
        <v>3356</v>
      </c>
      <c r="J953" s="3" t="s">
        <v>3356</v>
      </c>
      <c r="L953" s="1" t="s">
        <v>6135</v>
      </c>
    </row>
    <row r="954" spans="1:12">
      <c r="A954" s="3" t="s">
        <v>3356</v>
      </c>
      <c r="C954" s="3" t="s">
        <v>3817</v>
      </c>
      <c r="D954" s="3" t="s">
        <v>3618</v>
      </c>
      <c r="E954" s="3" t="s">
        <v>3638</v>
      </c>
      <c r="F954" s="3" t="s">
        <v>3186</v>
      </c>
      <c r="G954" s="3" t="s">
        <v>4852</v>
      </c>
      <c r="H954" s="6" t="s">
        <v>3356</v>
      </c>
      <c r="I954" s="6" t="s">
        <v>3356</v>
      </c>
      <c r="J954" s="3" t="s">
        <v>3356</v>
      </c>
      <c r="L954" s="1" t="s">
        <v>6135</v>
      </c>
    </row>
    <row r="955" spans="1:12">
      <c r="A955" s="3" t="s">
        <v>3356</v>
      </c>
      <c r="C955" s="3" t="s">
        <v>3817</v>
      </c>
      <c r="D955" s="3" t="s">
        <v>3618</v>
      </c>
      <c r="E955" s="3" t="s">
        <v>3638</v>
      </c>
      <c r="F955" s="3" t="s">
        <v>7214</v>
      </c>
      <c r="G955" s="3" t="s">
        <v>2410</v>
      </c>
      <c r="H955" s="6" t="s">
        <v>3356</v>
      </c>
      <c r="I955" s="6" t="s">
        <v>3356</v>
      </c>
      <c r="J955" s="3" t="s">
        <v>3356</v>
      </c>
      <c r="L955" s="1" t="s">
        <v>6135</v>
      </c>
    </row>
    <row r="956" spans="1:12">
      <c r="A956" s="3" t="s">
        <v>3356</v>
      </c>
      <c r="C956" s="3" t="s">
        <v>3817</v>
      </c>
      <c r="D956" s="3" t="s">
        <v>3618</v>
      </c>
      <c r="E956" s="3" t="s">
        <v>3638</v>
      </c>
      <c r="F956" s="3" t="s">
        <v>7214</v>
      </c>
      <c r="G956" s="3" t="s">
        <v>5419</v>
      </c>
      <c r="H956" s="6" t="s">
        <v>3356</v>
      </c>
      <c r="I956" s="6" t="s">
        <v>3356</v>
      </c>
      <c r="J956" s="3" t="s">
        <v>3356</v>
      </c>
      <c r="L956" s="1" t="s">
        <v>6135</v>
      </c>
    </row>
    <row r="957" spans="1:12">
      <c r="A957" s="3" t="s">
        <v>3356</v>
      </c>
      <c r="C957" s="3" t="s">
        <v>3817</v>
      </c>
      <c r="D957" s="3" t="s">
        <v>3618</v>
      </c>
      <c r="E957" s="3" t="s">
        <v>3638</v>
      </c>
      <c r="F957" s="3" t="s">
        <v>6334</v>
      </c>
      <c r="G957" s="3" t="s">
        <v>3980</v>
      </c>
      <c r="H957" s="6" t="s">
        <v>3356</v>
      </c>
      <c r="I957" s="6" t="s">
        <v>3356</v>
      </c>
      <c r="J957" s="3" t="s">
        <v>3356</v>
      </c>
      <c r="L957" s="1" t="s">
        <v>6135</v>
      </c>
    </row>
    <row r="958" spans="1:12">
      <c r="A958" s="3" t="s">
        <v>3356</v>
      </c>
      <c r="C958" s="3" t="s">
        <v>3817</v>
      </c>
      <c r="D958" s="3" t="s">
        <v>3618</v>
      </c>
      <c r="E958" s="3" t="s">
        <v>3638</v>
      </c>
      <c r="F958" s="3" t="s">
        <v>6334</v>
      </c>
      <c r="G958" s="3" t="s">
        <v>6335</v>
      </c>
      <c r="H958" s="6" t="s">
        <v>3356</v>
      </c>
      <c r="I958" s="6" t="s">
        <v>3356</v>
      </c>
      <c r="J958" s="3" t="s">
        <v>3356</v>
      </c>
      <c r="L958" s="1" t="s">
        <v>6135</v>
      </c>
    </row>
    <row r="959" spans="1:12">
      <c r="A959" s="3" t="s">
        <v>3356</v>
      </c>
      <c r="C959" s="3" t="s">
        <v>3817</v>
      </c>
      <c r="D959" s="3" t="s">
        <v>3618</v>
      </c>
      <c r="E959" s="3" t="s">
        <v>3638</v>
      </c>
      <c r="F959" s="3" t="s">
        <v>5844</v>
      </c>
      <c r="G959" s="3" t="s">
        <v>7096</v>
      </c>
      <c r="H959" s="6" t="s">
        <v>3356</v>
      </c>
      <c r="I959" s="6" t="s">
        <v>3356</v>
      </c>
      <c r="J959" s="3" t="s">
        <v>3356</v>
      </c>
      <c r="L959" s="1" t="s">
        <v>6135</v>
      </c>
    </row>
    <row r="960" spans="1:12">
      <c r="A960" s="3" t="s">
        <v>3356</v>
      </c>
      <c r="C960" s="3" t="s">
        <v>3817</v>
      </c>
      <c r="D960" s="3" t="s">
        <v>3618</v>
      </c>
      <c r="E960" s="3" t="s">
        <v>3638</v>
      </c>
      <c r="F960" s="3" t="s">
        <v>5844</v>
      </c>
      <c r="G960" s="3" t="s">
        <v>5845</v>
      </c>
      <c r="H960" s="6">
        <v>1.6232492903979006</v>
      </c>
      <c r="I960" s="6">
        <v>42</v>
      </c>
      <c r="J960" s="3" t="s">
        <v>6736</v>
      </c>
      <c r="L960" s="1" t="s">
        <v>6135</v>
      </c>
    </row>
    <row r="961" spans="1:12">
      <c r="A961" s="3" t="s">
        <v>3356</v>
      </c>
      <c r="C961" s="3" t="s">
        <v>3817</v>
      </c>
      <c r="D961" s="3" t="s">
        <v>3618</v>
      </c>
      <c r="E961" s="3" t="s">
        <v>3638</v>
      </c>
      <c r="F961" s="3" t="s">
        <v>5844</v>
      </c>
      <c r="G961" s="3" t="s">
        <v>6472</v>
      </c>
      <c r="H961" s="6" t="s">
        <v>3356</v>
      </c>
      <c r="I961" s="6" t="s">
        <v>3356</v>
      </c>
      <c r="J961" s="3" t="s">
        <v>3356</v>
      </c>
      <c r="L961" s="1" t="s">
        <v>6135</v>
      </c>
    </row>
    <row r="962" spans="1:12">
      <c r="A962" s="3" t="s">
        <v>3356</v>
      </c>
      <c r="C962" s="3" t="s">
        <v>3817</v>
      </c>
      <c r="D962" s="3" t="s">
        <v>3618</v>
      </c>
      <c r="E962" s="3" t="s">
        <v>3638</v>
      </c>
      <c r="F962" s="3" t="s">
        <v>5844</v>
      </c>
      <c r="G962" s="3" t="s">
        <v>7546</v>
      </c>
      <c r="H962" s="6" t="s">
        <v>3356</v>
      </c>
      <c r="I962" s="6" t="s">
        <v>3356</v>
      </c>
      <c r="J962" s="3" t="s">
        <v>3356</v>
      </c>
      <c r="L962" s="1" t="s">
        <v>6135</v>
      </c>
    </row>
    <row r="963" spans="1:12">
      <c r="A963" s="3" t="s">
        <v>3356</v>
      </c>
      <c r="C963" s="3" t="s">
        <v>3817</v>
      </c>
      <c r="D963" s="3" t="s">
        <v>3618</v>
      </c>
      <c r="E963" s="3" t="s">
        <v>3638</v>
      </c>
      <c r="F963" s="3" t="s">
        <v>5844</v>
      </c>
      <c r="G963" s="3" t="s">
        <v>4141</v>
      </c>
      <c r="H963" s="6" t="s">
        <v>3356</v>
      </c>
      <c r="I963" s="6" t="s">
        <v>3356</v>
      </c>
      <c r="J963" s="3" t="s">
        <v>3356</v>
      </c>
      <c r="L963" s="1" t="s">
        <v>6135</v>
      </c>
    </row>
    <row r="964" spans="1:12">
      <c r="A964" s="3" t="s">
        <v>3356</v>
      </c>
      <c r="C964" s="3" t="s">
        <v>3817</v>
      </c>
      <c r="D964" s="3" t="s">
        <v>3618</v>
      </c>
      <c r="E964" s="3" t="s">
        <v>3638</v>
      </c>
      <c r="F964" s="3" t="s">
        <v>5844</v>
      </c>
      <c r="G964" s="3" t="s">
        <v>6473</v>
      </c>
      <c r="H964" s="6" t="s">
        <v>3356</v>
      </c>
      <c r="I964" s="6" t="s">
        <v>3356</v>
      </c>
      <c r="J964" s="3" t="s">
        <v>3356</v>
      </c>
      <c r="L964" s="1" t="s">
        <v>6135</v>
      </c>
    </row>
    <row r="965" spans="1:12">
      <c r="A965" s="3" t="s">
        <v>3356</v>
      </c>
      <c r="C965" s="3" t="s">
        <v>3817</v>
      </c>
      <c r="D965" s="3" t="s">
        <v>3618</v>
      </c>
      <c r="E965" s="3" t="s">
        <v>3638</v>
      </c>
      <c r="F965" s="3" t="s">
        <v>5844</v>
      </c>
      <c r="G965" s="3" t="s">
        <v>6474</v>
      </c>
      <c r="H965" s="6" t="s">
        <v>3356</v>
      </c>
      <c r="I965" s="6" t="s">
        <v>3356</v>
      </c>
      <c r="J965" s="3" t="s">
        <v>3356</v>
      </c>
      <c r="L965" s="1" t="s">
        <v>6135</v>
      </c>
    </row>
    <row r="966" spans="1:12">
      <c r="A966" s="3" t="s">
        <v>3356</v>
      </c>
      <c r="C966" s="3" t="s">
        <v>3817</v>
      </c>
      <c r="D966" s="3" t="s">
        <v>3618</v>
      </c>
      <c r="E966" s="3" t="s">
        <v>3638</v>
      </c>
      <c r="F966" s="3" t="s">
        <v>5844</v>
      </c>
      <c r="G966" s="3" t="s">
        <v>6475</v>
      </c>
      <c r="H966" s="6" t="s">
        <v>3356</v>
      </c>
      <c r="I966" s="6" t="s">
        <v>3356</v>
      </c>
      <c r="J966" s="3" t="s">
        <v>3356</v>
      </c>
      <c r="L966" s="1" t="s">
        <v>6135</v>
      </c>
    </row>
    <row r="967" spans="1:12">
      <c r="A967" s="3" t="s">
        <v>3356</v>
      </c>
      <c r="C967" s="3" t="s">
        <v>3817</v>
      </c>
      <c r="D967" s="3" t="s">
        <v>3618</v>
      </c>
      <c r="E967" s="3" t="s">
        <v>3638</v>
      </c>
      <c r="F967" s="3" t="s">
        <v>5844</v>
      </c>
      <c r="G967" s="3" t="s">
        <v>6476</v>
      </c>
      <c r="H967" s="6" t="s">
        <v>3356</v>
      </c>
      <c r="I967" s="6" t="s">
        <v>3356</v>
      </c>
      <c r="J967" s="3" t="s">
        <v>3356</v>
      </c>
      <c r="L967" s="1" t="s">
        <v>6135</v>
      </c>
    </row>
    <row r="968" spans="1:12">
      <c r="A968" s="3" t="s">
        <v>3356</v>
      </c>
      <c r="C968" s="3" t="s">
        <v>3817</v>
      </c>
      <c r="D968" s="3" t="s">
        <v>3618</v>
      </c>
      <c r="E968" s="3" t="s">
        <v>3638</v>
      </c>
      <c r="F968" s="3" t="s">
        <v>5844</v>
      </c>
      <c r="G968" s="3" t="s">
        <v>6477</v>
      </c>
      <c r="H968" s="6" t="s">
        <v>3356</v>
      </c>
      <c r="I968" s="6" t="s">
        <v>3356</v>
      </c>
      <c r="J968" s="3" t="s">
        <v>3356</v>
      </c>
      <c r="L968" s="1" t="s">
        <v>6135</v>
      </c>
    </row>
    <row r="969" spans="1:12">
      <c r="A969" s="3" t="s">
        <v>3356</v>
      </c>
      <c r="C969" s="3" t="s">
        <v>3817</v>
      </c>
      <c r="D969" s="3" t="s">
        <v>3618</v>
      </c>
      <c r="E969" s="3" t="s">
        <v>3638</v>
      </c>
      <c r="F969" s="3" t="s">
        <v>5844</v>
      </c>
      <c r="G969" s="3" t="s">
        <v>5260</v>
      </c>
      <c r="H969" s="6">
        <v>1.6232492903979006</v>
      </c>
      <c r="I969" s="6">
        <v>42</v>
      </c>
      <c r="J969" s="3" t="s">
        <v>6736</v>
      </c>
      <c r="L969" s="1" t="s">
        <v>6135</v>
      </c>
    </row>
    <row r="970" spans="1:12">
      <c r="A970" s="3" t="s">
        <v>3356</v>
      </c>
      <c r="C970" s="3" t="s">
        <v>3817</v>
      </c>
      <c r="D970" s="3" t="s">
        <v>3618</v>
      </c>
      <c r="E970" s="3" t="s">
        <v>3638</v>
      </c>
      <c r="F970" s="3" t="s">
        <v>5844</v>
      </c>
      <c r="G970" s="3" t="s">
        <v>3138</v>
      </c>
      <c r="H970" s="6" t="s">
        <v>3356</v>
      </c>
      <c r="I970" s="6" t="s">
        <v>3356</v>
      </c>
      <c r="J970" s="3" t="s">
        <v>3356</v>
      </c>
      <c r="L970" s="1" t="s">
        <v>6135</v>
      </c>
    </row>
    <row r="971" spans="1:12">
      <c r="A971" s="3" t="s">
        <v>3356</v>
      </c>
      <c r="C971" s="3" t="s">
        <v>3817</v>
      </c>
      <c r="D971" s="3" t="s">
        <v>3618</v>
      </c>
      <c r="E971" s="3" t="s">
        <v>3638</v>
      </c>
      <c r="F971" s="3" t="s">
        <v>6699</v>
      </c>
      <c r="G971" s="3" t="s">
        <v>3884</v>
      </c>
      <c r="H971" s="6" t="s">
        <v>3356</v>
      </c>
      <c r="I971" s="6" t="s">
        <v>3356</v>
      </c>
      <c r="J971" s="3" t="s">
        <v>3356</v>
      </c>
      <c r="L971" s="1" t="s">
        <v>6135</v>
      </c>
    </row>
    <row r="972" spans="1:12">
      <c r="A972" s="3" t="s">
        <v>3356</v>
      </c>
      <c r="C972" s="3" t="s">
        <v>3817</v>
      </c>
      <c r="D972" s="3" t="s">
        <v>3618</v>
      </c>
      <c r="E972" s="3" t="s">
        <v>3638</v>
      </c>
      <c r="F972" s="3" t="s">
        <v>8247</v>
      </c>
      <c r="G972" s="3" t="s">
        <v>8084</v>
      </c>
      <c r="H972" s="6" t="s">
        <v>3356</v>
      </c>
      <c r="I972" s="6" t="s">
        <v>3356</v>
      </c>
      <c r="J972" s="3" t="s">
        <v>3356</v>
      </c>
      <c r="L972" s="1" t="s">
        <v>6135</v>
      </c>
    </row>
    <row r="973" spans="1:12">
      <c r="A973" s="3" t="s">
        <v>3356</v>
      </c>
      <c r="C973" s="3" t="s">
        <v>3817</v>
      </c>
      <c r="D973" s="3" t="s">
        <v>3618</v>
      </c>
      <c r="E973" s="3" t="s">
        <v>3638</v>
      </c>
      <c r="F973" s="3" t="s">
        <v>8085</v>
      </c>
      <c r="G973" s="3" t="s">
        <v>5877</v>
      </c>
      <c r="H973" s="6" t="s">
        <v>3356</v>
      </c>
      <c r="I973" s="6" t="s">
        <v>3356</v>
      </c>
      <c r="J973" s="3" t="s">
        <v>3356</v>
      </c>
      <c r="L973" s="1" t="s">
        <v>6135</v>
      </c>
    </row>
    <row r="974" spans="1:12">
      <c r="A974" s="3" t="s">
        <v>3356</v>
      </c>
      <c r="C974" s="3" t="s">
        <v>3817</v>
      </c>
      <c r="D974" s="3" t="s">
        <v>3618</v>
      </c>
      <c r="E974" s="3" t="s">
        <v>3638</v>
      </c>
      <c r="F974" s="3" t="s">
        <v>5261</v>
      </c>
      <c r="G974" s="3" t="s">
        <v>5262</v>
      </c>
      <c r="H974" s="6">
        <v>1.3010299956639813</v>
      </c>
      <c r="I974" s="6">
        <v>20</v>
      </c>
      <c r="J974" s="3" t="s">
        <v>6736</v>
      </c>
      <c r="L974" s="1" t="s">
        <v>6135</v>
      </c>
    </row>
    <row r="975" spans="1:12">
      <c r="A975" s="3" t="s">
        <v>3356</v>
      </c>
      <c r="C975" s="3" t="s">
        <v>3817</v>
      </c>
      <c r="D975" s="3" t="s">
        <v>3618</v>
      </c>
      <c r="E975" s="3" t="s">
        <v>3638</v>
      </c>
      <c r="F975" s="3" t="s">
        <v>5261</v>
      </c>
      <c r="G975" s="3" t="s">
        <v>6248</v>
      </c>
      <c r="H975" s="6" t="s">
        <v>3356</v>
      </c>
      <c r="I975" s="6" t="s">
        <v>3356</v>
      </c>
      <c r="J975" s="3" t="s">
        <v>3356</v>
      </c>
      <c r="L975" s="1" t="s">
        <v>6135</v>
      </c>
    </row>
    <row r="976" spans="1:12">
      <c r="A976" s="3" t="s">
        <v>3356</v>
      </c>
      <c r="C976" s="3" t="s">
        <v>3817</v>
      </c>
      <c r="D976" s="3" t="s">
        <v>3618</v>
      </c>
      <c r="E976" s="3" t="s">
        <v>3638</v>
      </c>
      <c r="F976" s="3" t="s">
        <v>5261</v>
      </c>
      <c r="G976" s="3" t="s">
        <v>6249</v>
      </c>
      <c r="H976" s="6" t="s">
        <v>3356</v>
      </c>
      <c r="I976" s="6" t="s">
        <v>3356</v>
      </c>
      <c r="J976" s="3" t="s">
        <v>3356</v>
      </c>
      <c r="L976" s="1" t="s">
        <v>6135</v>
      </c>
    </row>
    <row r="977" spans="1:12">
      <c r="A977" s="3" t="s">
        <v>3356</v>
      </c>
      <c r="C977" s="3" t="s">
        <v>3817</v>
      </c>
      <c r="D977" s="3" t="s">
        <v>3618</v>
      </c>
      <c r="E977" s="3" t="s">
        <v>3638</v>
      </c>
      <c r="F977" s="3" t="s">
        <v>5261</v>
      </c>
      <c r="G977" s="3" t="s">
        <v>6250</v>
      </c>
      <c r="H977" s="6" t="s">
        <v>3356</v>
      </c>
      <c r="I977" s="6" t="s">
        <v>3356</v>
      </c>
      <c r="J977" s="3" t="s">
        <v>3356</v>
      </c>
      <c r="L977" s="1" t="s">
        <v>6135</v>
      </c>
    </row>
    <row r="978" spans="1:12">
      <c r="A978" s="3" t="s">
        <v>3356</v>
      </c>
      <c r="C978" s="3" t="s">
        <v>3817</v>
      </c>
      <c r="D978" s="3" t="s">
        <v>3618</v>
      </c>
      <c r="E978" s="3" t="s">
        <v>3638</v>
      </c>
      <c r="F978" s="3" t="s">
        <v>5261</v>
      </c>
      <c r="G978" s="3" t="s">
        <v>6251</v>
      </c>
      <c r="H978" s="6" t="s">
        <v>3356</v>
      </c>
      <c r="I978" s="6" t="s">
        <v>3356</v>
      </c>
      <c r="J978" s="3" t="s">
        <v>3356</v>
      </c>
      <c r="L978" s="1" t="s">
        <v>6135</v>
      </c>
    </row>
    <row r="979" spans="1:12">
      <c r="A979" s="3" t="s">
        <v>3356</v>
      </c>
      <c r="C979" s="3" t="s">
        <v>3817</v>
      </c>
      <c r="D979" s="3" t="s">
        <v>3618</v>
      </c>
      <c r="E979" s="3" t="s">
        <v>3638</v>
      </c>
      <c r="F979" s="3" t="s">
        <v>5261</v>
      </c>
      <c r="G979" s="3" t="s">
        <v>6252</v>
      </c>
      <c r="H979" s="6" t="s">
        <v>3356</v>
      </c>
      <c r="I979" s="6" t="s">
        <v>3356</v>
      </c>
      <c r="J979" s="3" t="s">
        <v>3356</v>
      </c>
      <c r="L979" s="1" t="s">
        <v>6135</v>
      </c>
    </row>
    <row r="980" spans="1:12">
      <c r="A980" s="3" t="s">
        <v>3356</v>
      </c>
      <c r="C980" s="3" t="s">
        <v>3817</v>
      </c>
      <c r="D980" s="3" t="s">
        <v>3618</v>
      </c>
      <c r="E980" s="3" t="s">
        <v>3638</v>
      </c>
      <c r="F980" s="3" t="s">
        <v>5261</v>
      </c>
      <c r="G980" s="3" t="s">
        <v>6648</v>
      </c>
      <c r="H980" s="6">
        <v>1.4771212547196624</v>
      </c>
      <c r="I980" s="6">
        <v>30</v>
      </c>
      <c r="J980" s="3" t="s">
        <v>6736</v>
      </c>
      <c r="L980" s="1" t="s">
        <v>6135</v>
      </c>
    </row>
    <row r="981" spans="1:12">
      <c r="A981" s="3" t="s">
        <v>3356</v>
      </c>
      <c r="C981" s="3" t="s">
        <v>3817</v>
      </c>
      <c r="D981" s="3" t="s">
        <v>3618</v>
      </c>
      <c r="E981" s="3" t="s">
        <v>3638</v>
      </c>
      <c r="F981" s="3" t="s">
        <v>5261</v>
      </c>
      <c r="G981" s="3" t="s">
        <v>6405</v>
      </c>
      <c r="H981" s="6" t="s">
        <v>3356</v>
      </c>
      <c r="I981" s="6" t="s">
        <v>3356</v>
      </c>
      <c r="J981" s="3" t="s">
        <v>3356</v>
      </c>
      <c r="L981" s="1" t="s">
        <v>6135</v>
      </c>
    </row>
    <row r="982" spans="1:12">
      <c r="A982" s="3" t="s">
        <v>3356</v>
      </c>
      <c r="C982" s="3" t="s">
        <v>3817</v>
      </c>
      <c r="D982" s="3" t="s">
        <v>3618</v>
      </c>
      <c r="E982" s="3" t="s">
        <v>3638</v>
      </c>
      <c r="F982" s="3" t="s">
        <v>5261</v>
      </c>
      <c r="G982" s="3" t="s">
        <v>6406</v>
      </c>
      <c r="H982" s="6" t="s">
        <v>3356</v>
      </c>
      <c r="I982" s="6" t="s">
        <v>3356</v>
      </c>
      <c r="J982" s="3" t="s">
        <v>3356</v>
      </c>
      <c r="L982" s="1" t="s">
        <v>6135</v>
      </c>
    </row>
    <row r="983" spans="1:12">
      <c r="A983" s="3" t="s">
        <v>3356</v>
      </c>
      <c r="C983" s="3" t="s">
        <v>3817</v>
      </c>
      <c r="D983" s="3" t="s">
        <v>3618</v>
      </c>
      <c r="E983" s="3" t="s">
        <v>3638</v>
      </c>
      <c r="F983" s="3" t="s">
        <v>5261</v>
      </c>
      <c r="G983" s="3" t="s">
        <v>6289</v>
      </c>
      <c r="H983" s="6">
        <v>1.3159703454569178</v>
      </c>
      <c r="I983" s="6">
        <v>20.7</v>
      </c>
      <c r="J983" s="3" t="s">
        <v>6736</v>
      </c>
      <c r="L983" s="1" t="s">
        <v>6135</v>
      </c>
    </row>
    <row r="984" spans="1:12">
      <c r="A984" s="3" t="s">
        <v>3356</v>
      </c>
      <c r="C984" s="3" t="s">
        <v>3817</v>
      </c>
      <c r="D984" s="3" t="s">
        <v>3618</v>
      </c>
      <c r="E984" s="3" t="s">
        <v>3638</v>
      </c>
      <c r="F984" s="3" t="s">
        <v>5261</v>
      </c>
      <c r="G984" s="3" t="s">
        <v>6407</v>
      </c>
      <c r="H984" s="6" t="s">
        <v>3356</v>
      </c>
      <c r="I984" s="6" t="s">
        <v>3356</v>
      </c>
      <c r="J984" s="3" t="s">
        <v>3356</v>
      </c>
      <c r="L984" s="1" t="s">
        <v>6135</v>
      </c>
    </row>
    <row r="985" spans="1:12">
      <c r="A985" s="3" t="s">
        <v>3356</v>
      </c>
      <c r="C985" s="3" t="s">
        <v>3817</v>
      </c>
      <c r="D985" s="3" t="s">
        <v>3618</v>
      </c>
      <c r="E985" s="3" t="s">
        <v>3638</v>
      </c>
      <c r="F985" s="3" t="s">
        <v>5261</v>
      </c>
      <c r="G985" s="3" t="s">
        <v>6408</v>
      </c>
      <c r="H985" s="6" t="s">
        <v>3356</v>
      </c>
      <c r="I985" s="6" t="s">
        <v>3356</v>
      </c>
      <c r="J985" s="3" t="s">
        <v>3356</v>
      </c>
      <c r="L985" s="1" t="s">
        <v>6135</v>
      </c>
    </row>
    <row r="986" spans="1:12">
      <c r="A986" s="3" t="s">
        <v>3356</v>
      </c>
      <c r="C986" s="3" t="s">
        <v>3817</v>
      </c>
      <c r="D986" s="3" t="s">
        <v>3618</v>
      </c>
      <c r="E986" s="3" t="s">
        <v>3638</v>
      </c>
      <c r="F986" s="3" t="s">
        <v>5261</v>
      </c>
      <c r="G986" s="3" t="s">
        <v>5738</v>
      </c>
      <c r="H986" s="6">
        <v>1.6263403673750423</v>
      </c>
      <c r="I986" s="6">
        <v>42.3</v>
      </c>
      <c r="J986" s="3" t="s">
        <v>6736</v>
      </c>
      <c r="L986" s="1" t="s">
        <v>6135</v>
      </c>
    </row>
    <row r="987" spans="1:12">
      <c r="A987" s="3" t="s">
        <v>3356</v>
      </c>
      <c r="C987" s="3" t="s">
        <v>3817</v>
      </c>
      <c r="D987" s="3" t="s">
        <v>3618</v>
      </c>
      <c r="E987" s="3" t="s">
        <v>3638</v>
      </c>
      <c r="F987" s="3" t="s">
        <v>5261</v>
      </c>
      <c r="G987" s="3" t="s">
        <v>6255</v>
      </c>
      <c r="H987" s="6" t="s">
        <v>3356</v>
      </c>
      <c r="I987" s="6" t="s">
        <v>3356</v>
      </c>
      <c r="J987" s="3" t="s">
        <v>3356</v>
      </c>
      <c r="L987" s="1" t="s">
        <v>6135</v>
      </c>
    </row>
    <row r="988" spans="1:12">
      <c r="A988" s="3" t="s">
        <v>3356</v>
      </c>
      <c r="C988" s="3" t="s">
        <v>3817</v>
      </c>
      <c r="D988" s="3" t="s">
        <v>3618</v>
      </c>
      <c r="E988" s="3" t="s">
        <v>3638</v>
      </c>
      <c r="F988" s="3" t="s">
        <v>5261</v>
      </c>
      <c r="G988" s="3" t="s">
        <v>6256</v>
      </c>
      <c r="H988" s="6" t="s">
        <v>3356</v>
      </c>
      <c r="I988" s="6" t="s">
        <v>3356</v>
      </c>
      <c r="J988" s="3" t="s">
        <v>3356</v>
      </c>
      <c r="L988" s="1" t="s">
        <v>6135</v>
      </c>
    </row>
    <row r="989" spans="1:12">
      <c r="A989" s="3" t="s">
        <v>3356</v>
      </c>
      <c r="C989" s="3" t="s">
        <v>3817</v>
      </c>
      <c r="D989" s="3" t="s">
        <v>3618</v>
      </c>
      <c r="E989" s="3" t="s">
        <v>3638</v>
      </c>
      <c r="F989" s="3" t="s">
        <v>5261</v>
      </c>
      <c r="G989" s="3" t="s">
        <v>6257</v>
      </c>
      <c r="H989" s="6" t="s">
        <v>3356</v>
      </c>
      <c r="I989" s="6" t="s">
        <v>3356</v>
      </c>
      <c r="J989" s="3" t="s">
        <v>3356</v>
      </c>
      <c r="L989" s="1" t="s">
        <v>6135</v>
      </c>
    </row>
    <row r="990" spans="1:12">
      <c r="A990" s="3" t="s">
        <v>3356</v>
      </c>
      <c r="C990" s="3" t="s">
        <v>3817</v>
      </c>
      <c r="D990" s="3" t="s">
        <v>3618</v>
      </c>
      <c r="E990" s="3" t="s">
        <v>3638</v>
      </c>
      <c r="F990" s="3" t="s">
        <v>5261</v>
      </c>
      <c r="G990" s="3" t="s">
        <v>6258</v>
      </c>
      <c r="H990" s="6" t="s">
        <v>3356</v>
      </c>
      <c r="I990" s="6" t="s">
        <v>3356</v>
      </c>
      <c r="J990" s="3" t="s">
        <v>3356</v>
      </c>
      <c r="L990" s="1" t="s">
        <v>6135</v>
      </c>
    </row>
    <row r="991" spans="1:12">
      <c r="A991" s="3" t="s">
        <v>3356</v>
      </c>
      <c r="C991" s="3" t="s">
        <v>3817</v>
      </c>
      <c r="D991" s="3" t="s">
        <v>3618</v>
      </c>
      <c r="E991" s="3" t="s">
        <v>3638</v>
      </c>
      <c r="F991" s="3" t="s">
        <v>5261</v>
      </c>
      <c r="G991" s="3" t="s">
        <v>4666</v>
      </c>
      <c r="H991" s="6" t="s">
        <v>3356</v>
      </c>
      <c r="I991" s="6" t="s">
        <v>3356</v>
      </c>
      <c r="J991" s="3" t="s">
        <v>3356</v>
      </c>
      <c r="L991" s="1" t="s">
        <v>6135</v>
      </c>
    </row>
    <row r="992" spans="1:12">
      <c r="A992" s="3" t="s">
        <v>3356</v>
      </c>
      <c r="C992" s="3" t="s">
        <v>3817</v>
      </c>
      <c r="D992" s="3" t="s">
        <v>3618</v>
      </c>
      <c r="E992" s="3" t="s">
        <v>3638</v>
      </c>
      <c r="F992" s="3" t="s">
        <v>5261</v>
      </c>
      <c r="G992" s="3" t="s">
        <v>5739</v>
      </c>
      <c r="H992" s="6">
        <v>1.3979400086720377</v>
      </c>
      <c r="I992" s="6">
        <v>25</v>
      </c>
      <c r="J992" s="3" t="s">
        <v>6736</v>
      </c>
      <c r="L992" s="1" t="s">
        <v>6135</v>
      </c>
    </row>
    <row r="993" spans="1:12">
      <c r="A993" s="3" t="s">
        <v>3356</v>
      </c>
      <c r="C993" s="3" t="s">
        <v>3817</v>
      </c>
      <c r="D993" s="3" t="s">
        <v>3618</v>
      </c>
      <c r="E993" s="3" t="s">
        <v>3638</v>
      </c>
      <c r="F993" s="3" t="s">
        <v>5261</v>
      </c>
      <c r="G993" s="3" t="s">
        <v>6259</v>
      </c>
      <c r="H993" s="6" t="s">
        <v>3356</v>
      </c>
      <c r="I993" s="6" t="s">
        <v>3356</v>
      </c>
      <c r="J993" s="3" t="s">
        <v>3356</v>
      </c>
      <c r="L993" s="1" t="s">
        <v>6135</v>
      </c>
    </row>
    <row r="994" spans="1:12">
      <c r="A994" s="3" t="s">
        <v>3356</v>
      </c>
      <c r="C994" s="3" t="s">
        <v>3817</v>
      </c>
      <c r="D994" s="3" t="s">
        <v>3618</v>
      </c>
      <c r="E994" s="3" t="s">
        <v>3638</v>
      </c>
      <c r="F994" s="3" t="s">
        <v>5261</v>
      </c>
      <c r="G994" s="3" t="s">
        <v>6260</v>
      </c>
      <c r="H994" s="6" t="s">
        <v>3356</v>
      </c>
      <c r="I994" s="6" t="s">
        <v>3356</v>
      </c>
      <c r="J994" s="3" t="s">
        <v>3356</v>
      </c>
      <c r="L994" s="1" t="s">
        <v>6135</v>
      </c>
    </row>
    <row r="995" spans="1:12">
      <c r="A995" s="3" t="s">
        <v>3356</v>
      </c>
      <c r="C995" s="3" t="s">
        <v>3817</v>
      </c>
      <c r="D995" s="3" t="s">
        <v>3618</v>
      </c>
      <c r="E995" s="3" t="s">
        <v>3638</v>
      </c>
      <c r="F995" s="3" t="s">
        <v>7981</v>
      </c>
      <c r="G995" s="3" t="s">
        <v>7982</v>
      </c>
      <c r="H995" s="6" t="s">
        <v>3356</v>
      </c>
      <c r="I995" s="6" t="s">
        <v>3356</v>
      </c>
      <c r="J995" s="3" t="s">
        <v>3356</v>
      </c>
      <c r="L995" s="1" t="s">
        <v>6135</v>
      </c>
    </row>
    <row r="996" spans="1:12">
      <c r="A996" s="3" t="s">
        <v>3356</v>
      </c>
      <c r="C996" s="3" t="s">
        <v>3817</v>
      </c>
      <c r="D996" s="3" t="s">
        <v>3618</v>
      </c>
      <c r="E996" s="3" t="s">
        <v>3638</v>
      </c>
      <c r="F996" s="3" t="s">
        <v>7981</v>
      </c>
      <c r="G996" s="3" t="s">
        <v>7978</v>
      </c>
      <c r="H996" s="6" t="s">
        <v>3356</v>
      </c>
      <c r="I996" s="6" t="s">
        <v>3356</v>
      </c>
      <c r="J996" s="3" t="s">
        <v>3356</v>
      </c>
      <c r="L996" s="1" t="s">
        <v>6135</v>
      </c>
    </row>
    <row r="997" spans="1:12">
      <c r="A997" s="3" t="s">
        <v>3356</v>
      </c>
      <c r="C997" s="3" t="s">
        <v>3817</v>
      </c>
      <c r="D997" s="3" t="s">
        <v>3618</v>
      </c>
      <c r="E997" s="3" t="s">
        <v>3638</v>
      </c>
      <c r="F997" s="3" t="s">
        <v>7981</v>
      </c>
      <c r="G997" s="3" t="s">
        <v>7979</v>
      </c>
      <c r="H997" s="6" t="s">
        <v>3356</v>
      </c>
      <c r="I997" s="6" t="s">
        <v>3356</v>
      </c>
      <c r="J997" s="3" t="s">
        <v>3356</v>
      </c>
      <c r="L997" s="1" t="s">
        <v>6135</v>
      </c>
    </row>
    <row r="998" spans="1:12">
      <c r="A998" s="3" t="s">
        <v>3356</v>
      </c>
      <c r="C998" s="3" t="s">
        <v>3817</v>
      </c>
      <c r="D998" s="3" t="s">
        <v>3618</v>
      </c>
      <c r="E998" s="3" t="s">
        <v>3638</v>
      </c>
      <c r="F998" s="3" t="s">
        <v>7981</v>
      </c>
      <c r="G998" s="3" t="s">
        <v>6460</v>
      </c>
      <c r="H998" s="6" t="s">
        <v>3356</v>
      </c>
      <c r="I998" s="6" t="s">
        <v>3356</v>
      </c>
      <c r="J998" s="3" t="s">
        <v>3356</v>
      </c>
      <c r="L998" s="1" t="s">
        <v>6135</v>
      </c>
    </row>
    <row r="999" spans="1:12">
      <c r="A999" s="3" t="s">
        <v>3356</v>
      </c>
      <c r="C999" s="3" t="s">
        <v>3817</v>
      </c>
      <c r="D999" s="3" t="s">
        <v>3618</v>
      </c>
      <c r="E999" s="3" t="s">
        <v>3638</v>
      </c>
      <c r="F999" s="3" t="s">
        <v>7981</v>
      </c>
      <c r="G999" s="3" t="s">
        <v>5770</v>
      </c>
      <c r="H999" s="6" t="s">
        <v>3356</v>
      </c>
      <c r="I999" s="6" t="s">
        <v>3356</v>
      </c>
      <c r="J999" s="3" t="s">
        <v>3356</v>
      </c>
      <c r="L999" s="1" t="s">
        <v>6135</v>
      </c>
    </row>
    <row r="1000" spans="1:12">
      <c r="A1000" s="3" t="s">
        <v>3356</v>
      </c>
      <c r="C1000" s="3" t="s">
        <v>3817</v>
      </c>
      <c r="D1000" s="3" t="s">
        <v>3618</v>
      </c>
      <c r="E1000" s="3" t="s">
        <v>3638</v>
      </c>
      <c r="F1000" s="3" t="s">
        <v>7981</v>
      </c>
      <c r="G1000" s="3" t="s">
        <v>1995</v>
      </c>
      <c r="H1000" s="6" t="s">
        <v>3356</v>
      </c>
      <c r="I1000" s="6" t="s">
        <v>3356</v>
      </c>
      <c r="J1000" s="3" t="s">
        <v>3356</v>
      </c>
      <c r="L1000" s="1" t="s">
        <v>6135</v>
      </c>
    </row>
    <row r="1001" spans="1:12">
      <c r="A1001" s="3" t="s">
        <v>3356</v>
      </c>
      <c r="C1001" s="3" t="s">
        <v>3817</v>
      </c>
      <c r="D1001" s="3" t="s">
        <v>3618</v>
      </c>
      <c r="E1001" s="3" t="s">
        <v>3638</v>
      </c>
      <c r="F1001" s="3" t="s">
        <v>7981</v>
      </c>
      <c r="G1001" s="3" t="s">
        <v>4307</v>
      </c>
      <c r="H1001" s="6" t="s">
        <v>3356</v>
      </c>
      <c r="I1001" s="6" t="s">
        <v>3356</v>
      </c>
      <c r="J1001" s="3" t="s">
        <v>3356</v>
      </c>
      <c r="L1001" s="1" t="s">
        <v>6135</v>
      </c>
    </row>
    <row r="1002" spans="1:12">
      <c r="A1002" s="3" t="s">
        <v>3356</v>
      </c>
      <c r="C1002" s="3" t="s">
        <v>3817</v>
      </c>
      <c r="D1002" s="3" t="s">
        <v>3618</v>
      </c>
      <c r="E1002" s="3" t="s">
        <v>3638</v>
      </c>
      <c r="F1002" s="3" t="s">
        <v>7981</v>
      </c>
      <c r="G1002" s="3" t="s">
        <v>7980</v>
      </c>
      <c r="H1002" s="6" t="s">
        <v>3356</v>
      </c>
      <c r="I1002" s="6" t="s">
        <v>3356</v>
      </c>
      <c r="J1002" s="3" t="s">
        <v>3356</v>
      </c>
      <c r="L1002" s="1" t="s">
        <v>6135</v>
      </c>
    </row>
    <row r="1003" spans="1:12">
      <c r="A1003" s="3" t="s">
        <v>3356</v>
      </c>
      <c r="C1003" s="3" t="s">
        <v>3817</v>
      </c>
      <c r="D1003" s="3" t="s">
        <v>3618</v>
      </c>
      <c r="E1003" s="3" t="s">
        <v>3638</v>
      </c>
      <c r="F1003" s="3" t="s">
        <v>4031</v>
      </c>
      <c r="G1003" s="3" t="s">
        <v>3139</v>
      </c>
      <c r="H1003" s="6" t="s">
        <v>3356</v>
      </c>
      <c r="I1003" s="6" t="s">
        <v>3356</v>
      </c>
      <c r="J1003" s="3" t="s">
        <v>3356</v>
      </c>
      <c r="L1003" s="1" t="s">
        <v>6135</v>
      </c>
    </row>
    <row r="1004" spans="1:12">
      <c r="A1004" s="3" t="s">
        <v>3356</v>
      </c>
      <c r="C1004" s="3" t="s">
        <v>3817</v>
      </c>
      <c r="D1004" s="3" t="s">
        <v>3618</v>
      </c>
      <c r="E1004" s="3" t="s">
        <v>3638</v>
      </c>
      <c r="F1004" s="3" t="s">
        <v>5354</v>
      </c>
      <c r="G1004" s="3" t="s">
        <v>5355</v>
      </c>
      <c r="H1004" s="6" t="s">
        <v>3356</v>
      </c>
      <c r="I1004" s="6" t="s">
        <v>3356</v>
      </c>
      <c r="J1004" s="3" t="s">
        <v>3356</v>
      </c>
      <c r="L1004" s="1" t="s">
        <v>6135</v>
      </c>
    </row>
    <row r="1005" spans="1:12">
      <c r="A1005" s="3" t="s">
        <v>3356</v>
      </c>
      <c r="C1005" s="3" t="s">
        <v>3817</v>
      </c>
      <c r="D1005" s="3" t="s">
        <v>3618</v>
      </c>
      <c r="E1005" s="3" t="s">
        <v>3638</v>
      </c>
      <c r="F1005" s="3" t="s">
        <v>6323</v>
      </c>
      <c r="G1005" s="3" t="s">
        <v>5356</v>
      </c>
      <c r="H1005" s="6" t="s">
        <v>3356</v>
      </c>
      <c r="I1005" s="6" t="s">
        <v>3356</v>
      </c>
      <c r="J1005" s="3" t="s">
        <v>3356</v>
      </c>
      <c r="L1005" s="1" t="s">
        <v>6135</v>
      </c>
    </row>
    <row r="1006" spans="1:12">
      <c r="A1006" s="3" t="s">
        <v>3356</v>
      </c>
      <c r="C1006" s="3" t="s">
        <v>3817</v>
      </c>
      <c r="D1006" s="3" t="s">
        <v>3618</v>
      </c>
      <c r="E1006" s="3" t="s">
        <v>3638</v>
      </c>
      <c r="F1006" s="3" t="s">
        <v>6323</v>
      </c>
      <c r="G1006" s="3" t="s">
        <v>4104</v>
      </c>
      <c r="H1006" s="6" t="s">
        <v>3356</v>
      </c>
      <c r="I1006" s="6" t="s">
        <v>3356</v>
      </c>
      <c r="J1006" s="3" t="s">
        <v>3356</v>
      </c>
      <c r="L1006" s="1" t="s">
        <v>6135</v>
      </c>
    </row>
    <row r="1007" spans="1:12">
      <c r="A1007" s="3" t="s">
        <v>3356</v>
      </c>
      <c r="C1007" s="3" t="s">
        <v>3817</v>
      </c>
      <c r="D1007" s="3" t="s">
        <v>3618</v>
      </c>
      <c r="E1007" s="3" t="s">
        <v>3638</v>
      </c>
      <c r="F1007" s="3" t="s">
        <v>5740</v>
      </c>
      <c r="G1007" s="3" t="s">
        <v>4198</v>
      </c>
      <c r="H1007" s="6" t="s">
        <v>3356</v>
      </c>
      <c r="I1007" s="6" t="s">
        <v>3356</v>
      </c>
      <c r="J1007" s="3" t="s">
        <v>3356</v>
      </c>
      <c r="L1007" s="1" t="s">
        <v>6135</v>
      </c>
    </row>
    <row r="1008" spans="1:12">
      <c r="A1008" s="3" t="s">
        <v>3356</v>
      </c>
      <c r="C1008" s="3" t="s">
        <v>3817</v>
      </c>
      <c r="D1008" s="3" t="s">
        <v>3618</v>
      </c>
      <c r="E1008" s="3" t="s">
        <v>3638</v>
      </c>
      <c r="F1008" s="3" t="s">
        <v>5740</v>
      </c>
      <c r="G1008" s="3" t="s">
        <v>4820</v>
      </c>
      <c r="H1008" s="6">
        <v>2.3010299956639813</v>
      </c>
      <c r="I1008" s="6">
        <v>200</v>
      </c>
      <c r="J1008" s="3" t="s">
        <v>6736</v>
      </c>
      <c r="L1008" s="1" t="s">
        <v>6135</v>
      </c>
    </row>
    <row r="1009" spans="1:12">
      <c r="A1009" s="3" t="s">
        <v>3356</v>
      </c>
      <c r="C1009" s="3" t="s">
        <v>3817</v>
      </c>
      <c r="D1009" s="3" t="s">
        <v>3618</v>
      </c>
      <c r="E1009" s="3" t="s">
        <v>3638</v>
      </c>
      <c r="F1009" s="3" t="s">
        <v>5736</v>
      </c>
      <c r="G1009" s="3" t="s">
        <v>6178</v>
      </c>
      <c r="H1009" s="6">
        <v>2.6989700043360187</v>
      </c>
      <c r="I1009" s="6">
        <v>500</v>
      </c>
      <c r="J1009" s="3" t="s">
        <v>6736</v>
      </c>
      <c r="L1009" s="1" t="s">
        <v>6135</v>
      </c>
    </row>
    <row r="1010" spans="1:12">
      <c r="A1010" s="3" t="s">
        <v>3356</v>
      </c>
      <c r="C1010" s="3" t="s">
        <v>3817</v>
      </c>
      <c r="D1010" s="3" t="s">
        <v>3618</v>
      </c>
      <c r="E1010" s="3" t="s">
        <v>3638</v>
      </c>
      <c r="F1010" s="3" t="s">
        <v>5736</v>
      </c>
      <c r="G1010" s="3" t="s">
        <v>4108</v>
      </c>
      <c r="H1010" s="6" t="s">
        <v>3356</v>
      </c>
      <c r="I1010" s="6" t="s">
        <v>3356</v>
      </c>
      <c r="J1010" s="3" t="s">
        <v>3356</v>
      </c>
      <c r="L1010" s="1" t="s">
        <v>6135</v>
      </c>
    </row>
    <row r="1011" spans="1:12">
      <c r="A1011" s="3" t="s">
        <v>3356</v>
      </c>
      <c r="C1011" s="3" t="s">
        <v>3817</v>
      </c>
      <c r="D1011" s="3" t="s">
        <v>3618</v>
      </c>
      <c r="E1011" s="3" t="s">
        <v>3638</v>
      </c>
      <c r="F1011" s="3" t="s">
        <v>5736</v>
      </c>
      <c r="G1011" s="3" t="s">
        <v>5357</v>
      </c>
      <c r="H1011" s="6" t="s">
        <v>3356</v>
      </c>
      <c r="I1011" s="6" t="s">
        <v>3356</v>
      </c>
      <c r="J1011" s="3" t="s">
        <v>3356</v>
      </c>
      <c r="L1011" s="1" t="s">
        <v>6135</v>
      </c>
    </row>
    <row r="1012" spans="1:12">
      <c r="A1012" s="3" t="s">
        <v>3356</v>
      </c>
      <c r="C1012" s="3" t="s">
        <v>3817</v>
      </c>
      <c r="D1012" s="3" t="s">
        <v>3618</v>
      </c>
      <c r="E1012" s="3" t="s">
        <v>3638</v>
      </c>
      <c r="F1012" s="3" t="s">
        <v>5358</v>
      </c>
      <c r="G1012" s="3" t="s">
        <v>5351</v>
      </c>
      <c r="H1012" s="6" t="s">
        <v>3356</v>
      </c>
      <c r="I1012" s="6" t="s">
        <v>3356</v>
      </c>
      <c r="J1012" s="3" t="s">
        <v>3356</v>
      </c>
      <c r="L1012" s="1" t="s">
        <v>6135</v>
      </c>
    </row>
    <row r="1013" spans="1:12">
      <c r="A1013" s="3" t="s">
        <v>3356</v>
      </c>
      <c r="C1013" s="3" t="s">
        <v>3817</v>
      </c>
      <c r="D1013" s="3" t="s">
        <v>3618</v>
      </c>
      <c r="E1013" s="3" t="s">
        <v>3638</v>
      </c>
      <c r="F1013" s="3" t="s">
        <v>5358</v>
      </c>
      <c r="G1013" s="3" t="s">
        <v>7281</v>
      </c>
      <c r="H1013" s="6" t="s">
        <v>3356</v>
      </c>
      <c r="I1013" s="6" t="s">
        <v>3356</v>
      </c>
      <c r="J1013" s="3" t="s">
        <v>3356</v>
      </c>
      <c r="L1013" s="1" t="s">
        <v>6135</v>
      </c>
    </row>
    <row r="1014" spans="1:12">
      <c r="A1014" s="3" t="s">
        <v>3356</v>
      </c>
      <c r="C1014" s="3" t="s">
        <v>3817</v>
      </c>
      <c r="D1014" s="3" t="s">
        <v>3618</v>
      </c>
      <c r="E1014" s="3" t="s">
        <v>3638</v>
      </c>
      <c r="F1014" s="3" t="s">
        <v>5358</v>
      </c>
      <c r="G1014" s="3" t="s">
        <v>5352</v>
      </c>
      <c r="H1014" s="6" t="s">
        <v>3356</v>
      </c>
      <c r="I1014" s="6" t="s">
        <v>3356</v>
      </c>
      <c r="J1014" s="3" t="s">
        <v>3356</v>
      </c>
      <c r="L1014" s="1" t="s">
        <v>6135</v>
      </c>
    </row>
    <row r="1015" spans="1:12">
      <c r="A1015" s="3" t="s">
        <v>3356</v>
      </c>
      <c r="C1015" s="3" t="s">
        <v>3817</v>
      </c>
      <c r="D1015" s="3" t="s">
        <v>3618</v>
      </c>
      <c r="E1015" s="3" t="s">
        <v>3638</v>
      </c>
      <c r="F1015" s="3" t="s">
        <v>4895</v>
      </c>
      <c r="G1015" s="3" t="s">
        <v>5838</v>
      </c>
      <c r="H1015" s="6" t="s">
        <v>3356</v>
      </c>
      <c r="I1015" s="6" t="s">
        <v>3356</v>
      </c>
      <c r="J1015" s="3" t="s">
        <v>3356</v>
      </c>
      <c r="L1015" s="1" t="s">
        <v>6135</v>
      </c>
    </row>
    <row r="1016" spans="1:12">
      <c r="A1016" s="3" t="s">
        <v>3356</v>
      </c>
      <c r="C1016" s="3" t="s">
        <v>3817</v>
      </c>
      <c r="D1016" s="3" t="s">
        <v>3618</v>
      </c>
      <c r="E1016" s="3" t="s">
        <v>3638</v>
      </c>
      <c r="F1016" s="3" t="s">
        <v>5353</v>
      </c>
      <c r="G1016" s="3" t="s">
        <v>6547</v>
      </c>
      <c r="H1016" s="6" t="s">
        <v>3356</v>
      </c>
      <c r="I1016" s="6" t="s">
        <v>3356</v>
      </c>
      <c r="J1016" s="3" t="s">
        <v>3356</v>
      </c>
      <c r="L1016" s="1" t="s">
        <v>6135</v>
      </c>
    </row>
    <row r="1017" spans="1:12">
      <c r="A1017" s="3" t="s">
        <v>3356</v>
      </c>
      <c r="C1017" s="3" t="s">
        <v>3817</v>
      </c>
      <c r="D1017" s="3" t="s">
        <v>3618</v>
      </c>
      <c r="E1017" s="3" t="s">
        <v>3638</v>
      </c>
      <c r="F1017" s="3" t="s">
        <v>5353</v>
      </c>
      <c r="G1017" s="3" t="s">
        <v>5553</v>
      </c>
      <c r="H1017" s="6" t="s">
        <v>3356</v>
      </c>
      <c r="I1017" s="6" t="s">
        <v>3356</v>
      </c>
      <c r="J1017" s="3" t="s">
        <v>3356</v>
      </c>
      <c r="L1017" s="1" t="s">
        <v>6135</v>
      </c>
    </row>
    <row r="1018" spans="1:12">
      <c r="A1018" s="3" t="s">
        <v>3356</v>
      </c>
      <c r="C1018" s="3" t="s">
        <v>3817</v>
      </c>
      <c r="D1018" s="3" t="s">
        <v>3618</v>
      </c>
      <c r="E1018" s="3" t="s">
        <v>3638</v>
      </c>
      <c r="F1018" s="3" t="s">
        <v>5353</v>
      </c>
      <c r="G1018" s="3" t="s">
        <v>7998</v>
      </c>
      <c r="H1018" s="6" t="s">
        <v>3356</v>
      </c>
      <c r="I1018" s="6" t="s">
        <v>3356</v>
      </c>
      <c r="J1018" s="3" t="s">
        <v>3356</v>
      </c>
      <c r="L1018" s="1" t="s">
        <v>6135</v>
      </c>
    </row>
    <row r="1019" spans="1:12">
      <c r="A1019" s="3" t="s">
        <v>3356</v>
      </c>
      <c r="C1019" s="3" t="s">
        <v>3817</v>
      </c>
      <c r="D1019" s="3" t="s">
        <v>3618</v>
      </c>
      <c r="E1019" s="3" t="s">
        <v>3638</v>
      </c>
      <c r="F1019" s="3" t="s">
        <v>5353</v>
      </c>
      <c r="G1019" s="3" t="s">
        <v>7997</v>
      </c>
      <c r="H1019" s="6" t="s">
        <v>3356</v>
      </c>
      <c r="I1019" s="6" t="s">
        <v>3356</v>
      </c>
      <c r="J1019" s="3" t="s">
        <v>3356</v>
      </c>
      <c r="L1019" s="1" t="s">
        <v>6135</v>
      </c>
    </row>
    <row r="1020" spans="1:12">
      <c r="A1020" s="3" t="s">
        <v>3356</v>
      </c>
      <c r="C1020" s="3" t="s">
        <v>3817</v>
      </c>
      <c r="D1020" s="3" t="s">
        <v>3618</v>
      </c>
      <c r="E1020" s="3" t="s">
        <v>3638</v>
      </c>
      <c r="F1020" s="3" t="s">
        <v>3913</v>
      </c>
      <c r="G1020" s="3" t="s">
        <v>5420</v>
      </c>
      <c r="H1020" s="6" t="s">
        <v>3356</v>
      </c>
      <c r="I1020" s="6" t="s">
        <v>3356</v>
      </c>
      <c r="J1020" s="3" t="s">
        <v>3356</v>
      </c>
      <c r="L1020" s="1" t="s">
        <v>6135</v>
      </c>
    </row>
    <row r="1021" spans="1:12">
      <c r="A1021" s="3" t="s">
        <v>3356</v>
      </c>
      <c r="C1021" s="3" t="s">
        <v>3817</v>
      </c>
      <c r="D1021" s="3" t="s">
        <v>3618</v>
      </c>
      <c r="E1021" s="3" t="s">
        <v>3638</v>
      </c>
      <c r="F1021" s="3" t="s">
        <v>3140</v>
      </c>
      <c r="G1021" s="3" t="s">
        <v>6479</v>
      </c>
      <c r="H1021" s="6" t="s">
        <v>3356</v>
      </c>
      <c r="I1021" s="6" t="s">
        <v>3356</v>
      </c>
      <c r="J1021" s="3" t="s">
        <v>3356</v>
      </c>
      <c r="L1021" s="1" t="s">
        <v>6135</v>
      </c>
    </row>
    <row r="1022" spans="1:12">
      <c r="A1022" s="3" t="s">
        <v>3356</v>
      </c>
      <c r="C1022" s="3" t="s">
        <v>3817</v>
      </c>
      <c r="D1022" s="3" t="s">
        <v>3618</v>
      </c>
      <c r="E1022" s="3" t="s">
        <v>3638</v>
      </c>
      <c r="F1022" s="3" t="s">
        <v>3140</v>
      </c>
      <c r="G1022" s="3" t="s">
        <v>6763</v>
      </c>
      <c r="H1022" s="6" t="s">
        <v>3356</v>
      </c>
      <c r="I1022" s="6" t="s">
        <v>3356</v>
      </c>
      <c r="J1022" s="3" t="s">
        <v>3356</v>
      </c>
      <c r="L1022" s="1" t="s">
        <v>6135</v>
      </c>
    </row>
    <row r="1023" spans="1:12">
      <c r="A1023" s="3" t="s">
        <v>3356</v>
      </c>
      <c r="C1023" s="3" t="s">
        <v>3817</v>
      </c>
      <c r="D1023" s="3" t="s">
        <v>3618</v>
      </c>
      <c r="E1023" s="3" t="s">
        <v>3638</v>
      </c>
      <c r="F1023" s="3" t="s">
        <v>3885</v>
      </c>
      <c r="G1023" s="3" t="s">
        <v>5916</v>
      </c>
      <c r="H1023" s="6" t="s">
        <v>3356</v>
      </c>
      <c r="I1023" s="6" t="s">
        <v>3356</v>
      </c>
      <c r="J1023" s="3" t="s">
        <v>3356</v>
      </c>
      <c r="L1023" s="1" t="s">
        <v>6135</v>
      </c>
    </row>
    <row r="1024" spans="1:12">
      <c r="A1024" s="3" t="s">
        <v>3356</v>
      </c>
      <c r="C1024" s="3" t="s">
        <v>3817</v>
      </c>
      <c r="D1024" s="3" t="s">
        <v>3618</v>
      </c>
      <c r="E1024" s="3" t="s">
        <v>3638</v>
      </c>
      <c r="F1024" s="3" t="s">
        <v>4146</v>
      </c>
      <c r="G1024" s="3" t="s">
        <v>7096</v>
      </c>
      <c r="H1024" s="6" t="s">
        <v>3356</v>
      </c>
      <c r="I1024" s="6" t="s">
        <v>3356</v>
      </c>
      <c r="J1024" s="3" t="s">
        <v>3356</v>
      </c>
      <c r="L1024" s="1" t="s">
        <v>6135</v>
      </c>
    </row>
    <row r="1025" spans="1:12">
      <c r="A1025" s="3" t="s">
        <v>3356</v>
      </c>
      <c r="C1025" s="3" t="s">
        <v>3817</v>
      </c>
      <c r="D1025" s="3" t="s">
        <v>3618</v>
      </c>
      <c r="E1025" s="3" t="s">
        <v>3638</v>
      </c>
      <c r="F1025" s="3" t="s">
        <v>6072</v>
      </c>
      <c r="G1025" s="3" t="s">
        <v>3457</v>
      </c>
      <c r="H1025" s="6" t="s">
        <v>3356</v>
      </c>
      <c r="I1025" s="6" t="s">
        <v>3356</v>
      </c>
      <c r="J1025" s="3" t="s">
        <v>3356</v>
      </c>
      <c r="L1025" s="1" t="s">
        <v>6135</v>
      </c>
    </row>
    <row r="1026" spans="1:12">
      <c r="A1026" s="3" t="s">
        <v>3356</v>
      </c>
      <c r="C1026" s="3" t="s">
        <v>3817</v>
      </c>
      <c r="D1026" s="3" t="s">
        <v>3618</v>
      </c>
      <c r="E1026" s="3" t="s">
        <v>3638</v>
      </c>
      <c r="F1026" s="3" t="s">
        <v>6072</v>
      </c>
      <c r="G1026" s="3" t="s">
        <v>3458</v>
      </c>
      <c r="H1026" s="6" t="s">
        <v>3356</v>
      </c>
      <c r="I1026" s="6" t="s">
        <v>3356</v>
      </c>
      <c r="J1026" s="3" t="s">
        <v>3356</v>
      </c>
      <c r="L1026" s="1" t="s">
        <v>6135</v>
      </c>
    </row>
    <row r="1027" spans="1:12">
      <c r="A1027" s="3" t="s">
        <v>3356</v>
      </c>
      <c r="C1027" s="3" t="s">
        <v>3817</v>
      </c>
      <c r="D1027" s="3" t="s">
        <v>3618</v>
      </c>
      <c r="E1027" s="3" t="s">
        <v>3638</v>
      </c>
      <c r="F1027" s="3" t="s">
        <v>6239</v>
      </c>
      <c r="G1027" s="3" t="s">
        <v>6412</v>
      </c>
      <c r="H1027" s="6" t="s">
        <v>3356</v>
      </c>
      <c r="I1027" s="6" t="s">
        <v>3356</v>
      </c>
      <c r="J1027" s="3" t="s">
        <v>3356</v>
      </c>
      <c r="L1027" s="1" t="s">
        <v>6135</v>
      </c>
    </row>
    <row r="1028" spans="1:12">
      <c r="A1028" s="3" t="s">
        <v>3356</v>
      </c>
      <c r="C1028" s="3" t="s">
        <v>3817</v>
      </c>
      <c r="D1028" s="3" t="s">
        <v>3618</v>
      </c>
      <c r="E1028" s="3" t="s">
        <v>3638</v>
      </c>
      <c r="F1028" s="3" t="s">
        <v>6239</v>
      </c>
      <c r="G1028" s="3" t="s">
        <v>8105</v>
      </c>
      <c r="H1028" s="6" t="s">
        <v>3356</v>
      </c>
      <c r="I1028" s="6" t="s">
        <v>3356</v>
      </c>
      <c r="J1028" s="3" t="s">
        <v>3356</v>
      </c>
      <c r="L1028" s="1" t="s">
        <v>6135</v>
      </c>
    </row>
    <row r="1029" spans="1:12">
      <c r="A1029" s="3" t="s">
        <v>3356</v>
      </c>
      <c r="C1029" s="3" t="s">
        <v>3817</v>
      </c>
      <c r="D1029" s="3" t="s">
        <v>3618</v>
      </c>
      <c r="E1029" s="3" t="s">
        <v>3638</v>
      </c>
      <c r="F1029" s="3" t="s">
        <v>8106</v>
      </c>
      <c r="G1029" s="3" t="s">
        <v>3576</v>
      </c>
      <c r="H1029" s="6" t="s">
        <v>3356</v>
      </c>
      <c r="I1029" s="6" t="s">
        <v>3356</v>
      </c>
      <c r="J1029" s="3" t="s">
        <v>3356</v>
      </c>
      <c r="L1029" s="1" t="s">
        <v>6135</v>
      </c>
    </row>
    <row r="1030" spans="1:12">
      <c r="A1030" s="3" t="s">
        <v>3356</v>
      </c>
      <c r="C1030" s="3" t="s">
        <v>3817</v>
      </c>
      <c r="D1030" s="3" t="s">
        <v>3618</v>
      </c>
      <c r="E1030" s="3" t="s">
        <v>3638</v>
      </c>
      <c r="F1030" s="3" t="s">
        <v>8106</v>
      </c>
      <c r="G1030" s="3" t="s">
        <v>8107</v>
      </c>
      <c r="H1030" s="6" t="s">
        <v>3356</v>
      </c>
      <c r="I1030" s="6" t="s">
        <v>3356</v>
      </c>
      <c r="J1030" s="3" t="s">
        <v>3356</v>
      </c>
      <c r="L1030" s="1" t="s">
        <v>6135</v>
      </c>
    </row>
    <row r="1031" spans="1:12">
      <c r="A1031" s="3" t="s">
        <v>3356</v>
      </c>
      <c r="C1031" s="3" t="s">
        <v>3817</v>
      </c>
      <c r="D1031" s="3" t="s">
        <v>3618</v>
      </c>
      <c r="E1031" s="3" t="s">
        <v>3638</v>
      </c>
      <c r="F1031" s="3" t="s">
        <v>8106</v>
      </c>
      <c r="G1031" s="3" t="s">
        <v>8108</v>
      </c>
      <c r="H1031" s="6" t="s">
        <v>3356</v>
      </c>
      <c r="I1031" s="6" t="s">
        <v>3356</v>
      </c>
      <c r="J1031" s="3" t="s">
        <v>3356</v>
      </c>
      <c r="L1031" s="1" t="s">
        <v>6135</v>
      </c>
    </row>
    <row r="1032" spans="1:12">
      <c r="A1032" s="3" t="s">
        <v>3356</v>
      </c>
      <c r="C1032" s="3" t="s">
        <v>3817</v>
      </c>
      <c r="D1032" s="3" t="s">
        <v>3618</v>
      </c>
      <c r="E1032" s="3" t="s">
        <v>3638</v>
      </c>
      <c r="F1032" s="3" t="s">
        <v>8106</v>
      </c>
      <c r="G1032" s="3" t="s">
        <v>8109</v>
      </c>
      <c r="H1032" s="6" t="s">
        <v>3356</v>
      </c>
      <c r="I1032" s="6" t="s">
        <v>3356</v>
      </c>
      <c r="J1032" s="3" t="s">
        <v>3356</v>
      </c>
      <c r="L1032" s="1" t="s">
        <v>6135</v>
      </c>
    </row>
    <row r="1033" spans="1:12">
      <c r="A1033" s="3" t="s">
        <v>3356</v>
      </c>
      <c r="C1033" s="3" t="s">
        <v>3817</v>
      </c>
      <c r="D1033" s="3" t="s">
        <v>3618</v>
      </c>
      <c r="E1033" s="3" t="s">
        <v>3638</v>
      </c>
      <c r="F1033" s="3" t="s">
        <v>8106</v>
      </c>
      <c r="G1033" s="3" t="s">
        <v>6566</v>
      </c>
      <c r="H1033" s="6" t="s">
        <v>3356</v>
      </c>
      <c r="I1033" s="6" t="s">
        <v>3356</v>
      </c>
      <c r="J1033" s="3" t="s">
        <v>3356</v>
      </c>
      <c r="L1033" s="1" t="s">
        <v>6135</v>
      </c>
    </row>
    <row r="1034" spans="1:12">
      <c r="A1034" s="3" t="s">
        <v>3356</v>
      </c>
      <c r="C1034" s="3" t="s">
        <v>3817</v>
      </c>
      <c r="D1034" s="3" t="s">
        <v>3618</v>
      </c>
      <c r="E1034" s="3" t="s">
        <v>3638</v>
      </c>
      <c r="F1034" s="3" t="s">
        <v>8106</v>
      </c>
      <c r="G1034" s="3" t="s">
        <v>8110</v>
      </c>
      <c r="H1034" s="6" t="s">
        <v>3356</v>
      </c>
      <c r="I1034" s="6" t="s">
        <v>3356</v>
      </c>
      <c r="J1034" s="3" t="s">
        <v>3356</v>
      </c>
      <c r="L1034" s="1" t="s">
        <v>6135</v>
      </c>
    </row>
    <row r="1035" spans="1:12">
      <c r="A1035" s="3" t="s">
        <v>3356</v>
      </c>
      <c r="C1035" s="3" t="s">
        <v>3817</v>
      </c>
      <c r="D1035" s="3" t="s">
        <v>3618</v>
      </c>
      <c r="E1035" s="3" t="s">
        <v>3638</v>
      </c>
      <c r="F1035" s="3" t="s">
        <v>8106</v>
      </c>
      <c r="G1035" s="3" t="s">
        <v>8111</v>
      </c>
      <c r="H1035" s="6" t="s">
        <v>3356</v>
      </c>
      <c r="I1035" s="6" t="s">
        <v>3356</v>
      </c>
      <c r="J1035" s="3" t="s">
        <v>3356</v>
      </c>
      <c r="L1035" s="1" t="s">
        <v>6135</v>
      </c>
    </row>
    <row r="1036" spans="1:12">
      <c r="A1036" s="3" t="s">
        <v>3356</v>
      </c>
      <c r="C1036" s="3" t="s">
        <v>3817</v>
      </c>
      <c r="D1036" s="3" t="s">
        <v>3618</v>
      </c>
      <c r="E1036" s="3" t="s">
        <v>3638</v>
      </c>
      <c r="F1036" s="3" t="s">
        <v>6179</v>
      </c>
      <c r="G1036" s="3" t="s">
        <v>5324</v>
      </c>
      <c r="H1036" s="6">
        <v>1.3521825181113625</v>
      </c>
      <c r="I1036" s="6">
        <v>22.5</v>
      </c>
      <c r="J1036" s="3" t="s">
        <v>6736</v>
      </c>
      <c r="L1036" s="1" t="s">
        <v>6135</v>
      </c>
    </row>
    <row r="1037" spans="1:12">
      <c r="A1037" s="3" t="s">
        <v>3356</v>
      </c>
      <c r="C1037" s="3" t="s">
        <v>3817</v>
      </c>
      <c r="D1037" s="3" t="s">
        <v>3618</v>
      </c>
      <c r="E1037" s="3" t="s">
        <v>3638</v>
      </c>
      <c r="F1037" s="3" t="s">
        <v>6179</v>
      </c>
      <c r="G1037" s="3" t="s">
        <v>6331</v>
      </c>
      <c r="H1037" s="6" t="s">
        <v>3356</v>
      </c>
      <c r="I1037" s="6" t="s">
        <v>3356</v>
      </c>
      <c r="J1037" s="3" t="s">
        <v>3356</v>
      </c>
      <c r="L1037" s="1" t="s">
        <v>6135</v>
      </c>
    </row>
    <row r="1038" spans="1:12">
      <c r="A1038" s="3" t="s">
        <v>3356</v>
      </c>
      <c r="C1038" s="3" t="s">
        <v>3817</v>
      </c>
      <c r="D1038" s="3" t="s">
        <v>3618</v>
      </c>
      <c r="E1038" s="3" t="s">
        <v>3638</v>
      </c>
      <c r="F1038" s="3" t="s">
        <v>6179</v>
      </c>
      <c r="G1038" s="3" t="s">
        <v>6444</v>
      </c>
      <c r="H1038" s="6" t="s">
        <v>3356</v>
      </c>
      <c r="I1038" s="6" t="s">
        <v>3356</v>
      </c>
      <c r="J1038" s="3" t="s">
        <v>3356</v>
      </c>
      <c r="L1038" s="1" t="s">
        <v>6135</v>
      </c>
    </row>
    <row r="1039" spans="1:12">
      <c r="A1039" s="3" t="s">
        <v>3356</v>
      </c>
      <c r="C1039" s="3" t="s">
        <v>3817</v>
      </c>
      <c r="D1039" s="3" t="s">
        <v>3618</v>
      </c>
      <c r="E1039" s="3" t="s">
        <v>3638</v>
      </c>
      <c r="F1039" s="3" t="s">
        <v>6179</v>
      </c>
      <c r="G1039" s="3" t="s">
        <v>7494</v>
      </c>
      <c r="H1039" s="6" t="s">
        <v>3356</v>
      </c>
      <c r="I1039" s="6" t="s">
        <v>3356</v>
      </c>
      <c r="J1039" s="3" t="s">
        <v>3356</v>
      </c>
      <c r="L1039" s="1" t="s">
        <v>6135</v>
      </c>
    </row>
    <row r="1040" spans="1:12">
      <c r="A1040" s="3" t="s">
        <v>3356</v>
      </c>
      <c r="C1040" s="3" t="s">
        <v>3817</v>
      </c>
      <c r="D1040" s="3" t="s">
        <v>3618</v>
      </c>
      <c r="E1040" s="3" t="s">
        <v>3638</v>
      </c>
      <c r="F1040" s="3" t="s">
        <v>6179</v>
      </c>
      <c r="G1040" s="3" t="s">
        <v>6332</v>
      </c>
      <c r="H1040" s="6" t="s">
        <v>3356</v>
      </c>
      <c r="I1040" s="6" t="s">
        <v>3356</v>
      </c>
      <c r="J1040" s="3" t="s">
        <v>3356</v>
      </c>
      <c r="L1040" s="1" t="s">
        <v>6135</v>
      </c>
    </row>
    <row r="1041" spans="1:12">
      <c r="A1041" s="3" t="s">
        <v>3356</v>
      </c>
      <c r="C1041" s="3" t="s">
        <v>3817</v>
      </c>
      <c r="D1041" s="3" t="s">
        <v>3618</v>
      </c>
      <c r="E1041" s="3" t="s">
        <v>3638</v>
      </c>
      <c r="F1041" s="3" t="s">
        <v>6179</v>
      </c>
      <c r="G1041" s="3" t="s">
        <v>6333</v>
      </c>
      <c r="H1041" s="6" t="s">
        <v>3356</v>
      </c>
      <c r="I1041" s="6" t="s">
        <v>3356</v>
      </c>
      <c r="J1041" s="3" t="s">
        <v>3356</v>
      </c>
      <c r="L1041" s="1" t="s">
        <v>6135</v>
      </c>
    </row>
    <row r="1042" spans="1:12">
      <c r="A1042" s="3" t="s">
        <v>3356</v>
      </c>
      <c r="C1042" s="3" t="s">
        <v>3817</v>
      </c>
      <c r="D1042" s="3" t="s">
        <v>3618</v>
      </c>
      <c r="E1042" s="3" t="s">
        <v>3638</v>
      </c>
      <c r="F1042" s="3" t="s">
        <v>8112</v>
      </c>
      <c r="G1042" s="3" t="s">
        <v>8113</v>
      </c>
      <c r="H1042" s="6" t="s">
        <v>3356</v>
      </c>
      <c r="I1042" s="6" t="s">
        <v>3356</v>
      </c>
      <c r="J1042" s="3" t="s">
        <v>3356</v>
      </c>
      <c r="L1042" s="1" t="s">
        <v>6135</v>
      </c>
    </row>
    <row r="1043" spans="1:12">
      <c r="A1043" s="3" t="s">
        <v>3356</v>
      </c>
      <c r="C1043" s="3" t="s">
        <v>3817</v>
      </c>
      <c r="D1043" s="3" t="s">
        <v>3618</v>
      </c>
      <c r="E1043" s="3" t="s">
        <v>3638</v>
      </c>
      <c r="F1043" s="3" t="s">
        <v>5854</v>
      </c>
      <c r="G1043" s="3" t="s">
        <v>3179</v>
      </c>
      <c r="H1043" s="6">
        <v>2.8129133566428557</v>
      </c>
      <c r="I1043" s="6">
        <v>650</v>
      </c>
      <c r="J1043" s="3" t="s">
        <v>6736</v>
      </c>
      <c r="L1043" s="1" t="s">
        <v>6135</v>
      </c>
    </row>
    <row r="1044" spans="1:12">
      <c r="A1044" s="3" t="s">
        <v>3356</v>
      </c>
      <c r="C1044" s="3" t="s">
        <v>3817</v>
      </c>
      <c r="D1044" s="3" t="s">
        <v>3618</v>
      </c>
      <c r="E1044" s="3" t="s">
        <v>3638</v>
      </c>
      <c r="F1044" s="3" t="s">
        <v>6337</v>
      </c>
      <c r="G1044" s="3" t="s">
        <v>6247</v>
      </c>
      <c r="H1044" s="6" t="s">
        <v>3356</v>
      </c>
      <c r="I1044" s="6" t="s">
        <v>3356</v>
      </c>
      <c r="J1044" s="3" t="s">
        <v>3356</v>
      </c>
      <c r="L1044" s="1" t="s">
        <v>6135</v>
      </c>
    </row>
    <row r="1045" spans="1:12">
      <c r="A1045" s="3" t="s">
        <v>3356</v>
      </c>
      <c r="C1045" s="3" t="s">
        <v>3817</v>
      </c>
      <c r="D1045" s="3" t="s">
        <v>3618</v>
      </c>
      <c r="E1045" s="3" t="s">
        <v>3638</v>
      </c>
      <c r="F1045" s="3" t="s">
        <v>8114</v>
      </c>
      <c r="G1045" s="3" t="s">
        <v>3607</v>
      </c>
      <c r="H1045" s="6" t="s">
        <v>3356</v>
      </c>
      <c r="I1045" s="6" t="s">
        <v>3356</v>
      </c>
      <c r="J1045" s="3" t="s">
        <v>3356</v>
      </c>
      <c r="L1045" s="1" t="s">
        <v>6135</v>
      </c>
    </row>
    <row r="1046" spans="1:12">
      <c r="A1046" s="3" t="s">
        <v>3356</v>
      </c>
      <c r="C1046" s="3" t="s">
        <v>3817</v>
      </c>
      <c r="D1046" s="3" t="s">
        <v>3618</v>
      </c>
      <c r="E1046" s="3" t="s">
        <v>3638</v>
      </c>
      <c r="F1046" s="3" t="s">
        <v>8114</v>
      </c>
      <c r="G1046" s="3" t="s">
        <v>8115</v>
      </c>
      <c r="H1046" s="6" t="s">
        <v>3356</v>
      </c>
      <c r="I1046" s="6" t="s">
        <v>3356</v>
      </c>
      <c r="J1046" s="3" t="s">
        <v>3356</v>
      </c>
      <c r="L1046" s="1" t="s">
        <v>6135</v>
      </c>
    </row>
    <row r="1047" spans="1:12">
      <c r="A1047" s="3" t="s">
        <v>3356</v>
      </c>
      <c r="C1047" s="3" t="s">
        <v>3817</v>
      </c>
      <c r="D1047" s="3" t="s">
        <v>3618</v>
      </c>
      <c r="E1047" s="3" t="s">
        <v>3638</v>
      </c>
      <c r="F1047" s="3" t="s">
        <v>8116</v>
      </c>
      <c r="G1047" s="3" t="s">
        <v>8117</v>
      </c>
      <c r="H1047" s="6" t="s">
        <v>3356</v>
      </c>
      <c r="I1047" s="6" t="s">
        <v>3356</v>
      </c>
      <c r="J1047" s="3" t="s">
        <v>3356</v>
      </c>
      <c r="L1047" s="1" t="s">
        <v>6135</v>
      </c>
    </row>
    <row r="1048" spans="1:12">
      <c r="A1048" s="3" t="s">
        <v>3356</v>
      </c>
      <c r="C1048" s="3" t="s">
        <v>3817</v>
      </c>
      <c r="D1048" s="3" t="s">
        <v>3618</v>
      </c>
      <c r="E1048" s="3" t="s">
        <v>3638</v>
      </c>
      <c r="F1048" s="3" t="s">
        <v>6000</v>
      </c>
      <c r="G1048" s="3" t="s">
        <v>6764</v>
      </c>
      <c r="H1048" s="6" t="s">
        <v>3356</v>
      </c>
      <c r="I1048" s="6" t="s">
        <v>3356</v>
      </c>
      <c r="J1048" s="3" t="s">
        <v>3356</v>
      </c>
      <c r="L1048" s="1" t="s">
        <v>6135</v>
      </c>
    </row>
    <row r="1049" spans="1:12">
      <c r="A1049" s="3" t="s">
        <v>3356</v>
      </c>
      <c r="C1049" s="3" t="s">
        <v>3817</v>
      </c>
      <c r="D1049" s="3" t="s">
        <v>3618</v>
      </c>
      <c r="E1049" s="3" t="s">
        <v>3638</v>
      </c>
      <c r="F1049" s="3" t="s">
        <v>6000</v>
      </c>
      <c r="G1049" s="3" t="s">
        <v>3806</v>
      </c>
      <c r="H1049" s="6">
        <v>1.515873843711679</v>
      </c>
      <c r="I1049" s="6">
        <v>32.799999999999997</v>
      </c>
      <c r="J1049" s="3" t="s">
        <v>6736</v>
      </c>
      <c r="L1049" s="1" t="s">
        <v>6135</v>
      </c>
    </row>
    <row r="1050" spans="1:12">
      <c r="A1050" s="3" t="s">
        <v>3356</v>
      </c>
      <c r="C1050" s="3" t="s">
        <v>3817</v>
      </c>
      <c r="D1050" s="3" t="s">
        <v>3618</v>
      </c>
      <c r="E1050" s="3" t="s">
        <v>3638</v>
      </c>
      <c r="F1050" s="3" t="s">
        <v>6000</v>
      </c>
      <c r="G1050" s="3" t="s">
        <v>4665</v>
      </c>
      <c r="H1050" s="6" t="s">
        <v>3356</v>
      </c>
      <c r="I1050" s="6" t="s">
        <v>3356</v>
      </c>
      <c r="J1050" s="3" t="s">
        <v>3356</v>
      </c>
      <c r="L1050" s="1" t="s">
        <v>6135</v>
      </c>
    </row>
    <row r="1051" spans="1:12">
      <c r="A1051" s="3" t="s">
        <v>3356</v>
      </c>
      <c r="C1051" s="3" t="s">
        <v>3817</v>
      </c>
      <c r="D1051" s="3" t="s">
        <v>3618</v>
      </c>
      <c r="E1051" s="3" t="s">
        <v>3638</v>
      </c>
      <c r="F1051" s="3" t="s">
        <v>5575</v>
      </c>
      <c r="G1051" s="3" t="s">
        <v>5576</v>
      </c>
      <c r="H1051" s="6" t="s">
        <v>3356</v>
      </c>
      <c r="I1051" s="6" t="s">
        <v>3356</v>
      </c>
      <c r="J1051" s="3" t="s">
        <v>3356</v>
      </c>
      <c r="L1051" s="1" t="s">
        <v>6135</v>
      </c>
    </row>
    <row r="1052" spans="1:12">
      <c r="A1052" s="3" t="s">
        <v>3356</v>
      </c>
      <c r="C1052" s="3" t="s">
        <v>3817</v>
      </c>
      <c r="D1052" s="3" t="s">
        <v>3618</v>
      </c>
      <c r="E1052" s="3" t="s">
        <v>3638</v>
      </c>
      <c r="F1052" s="3" t="s">
        <v>6001</v>
      </c>
      <c r="G1052" s="3" t="s">
        <v>5438</v>
      </c>
      <c r="H1052" s="6" t="s">
        <v>3356</v>
      </c>
      <c r="I1052" s="6" t="s">
        <v>3356</v>
      </c>
      <c r="J1052" s="3" t="s">
        <v>3356</v>
      </c>
      <c r="L1052" s="1" t="s">
        <v>6135</v>
      </c>
    </row>
    <row r="1053" spans="1:12">
      <c r="A1053" s="3" t="s">
        <v>3356</v>
      </c>
      <c r="C1053" s="3" t="s">
        <v>3817</v>
      </c>
      <c r="D1053" s="3" t="s">
        <v>3618</v>
      </c>
      <c r="E1053" s="3" t="s">
        <v>3638</v>
      </c>
      <c r="F1053" s="3" t="s">
        <v>6001</v>
      </c>
      <c r="G1053" s="3" t="s">
        <v>7265</v>
      </c>
      <c r="H1053" s="6">
        <v>1.4623979978989561</v>
      </c>
      <c r="I1053" s="6">
        <v>29</v>
      </c>
      <c r="J1053" s="3" t="s">
        <v>6736</v>
      </c>
      <c r="L1053" s="1" t="s">
        <v>6135</v>
      </c>
    </row>
    <row r="1054" spans="1:12">
      <c r="A1054" s="3" t="s">
        <v>3356</v>
      </c>
      <c r="C1054" s="3" t="s">
        <v>3817</v>
      </c>
      <c r="D1054" s="3" t="s">
        <v>3618</v>
      </c>
      <c r="E1054" s="3" t="s">
        <v>3638</v>
      </c>
      <c r="F1054" s="3" t="s">
        <v>6001</v>
      </c>
      <c r="G1054" s="3" t="s">
        <v>6428</v>
      </c>
      <c r="H1054" s="6" t="s">
        <v>3356</v>
      </c>
      <c r="I1054" s="6" t="s">
        <v>3356</v>
      </c>
      <c r="J1054" s="3" t="s">
        <v>3356</v>
      </c>
      <c r="L1054" s="1" t="s">
        <v>6135</v>
      </c>
    </row>
    <row r="1055" spans="1:12">
      <c r="A1055" s="3" t="s">
        <v>3356</v>
      </c>
      <c r="C1055" s="3" t="s">
        <v>3817</v>
      </c>
      <c r="D1055" s="3" t="s">
        <v>3618</v>
      </c>
      <c r="E1055" s="3" t="s">
        <v>3638</v>
      </c>
      <c r="F1055" s="3" t="s">
        <v>6001</v>
      </c>
      <c r="G1055" s="3" t="s">
        <v>5838</v>
      </c>
      <c r="H1055" s="6" t="s">
        <v>3356</v>
      </c>
      <c r="I1055" s="6" t="s">
        <v>3356</v>
      </c>
      <c r="J1055" s="3" t="s">
        <v>3356</v>
      </c>
      <c r="L1055" s="1" t="s">
        <v>6135</v>
      </c>
    </row>
    <row r="1056" spans="1:12">
      <c r="A1056" s="3" t="s">
        <v>3356</v>
      </c>
      <c r="C1056" s="3" t="s">
        <v>3817</v>
      </c>
      <c r="D1056" s="3" t="s">
        <v>3618</v>
      </c>
      <c r="E1056" s="3" t="s">
        <v>3638</v>
      </c>
      <c r="F1056" s="3" t="s">
        <v>6001</v>
      </c>
      <c r="G1056" s="3" t="s">
        <v>6420</v>
      </c>
      <c r="H1056" s="6" t="s">
        <v>3356</v>
      </c>
      <c r="I1056" s="6" t="s">
        <v>3356</v>
      </c>
      <c r="J1056" s="3" t="s">
        <v>3356</v>
      </c>
      <c r="L1056" s="1" t="s">
        <v>6135</v>
      </c>
    </row>
    <row r="1057" spans="1:12">
      <c r="A1057" s="3" t="s">
        <v>3356</v>
      </c>
      <c r="C1057" s="3" t="s">
        <v>3817</v>
      </c>
      <c r="D1057" s="3" t="s">
        <v>3618</v>
      </c>
      <c r="E1057" s="3" t="s">
        <v>3638</v>
      </c>
      <c r="F1057" s="3" t="s">
        <v>6001</v>
      </c>
      <c r="G1057" s="3" t="s">
        <v>4473</v>
      </c>
      <c r="H1057" s="6" t="s">
        <v>3356</v>
      </c>
      <c r="I1057" s="6" t="s">
        <v>3356</v>
      </c>
      <c r="J1057" s="3" t="s">
        <v>3356</v>
      </c>
      <c r="L1057" s="1" t="s">
        <v>6135</v>
      </c>
    </row>
    <row r="1058" spans="1:12">
      <c r="A1058" s="3" t="s">
        <v>3356</v>
      </c>
      <c r="C1058" s="3" t="s">
        <v>3817</v>
      </c>
      <c r="D1058" s="3" t="s">
        <v>3618</v>
      </c>
      <c r="E1058" s="3" t="s">
        <v>3638</v>
      </c>
      <c r="F1058" s="3" t="s">
        <v>6424</v>
      </c>
      <c r="G1058" s="3" t="s">
        <v>6425</v>
      </c>
      <c r="H1058" s="6" t="s">
        <v>3356</v>
      </c>
      <c r="I1058" s="6" t="s">
        <v>3356</v>
      </c>
      <c r="J1058" s="3" t="s">
        <v>3356</v>
      </c>
      <c r="L1058" s="1" t="s">
        <v>6135</v>
      </c>
    </row>
    <row r="1059" spans="1:12">
      <c r="A1059" s="3" t="s">
        <v>3356</v>
      </c>
      <c r="C1059" s="3" t="s">
        <v>3817</v>
      </c>
      <c r="D1059" s="3" t="s">
        <v>3618</v>
      </c>
      <c r="E1059" s="3" t="s">
        <v>3638</v>
      </c>
      <c r="F1059" s="3" t="s">
        <v>6424</v>
      </c>
      <c r="G1059" s="3" t="s">
        <v>7328</v>
      </c>
      <c r="H1059" s="6" t="s">
        <v>3356</v>
      </c>
      <c r="I1059" s="6" t="s">
        <v>3356</v>
      </c>
      <c r="J1059" s="3" t="s">
        <v>3356</v>
      </c>
      <c r="L1059" s="1" t="s">
        <v>6135</v>
      </c>
    </row>
    <row r="1060" spans="1:12">
      <c r="A1060" s="3" t="s">
        <v>3356</v>
      </c>
      <c r="C1060" s="3" t="s">
        <v>3817</v>
      </c>
      <c r="D1060" s="3" t="s">
        <v>3618</v>
      </c>
      <c r="E1060" s="3" t="s">
        <v>3638</v>
      </c>
      <c r="F1060" s="3" t="s">
        <v>6424</v>
      </c>
      <c r="G1060" s="3" t="s">
        <v>6426</v>
      </c>
      <c r="H1060" s="6" t="s">
        <v>3356</v>
      </c>
      <c r="I1060" s="6" t="s">
        <v>3356</v>
      </c>
      <c r="J1060" s="3" t="s">
        <v>3356</v>
      </c>
      <c r="L1060" s="1" t="s">
        <v>6135</v>
      </c>
    </row>
    <row r="1061" spans="1:12">
      <c r="A1061" s="3" t="s">
        <v>3356</v>
      </c>
      <c r="C1061" s="3" t="s">
        <v>3817</v>
      </c>
      <c r="D1061" s="3" t="s">
        <v>3618</v>
      </c>
      <c r="E1061" s="3" t="s">
        <v>3638</v>
      </c>
      <c r="F1061" s="3" t="s">
        <v>6600</v>
      </c>
      <c r="G1061" s="3" t="s">
        <v>6601</v>
      </c>
      <c r="H1061" s="6" t="s">
        <v>3356</v>
      </c>
      <c r="I1061" s="6" t="s">
        <v>3356</v>
      </c>
      <c r="J1061" s="3" t="s">
        <v>3356</v>
      </c>
      <c r="L1061" s="1" t="s">
        <v>6135</v>
      </c>
    </row>
    <row r="1062" spans="1:12">
      <c r="A1062" s="3" t="s">
        <v>3356</v>
      </c>
      <c r="C1062" s="3" t="s">
        <v>3817</v>
      </c>
      <c r="D1062" s="3" t="s">
        <v>3618</v>
      </c>
      <c r="E1062" s="3" t="s">
        <v>3638</v>
      </c>
      <c r="F1062" s="3" t="s">
        <v>6600</v>
      </c>
      <c r="G1062" s="3" t="s">
        <v>5877</v>
      </c>
      <c r="H1062" s="6" t="s">
        <v>3356</v>
      </c>
      <c r="I1062" s="6" t="s">
        <v>3356</v>
      </c>
      <c r="J1062" s="3" t="s">
        <v>3356</v>
      </c>
      <c r="L1062" s="1" t="s">
        <v>6135</v>
      </c>
    </row>
    <row r="1063" spans="1:12">
      <c r="A1063" s="3" t="s">
        <v>3356</v>
      </c>
      <c r="C1063" s="3" t="s">
        <v>3817</v>
      </c>
      <c r="D1063" s="3" t="s">
        <v>3618</v>
      </c>
      <c r="E1063" s="3" t="s">
        <v>3638</v>
      </c>
      <c r="F1063" s="3" t="s">
        <v>6600</v>
      </c>
      <c r="G1063" s="3" t="s">
        <v>5495</v>
      </c>
      <c r="H1063" s="6" t="s">
        <v>3356</v>
      </c>
      <c r="I1063" s="6" t="s">
        <v>3356</v>
      </c>
      <c r="J1063" s="3" t="s">
        <v>3356</v>
      </c>
      <c r="L1063" s="1" t="s">
        <v>6135</v>
      </c>
    </row>
    <row r="1064" spans="1:12">
      <c r="A1064" s="3" t="s">
        <v>3356</v>
      </c>
      <c r="C1064" s="3" t="s">
        <v>3817</v>
      </c>
      <c r="D1064" s="3" t="s">
        <v>3618</v>
      </c>
      <c r="E1064" s="3" t="s">
        <v>3638</v>
      </c>
      <c r="F1064" s="3" t="s">
        <v>4221</v>
      </c>
      <c r="G1064" s="3" t="s">
        <v>3499</v>
      </c>
      <c r="H1064" s="6" t="s">
        <v>3356</v>
      </c>
      <c r="I1064" s="6" t="s">
        <v>3356</v>
      </c>
      <c r="J1064" s="3" t="s">
        <v>3356</v>
      </c>
      <c r="L1064" s="1" t="s">
        <v>6135</v>
      </c>
    </row>
    <row r="1065" spans="1:12">
      <c r="A1065" s="3" t="s">
        <v>3356</v>
      </c>
      <c r="C1065" s="3" t="s">
        <v>3817</v>
      </c>
      <c r="D1065" s="3" t="s">
        <v>3618</v>
      </c>
      <c r="E1065" s="3" t="s">
        <v>3638</v>
      </c>
      <c r="F1065" s="3" t="s">
        <v>4221</v>
      </c>
      <c r="G1065" s="3" t="s">
        <v>6163</v>
      </c>
      <c r="H1065" s="6">
        <v>1.4471580313422192</v>
      </c>
      <c r="I1065" s="6">
        <v>28</v>
      </c>
      <c r="J1065" s="3" t="s">
        <v>6736</v>
      </c>
      <c r="L1065" s="1" t="s">
        <v>6135</v>
      </c>
    </row>
    <row r="1066" spans="1:12">
      <c r="A1066" s="3" t="s">
        <v>3356</v>
      </c>
      <c r="C1066" s="3" t="s">
        <v>3817</v>
      </c>
      <c r="D1066" s="3" t="s">
        <v>3618</v>
      </c>
      <c r="E1066" s="3" t="s">
        <v>3638</v>
      </c>
      <c r="F1066" s="3" t="s">
        <v>4221</v>
      </c>
      <c r="G1066" s="3" t="s">
        <v>6164</v>
      </c>
      <c r="H1066" s="6">
        <v>1.4471580313422192</v>
      </c>
      <c r="I1066" s="6">
        <v>28</v>
      </c>
      <c r="J1066" s="3" t="s">
        <v>6736</v>
      </c>
      <c r="L1066" s="1" t="s">
        <v>6135</v>
      </c>
    </row>
    <row r="1067" spans="1:12">
      <c r="A1067" s="3" t="s">
        <v>3356</v>
      </c>
      <c r="C1067" s="3" t="s">
        <v>3817</v>
      </c>
      <c r="D1067" s="3" t="s">
        <v>3618</v>
      </c>
      <c r="E1067" s="3" t="s">
        <v>3638</v>
      </c>
      <c r="F1067" s="3" t="s">
        <v>4221</v>
      </c>
      <c r="G1067" s="3" t="s">
        <v>6480</v>
      </c>
      <c r="H1067" s="6" t="s">
        <v>3356</v>
      </c>
      <c r="I1067" s="6" t="s">
        <v>3356</v>
      </c>
      <c r="J1067" s="3" t="s">
        <v>3356</v>
      </c>
      <c r="L1067" s="1" t="s">
        <v>6135</v>
      </c>
    </row>
    <row r="1068" spans="1:12">
      <c r="A1068" s="3" t="s">
        <v>3356</v>
      </c>
      <c r="C1068" s="3" t="s">
        <v>3817</v>
      </c>
      <c r="D1068" s="3" t="s">
        <v>3618</v>
      </c>
      <c r="E1068" s="3" t="s">
        <v>3638</v>
      </c>
      <c r="F1068" s="3" t="s">
        <v>6602</v>
      </c>
      <c r="G1068" s="3" t="s">
        <v>6603</v>
      </c>
      <c r="H1068" s="6" t="s">
        <v>3356</v>
      </c>
      <c r="I1068" s="6" t="s">
        <v>3356</v>
      </c>
      <c r="J1068" s="3" t="s">
        <v>3356</v>
      </c>
      <c r="L1068" s="1" t="s">
        <v>6135</v>
      </c>
    </row>
    <row r="1069" spans="1:12">
      <c r="A1069" s="3" t="s">
        <v>3356</v>
      </c>
      <c r="C1069" s="3" t="s">
        <v>3817</v>
      </c>
      <c r="D1069" s="3" t="s">
        <v>3618</v>
      </c>
      <c r="E1069" s="3" t="s">
        <v>3638</v>
      </c>
      <c r="F1069" s="3" t="s">
        <v>6602</v>
      </c>
      <c r="G1069" s="3" t="s">
        <v>6604</v>
      </c>
      <c r="H1069" s="6" t="s">
        <v>3356</v>
      </c>
      <c r="I1069" s="6" t="s">
        <v>3356</v>
      </c>
      <c r="J1069" s="3" t="s">
        <v>3356</v>
      </c>
      <c r="L1069" s="1" t="s">
        <v>6135</v>
      </c>
    </row>
    <row r="1070" spans="1:12">
      <c r="A1070" s="3" t="s">
        <v>3356</v>
      </c>
      <c r="C1070" s="3" t="s">
        <v>3817</v>
      </c>
      <c r="D1070" s="3" t="s">
        <v>3618</v>
      </c>
      <c r="E1070" s="3" t="s">
        <v>3638</v>
      </c>
      <c r="F1070" s="3" t="s">
        <v>3737</v>
      </c>
      <c r="G1070" s="3" t="s">
        <v>4032</v>
      </c>
      <c r="H1070" s="6" t="s">
        <v>3356</v>
      </c>
      <c r="I1070" s="6" t="s">
        <v>3356</v>
      </c>
      <c r="J1070" s="3" t="s">
        <v>3356</v>
      </c>
      <c r="L1070" s="1" t="s">
        <v>6135</v>
      </c>
    </row>
    <row r="1071" spans="1:12">
      <c r="A1071" s="3" t="s">
        <v>3356</v>
      </c>
      <c r="C1071" s="3" t="s">
        <v>3817</v>
      </c>
      <c r="D1071" s="3" t="s">
        <v>3618</v>
      </c>
      <c r="E1071" s="3" t="s">
        <v>3638</v>
      </c>
      <c r="F1071" s="3" t="s">
        <v>6605</v>
      </c>
      <c r="G1071" s="3" t="s">
        <v>6606</v>
      </c>
      <c r="H1071" s="6" t="s">
        <v>3356</v>
      </c>
      <c r="I1071" s="6" t="s">
        <v>3356</v>
      </c>
      <c r="J1071" s="3" t="s">
        <v>3356</v>
      </c>
      <c r="L1071" s="1" t="s">
        <v>6135</v>
      </c>
    </row>
    <row r="1072" spans="1:12">
      <c r="A1072" s="3" t="s">
        <v>3356</v>
      </c>
      <c r="C1072" s="3" t="s">
        <v>3817</v>
      </c>
      <c r="D1072" s="3" t="s">
        <v>3618</v>
      </c>
      <c r="E1072" s="3" t="s">
        <v>3638</v>
      </c>
      <c r="F1072" s="3" t="s">
        <v>6608</v>
      </c>
      <c r="G1072" s="3" t="s">
        <v>3789</v>
      </c>
      <c r="H1072" s="6" t="s">
        <v>3356</v>
      </c>
      <c r="I1072" s="6" t="s">
        <v>3356</v>
      </c>
      <c r="J1072" s="3" t="s">
        <v>3356</v>
      </c>
      <c r="L1072" s="1" t="s">
        <v>6135</v>
      </c>
    </row>
    <row r="1073" spans="1:12">
      <c r="A1073" s="3" t="s">
        <v>3356</v>
      </c>
      <c r="C1073" s="3" t="s">
        <v>3817</v>
      </c>
      <c r="D1073" s="3" t="s">
        <v>3618</v>
      </c>
      <c r="E1073" s="3" t="s">
        <v>3638</v>
      </c>
      <c r="F1073" s="3" t="s">
        <v>6608</v>
      </c>
      <c r="G1073" s="3" t="s">
        <v>6609</v>
      </c>
      <c r="H1073" s="6" t="s">
        <v>3356</v>
      </c>
      <c r="I1073" s="6" t="s">
        <v>3356</v>
      </c>
      <c r="J1073" s="3" t="s">
        <v>3356</v>
      </c>
      <c r="L1073" s="1" t="s">
        <v>6135</v>
      </c>
    </row>
    <row r="1074" spans="1:12">
      <c r="A1074" s="3" t="s">
        <v>3356</v>
      </c>
      <c r="C1074" s="3" t="s">
        <v>3817</v>
      </c>
      <c r="D1074" s="3" t="s">
        <v>3618</v>
      </c>
      <c r="E1074" s="3" t="s">
        <v>3638</v>
      </c>
      <c r="F1074" s="3" t="s">
        <v>6608</v>
      </c>
      <c r="G1074" s="3" t="s">
        <v>3289</v>
      </c>
      <c r="H1074" s="6" t="s">
        <v>3356</v>
      </c>
      <c r="I1074" s="6" t="s">
        <v>3356</v>
      </c>
      <c r="J1074" s="3" t="s">
        <v>3356</v>
      </c>
      <c r="L1074" s="1" t="s">
        <v>6135</v>
      </c>
    </row>
    <row r="1075" spans="1:12">
      <c r="A1075" s="3" t="s">
        <v>3356</v>
      </c>
      <c r="C1075" s="3" t="s">
        <v>3817</v>
      </c>
      <c r="D1075" s="3" t="s">
        <v>3618</v>
      </c>
      <c r="E1075" s="3" t="s">
        <v>3638</v>
      </c>
      <c r="F1075" s="3" t="s">
        <v>3290</v>
      </c>
      <c r="G1075" s="3" t="s">
        <v>6452</v>
      </c>
      <c r="H1075" s="6" t="s">
        <v>3356</v>
      </c>
      <c r="I1075" s="6" t="s">
        <v>3356</v>
      </c>
      <c r="J1075" s="3" t="s">
        <v>3356</v>
      </c>
      <c r="L1075" s="1" t="s">
        <v>6135</v>
      </c>
    </row>
    <row r="1076" spans="1:12">
      <c r="A1076" s="3" t="s">
        <v>3356</v>
      </c>
      <c r="C1076" s="3" t="s">
        <v>3817</v>
      </c>
      <c r="D1076" s="3" t="s">
        <v>3618</v>
      </c>
      <c r="E1076" s="3" t="s">
        <v>3638</v>
      </c>
      <c r="F1076" s="3" t="s">
        <v>3290</v>
      </c>
      <c r="G1076" s="3" t="s">
        <v>3291</v>
      </c>
      <c r="H1076" s="6" t="s">
        <v>3356</v>
      </c>
      <c r="I1076" s="6" t="s">
        <v>3356</v>
      </c>
      <c r="J1076" s="3" t="s">
        <v>3356</v>
      </c>
      <c r="L1076" s="1" t="s">
        <v>6135</v>
      </c>
    </row>
    <row r="1077" spans="1:12">
      <c r="A1077" s="3" t="s">
        <v>3356</v>
      </c>
      <c r="C1077" s="3" t="s">
        <v>3817</v>
      </c>
      <c r="D1077" s="3" t="s">
        <v>3618</v>
      </c>
      <c r="E1077" s="3" t="s">
        <v>3638</v>
      </c>
      <c r="F1077" s="3" t="s">
        <v>3290</v>
      </c>
      <c r="G1077" s="3" t="s">
        <v>3121</v>
      </c>
      <c r="H1077" s="6" t="s">
        <v>3356</v>
      </c>
      <c r="I1077" s="6" t="s">
        <v>3356</v>
      </c>
      <c r="J1077" s="3" t="s">
        <v>3356</v>
      </c>
      <c r="L1077" s="1" t="s">
        <v>6135</v>
      </c>
    </row>
    <row r="1078" spans="1:12">
      <c r="A1078" s="3" t="s">
        <v>3356</v>
      </c>
      <c r="C1078" s="3" t="s">
        <v>3817</v>
      </c>
      <c r="D1078" s="3" t="s">
        <v>3618</v>
      </c>
      <c r="E1078" s="3" t="s">
        <v>3638</v>
      </c>
      <c r="F1078" s="3" t="s">
        <v>6165</v>
      </c>
      <c r="G1078" s="3" t="s">
        <v>5373</v>
      </c>
      <c r="H1078" s="6" t="s">
        <v>3356</v>
      </c>
      <c r="I1078" s="6" t="s">
        <v>3356</v>
      </c>
      <c r="J1078" s="3" t="s">
        <v>3356</v>
      </c>
      <c r="L1078" s="1" t="s">
        <v>6135</v>
      </c>
    </row>
    <row r="1079" spans="1:12">
      <c r="A1079" s="3" t="s">
        <v>3356</v>
      </c>
      <c r="C1079" s="3" t="s">
        <v>3817</v>
      </c>
      <c r="D1079" s="3" t="s">
        <v>3618</v>
      </c>
      <c r="E1079" s="3" t="s">
        <v>3638</v>
      </c>
      <c r="F1079" s="3" t="s">
        <v>6165</v>
      </c>
      <c r="G1079" s="3" t="s">
        <v>6505</v>
      </c>
      <c r="H1079" s="6" t="s">
        <v>3356</v>
      </c>
      <c r="I1079" s="6" t="s">
        <v>3356</v>
      </c>
      <c r="J1079" s="3" t="s">
        <v>3356</v>
      </c>
      <c r="L1079" s="1" t="s">
        <v>6135</v>
      </c>
    </row>
    <row r="1080" spans="1:12">
      <c r="A1080" s="3" t="s">
        <v>3356</v>
      </c>
      <c r="C1080" s="3" t="s">
        <v>3817</v>
      </c>
      <c r="D1080" s="3" t="s">
        <v>3618</v>
      </c>
      <c r="E1080" s="3" t="s">
        <v>3638</v>
      </c>
      <c r="F1080" s="3" t="s">
        <v>6165</v>
      </c>
      <c r="G1080" s="3" t="s">
        <v>6336</v>
      </c>
      <c r="H1080" s="6" t="s">
        <v>3356</v>
      </c>
      <c r="I1080" s="6" t="s">
        <v>3356</v>
      </c>
      <c r="J1080" s="3" t="s">
        <v>3356</v>
      </c>
      <c r="L1080" s="1" t="s">
        <v>6135</v>
      </c>
    </row>
    <row r="1081" spans="1:12">
      <c r="A1081" s="3" t="s">
        <v>3356</v>
      </c>
      <c r="C1081" s="3" t="s">
        <v>3817</v>
      </c>
      <c r="D1081" s="3" t="s">
        <v>3618</v>
      </c>
      <c r="E1081" s="3" t="s">
        <v>3638</v>
      </c>
      <c r="F1081" s="3" t="s">
        <v>6165</v>
      </c>
      <c r="G1081" s="3" t="s">
        <v>3295</v>
      </c>
      <c r="H1081" s="6" t="s">
        <v>3356</v>
      </c>
      <c r="I1081" s="6" t="s">
        <v>3356</v>
      </c>
      <c r="J1081" s="3" t="s">
        <v>3356</v>
      </c>
      <c r="L1081" s="1" t="s">
        <v>6135</v>
      </c>
    </row>
    <row r="1082" spans="1:12">
      <c r="A1082" s="3" t="s">
        <v>3356</v>
      </c>
      <c r="C1082" s="3" t="s">
        <v>3817</v>
      </c>
      <c r="D1082" s="3" t="s">
        <v>3618</v>
      </c>
      <c r="E1082" s="3" t="s">
        <v>3638</v>
      </c>
      <c r="F1082" s="3" t="s">
        <v>6165</v>
      </c>
      <c r="G1082" s="3" t="s">
        <v>5037</v>
      </c>
      <c r="H1082" s="6">
        <v>1.4842998393467859</v>
      </c>
      <c r="I1082" s="6">
        <v>30.5</v>
      </c>
      <c r="J1082" s="3" t="s">
        <v>6736</v>
      </c>
      <c r="L1082" s="1" t="s">
        <v>6135</v>
      </c>
    </row>
    <row r="1083" spans="1:12">
      <c r="A1083" s="3" t="s">
        <v>3356</v>
      </c>
      <c r="C1083" s="3" t="s">
        <v>3817</v>
      </c>
      <c r="D1083" s="3" t="s">
        <v>3618</v>
      </c>
      <c r="E1083" s="3" t="s">
        <v>3638</v>
      </c>
      <c r="F1083" s="3" t="s">
        <v>6165</v>
      </c>
      <c r="G1083" s="3" t="s">
        <v>8253</v>
      </c>
      <c r="H1083" s="6" t="s">
        <v>3356</v>
      </c>
      <c r="I1083" s="6" t="s">
        <v>3356</v>
      </c>
      <c r="J1083" s="3" t="s">
        <v>3356</v>
      </c>
      <c r="L1083" s="1" t="s">
        <v>6135</v>
      </c>
    </row>
    <row r="1084" spans="1:12">
      <c r="A1084" s="3" t="s">
        <v>3356</v>
      </c>
      <c r="C1084" s="3" t="s">
        <v>3817</v>
      </c>
      <c r="D1084" s="3" t="s">
        <v>3618</v>
      </c>
      <c r="E1084" s="3" t="s">
        <v>3638</v>
      </c>
      <c r="F1084" s="3" t="s">
        <v>8194</v>
      </c>
      <c r="G1084" s="3" t="s">
        <v>5471</v>
      </c>
      <c r="H1084" s="6">
        <v>2.6989700043360187</v>
      </c>
      <c r="I1084" s="6">
        <v>500</v>
      </c>
      <c r="J1084" s="3" t="s">
        <v>6736</v>
      </c>
      <c r="L1084" s="1" t="s">
        <v>6135</v>
      </c>
    </row>
    <row r="1085" spans="1:12">
      <c r="A1085" s="3" t="s">
        <v>3356</v>
      </c>
      <c r="C1085" s="3" t="s">
        <v>3817</v>
      </c>
      <c r="D1085" s="3" t="s">
        <v>3618</v>
      </c>
      <c r="E1085" s="3" t="s">
        <v>3638</v>
      </c>
      <c r="F1085" s="3" t="s">
        <v>3122</v>
      </c>
      <c r="G1085" s="3" t="s">
        <v>3125</v>
      </c>
      <c r="H1085" s="6" t="s">
        <v>3356</v>
      </c>
      <c r="I1085" s="6" t="s">
        <v>3356</v>
      </c>
      <c r="J1085" s="3" t="s">
        <v>3356</v>
      </c>
      <c r="L1085" s="1" t="s">
        <v>6135</v>
      </c>
    </row>
    <row r="1086" spans="1:12">
      <c r="A1086" s="3" t="s">
        <v>3356</v>
      </c>
      <c r="C1086" s="3" t="s">
        <v>3817</v>
      </c>
      <c r="D1086" s="3" t="s">
        <v>3618</v>
      </c>
      <c r="E1086" s="3" t="s">
        <v>3638</v>
      </c>
      <c r="F1086" s="3" t="s">
        <v>6445</v>
      </c>
      <c r="G1086" s="3" t="s">
        <v>6485</v>
      </c>
      <c r="H1086" s="6" t="s">
        <v>3356</v>
      </c>
      <c r="I1086" s="6" t="s">
        <v>3356</v>
      </c>
      <c r="J1086" s="3" t="s">
        <v>3356</v>
      </c>
      <c r="L1086" s="1" t="s">
        <v>6135</v>
      </c>
    </row>
    <row r="1087" spans="1:12">
      <c r="A1087" s="3" t="s">
        <v>3356</v>
      </c>
      <c r="C1087" s="3" t="s">
        <v>3817</v>
      </c>
      <c r="D1087" s="3" t="s">
        <v>3618</v>
      </c>
      <c r="E1087" s="3" t="s">
        <v>3638</v>
      </c>
      <c r="F1087" s="3" t="s">
        <v>6445</v>
      </c>
      <c r="G1087" s="3" t="s">
        <v>3782</v>
      </c>
      <c r="H1087" s="6" t="s">
        <v>3356</v>
      </c>
      <c r="I1087" s="6" t="s">
        <v>3356</v>
      </c>
      <c r="J1087" s="3" t="s">
        <v>3356</v>
      </c>
      <c r="L1087" s="1" t="s">
        <v>6135</v>
      </c>
    </row>
    <row r="1088" spans="1:12">
      <c r="A1088" s="3" t="s">
        <v>3356</v>
      </c>
      <c r="C1088" s="3" t="s">
        <v>3817</v>
      </c>
      <c r="D1088" s="3" t="s">
        <v>3618</v>
      </c>
      <c r="E1088" s="3" t="s">
        <v>3638</v>
      </c>
      <c r="F1088" s="3" t="s">
        <v>6445</v>
      </c>
      <c r="G1088" s="3" t="s">
        <v>3127</v>
      </c>
      <c r="H1088" s="6" t="s">
        <v>3356</v>
      </c>
      <c r="I1088" s="6" t="s">
        <v>3356</v>
      </c>
      <c r="J1088" s="3" t="s">
        <v>3356</v>
      </c>
      <c r="L1088" s="1" t="s">
        <v>6135</v>
      </c>
    </row>
    <row r="1089" spans="1:12">
      <c r="A1089" s="3" t="s">
        <v>3356</v>
      </c>
      <c r="C1089" s="3" t="s">
        <v>3817</v>
      </c>
      <c r="D1089" s="3" t="s">
        <v>3618</v>
      </c>
      <c r="E1089" s="3" t="s">
        <v>3638</v>
      </c>
      <c r="F1089" s="3" t="s">
        <v>6445</v>
      </c>
      <c r="G1089" s="3" t="s">
        <v>6254</v>
      </c>
      <c r="H1089" s="6" t="s">
        <v>3356</v>
      </c>
      <c r="I1089" s="6" t="s">
        <v>3356</v>
      </c>
      <c r="J1089" s="3" t="s">
        <v>3356</v>
      </c>
      <c r="L1089" s="1" t="s">
        <v>6135</v>
      </c>
    </row>
    <row r="1090" spans="1:12">
      <c r="A1090" s="3" t="s">
        <v>3356</v>
      </c>
      <c r="C1090" s="3" t="s">
        <v>3817</v>
      </c>
      <c r="D1090" s="3" t="s">
        <v>3618</v>
      </c>
      <c r="E1090" s="3" t="s">
        <v>3638</v>
      </c>
      <c r="F1090" s="3" t="s">
        <v>3128</v>
      </c>
      <c r="G1090" s="3" t="s">
        <v>6740</v>
      </c>
      <c r="H1090" s="6" t="s">
        <v>3356</v>
      </c>
      <c r="I1090" s="6" t="s">
        <v>3356</v>
      </c>
      <c r="J1090" s="3" t="s">
        <v>3356</v>
      </c>
      <c r="L1090" s="1" t="s">
        <v>6135</v>
      </c>
    </row>
    <row r="1091" spans="1:12">
      <c r="A1091" s="3" t="s">
        <v>3356</v>
      </c>
      <c r="C1091" s="3" t="s">
        <v>3817</v>
      </c>
      <c r="D1091" s="3" t="s">
        <v>3618</v>
      </c>
      <c r="E1091" s="3" t="s">
        <v>3638</v>
      </c>
      <c r="F1091" s="3" t="s">
        <v>7684</v>
      </c>
      <c r="G1091" s="3" t="s">
        <v>7244</v>
      </c>
      <c r="H1091" s="6" t="s">
        <v>3356</v>
      </c>
      <c r="I1091" s="6" t="s">
        <v>3356</v>
      </c>
      <c r="J1091" s="3" t="s">
        <v>3356</v>
      </c>
      <c r="L1091" s="1" t="s">
        <v>6135</v>
      </c>
    </row>
    <row r="1092" spans="1:12">
      <c r="A1092" s="3" t="s">
        <v>3356</v>
      </c>
      <c r="C1092" s="3" t="s">
        <v>3817</v>
      </c>
      <c r="D1092" s="3" t="s">
        <v>3618</v>
      </c>
      <c r="E1092" s="3" t="s">
        <v>3638</v>
      </c>
      <c r="F1092" s="3" t="s">
        <v>7684</v>
      </c>
      <c r="G1092" s="3" t="s">
        <v>3985</v>
      </c>
      <c r="H1092" s="6" t="s">
        <v>3356</v>
      </c>
      <c r="I1092" s="6" t="s">
        <v>3356</v>
      </c>
      <c r="J1092" s="3" t="s">
        <v>3356</v>
      </c>
      <c r="L1092" s="1" t="s">
        <v>6135</v>
      </c>
    </row>
    <row r="1093" spans="1:12">
      <c r="A1093" s="3" t="s">
        <v>3356</v>
      </c>
      <c r="C1093" s="3" t="s">
        <v>3817</v>
      </c>
      <c r="D1093" s="3" t="s">
        <v>3618</v>
      </c>
      <c r="E1093" s="3" t="s">
        <v>3638</v>
      </c>
      <c r="F1093" s="3" t="s">
        <v>7684</v>
      </c>
      <c r="G1093" s="3" t="s">
        <v>6691</v>
      </c>
      <c r="H1093" s="6" t="s">
        <v>3356</v>
      </c>
      <c r="I1093" s="6" t="s">
        <v>3356</v>
      </c>
      <c r="J1093" s="3" t="s">
        <v>3356</v>
      </c>
      <c r="L1093" s="1" t="s">
        <v>6135</v>
      </c>
    </row>
    <row r="1094" spans="1:12">
      <c r="A1094" s="3" t="s">
        <v>3356</v>
      </c>
      <c r="C1094" s="3" t="s">
        <v>3817</v>
      </c>
      <c r="D1094" s="3" t="s">
        <v>3618</v>
      </c>
      <c r="E1094" s="3" t="s">
        <v>3638</v>
      </c>
      <c r="F1094" s="3" t="s">
        <v>7684</v>
      </c>
      <c r="G1094" s="3" t="s">
        <v>3571</v>
      </c>
      <c r="H1094" s="6" t="s">
        <v>3356</v>
      </c>
      <c r="I1094" s="6" t="s">
        <v>3356</v>
      </c>
      <c r="J1094" s="3" t="s">
        <v>3356</v>
      </c>
      <c r="L1094" s="1" t="s">
        <v>6135</v>
      </c>
    </row>
    <row r="1095" spans="1:12">
      <c r="A1095" s="3" t="s">
        <v>3356</v>
      </c>
      <c r="C1095" s="3" t="s">
        <v>3817</v>
      </c>
      <c r="D1095" s="3" t="s">
        <v>3618</v>
      </c>
      <c r="E1095" s="3" t="s">
        <v>3638</v>
      </c>
      <c r="F1095" s="3" t="s">
        <v>4490</v>
      </c>
      <c r="G1095" s="3" t="s">
        <v>6460</v>
      </c>
      <c r="H1095" s="6" t="s">
        <v>3356</v>
      </c>
      <c r="I1095" s="6" t="s">
        <v>3356</v>
      </c>
      <c r="J1095" s="3" t="s">
        <v>3356</v>
      </c>
      <c r="L1095" s="1" t="s">
        <v>6135</v>
      </c>
    </row>
    <row r="1096" spans="1:12">
      <c r="A1096" s="3" t="s">
        <v>3356</v>
      </c>
      <c r="C1096" s="3" t="s">
        <v>3817</v>
      </c>
      <c r="D1096" s="3" t="s">
        <v>3618</v>
      </c>
      <c r="E1096" s="3" t="s">
        <v>3638</v>
      </c>
      <c r="F1096" s="3" t="s">
        <v>4490</v>
      </c>
      <c r="G1096" s="3" t="s">
        <v>3449</v>
      </c>
      <c r="H1096" s="6" t="s">
        <v>3356</v>
      </c>
      <c r="I1096" s="6" t="s">
        <v>3356</v>
      </c>
      <c r="J1096" s="3" t="s">
        <v>3356</v>
      </c>
      <c r="L1096" s="1" t="s">
        <v>6135</v>
      </c>
    </row>
    <row r="1097" spans="1:12">
      <c r="A1097" s="3" t="s">
        <v>3356</v>
      </c>
      <c r="C1097" s="3" t="s">
        <v>3817</v>
      </c>
      <c r="D1097" s="3" t="s">
        <v>3618</v>
      </c>
      <c r="E1097" s="3" t="s">
        <v>3638</v>
      </c>
      <c r="F1097" s="3" t="s">
        <v>4490</v>
      </c>
      <c r="G1097" s="3" t="s">
        <v>3031</v>
      </c>
      <c r="H1097" s="6" t="s">
        <v>3356</v>
      </c>
      <c r="I1097" s="6" t="s">
        <v>3356</v>
      </c>
      <c r="J1097" s="3" t="s">
        <v>3356</v>
      </c>
      <c r="L1097" s="1" t="s">
        <v>6135</v>
      </c>
    </row>
    <row r="1098" spans="1:12">
      <c r="A1098" s="3" t="s">
        <v>3356</v>
      </c>
      <c r="C1098" s="3" t="s">
        <v>3817</v>
      </c>
      <c r="D1098" s="3" t="s">
        <v>3618</v>
      </c>
      <c r="E1098" s="3" t="s">
        <v>3638</v>
      </c>
      <c r="F1098" s="3" t="s">
        <v>4490</v>
      </c>
      <c r="G1098" s="3" t="s">
        <v>3648</v>
      </c>
      <c r="H1098" s="6" t="s">
        <v>3356</v>
      </c>
      <c r="I1098" s="6" t="s">
        <v>3356</v>
      </c>
      <c r="J1098" s="3" t="s">
        <v>3356</v>
      </c>
      <c r="L1098" s="1" t="s">
        <v>6135</v>
      </c>
    </row>
    <row r="1099" spans="1:12">
      <c r="A1099" s="3" t="s">
        <v>3356</v>
      </c>
      <c r="C1099" s="3" t="s">
        <v>3817</v>
      </c>
      <c r="D1099" s="3" t="s">
        <v>3618</v>
      </c>
      <c r="E1099" s="3" t="s">
        <v>3638</v>
      </c>
      <c r="F1099" s="3" t="s">
        <v>4490</v>
      </c>
      <c r="G1099" s="3" t="s">
        <v>8035</v>
      </c>
      <c r="H1099" s="6" t="s">
        <v>3356</v>
      </c>
      <c r="I1099" s="6" t="s">
        <v>3356</v>
      </c>
      <c r="J1099" s="3" t="s">
        <v>3356</v>
      </c>
      <c r="L1099" s="1" t="s">
        <v>6135</v>
      </c>
    </row>
    <row r="1100" spans="1:12">
      <c r="A1100" s="3" t="s">
        <v>3356</v>
      </c>
      <c r="C1100" s="3" t="s">
        <v>3817</v>
      </c>
      <c r="D1100" s="3" t="s">
        <v>3618</v>
      </c>
      <c r="E1100" s="3" t="s">
        <v>3638</v>
      </c>
      <c r="F1100" s="3" t="s">
        <v>4490</v>
      </c>
      <c r="G1100" s="3" t="s">
        <v>3649</v>
      </c>
      <c r="H1100" s="6" t="s">
        <v>3356</v>
      </c>
      <c r="I1100" s="6" t="s">
        <v>3356</v>
      </c>
      <c r="J1100" s="3" t="s">
        <v>3356</v>
      </c>
      <c r="L1100" s="1" t="s">
        <v>6135</v>
      </c>
    </row>
    <row r="1101" spans="1:12">
      <c r="A1101" s="3" t="s">
        <v>3356</v>
      </c>
      <c r="C1101" s="3" t="s">
        <v>3817</v>
      </c>
      <c r="D1101" s="3" t="s">
        <v>3618</v>
      </c>
      <c r="E1101" s="3" t="s">
        <v>3638</v>
      </c>
      <c r="F1101" s="3" t="s">
        <v>3650</v>
      </c>
      <c r="G1101" s="3" t="s">
        <v>3651</v>
      </c>
      <c r="H1101" s="6" t="s">
        <v>3356</v>
      </c>
      <c r="I1101" s="6" t="s">
        <v>3356</v>
      </c>
      <c r="J1101" s="3" t="s">
        <v>3356</v>
      </c>
      <c r="L1101" s="1" t="s">
        <v>6135</v>
      </c>
    </row>
    <row r="1102" spans="1:12">
      <c r="A1102" s="3" t="s">
        <v>3356</v>
      </c>
      <c r="C1102" s="3" t="s">
        <v>3817</v>
      </c>
      <c r="D1102" s="3" t="s">
        <v>3618</v>
      </c>
      <c r="E1102" s="3" t="s">
        <v>3638</v>
      </c>
      <c r="F1102" s="3" t="s">
        <v>3642</v>
      </c>
      <c r="G1102" s="3" t="s">
        <v>6411</v>
      </c>
      <c r="H1102" s="6" t="s">
        <v>3356</v>
      </c>
      <c r="I1102" s="6" t="s">
        <v>3356</v>
      </c>
      <c r="J1102" s="3" t="s">
        <v>3356</v>
      </c>
      <c r="L1102" s="1" t="s">
        <v>6135</v>
      </c>
    </row>
    <row r="1103" spans="1:12">
      <c r="A1103" s="3" t="s">
        <v>3356</v>
      </c>
      <c r="C1103" s="3" t="s">
        <v>3817</v>
      </c>
      <c r="D1103" s="3" t="s">
        <v>3618</v>
      </c>
      <c r="E1103" s="3" t="s">
        <v>3638</v>
      </c>
      <c r="F1103" s="3" t="s">
        <v>6733</v>
      </c>
      <c r="G1103" s="3" t="s">
        <v>6392</v>
      </c>
      <c r="H1103" s="6" t="s">
        <v>3356</v>
      </c>
      <c r="I1103" s="6" t="s">
        <v>3356</v>
      </c>
      <c r="J1103" s="3" t="s">
        <v>3356</v>
      </c>
      <c r="L1103" s="1" t="s">
        <v>6135</v>
      </c>
    </row>
    <row r="1104" spans="1:12">
      <c r="A1104" s="3" t="s">
        <v>3356</v>
      </c>
      <c r="C1104" s="3" t="s">
        <v>3817</v>
      </c>
      <c r="D1104" s="3" t="s">
        <v>3618</v>
      </c>
      <c r="E1104" s="3" t="s">
        <v>3638</v>
      </c>
      <c r="F1104" s="3" t="s">
        <v>4408</v>
      </c>
      <c r="G1104" s="3" t="s">
        <v>6481</v>
      </c>
      <c r="H1104" s="6" t="s">
        <v>3356</v>
      </c>
      <c r="I1104" s="6" t="s">
        <v>3356</v>
      </c>
      <c r="J1104" s="3" t="s">
        <v>3356</v>
      </c>
      <c r="L1104" s="1" t="s">
        <v>6135</v>
      </c>
    </row>
    <row r="1105" spans="1:12">
      <c r="A1105" s="3" t="s">
        <v>3356</v>
      </c>
      <c r="C1105" s="3" t="s">
        <v>3817</v>
      </c>
      <c r="D1105" s="3" t="s">
        <v>3618</v>
      </c>
      <c r="E1105" s="3" t="s">
        <v>3638</v>
      </c>
      <c r="F1105" s="3" t="s">
        <v>4408</v>
      </c>
      <c r="G1105" s="3" t="s">
        <v>5998</v>
      </c>
      <c r="H1105" s="6" t="s">
        <v>3356</v>
      </c>
      <c r="I1105" s="6" t="s">
        <v>3356</v>
      </c>
      <c r="J1105" s="3" t="s">
        <v>3356</v>
      </c>
      <c r="L1105" s="1" t="s">
        <v>6135</v>
      </c>
    </row>
    <row r="1106" spans="1:12">
      <c r="A1106" s="3" t="s">
        <v>3356</v>
      </c>
      <c r="C1106" s="3" t="s">
        <v>3817</v>
      </c>
      <c r="D1106" s="3" t="s">
        <v>3618</v>
      </c>
      <c r="E1106" s="3" t="s">
        <v>3638</v>
      </c>
      <c r="F1106" s="3" t="s">
        <v>4408</v>
      </c>
      <c r="G1106" s="3" t="s">
        <v>3155</v>
      </c>
      <c r="H1106" s="6" t="s">
        <v>3356</v>
      </c>
      <c r="I1106" s="6" t="s">
        <v>3356</v>
      </c>
      <c r="J1106" s="3" t="s">
        <v>3356</v>
      </c>
      <c r="L1106" s="1" t="s">
        <v>6135</v>
      </c>
    </row>
    <row r="1107" spans="1:12">
      <c r="A1107" s="3" t="s">
        <v>3356</v>
      </c>
      <c r="C1107" s="3" t="s">
        <v>3817</v>
      </c>
      <c r="D1107" s="3" t="s">
        <v>3618</v>
      </c>
      <c r="E1107" s="3" t="s">
        <v>3638</v>
      </c>
      <c r="F1107" s="3" t="s">
        <v>4408</v>
      </c>
      <c r="G1107" s="3" t="s">
        <v>6489</v>
      </c>
      <c r="H1107" s="6" t="s">
        <v>3356</v>
      </c>
      <c r="I1107" s="6" t="s">
        <v>3356</v>
      </c>
      <c r="J1107" s="3" t="s">
        <v>3356</v>
      </c>
      <c r="L1107" s="1" t="s">
        <v>6135</v>
      </c>
    </row>
    <row r="1108" spans="1:12">
      <c r="A1108" s="3" t="s">
        <v>3356</v>
      </c>
      <c r="C1108" s="3" t="s">
        <v>3817</v>
      </c>
      <c r="D1108" s="3" t="s">
        <v>3618</v>
      </c>
      <c r="E1108" s="3" t="s">
        <v>3638</v>
      </c>
      <c r="F1108" s="3" t="s">
        <v>4408</v>
      </c>
      <c r="G1108" s="3" t="s">
        <v>4206</v>
      </c>
      <c r="H1108" s="6" t="s">
        <v>3356</v>
      </c>
      <c r="I1108" s="6" t="s">
        <v>3356</v>
      </c>
      <c r="J1108" s="3" t="s">
        <v>3356</v>
      </c>
      <c r="L1108" s="1" t="s">
        <v>6135</v>
      </c>
    </row>
    <row r="1109" spans="1:12">
      <c r="A1109" s="3" t="s">
        <v>3356</v>
      </c>
      <c r="C1109" s="3" t="s">
        <v>3817</v>
      </c>
      <c r="D1109" s="3" t="s">
        <v>3618</v>
      </c>
      <c r="E1109" s="3" t="s">
        <v>3638</v>
      </c>
      <c r="F1109" s="3" t="s">
        <v>4408</v>
      </c>
      <c r="G1109" s="3" t="s">
        <v>5472</v>
      </c>
      <c r="H1109" s="6">
        <v>1.6720978579357175</v>
      </c>
      <c r="I1109" s="6">
        <v>47</v>
      </c>
      <c r="J1109" s="3" t="s">
        <v>6736</v>
      </c>
      <c r="L1109" s="1" t="s">
        <v>6135</v>
      </c>
    </row>
    <row r="1110" spans="1:12">
      <c r="A1110" s="3" t="s">
        <v>3356</v>
      </c>
      <c r="C1110" s="3" t="s">
        <v>3817</v>
      </c>
      <c r="D1110" s="3" t="s">
        <v>3618</v>
      </c>
      <c r="E1110" s="3" t="s">
        <v>3638</v>
      </c>
      <c r="F1110" s="3" t="s">
        <v>4408</v>
      </c>
      <c r="G1110" s="3" t="s">
        <v>3712</v>
      </c>
      <c r="H1110" s="6">
        <v>1.9030899869919435</v>
      </c>
      <c r="I1110" s="6">
        <v>80</v>
      </c>
      <c r="J1110" s="3" t="s">
        <v>6736</v>
      </c>
      <c r="L1110" s="1" t="s">
        <v>6135</v>
      </c>
    </row>
    <row r="1111" spans="1:12">
      <c r="A1111" s="3" t="s">
        <v>3356</v>
      </c>
      <c r="C1111" s="3" t="s">
        <v>3817</v>
      </c>
      <c r="D1111" s="3" t="s">
        <v>3618</v>
      </c>
      <c r="E1111" s="3" t="s">
        <v>3638</v>
      </c>
      <c r="F1111" s="3" t="s">
        <v>4408</v>
      </c>
      <c r="G1111" s="3" t="s">
        <v>6490</v>
      </c>
      <c r="H1111" s="6" t="s">
        <v>3356</v>
      </c>
      <c r="I1111" s="6" t="s">
        <v>3356</v>
      </c>
      <c r="J1111" s="3" t="s">
        <v>3356</v>
      </c>
      <c r="L1111" s="1" t="s">
        <v>6135</v>
      </c>
    </row>
    <row r="1112" spans="1:12">
      <c r="A1112" s="3" t="s">
        <v>3356</v>
      </c>
      <c r="C1112" s="3" t="s">
        <v>3817</v>
      </c>
      <c r="D1112" s="3" t="s">
        <v>3618</v>
      </c>
      <c r="E1112" s="3" t="s">
        <v>3638</v>
      </c>
      <c r="F1112" s="3" t="s">
        <v>4408</v>
      </c>
      <c r="G1112" s="3" t="s">
        <v>8132</v>
      </c>
      <c r="H1112" s="6" t="s">
        <v>3356</v>
      </c>
      <c r="I1112" s="6" t="s">
        <v>3356</v>
      </c>
      <c r="J1112" s="3" t="s">
        <v>3356</v>
      </c>
      <c r="L1112" s="1" t="s">
        <v>6135</v>
      </c>
    </row>
    <row r="1113" spans="1:12">
      <c r="A1113" s="3" t="s">
        <v>3356</v>
      </c>
      <c r="C1113" s="3" t="s">
        <v>3817</v>
      </c>
      <c r="D1113" s="3" t="s">
        <v>3618</v>
      </c>
      <c r="E1113" s="3" t="s">
        <v>3638</v>
      </c>
      <c r="F1113" s="3" t="s">
        <v>5473</v>
      </c>
      <c r="G1113" s="3" t="s">
        <v>5677</v>
      </c>
      <c r="H1113" s="6">
        <v>1.7481880270062005</v>
      </c>
      <c r="I1113" s="6">
        <v>56</v>
      </c>
      <c r="J1113" s="3" t="s">
        <v>6736</v>
      </c>
      <c r="L1113" s="1" t="s">
        <v>6135</v>
      </c>
    </row>
    <row r="1114" spans="1:12">
      <c r="A1114" s="3" t="s">
        <v>3356</v>
      </c>
      <c r="C1114" s="3" t="s">
        <v>3817</v>
      </c>
      <c r="D1114" s="3" t="s">
        <v>3618</v>
      </c>
      <c r="E1114" s="3" t="s">
        <v>3638</v>
      </c>
      <c r="F1114" s="3" t="s">
        <v>8301</v>
      </c>
      <c r="G1114" s="3" t="s">
        <v>8302</v>
      </c>
      <c r="H1114" s="6" t="s">
        <v>3356</v>
      </c>
      <c r="I1114" s="6" t="s">
        <v>3356</v>
      </c>
      <c r="J1114" s="3" t="s">
        <v>3356</v>
      </c>
      <c r="L1114" s="1" t="s">
        <v>6135</v>
      </c>
    </row>
    <row r="1115" spans="1:12">
      <c r="A1115" s="3" t="s">
        <v>3356</v>
      </c>
      <c r="C1115" s="3" t="s">
        <v>3817</v>
      </c>
      <c r="D1115" s="3" t="s">
        <v>3618</v>
      </c>
      <c r="E1115" s="3" t="s">
        <v>3638</v>
      </c>
      <c r="F1115" s="3" t="s">
        <v>8134</v>
      </c>
      <c r="G1115" s="3" t="s">
        <v>7329</v>
      </c>
      <c r="H1115" s="6" t="s">
        <v>3356</v>
      </c>
      <c r="I1115" s="6" t="s">
        <v>3356</v>
      </c>
      <c r="J1115" s="3" t="s">
        <v>3356</v>
      </c>
      <c r="L1115" s="1" t="s">
        <v>6135</v>
      </c>
    </row>
    <row r="1116" spans="1:12">
      <c r="A1116" s="3" t="s">
        <v>3356</v>
      </c>
      <c r="C1116" s="3" t="s">
        <v>3817</v>
      </c>
      <c r="D1116" s="3" t="s">
        <v>3618</v>
      </c>
      <c r="E1116" s="3" t="s">
        <v>3638</v>
      </c>
      <c r="F1116" s="3" t="s">
        <v>8135</v>
      </c>
      <c r="G1116" s="3" t="s">
        <v>2556</v>
      </c>
      <c r="H1116" s="6" t="s">
        <v>3356</v>
      </c>
      <c r="I1116" s="6" t="s">
        <v>3356</v>
      </c>
      <c r="J1116" s="3" t="s">
        <v>3356</v>
      </c>
      <c r="L1116" s="1" t="s">
        <v>6135</v>
      </c>
    </row>
    <row r="1117" spans="1:12">
      <c r="A1117" s="3" t="s">
        <v>3356</v>
      </c>
      <c r="C1117" s="3" t="s">
        <v>3817</v>
      </c>
      <c r="D1117" s="3" t="s">
        <v>3618</v>
      </c>
      <c r="E1117" s="3" t="s">
        <v>3638</v>
      </c>
      <c r="F1117" s="3" t="s">
        <v>3459</v>
      </c>
      <c r="G1117" s="3" t="s">
        <v>5475</v>
      </c>
      <c r="H1117" s="6" t="s">
        <v>3356</v>
      </c>
      <c r="I1117" s="6" t="s">
        <v>3356</v>
      </c>
      <c r="J1117" s="3" t="s">
        <v>3356</v>
      </c>
      <c r="L1117" s="1" t="s">
        <v>6135</v>
      </c>
    </row>
    <row r="1118" spans="1:12">
      <c r="A1118" s="3" t="s">
        <v>3356</v>
      </c>
      <c r="C1118" s="3" t="s">
        <v>3817</v>
      </c>
      <c r="D1118" s="3" t="s">
        <v>3618</v>
      </c>
      <c r="E1118" s="3" t="s">
        <v>3638</v>
      </c>
      <c r="F1118" s="3" t="s">
        <v>3459</v>
      </c>
      <c r="G1118" s="3" t="s">
        <v>3078</v>
      </c>
      <c r="H1118" s="6" t="s">
        <v>3356</v>
      </c>
      <c r="I1118" s="6" t="s">
        <v>3356</v>
      </c>
      <c r="J1118" s="3" t="s">
        <v>3356</v>
      </c>
      <c r="L1118" s="1" t="s">
        <v>6135</v>
      </c>
    </row>
    <row r="1119" spans="1:12">
      <c r="A1119" s="3" t="s">
        <v>3356</v>
      </c>
      <c r="C1119" s="3" t="s">
        <v>3817</v>
      </c>
      <c r="D1119" s="3" t="s">
        <v>3618</v>
      </c>
      <c r="E1119" s="3" t="s">
        <v>3638</v>
      </c>
      <c r="F1119" s="3" t="s">
        <v>3459</v>
      </c>
      <c r="G1119" s="3" t="s">
        <v>3460</v>
      </c>
      <c r="H1119" s="6" t="s">
        <v>3356</v>
      </c>
      <c r="I1119" s="6" t="s">
        <v>3356</v>
      </c>
      <c r="J1119" s="3" t="s">
        <v>3356</v>
      </c>
      <c r="L1119" s="1" t="s">
        <v>6135</v>
      </c>
    </row>
    <row r="1120" spans="1:12">
      <c r="A1120" s="3" t="s">
        <v>3356</v>
      </c>
      <c r="C1120" s="3" t="s">
        <v>3817</v>
      </c>
      <c r="D1120" s="3" t="s">
        <v>3618</v>
      </c>
      <c r="E1120" s="3" t="s">
        <v>3638</v>
      </c>
      <c r="F1120" s="3" t="s">
        <v>3459</v>
      </c>
      <c r="G1120" s="3" t="s">
        <v>3156</v>
      </c>
      <c r="H1120" s="6" t="s">
        <v>3356</v>
      </c>
      <c r="I1120" s="6" t="s">
        <v>3356</v>
      </c>
      <c r="J1120" s="3" t="s">
        <v>3356</v>
      </c>
      <c r="L1120" s="1" t="s">
        <v>6135</v>
      </c>
    </row>
    <row r="1121" spans="1:12">
      <c r="A1121" s="3" t="s">
        <v>3356</v>
      </c>
      <c r="C1121" s="3" t="s">
        <v>3817</v>
      </c>
      <c r="D1121" s="3" t="s">
        <v>3618</v>
      </c>
      <c r="E1121" s="3" t="s">
        <v>3638</v>
      </c>
      <c r="F1121" s="3" t="s">
        <v>3459</v>
      </c>
      <c r="G1121" s="3" t="s">
        <v>3461</v>
      </c>
      <c r="H1121" s="6" t="s">
        <v>3356</v>
      </c>
      <c r="I1121" s="6" t="s">
        <v>3356</v>
      </c>
      <c r="J1121" s="3" t="s">
        <v>3356</v>
      </c>
      <c r="L1121" s="1" t="s">
        <v>6135</v>
      </c>
    </row>
    <row r="1122" spans="1:12">
      <c r="A1122" s="3" t="s">
        <v>3356</v>
      </c>
      <c r="C1122" s="3" t="s">
        <v>3817</v>
      </c>
      <c r="D1122" s="3" t="s">
        <v>3618</v>
      </c>
      <c r="E1122" s="3" t="s">
        <v>3638</v>
      </c>
      <c r="F1122" s="3" t="s">
        <v>3459</v>
      </c>
      <c r="G1122" s="3" t="s">
        <v>3655</v>
      </c>
      <c r="H1122" s="6" t="s">
        <v>3356</v>
      </c>
      <c r="I1122" s="6" t="s">
        <v>3356</v>
      </c>
      <c r="J1122" s="3" t="s">
        <v>3356</v>
      </c>
      <c r="L1122" s="1" t="s">
        <v>6135</v>
      </c>
    </row>
    <row r="1123" spans="1:12">
      <c r="A1123" s="3" t="s">
        <v>3356</v>
      </c>
      <c r="C1123" s="3" t="s">
        <v>3817</v>
      </c>
      <c r="D1123" s="3" t="s">
        <v>3618</v>
      </c>
      <c r="E1123" s="3" t="s">
        <v>3638</v>
      </c>
      <c r="F1123" s="3" t="s">
        <v>6167</v>
      </c>
      <c r="G1123" s="3" t="s">
        <v>6168</v>
      </c>
      <c r="H1123" s="6" t="s">
        <v>3356</v>
      </c>
      <c r="I1123" s="6" t="s">
        <v>3356</v>
      </c>
      <c r="J1123" s="3" t="s">
        <v>3356</v>
      </c>
      <c r="L1123" s="1" t="s">
        <v>6135</v>
      </c>
    </row>
    <row r="1124" spans="1:12">
      <c r="A1124" s="3" t="s">
        <v>3356</v>
      </c>
      <c r="C1124" s="3" t="s">
        <v>3817</v>
      </c>
      <c r="D1124" s="3" t="s">
        <v>3618</v>
      </c>
      <c r="E1124" s="3" t="s">
        <v>3638</v>
      </c>
      <c r="F1124" s="3" t="s">
        <v>6167</v>
      </c>
      <c r="G1124" s="3" t="s">
        <v>6611</v>
      </c>
      <c r="H1124" s="6" t="s">
        <v>3356</v>
      </c>
      <c r="I1124" s="6" t="s">
        <v>3356</v>
      </c>
      <c r="J1124" s="3" t="s">
        <v>3356</v>
      </c>
      <c r="L1124" s="1" t="s">
        <v>6135</v>
      </c>
    </row>
    <row r="1125" spans="1:12">
      <c r="A1125" s="3" t="s">
        <v>3356</v>
      </c>
      <c r="C1125" s="3" t="s">
        <v>3817</v>
      </c>
      <c r="D1125" s="3" t="s">
        <v>3618</v>
      </c>
      <c r="E1125" s="3" t="s">
        <v>3638</v>
      </c>
      <c r="F1125" s="3" t="s">
        <v>6167</v>
      </c>
      <c r="G1125" s="3" t="s">
        <v>3350</v>
      </c>
      <c r="H1125" s="6" t="s">
        <v>3356</v>
      </c>
      <c r="I1125" s="6" t="s">
        <v>3356</v>
      </c>
      <c r="J1125" s="3" t="s">
        <v>3356</v>
      </c>
      <c r="L1125" s="1" t="s">
        <v>6135</v>
      </c>
    </row>
    <row r="1126" spans="1:12">
      <c r="A1126" s="3" t="s">
        <v>3356</v>
      </c>
      <c r="C1126" s="3" t="s">
        <v>3817</v>
      </c>
      <c r="D1126" s="3" t="s">
        <v>3618</v>
      </c>
      <c r="E1126" s="3" t="s">
        <v>3638</v>
      </c>
      <c r="F1126" s="3" t="s">
        <v>6167</v>
      </c>
      <c r="G1126" s="3" t="s">
        <v>3351</v>
      </c>
      <c r="H1126" s="6" t="s">
        <v>3356</v>
      </c>
      <c r="I1126" s="6" t="s">
        <v>3356</v>
      </c>
      <c r="J1126" s="3" t="s">
        <v>3356</v>
      </c>
      <c r="L1126" s="1" t="s">
        <v>6135</v>
      </c>
    </row>
    <row r="1127" spans="1:12">
      <c r="A1127" s="3" t="s">
        <v>3356</v>
      </c>
      <c r="C1127" s="3" t="s">
        <v>3817</v>
      </c>
      <c r="D1127" s="3" t="s">
        <v>3618</v>
      </c>
      <c r="E1127" s="3" t="s">
        <v>3638</v>
      </c>
      <c r="F1127" s="3" t="s">
        <v>6167</v>
      </c>
      <c r="G1127" s="3" t="s">
        <v>4000</v>
      </c>
      <c r="H1127" s="6" t="s">
        <v>3356</v>
      </c>
      <c r="I1127" s="6" t="s">
        <v>3356</v>
      </c>
      <c r="J1127" s="3" t="s">
        <v>3356</v>
      </c>
      <c r="L1127" s="1" t="s">
        <v>6135</v>
      </c>
    </row>
    <row r="1128" spans="1:12">
      <c r="A1128" s="3" t="s">
        <v>3356</v>
      </c>
      <c r="C1128" s="3" t="s">
        <v>3817</v>
      </c>
      <c r="D1128" s="3" t="s">
        <v>3618</v>
      </c>
      <c r="E1128" s="3" t="s">
        <v>3638</v>
      </c>
      <c r="F1128" s="3" t="s">
        <v>5678</v>
      </c>
      <c r="G1128" s="3" t="s">
        <v>5679</v>
      </c>
      <c r="H1128" s="6">
        <v>1.3979400086720377</v>
      </c>
      <c r="I1128" s="6">
        <v>25</v>
      </c>
      <c r="J1128" s="3" t="s">
        <v>6736</v>
      </c>
      <c r="L1128" s="1" t="s">
        <v>6135</v>
      </c>
    </row>
    <row r="1129" spans="1:12">
      <c r="A1129" s="3" t="s">
        <v>3356</v>
      </c>
      <c r="C1129" s="3" t="s">
        <v>3817</v>
      </c>
      <c r="D1129" s="3" t="s">
        <v>3618</v>
      </c>
      <c r="E1129" s="3" t="s">
        <v>3638</v>
      </c>
      <c r="F1129" s="3" t="s">
        <v>5678</v>
      </c>
      <c r="G1129" s="3" t="s">
        <v>5916</v>
      </c>
      <c r="H1129" s="6" t="s">
        <v>3356</v>
      </c>
      <c r="I1129" s="6" t="s">
        <v>3356</v>
      </c>
      <c r="J1129" s="3" t="s">
        <v>3356</v>
      </c>
      <c r="L1129" s="1" t="s">
        <v>6135</v>
      </c>
    </row>
    <row r="1130" spans="1:12">
      <c r="A1130" s="3" t="s">
        <v>3356</v>
      </c>
      <c r="C1130" s="3" t="s">
        <v>3817</v>
      </c>
      <c r="D1130" s="3" t="s">
        <v>3618</v>
      </c>
      <c r="E1130" s="3" t="s">
        <v>3638</v>
      </c>
      <c r="F1130" s="3" t="s">
        <v>4001</v>
      </c>
      <c r="G1130" s="3" t="s">
        <v>4036</v>
      </c>
      <c r="H1130" s="6" t="s">
        <v>3356</v>
      </c>
      <c r="I1130" s="6" t="s">
        <v>3356</v>
      </c>
      <c r="J1130" s="3" t="s">
        <v>3356</v>
      </c>
      <c r="L1130" s="1" t="s">
        <v>6135</v>
      </c>
    </row>
    <row r="1131" spans="1:12">
      <c r="A1131" s="3" t="s">
        <v>3356</v>
      </c>
      <c r="C1131" s="3" t="s">
        <v>3817</v>
      </c>
      <c r="D1131" s="3" t="s">
        <v>3618</v>
      </c>
      <c r="E1131" s="3" t="s">
        <v>3638</v>
      </c>
      <c r="F1131" s="3" t="s">
        <v>4001</v>
      </c>
      <c r="G1131" s="3" t="s">
        <v>4037</v>
      </c>
      <c r="H1131" s="6" t="s">
        <v>3356</v>
      </c>
      <c r="I1131" s="6" t="s">
        <v>3356</v>
      </c>
      <c r="J1131" s="3" t="s">
        <v>3356</v>
      </c>
      <c r="L1131" s="1" t="s">
        <v>6135</v>
      </c>
    </row>
    <row r="1132" spans="1:12">
      <c r="A1132" s="3" t="s">
        <v>3356</v>
      </c>
      <c r="C1132" s="3" t="s">
        <v>3817</v>
      </c>
      <c r="D1132" s="3" t="s">
        <v>3618</v>
      </c>
      <c r="E1132" s="3" t="s">
        <v>3638</v>
      </c>
      <c r="F1132" s="3" t="s">
        <v>4001</v>
      </c>
      <c r="G1132" s="3" t="s">
        <v>3211</v>
      </c>
      <c r="H1132" s="6" t="s">
        <v>3356</v>
      </c>
      <c r="I1132" s="6" t="s">
        <v>3356</v>
      </c>
      <c r="J1132" s="3" t="s">
        <v>3356</v>
      </c>
      <c r="L1132" s="1" t="s">
        <v>6135</v>
      </c>
    </row>
    <row r="1133" spans="1:12">
      <c r="A1133" s="3" t="s">
        <v>3356</v>
      </c>
      <c r="C1133" s="3" t="s">
        <v>3817</v>
      </c>
      <c r="D1133" s="3" t="s">
        <v>3618</v>
      </c>
      <c r="E1133" s="3" t="s">
        <v>3638</v>
      </c>
      <c r="F1133" s="3" t="s">
        <v>4001</v>
      </c>
      <c r="G1133" s="3" t="s">
        <v>4287</v>
      </c>
      <c r="H1133" s="6" t="s">
        <v>3356</v>
      </c>
      <c r="I1133" s="6" t="s">
        <v>3356</v>
      </c>
      <c r="J1133" s="3" t="s">
        <v>3356</v>
      </c>
      <c r="L1133" s="1" t="s">
        <v>6135</v>
      </c>
    </row>
    <row r="1134" spans="1:12">
      <c r="A1134" s="3" t="s">
        <v>3356</v>
      </c>
      <c r="C1134" s="3" t="s">
        <v>3817</v>
      </c>
      <c r="D1134" s="3" t="s">
        <v>3618</v>
      </c>
      <c r="E1134" s="3" t="s">
        <v>3638</v>
      </c>
      <c r="F1134" s="3" t="s">
        <v>4001</v>
      </c>
      <c r="G1134" s="3" t="s">
        <v>6793</v>
      </c>
      <c r="H1134" s="6" t="s">
        <v>3356</v>
      </c>
      <c r="I1134" s="6" t="s">
        <v>3356</v>
      </c>
      <c r="J1134" s="3" t="s">
        <v>3356</v>
      </c>
      <c r="L1134" s="1" t="s">
        <v>6135</v>
      </c>
    </row>
    <row r="1135" spans="1:12">
      <c r="A1135" s="3" t="s">
        <v>3356</v>
      </c>
      <c r="C1135" s="3" t="s">
        <v>3817</v>
      </c>
      <c r="D1135" s="3" t="s">
        <v>3618</v>
      </c>
      <c r="E1135" s="3" t="s">
        <v>3638</v>
      </c>
      <c r="F1135" s="3" t="s">
        <v>4001</v>
      </c>
      <c r="G1135" s="3" t="s">
        <v>4288</v>
      </c>
      <c r="H1135" s="6" t="s">
        <v>3356</v>
      </c>
      <c r="I1135" s="6" t="s">
        <v>3356</v>
      </c>
      <c r="J1135" s="3" t="s">
        <v>3356</v>
      </c>
      <c r="L1135" s="1" t="s">
        <v>6135</v>
      </c>
    </row>
    <row r="1136" spans="1:12">
      <c r="A1136" s="3" t="s">
        <v>3356</v>
      </c>
      <c r="C1136" s="3" t="s">
        <v>3817</v>
      </c>
      <c r="D1136" s="3" t="s">
        <v>3618</v>
      </c>
      <c r="E1136" s="3" t="s">
        <v>3638</v>
      </c>
      <c r="F1136" s="3" t="s">
        <v>4001</v>
      </c>
      <c r="G1136" s="3" t="s">
        <v>3544</v>
      </c>
      <c r="H1136" s="6" t="s">
        <v>3356</v>
      </c>
      <c r="I1136" s="6" t="s">
        <v>3356</v>
      </c>
      <c r="J1136" s="3" t="s">
        <v>3356</v>
      </c>
      <c r="L1136" s="1" t="s">
        <v>6135</v>
      </c>
    </row>
    <row r="1137" spans="1:12">
      <c r="A1137" s="3" t="s">
        <v>3356</v>
      </c>
      <c r="C1137" s="3" t="s">
        <v>3817</v>
      </c>
      <c r="D1137" s="3" t="s">
        <v>3618</v>
      </c>
      <c r="E1137" s="3" t="s">
        <v>3638</v>
      </c>
      <c r="F1137" s="3" t="s">
        <v>4001</v>
      </c>
      <c r="G1137" s="3" t="s">
        <v>3545</v>
      </c>
      <c r="H1137" s="6" t="s">
        <v>3356</v>
      </c>
      <c r="I1137" s="6" t="s">
        <v>3356</v>
      </c>
      <c r="J1137" s="3" t="s">
        <v>3356</v>
      </c>
      <c r="L1137" s="1" t="s">
        <v>6135</v>
      </c>
    </row>
    <row r="1138" spans="1:12">
      <c r="A1138" s="3" t="s">
        <v>3356</v>
      </c>
      <c r="C1138" s="3" t="s">
        <v>3817</v>
      </c>
      <c r="D1138" s="3" t="s">
        <v>3618</v>
      </c>
      <c r="E1138" s="3" t="s">
        <v>3638</v>
      </c>
      <c r="F1138" s="3" t="s">
        <v>4001</v>
      </c>
      <c r="G1138" s="3" t="s">
        <v>3990</v>
      </c>
      <c r="H1138" s="6" t="s">
        <v>3356</v>
      </c>
      <c r="I1138" s="6" t="s">
        <v>3356</v>
      </c>
      <c r="J1138" s="3" t="s">
        <v>3356</v>
      </c>
      <c r="L1138" s="1" t="s">
        <v>6135</v>
      </c>
    </row>
    <row r="1139" spans="1:12">
      <c r="A1139" s="3" t="s">
        <v>3356</v>
      </c>
      <c r="C1139" s="3" t="s">
        <v>3817</v>
      </c>
      <c r="D1139" s="3" t="s">
        <v>3618</v>
      </c>
      <c r="E1139" s="3" t="s">
        <v>3638</v>
      </c>
      <c r="F1139" s="3" t="s">
        <v>6454</v>
      </c>
      <c r="G1139" s="3" t="s">
        <v>6247</v>
      </c>
      <c r="H1139" s="6" t="s">
        <v>3356</v>
      </c>
      <c r="I1139" s="6" t="s">
        <v>3356</v>
      </c>
      <c r="J1139" s="3" t="s">
        <v>3356</v>
      </c>
      <c r="L1139" s="1" t="s">
        <v>6135</v>
      </c>
    </row>
    <row r="1140" spans="1:12">
      <c r="A1140" s="3" t="s">
        <v>3356</v>
      </c>
      <c r="C1140" s="3" t="s">
        <v>3817</v>
      </c>
      <c r="D1140" s="3" t="s">
        <v>3618</v>
      </c>
      <c r="E1140" s="3" t="s">
        <v>3638</v>
      </c>
      <c r="F1140" s="3" t="s">
        <v>4775</v>
      </c>
      <c r="G1140" s="3" t="s">
        <v>4149</v>
      </c>
      <c r="H1140" s="6" t="s">
        <v>3356</v>
      </c>
      <c r="I1140" s="6" t="s">
        <v>3356</v>
      </c>
      <c r="J1140" s="3" t="s">
        <v>3356</v>
      </c>
      <c r="L1140" s="1" t="s">
        <v>6135</v>
      </c>
    </row>
    <row r="1141" spans="1:12">
      <c r="A1141" s="3" t="s">
        <v>3356</v>
      </c>
      <c r="C1141" s="3" t="s">
        <v>3817</v>
      </c>
      <c r="D1141" s="3" t="s">
        <v>3618</v>
      </c>
      <c r="E1141" s="3" t="s">
        <v>3638</v>
      </c>
      <c r="F1141" s="3" t="s">
        <v>4775</v>
      </c>
      <c r="G1141" s="3" t="s">
        <v>4150</v>
      </c>
      <c r="H1141" s="6" t="s">
        <v>3356</v>
      </c>
      <c r="I1141" s="6" t="s">
        <v>3356</v>
      </c>
      <c r="J1141" s="3" t="s">
        <v>3356</v>
      </c>
      <c r="L1141" s="1" t="s">
        <v>6135</v>
      </c>
    </row>
    <row r="1142" spans="1:12">
      <c r="A1142" s="3" t="s">
        <v>3356</v>
      </c>
      <c r="C1142" s="3" t="s">
        <v>3817</v>
      </c>
      <c r="D1142" s="3" t="s">
        <v>3618</v>
      </c>
      <c r="E1142" s="3" t="s">
        <v>3638</v>
      </c>
      <c r="F1142" s="3" t="s">
        <v>4775</v>
      </c>
      <c r="G1142" s="3" t="s">
        <v>5680</v>
      </c>
      <c r="H1142" s="6">
        <v>1.5477747053878226</v>
      </c>
      <c r="I1142" s="6">
        <v>35.299999999999997</v>
      </c>
      <c r="J1142" s="3" t="s">
        <v>6736</v>
      </c>
      <c r="L1142" s="1" t="s">
        <v>6135</v>
      </c>
    </row>
    <row r="1143" spans="1:12">
      <c r="A1143" s="3" t="s">
        <v>3356</v>
      </c>
      <c r="C1143" s="3" t="s">
        <v>3817</v>
      </c>
      <c r="D1143" s="3" t="s">
        <v>3618</v>
      </c>
      <c r="E1143" s="3" t="s">
        <v>3638</v>
      </c>
      <c r="F1143" s="3" t="s">
        <v>4775</v>
      </c>
      <c r="G1143" s="3" t="s">
        <v>4137</v>
      </c>
      <c r="H1143" s="6" t="s">
        <v>3356</v>
      </c>
      <c r="I1143" s="6" t="s">
        <v>3356</v>
      </c>
      <c r="J1143" s="3" t="s">
        <v>3356</v>
      </c>
      <c r="L1143" s="1" t="s">
        <v>6135</v>
      </c>
    </row>
    <row r="1144" spans="1:12">
      <c r="A1144" s="3" t="s">
        <v>3356</v>
      </c>
      <c r="C1144" s="3" t="s">
        <v>3817</v>
      </c>
      <c r="D1144" s="3" t="s">
        <v>3618</v>
      </c>
      <c r="E1144" s="3" t="s">
        <v>3638</v>
      </c>
      <c r="F1144" s="3" t="s">
        <v>4775</v>
      </c>
      <c r="G1144" s="3" t="s">
        <v>5716</v>
      </c>
      <c r="H1144" s="6" t="s">
        <v>3356</v>
      </c>
      <c r="I1144" s="6" t="s">
        <v>3356</v>
      </c>
      <c r="J1144" s="3" t="s">
        <v>3356</v>
      </c>
      <c r="L1144" s="1" t="s">
        <v>6135</v>
      </c>
    </row>
    <row r="1145" spans="1:12">
      <c r="A1145" s="3" t="s">
        <v>3356</v>
      </c>
      <c r="C1145" s="3" t="s">
        <v>3817</v>
      </c>
      <c r="D1145" s="3" t="s">
        <v>3618</v>
      </c>
      <c r="E1145" s="3" t="s">
        <v>3638</v>
      </c>
      <c r="F1145" s="3" t="s">
        <v>4775</v>
      </c>
      <c r="G1145" s="3" t="s">
        <v>8258</v>
      </c>
      <c r="H1145" s="6" t="s">
        <v>3356</v>
      </c>
      <c r="I1145" s="6" t="s">
        <v>3356</v>
      </c>
      <c r="J1145" s="3" t="s">
        <v>3356</v>
      </c>
      <c r="L1145" s="1" t="s">
        <v>6135</v>
      </c>
    </row>
    <row r="1146" spans="1:12">
      <c r="A1146" s="3" t="s">
        <v>3356</v>
      </c>
      <c r="C1146" s="3" t="s">
        <v>3817</v>
      </c>
      <c r="D1146" s="3" t="s">
        <v>3618</v>
      </c>
      <c r="E1146" s="3" t="s">
        <v>3638</v>
      </c>
      <c r="F1146" s="3" t="s">
        <v>4775</v>
      </c>
      <c r="G1146" s="3" t="s">
        <v>8259</v>
      </c>
      <c r="H1146" s="6" t="s">
        <v>3356</v>
      </c>
      <c r="I1146" s="6" t="s">
        <v>3356</v>
      </c>
      <c r="J1146" s="3" t="s">
        <v>3356</v>
      </c>
      <c r="L1146" s="1" t="s">
        <v>6135</v>
      </c>
    </row>
    <row r="1147" spans="1:12">
      <c r="A1147" s="3" t="s">
        <v>3356</v>
      </c>
      <c r="C1147" s="3" t="s">
        <v>3817</v>
      </c>
      <c r="D1147" s="3" t="s">
        <v>3618</v>
      </c>
      <c r="E1147" s="3" t="s">
        <v>3638</v>
      </c>
      <c r="F1147" s="3" t="s">
        <v>4775</v>
      </c>
      <c r="G1147" s="3" t="s">
        <v>5712</v>
      </c>
      <c r="H1147" s="6" t="s">
        <v>3356</v>
      </c>
      <c r="I1147" s="6" t="s">
        <v>3356</v>
      </c>
      <c r="J1147" s="3" t="s">
        <v>3356</v>
      </c>
      <c r="L1147" s="1" t="s">
        <v>6135</v>
      </c>
    </row>
    <row r="1148" spans="1:12">
      <c r="A1148" s="3" t="s">
        <v>3356</v>
      </c>
      <c r="C1148" s="3" t="s">
        <v>3817</v>
      </c>
      <c r="D1148" s="3" t="s">
        <v>3618</v>
      </c>
      <c r="E1148" s="3" t="s">
        <v>3638</v>
      </c>
      <c r="F1148" s="3" t="s">
        <v>4775</v>
      </c>
      <c r="G1148" s="3" t="s">
        <v>5713</v>
      </c>
      <c r="H1148" s="6" t="s">
        <v>3356</v>
      </c>
      <c r="I1148" s="6" t="s">
        <v>3356</v>
      </c>
      <c r="J1148" s="3" t="s">
        <v>3356</v>
      </c>
      <c r="L1148" s="1" t="s">
        <v>6135</v>
      </c>
    </row>
    <row r="1149" spans="1:12">
      <c r="A1149" s="3" t="s">
        <v>3356</v>
      </c>
      <c r="C1149" s="3" t="s">
        <v>3817</v>
      </c>
      <c r="D1149" s="3" t="s">
        <v>3618</v>
      </c>
      <c r="E1149" s="3" t="s">
        <v>3638</v>
      </c>
      <c r="F1149" s="3" t="s">
        <v>4775</v>
      </c>
      <c r="G1149" s="3" t="s">
        <v>3942</v>
      </c>
      <c r="H1149" s="6" t="s">
        <v>3356</v>
      </c>
      <c r="I1149" s="6" t="s">
        <v>3356</v>
      </c>
      <c r="J1149" s="3" t="s">
        <v>3356</v>
      </c>
      <c r="L1149" s="1" t="s">
        <v>6135</v>
      </c>
    </row>
    <row r="1150" spans="1:12">
      <c r="A1150" s="3" t="s">
        <v>3356</v>
      </c>
      <c r="C1150" s="3" t="s">
        <v>3817</v>
      </c>
      <c r="D1150" s="3" t="s">
        <v>3618</v>
      </c>
      <c r="E1150" s="3" t="s">
        <v>3638</v>
      </c>
      <c r="F1150" s="3" t="s">
        <v>4775</v>
      </c>
      <c r="G1150" s="3" t="s">
        <v>8204</v>
      </c>
      <c r="H1150" s="6" t="s">
        <v>3356</v>
      </c>
      <c r="I1150" s="6" t="s">
        <v>3356</v>
      </c>
      <c r="J1150" s="3" t="s">
        <v>3356</v>
      </c>
      <c r="L1150" s="1" t="s">
        <v>6135</v>
      </c>
    </row>
    <row r="1151" spans="1:12">
      <c r="A1151" s="3" t="s">
        <v>3356</v>
      </c>
      <c r="C1151" s="3" t="s">
        <v>3817</v>
      </c>
      <c r="D1151" s="3" t="s">
        <v>3618</v>
      </c>
      <c r="E1151" s="3" t="s">
        <v>3638</v>
      </c>
      <c r="F1151" s="3" t="s">
        <v>4775</v>
      </c>
      <c r="G1151" s="3" t="s">
        <v>8205</v>
      </c>
      <c r="H1151" s="6" t="s">
        <v>3356</v>
      </c>
      <c r="I1151" s="6" t="s">
        <v>3356</v>
      </c>
      <c r="J1151" s="3" t="s">
        <v>3356</v>
      </c>
      <c r="L1151" s="1" t="s">
        <v>6135</v>
      </c>
    </row>
    <row r="1152" spans="1:12">
      <c r="A1152" s="3" t="s">
        <v>3356</v>
      </c>
      <c r="C1152" s="3" t="s">
        <v>3817</v>
      </c>
      <c r="D1152" s="3" t="s">
        <v>3618</v>
      </c>
      <c r="E1152" s="3" t="s">
        <v>3638</v>
      </c>
      <c r="F1152" s="3" t="s">
        <v>4775</v>
      </c>
      <c r="G1152" s="3" t="s">
        <v>8206</v>
      </c>
      <c r="H1152" s="6" t="s">
        <v>3356</v>
      </c>
      <c r="I1152" s="6" t="s">
        <v>3356</v>
      </c>
      <c r="J1152" s="3" t="s">
        <v>3356</v>
      </c>
      <c r="L1152" s="1" t="s">
        <v>6135</v>
      </c>
    </row>
    <row r="1153" spans="1:12">
      <c r="A1153" s="3" t="s">
        <v>3356</v>
      </c>
      <c r="C1153" s="3" t="s">
        <v>3817</v>
      </c>
      <c r="D1153" s="3" t="s">
        <v>3618</v>
      </c>
      <c r="E1153" s="3" t="s">
        <v>3638</v>
      </c>
      <c r="F1153" s="3" t="s">
        <v>4775</v>
      </c>
      <c r="G1153" s="3" t="s">
        <v>8207</v>
      </c>
      <c r="H1153" s="6" t="s">
        <v>3356</v>
      </c>
      <c r="I1153" s="6" t="s">
        <v>3356</v>
      </c>
      <c r="J1153" s="3" t="s">
        <v>3356</v>
      </c>
      <c r="L1153" s="1" t="s">
        <v>6135</v>
      </c>
    </row>
    <row r="1154" spans="1:12">
      <c r="A1154" s="3" t="s">
        <v>3356</v>
      </c>
      <c r="C1154" s="3" t="s">
        <v>3817</v>
      </c>
      <c r="D1154" s="3" t="s">
        <v>3618</v>
      </c>
      <c r="E1154" s="3" t="s">
        <v>3638</v>
      </c>
      <c r="F1154" s="3" t="s">
        <v>4775</v>
      </c>
      <c r="G1154" s="3" t="s">
        <v>5948</v>
      </c>
      <c r="H1154" s="6" t="s">
        <v>3356</v>
      </c>
      <c r="I1154" s="6" t="s">
        <v>3356</v>
      </c>
      <c r="J1154" s="3" t="s">
        <v>3356</v>
      </c>
      <c r="L1154" s="1" t="s">
        <v>6135</v>
      </c>
    </row>
    <row r="1155" spans="1:12">
      <c r="A1155" s="3" t="s">
        <v>3356</v>
      </c>
      <c r="C1155" s="3" t="s">
        <v>3817</v>
      </c>
      <c r="D1155" s="3" t="s">
        <v>3618</v>
      </c>
      <c r="E1155" s="3" t="s">
        <v>3638</v>
      </c>
      <c r="F1155" s="3" t="s">
        <v>4775</v>
      </c>
      <c r="G1155" s="3" t="s">
        <v>6801</v>
      </c>
      <c r="H1155" s="6" t="s">
        <v>3356</v>
      </c>
      <c r="I1155" s="6" t="s">
        <v>3356</v>
      </c>
      <c r="J1155" s="3" t="s">
        <v>3356</v>
      </c>
      <c r="L1155" s="1" t="s">
        <v>6135</v>
      </c>
    </row>
    <row r="1156" spans="1:12">
      <c r="A1156" s="3" t="s">
        <v>3356</v>
      </c>
      <c r="C1156" s="3" t="s">
        <v>3817</v>
      </c>
      <c r="D1156" s="3" t="s">
        <v>3618</v>
      </c>
      <c r="E1156" s="3" t="s">
        <v>3638</v>
      </c>
      <c r="F1156" s="3" t="s">
        <v>4775</v>
      </c>
      <c r="G1156" s="3" t="s">
        <v>6523</v>
      </c>
      <c r="H1156" s="6" t="s">
        <v>3356</v>
      </c>
      <c r="I1156" s="6" t="s">
        <v>3356</v>
      </c>
      <c r="J1156" s="3" t="s">
        <v>3356</v>
      </c>
      <c r="L1156" s="1" t="s">
        <v>6135</v>
      </c>
    </row>
    <row r="1157" spans="1:12">
      <c r="A1157" s="3" t="s">
        <v>3356</v>
      </c>
      <c r="C1157" s="3" t="s">
        <v>3817</v>
      </c>
      <c r="D1157" s="3" t="s">
        <v>3618</v>
      </c>
      <c r="E1157" s="3" t="s">
        <v>3638</v>
      </c>
      <c r="F1157" s="3" t="s">
        <v>4775</v>
      </c>
      <c r="G1157" s="3" t="s">
        <v>7448</v>
      </c>
      <c r="H1157" s="6" t="s">
        <v>3356</v>
      </c>
      <c r="I1157" s="6" t="s">
        <v>3356</v>
      </c>
      <c r="J1157" s="3" t="s">
        <v>3356</v>
      </c>
      <c r="L1157" s="1" t="s">
        <v>6135</v>
      </c>
    </row>
    <row r="1158" spans="1:12">
      <c r="A1158" s="3" t="s">
        <v>3356</v>
      </c>
      <c r="C1158" s="3" t="s">
        <v>3817</v>
      </c>
      <c r="D1158" s="3" t="s">
        <v>3618</v>
      </c>
      <c r="E1158" s="3" t="s">
        <v>3638</v>
      </c>
      <c r="F1158" s="3" t="s">
        <v>4775</v>
      </c>
      <c r="G1158" s="3" t="s">
        <v>6524</v>
      </c>
      <c r="H1158" s="6" t="s">
        <v>3356</v>
      </c>
      <c r="I1158" s="6" t="s">
        <v>3356</v>
      </c>
      <c r="J1158" s="3" t="s">
        <v>3356</v>
      </c>
      <c r="L1158" s="1" t="s">
        <v>6135</v>
      </c>
    </row>
    <row r="1159" spans="1:12">
      <c r="A1159" s="3" t="s">
        <v>3356</v>
      </c>
      <c r="C1159" s="3" t="s">
        <v>3817</v>
      </c>
      <c r="D1159" s="3" t="s">
        <v>3618</v>
      </c>
      <c r="E1159" s="3" t="s">
        <v>3638</v>
      </c>
      <c r="F1159" s="3" t="s">
        <v>4775</v>
      </c>
      <c r="G1159" s="3" t="s">
        <v>6525</v>
      </c>
      <c r="H1159" s="6" t="s">
        <v>3356</v>
      </c>
      <c r="I1159" s="6" t="s">
        <v>3356</v>
      </c>
      <c r="J1159" s="3" t="s">
        <v>3356</v>
      </c>
      <c r="L1159" s="1" t="s">
        <v>6135</v>
      </c>
    </row>
    <row r="1160" spans="1:12">
      <c r="A1160" s="3" t="s">
        <v>3356</v>
      </c>
      <c r="C1160" s="3" t="s">
        <v>3817</v>
      </c>
      <c r="D1160" s="3" t="s">
        <v>3618</v>
      </c>
      <c r="E1160" s="3" t="s">
        <v>3638</v>
      </c>
      <c r="F1160" s="3" t="s">
        <v>4775</v>
      </c>
      <c r="G1160" s="3" t="s">
        <v>6808</v>
      </c>
      <c r="H1160" s="6" t="s">
        <v>3356</v>
      </c>
      <c r="I1160" s="6" t="s">
        <v>3356</v>
      </c>
      <c r="J1160" s="3" t="s">
        <v>3356</v>
      </c>
      <c r="L1160" s="1" t="s">
        <v>6135</v>
      </c>
    </row>
    <row r="1161" spans="1:12">
      <c r="A1161" s="3" t="s">
        <v>3356</v>
      </c>
      <c r="C1161" s="3" t="s">
        <v>3817</v>
      </c>
      <c r="D1161" s="3" t="s">
        <v>3618</v>
      </c>
      <c r="E1161" s="3" t="s">
        <v>3638</v>
      </c>
      <c r="F1161" s="3" t="s">
        <v>4775</v>
      </c>
      <c r="G1161" s="3" t="s">
        <v>6102</v>
      </c>
      <c r="H1161" s="6" t="s">
        <v>3356</v>
      </c>
      <c r="I1161" s="6" t="s">
        <v>3356</v>
      </c>
      <c r="J1161" s="3" t="s">
        <v>3356</v>
      </c>
      <c r="L1161" s="1" t="s">
        <v>6135</v>
      </c>
    </row>
    <row r="1162" spans="1:12">
      <c r="A1162" s="3" t="s">
        <v>3356</v>
      </c>
      <c r="C1162" s="3" t="s">
        <v>3817</v>
      </c>
      <c r="D1162" s="3" t="s">
        <v>3618</v>
      </c>
      <c r="E1162" s="3" t="s">
        <v>3638</v>
      </c>
      <c r="F1162" s="3" t="s">
        <v>4775</v>
      </c>
      <c r="G1162" s="3" t="s">
        <v>6103</v>
      </c>
      <c r="H1162" s="6" t="s">
        <v>3356</v>
      </c>
      <c r="I1162" s="6" t="s">
        <v>3356</v>
      </c>
      <c r="J1162" s="3" t="s">
        <v>3356</v>
      </c>
      <c r="L1162" s="1" t="s">
        <v>6135</v>
      </c>
    </row>
    <row r="1163" spans="1:12">
      <c r="A1163" s="3" t="s">
        <v>3356</v>
      </c>
      <c r="C1163" s="3" t="s">
        <v>3817</v>
      </c>
      <c r="D1163" s="3" t="s">
        <v>3618</v>
      </c>
      <c r="E1163" s="3" t="s">
        <v>3638</v>
      </c>
      <c r="F1163" s="3" t="s">
        <v>4775</v>
      </c>
      <c r="G1163" s="3" t="s">
        <v>5342</v>
      </c>
      <c r="H1163" s="6" t="s">
        <v>3356</v>
      </c>
      <c r="I1163" s="6" t="s">
        <v>3356</v>
      </c>
      <c r="J1163" s="3" t="s">
        <v>3356</v>
      </c>
      <c r="L1163" s="1" t="s">
        <v>6135</v>
      </c>
    </row>
    <row r="1164" spans="1:12">
      <c r="A1164" s="3" t="s">
        <v>3356</v>
      </c>
      <c r="C1164" s="3" t="s">
        <v>3817</v>
      </c>
      <c r="D1164" s="3" t="s">
        <v>3618</v>
      </c>
      <c r="E1164" s="3" t="s">
        <v>3638</v>
      </c>
      <c r="F1164" s="3" t="s">
        <v>4775</v>
      </c>
      <c r="G1164" s="3" t="s">
        <v>6526</v>
      </c>
      <c r="H1164" s="6" t="s">
        <v>3356</v>
      </c>
      <c r="I1164" s="6" t="s">
        <v>3356</v>
      </c>
      <c r="J1164" s="3" t="s">
        <v>3356</v>
      </c>
      <c r="L1164" s="1" t="s">
        <v>6135</v>
      </c>
    </row>
    <row r="1165" spans="1:12">
      <c r="A1165" s="3" t="s">
        <v>3356</v>
      </c>
      <c r="C1165" s="3" t="s">
        <v>3817</v>
      </c>
      <c r="D1165" s="3" t="s">
        <v>3618</v>
      </c>
      <c r="E1165" s="3" t="s">
        <v>3638</v>
      </c>
      <c r="F1165" s="3" t="s">
        <v>4775</v>
      </c>
      <c r="G1165" s="3" t="s">
        <v>6805</v>
      </c>
      <c r="H1165" s="6" t="s">
        <v>3356</v>
      </c>
      <c r="I1165" s="6" t="s">
        <v>3356</v>
      </c>
      <c r="J1165" s="3" t="s">
        <v>3356</v>
      </c>
      <c r="L1165" s="1" t="s">
        <v>6135</v>
      </c>
    </row>
    <row r="1166" spans="1:12">
      <c r="A1166" s="3" t="s">
        <v>3356</v>
      </c>
      <c r="C1166" s="3" t="s">
        <v>3817</v>
      </c>
      <c r="D1166" s="3" t="s">
        <v>3618</v>
      </c>
      <c r="E1166" s="3" t="s">
        <v>3638</v>
      </c>
      <c r="F1166" s="3" t="s">
        <v>4775</v>
      </c>
      <c r="G1166" s="3" t="s">
        <v>6806</v>
      </c>
      <c r="H1166" s="6" t="s">
        <v>3356</v>
      </c>
      <c r="I1166" s="6" t="s">
        <v>3356</v>
      </c>
      <c r="J1166" s="3" t="s">
        <v>3356</v>
      </c>
      <c r="L1166" s="1" t="s">
        <v>6135</v>
      </c>
    </row>
    <row r="1167" spans="1:12">
      <c r="A1167" s="3" t="s">
        <v>3356</v>
      </c>
      <c r="C1167" s="3" t="s">
        <v>3817</v>
      </c>
      <c r="D1167" s="3" t="s">
        <v>3618</v>
      </c>
      <c r="E1167" s="3" t="s">
        <v>3638</v>
      </c>
      <c r="F1167" s="3" t="s">
        <v>4775</v>
      </c>
      <c r="G1167" s="3" t="s">
        <v>6807</v>
      </c>
      <c r="H1167" s="6" t="s">
        <v>3356</v>
      </c>
      <c r="I1167" s="6" t="s">
        <v>3356</v>
      </c>
      <c r="J1167" s="3" t="s">
        <v>3356</v>
      </c>
      <c r="L1167" s="1" t="s">
        <v>6135</v>
      </c>
    </row>
    <row r="1168" spans="1:12">
      <c r="A1168" s="3" t="s">
        <v>3356</v>
      </c>
      <c r="C1168" s="3" t="s">
        <v>3817</v>
      </c>
      <c r="D1168" s="3" t="s">
        <v>3618</v>
      </c>
      <c r="E1168" s="3" t="s">
        <v>3638</v>
      </c>
      <c r="F1168" s="3" t="s">
        <v>4775</v>
      </c>
      <c r="G1168" s="3" t="s">
        <v>6521</v>
      </c>
      <c r="H1168" s="6" t="s">
        <v>3356</v>
      </c>
      <c r="I1168" s="6" t="s">
        <v>3356</v>
      </c>
      <c r="J1168" s="3" t="s">
        <v>3356</v>
      </c>
      <c r="L1168" s="1" t="s">
        <v>6135</v>
      </c>
    </row>
    <row r="1169" spans="1:12">
      <c r="A1169" s="3" t="s">
        <v>3356</v>
      </c>
      <c r="C1169" s="3" t="s">
        <v>3817</v>
      </c>
      <c r="D1169" s="3" t="s">
        <v>3618</v>
      </c>
      <c r="E1169" s="3" t="s">
        <v>3638</v>
      </c>
      <c r="F1169" s="3" t="s">
        <v>4775</v>
      </c>
      <c r="G1169" s="3" t="s">
        <v>6108</v>
      </c>
      <c r="H1169" s="6" t="s">
        <v>3356</v>
      </c>
      <c r="I1169" s="6" t="s">
        <v>3356</v>
      </c>
      <c r="J1169" s="3" t="s">
        <v>3356</v>
      </c>
      <c r="L1169" s="1" t="s">
        <v>6135</v>
      </c>
    </row>
    <row r="1170" spans="1:12">
      <c r="A1170" s="3" t="s">
        <v>3356</v>
      </c>
      <c r="C1170" s="3" t="s">
        <v>3817</v>
      </c>
      <c r="D1170" s="3" t="s">
        <v>3618</v>
      </c>
      <c r="E1170" s="3" t="s">
        <v>3638</v>
      </c>
      <c r="F1170" s="3" t="s">
        <v>4775</v>
      </c>
      <c r="G1170" s="3" t="s">
        <v>6113</v>
      </c>
      <c r="H1170" s="6" t="s">
        <v>3356</v>
      </c>
      <c r="I1170" s="6" t="s">
        <v>3356</v>
      </c>
      <c r="J1170" s="3" t="s">
        <v>3356</v>
      </c>
      <c r="L1170" s="1" t="s">
        <v>6135</v>
      </c>
    </row>
    <row r="1171" spans="1:12">
      <c r="A1171" s="3" t="s">
        <v>3356</v>
      </c>
      <c r="C1171" s="3" t="s">
        <v>3817</v>
      </c>
      <c r="D1171" s="3" t="s">
        <v>3618</v>
      </c>
      <c r="E1171" s="3" t="s">
        <v>3638</v>
      </c>
      <c r="F1171" s="3" t="s">
        <v>4775</v>
      </c>
      <c r="G1171" s="3" t="s">
        <v>6529</v>
      </c>
      <c r="H1171" s="6" t="s">
        <v>3356</v>
      </c>
      <c r="I1171" s="6" t="s">
        <v>3356</v>
      </c>
      <c r="J1171" s="3" t="s">
        <v>3356</v>
      </c>
      <c r="L1171" s="1" t="s">
        <v>6135</v>
      </c>
    </row>
    <row r="1172" spans="1:12">
      <c r="A1172" s="3" t="s">
        <v>3356</v>
      </c>
      <c r="C1172" s="3" t="s">
        <v>3817</v>
      </c>
      <c r="D1172" s="3" t="s">
        <v>3618</v>
      </c>
      <c r="E1172" s="3" t="s">
        <v>3638</v>
      </c>
      <c r="F1172" s="3" t="s">
        <v>4775</v>
      </c>
      <c r="G1172" s="3" t="s">
        <v>6530</v>
      </c>
      <c r="H1172" s="6" t="s">
        <v>3356</v>
      </c>
      <c r="I1172" s="6" t="s">
        <v>3356</v>
      </c>
      <c r="J1172" s="3" t="s">
        <v>3356</v>
      </c>
      <c r="L1172" s="1" t="s">
        <v>6135</v>
      </c>
    </row>
    <row r="1173" spans="1:12">
      <c r="A1173" s="3" t="s">
        <v>3356</v>
      </c>
      <c r="C1173" s="3" t="s">
        <v>3817</v>
      </c>
      <c r="D1173" s="3" t="s">
        <v>3618</v>
      </c>
      <c r="E1173" s="3" t="s">
        <v>3638</v>
      </c>
      <c r="F1173" s="3" t="s">
        <v>4775</v>
      </c>
      <c r="G1173" s="3" t="s">
        <v>6531</v>
      </c>
      <c r="H1173" s="6" t="s">
        <v>3356</v>
      </c>
      <c r="I1173" s="6" t="s">
        <v>3356</v>
      </c>
      <c r="J1173" s="3" t="s">
        <v>3356</v>
      </c>
      <c r="L1173" s="1" t="s">
        <v>6135</v>
      </c>
    </row>
    <row r="1174" spans="1:12">
      <c r="A1174" s="3" t="s">
        <v>3356</v>
      </c>
      <c r="C1174" s="3" t="s">
        <v>3817</v>
      </c>
      <c r="D1174" s="3" t="s">
        <v>3618</v>
      </c>
      <c r="E1174" s="3" t="s">
        <v>3638</v>
      </c>
      <c r="F1174" s="3" t="s">
        <v>4775</v>
      </c>
      <c r="G1174" s="3" t="s">
        <v>6532</v>
      </c>
      <c r="H1174" s="6" t="s">
        <v>3356</v>
      </c>
      <c r="I1174" s="6" t="s">
        <v>3356</v>
      </c>
      <c r="J1174" s="3" t="s">
        <v>3356</v>
      </c>
      <c r="L1174" s="1" t="s">
        <v>6135</v>
      </c>
    </row>
    <row r="1175" spans="1:12">
      <c r="A1175" s="3" t="s">
        <v>3356</v>
      </c>
      <c r="C1175" s="3" t="s">
        <v>3817</v>
      </c>
      <c r="D1175" s="3" t="s">
        <v>3618</v>
      </c>
      <c r="E1175" s="3" t="s">
        <v>3638</v>
      </c>
      <c r="F1175" s="3" t="s">
        <v>4775</v>
      </c>
      <c r="G1175" s="3" t="s">
        <v>6533</v>
      </c>
      <c r="H1175" s="6" t="s">
        <v>3356</v>
      </c>
      <c r="I1175" s="6" t="s">
        <v>3356</v>
      </c>
      <c r="J1175" s="3" t="s">
        <v>3356</v>
      </c>
      <c r="L1175" s="1" t="s">
        <v>6135</v>
      </c>
    </row>
    <row r="1176" spans="1:12">
      <c r="A1176" s="3" t="s">
        <v>3356</v>
      </c>
      <c r="C1176" s="3" t="s">
        <v>3817</v>
      </c>
      <c r="D1176" s="3" t="s">
        <v>3618</v>
      </c>
      <c r="E1176" s="3" t="s">
        <v>3638</v>
      </c>
      <c r="F1176" s="3" t="s">
        <v>4775</v>
      </c>
      <c r="G1176" s="3" t="s">
        <v>5681</v>
      </c>
      <c r="H1176" s="6">
        <v>1.7193312869837267</v>
      </c>
      <c r="I1176" s="6">
        <v>52.4</v>
      </c>
      <c r="J1176" s="3" t="s">
        <v>6736</v>
      </c>
      <c r="L1176" s="1" t="s">
        <v>6135</v>
      </c>
    </row>
    <row r="1177" spans="1:12">
      <c r="A1177" s="3" t="s">
        <v>3356</v>
      </c>
      <c r="C1177" s="3" t="s">
        <v>3817</v>
      </c>
      <c r="D1177" s="3" t="s">
        <v>3618</v>
      </c>
      <c r="E1177" s="3" t="s">
        <v>3638</v>
      </c>
      <c r="F1177" s="3" t="s">
        <v>4775</v>
      </c>
      <c r="G1177" s="3" t="s">
        <v>6534</v>
      </c>
      <c r="H1177" s="6" t="s">
        <v>3356</v>
      </c>
      <c r="I1177" s="6" t="s">
        <v>3356</v>
      </c>
      <c r="J1177" s="3" t="s">
        <v>3356</v>
      </c>
      <c r="L1177" s="1" t="s">
        <v>6135</v>
      </c>
    </row>
    <row r="1178" spans="1:12">
      <c r="A1178" s="3" t="s">
        <v>3356</v>
      </c>
      <c r="C1178" s="3" t="s">
        <v>3817</v>
      </c>
      <c r="D1178" s="3" t="s">
        <v>3618</v>
      </c>
      <c r="E1178" s="3" t="s">
        <v>3638</v>
      </c>
      <c r="F1178" s="3" t="s">
        <v>4775</v>
      </c>
      <c r="G1178" s="3" t="s">
        <v>6535</v>
      </c>
      <c r="H1178" s="6" t="s">
        <v>3356</v>
      </c>
      <c r="I1178" s="6" t="s">
        <v>3356</v>
      </c>
      <c r="J1178" s="3" t="s">
        <v>3356</v>
      </c>
      <c r="L1178" s="1" t="s">
        <v>6135</v>
      </c>
    </row>
    <row r="1179" spans="1:12">
      <c r="A1179" s="3" t="s">
        <v>3356</v>
      </c>
      <c r="C1179" s="3" t="s">
        <v>3817</v>
      </c>
      <c r="D1179" s="3" t="s">
        <v>3618</v>
      </c>
      <c r="E1179" s="3" t="s">
        <v>3638</v>
      </c>
      <c r="F1179" s="3" t="s">
        <v>4775</v>
      </c>
      <c r="G1179" s="3" t="s">
        <v>6564</v>
      </c>
      <c r="H1179" s="6" t="s">
        <v>3356</v>
      </c>
      <c r="I1179" s="6" t="s">
        <v>3356</v>
      </c>
      <c r="J1179" s="3" t="s">
        <v>3356</v>
      </c>
      <c r="L1179" s="1" t="s">
        <v>6135</v>
      </c>
    </row>
    <row r="1180" spans="1:12">
      <c r="A1180" s="3" t="s">
        <v>3356</v>
      </c>
      <c r="C1180" s="3" t="s">
        <v>3817</v>
      </c>
      <c r="D1180" s="3" t="s">
        <v>3618</v>
      </c>
      <c r="E1180" s="3" t="s">
        <v>3638</v>
      </c>
      <c r="F1180" s="3" t="s">
        <v>4775</v>
      </c>
      <c r="G1180" s="3" t="s">
        <v>6389</v>
      </c>
      <c r="H1180" s="6" t="s">
        <v>3356</v>
      </c>
      <c r="I1180" s="6" t="s">
        <v>3356</v>
      </c>
      <c r="J1180" s="3" t="s">
        <v>3356</v>
      </c>
      <c r="L1180" s="1" t="s">
        <v>6135</v>
      </c>
    </row>
    <row r="1181" spans="1:12">
      <c r="A1181" s="3" t="s">
        <v>3356</v>
      </c>
      <c r="C1181" s="3" t="s">
        <v>3817</v>
      </c>
      <c r="D1181" s="3" t="s">
        <v>3618</v>
      </c>
      <c r="E1181" s="3" t="s">
        <v>3638</v>
      </c>
      <c r="F1181" s="3" t="s">
        <v>4775</v>
      </c>
      <c r="G1181" s="3" t="s">
        <v>3467</v>
      </c>
      <c r="H1181" s="6" t="s">
        <v>3356</v>
      </c>
      <c r="I1181" s="6" t="s">
        <v>3356</v>
      </c>
      <c r="J1181" s="3" t="s">
        <v>3356</v>
      </c>
      <c r="L1181" s="1" t="s">
        <v>6135</v>
      </c>
    </row>
    <row r="1182" spans="1:12">
      <c r="A1182" s="3" t="s">
        <v>3356</v>
      </c>
      <c r="C1182" s="3" t="s">
        <v>3817</v>
      </c>
      <c r="D1182" s="3" t="s">
        <v>3618</v>
      </c>
      <c r="E1182" s="3" t="s">
        <v>3638</v>
      </c>
      <c r="F1182" s="3" t="s">
        <v>4775</v>
      </c>
      <c r="G1182" s="3" t="s">
        <v>5476</v>
      </c>
      <c r="H1182" s="6" t="s">
        <v>3356</v>
      </c>
      <c r="I1182" s="6" t="s">
        <v>3356</v>
      </c>
      <c r="J1182" s="3" t="s">
        <v>3356</v>
      </c>
      <c r="L1182" s="1" t="s">
        <v>6135</v>
      </c>
    </row>
    <row r="1183" spans="1:12">
      <c r="A1183" s="3" t="s">
        <v>3356</v>
      </c>
      <c r="C1183" s="3" t="s">
        <v>3817</v>
      </c>
      <c r="D1183" s="3" t="s">
        <v>3618</v>
      </c>
      <c r="E1183" s="3" t="s">
        <v>3638</v>
      </c>
      <c r="F1183" s="3" t="s">
        <v>4775</v>
      </c>
      <c r="G1183" s="3" t="s">
        <v>3696</v>
      </c>
      <c r="H1183" s="6" t="s">
        <v>3356</v>
      </c>
      <c r="I1183" s="6" t="s">
        <v>3356</v>
      </c>
      <c r="J1183" s="3" t="s">
        <v>3356</v>
      </c>
      <c r="L1183" s="1" t="s">
        <v>6135</v>
      </c>
    </row>
    <row r="1184" spans="1:12">
      <c r="A1184" s="3" t="s">
        <v>3356</v>
      </c>
      <c r="C1184" s="3" t="s">
        <v>3817</v>
      </c>
      <c r="D1184" s="3" t="s">
        <v>3618</v>
      </c>
      <c r="E1184" s="3" t="s">
        <v>3638</v>
      </c>
      <c r="F1184" s="3" t="s">
        <v>4775</v>
      </c>
      <c r="G1184" s="3" t="s">
        <v>3878</v>
      </c>
      <c r="H1184" s="6" t="s">
        <v>3356</v>
      </c>
      <c r="I1184" s="6" t="s">
        <v>3356</v>
      </c>
      <c r="J1184" s="3" t="s">
        <v>3356</v>
      </c>
      <c r="L1184" s="1" t="s">
        <v>6135</v>
      </c>
    </row>
    <row r="1185" spans="1:12">
      <c r="A1185" s="3" t="s">
        <v>3356</v>
      </c>
      <c r="C1185" s="3" t="s">
        <v>3817</v>
      </c>
      <c r="D1185" s="3" t="s">
        <v>3618</v>
      </c>
      <c r="E1185" s="3" t="s">
        <v>3638</v>
      </c>
      <c r="F1185" s="3" t="s">
        <v>4775</v>
      </c>
      <c r="G1185" s="3" t="s">
        <v>4104</v>
      </c>
      <c r="H1185" s="6" t="s">
        <v>3356</v>
      </c>
      <c r="I1185" s="6" t="s">
        <v>3356</v>
      </c>
      <c r="J1185" s="3" t="s">
        <v>3356</v>
      </c>
      <c r="L1185" s="1" t="s">
        <v>6135</v>
      </c>
    </row>
    <row r="1186" spans="1:12">
      <c r="A1186" s="3" t="s">
        <v>3356</v>
      </c>
      <c r="C1186" s="3" t="s">
        <v>3817</v>
      </c>
      <c r="D1186" s="3" t="s">
        <v>3618</v>
      </c>
      <c r="E1186" s="3" t="s">
        <v>3638</v>
      </c>
      <c r="F1186" s="3" t="s">
        <v>4775</v>
      </c>
      <c r="G1186" s="3" t="s">
        <v>4103</v>
      </c>
      <c r="H1186" s="6" t="s">
        <v>3356</v>
      </c>
      <c r="I1186" s="6" t="s">
        <v>3356</v>
      </c>
      <c r="J1186" s="3" t="s">
        <v>3356</v>
      </c>
      <c r="L1186" s="1" t="s">
        <v>6135</v>
      </c>
    </row>
    <row r="1187" spans="1:12">
      <c r="A1187" s="3" t="s">
        <v>3356</v>
      </c>
      <c r="C1187" s="3" t="s">
        <v>3817</v>
      </c>
      <c r="D1187" s="3" t="s">
        <v>3618</v>
      </c>
      <c r="E1187" s="3" t="s">
        <v>3638</v>
      </c>
      <c r="F1187" s="3" t="s">
        <v>4775</v>
      </c>
      <c r="G1187" s="3" t="s">
        <v>8217</v>
      </c>
      <c r="H1187" s="6" t="s">
        <v>3356</v>
      </c>
      <c r="I1187" s="6" t="s">
        <v>3356</v>
      </c>
      <c r="J1187" s="3" t="s">
        <v>3356</v>
      </c>
      <c r="L1187" s="1" t="s">
        <v>6135</v>
      </c>
    </row>
    <row r="1188" spans="1:12">
      <c r="A1188" s="3" t="s">
        <v>3356</v>
      </c>
      <c r="C1188" s="3" t="s">
        <v>3817</v>
      </c>
      <c r="D1188" s="3" t="s">
        <v>3618</v>
      </c>
      <c r="E1188" s="3" t="s">
        <v>3638</v>
      </c>
      <c r="F1188" s="3" t="s">
        <v>4775</v>
      </c>
      <c r="G1188" s="3" t="s">
        <v>8218</v>
      </c>
      <c r="H1188" s="6" t="s">
        <v>3356</v>
      </c>
      <c r="I1188" s="6" t="s">
        <v>3356</v>
      </c>
      <c r="J1188" s="3" t="s">
        <v>3356</v>
      </c>
      <c r="L1188" s="1" t="s">
        <v>6135</v>
      </c>
    </row>
    <row r="1189" spans="1:12">
      <c r="A1189" s="3" t="s">
        <v>3356</v>
      </c>
      <c r="C1189" s="3" t="s">
        <v>3817</v>
      </c>
      <c r="D1189" s="3" t="s">
        <v>3618</v>
      </c>
      <c r="E1189" s="3" t="s">
        <v>3638</v>
      </c>
      <c r="F1189" s="3" t="s">
        <v>4775</v>
      </c>
      <c r="G1189" s="3" t="s">
        <v>8219</v>
      </c>
      <c r="H1189" s="6" t="s">
        <v>3356</v>
      </c>
      <c r="I1189" s="6" t="s">
        <v>3356</v>
      </c>
      <c r="J1189" s="3" t="s">
        <v>3356</v>
      </c>
      <c r="L1189" s="1" t="s">
        <v>6135</v>
      </c>
    </row>
    <row r="1190" spans="1:12">
      <c r="A1190" s="3" t="s">
        <v>3356</v>
      </c>
      <c r="C1190" s="3" t="s">
        <v>3817</v>
      </c>
      <c r="D1190" s="3" t="s">
        <v>3618</v>
      </c>
      <c r="E1190" s="3" t="s">
        <v>3638</v>
      </c>
      <c r="F1190" s="3" t="s">
        <v>4775</v>
      </c>
      <c r="G1190" s="3" t="s">
        <v>8221</v>
      </c>
      <c r="H1190" s="6" t="s">
        <v>3356</v>
      </c>
      <c r="I1190" s="6" t="s">
        <v>3356</v>
      </c>
      <c r="J1190" s="3" t="s">
        <v>3356</v>
      </c>
      <c r="L1190" s="1" t="s">
        <v>6135</v>
      </c>
    </row>
    <row r="1191" spans="1:12">
      <c r="A1191" s="3" t="s">
        <v>3356</v>
      </c>
      <c r="C1191" s="3" t="s">
        <v>3817</v>
      </c>
      <c r="D1191" s="3" t="s">
        <v>3618</v>
      </c>
      <c r="E1191" s="3" t="s">
        <v>3638</v>
      </c>
      <c r="F1191" s="3" t="s">
        <v>8300</v>
      </c>
      <c r="G1191" s="3" t="s">
        <v>6011</v>
      </c>
      <c r="H1191" s="6" t="s">
        <v>3356</v>
      </c>
      <c r="I1191" s="6" t="s">
        <v>3356</v>
      </c>
      <c r="J1191" s="3" t="s">
        <v>3356</v>
      </c>
      <c r="L1191" s="1" t="s">
        <v>6135</v>
      </c>
    </row>
    <row r="1192" spans="1:12">
      <c r="A1192" s="3" t="s">
        <v>3356</v>
      </c>
      <c r="C1192" s="3" t="s">
        <v>3817</v>
      </c>
      <c r="D1192" s="3" t="s">
        <v>3618</v>
      </c>
      <c r="E1192" s="3" t="s">
        <v>3638</v>
      </c>
      <c r="F1192" s="3" t="s">
        <v>3402</v>
      </c>
      <c r="G1192" s="3" t="s">
        <v>6456</v>
      </c>
      <c r="H1192" s="6" t="s">
        <v>3356</v>
      </c>
      <c r="I1192" s="6" t="s">
        <v>3356</v>
      </c>
      <c r="J1192" s="3" t="s">
        <v>3356</v>
      </c>
      <c r="L1192" s="1" t="s">
        <v>6135</v>
      </c>
    </row>
    <row r="1193" spans="1:12">
      <c r="A1193" s="3" t="s">
        <v>3356</v>
      </c>
      <c r="C1193" s="3" t="s">
        <v>3817</v>
      </c>
      <c r="D1193" s="3" t="s">
        <v>3618</v>
      </c>
      <c r="E1193" s="3" t="s">
        <v>3638</v>
      </c>
      <c r="F1193" s="3" t="s">
        <v>3402</v>
      </c>
      <c r="G1193" s="3" t="s">
        <v>6745</v>
      </c>
      <c r="H1193" s="6" t="s">
        <v>3356</v>
      </c>
      <c r="I1193" s="6" t="s">
        <v>3356</v>
      </c>
      <c r="J1193" s="3" t="s">
        <v>3356</v>
      </c>
      <c r="L1193" s="1" t="s">
        <v>6135</v>
      </c>
    </row>
    <row r="1194" spans="1:12">
      <c r="A1194" s="3" t="s">
        <v>3356</v>
      </c>
      <c r="C1194" s="3" t="s">
        <v>3817</v>
      </c>
      <c r="D1194" s="3" t="s">
        <v>3618</v>
      </c>
      <c r="E1194" s="3" t="s">
        <v>3638</v>
      </c>
      <c r="F1194" s="3" t="s">
        <v>3402</v>
      </c>
      <c r="G1194" s="3" t="s">
        <v>3526</v>
      </c>
      <c r="H1194" s="6" t="s">
        <v>3356</v>
      </c>
      <c r="I1194" s="6" t="s">
        <v>3356</v>
      </c>
      <c r="J1194" s="3" t="s">
        <v>3356</v>
      </c>
      <c r="L1194" s="1" t="s">
        <v>6135</v>
      </c>
    </row>
    <row r="1195" spans="1:12">
      <c r="A1195" s="3" t="s">
        <v>3356</v>
      </c>
      <c r="C1195" s="3" t="s">
        <v>3817</v>
      </c>
      <c r="D1195" s="3" t="s">
        <v>3618</v>
      </c>
      <c r="E1195" s="3" t="s">
        <v>3638</v>
      </c>
      <c r="F1195" s="3" t="s">
        <v>3402</v>
      </c>
      <c r="G1195" s="3" t="s">
        <v>6746</v>
      </c>
      <c r="H1195" s="6" t="s">
        <v>3356</v>
      </c>
      <c r="I1195" s="6" t="s">
        <v>3356</v>
      </c>
      <c r="J1195" s="3" t="s">
        <v>3356</v>
      </c>
      <c r="L1195" s="1" t="s">
        <v>6135</v>
      </c>
    </row>
    <row r="1196" spans="1:12">
      <c r="A1196" s="3" t="s">
        <v>3356</v>
      </c>
      <c r="C1196" s="3" t="s">
        <v>3817</v>
      </c>
      <c r="D1196" s="3" t="s">
        <v>3618</v>
      </c>
      <c r="E1196" s="3" t="s">
        <v>3638</v>
      </c>
      <c r="F1196" s="3" t="s">
        <v>3402</v>
      </c>
      <c r="G1196" s="3" t="s">
        <v>4400</v>
      </c>
      <c r="H1196" s="6" t="s">
        <v>3356</v>
      </c>
      <c r="I1196" s="6" t="s">
        <v>3356</v>
      </c>
      <c r="J1196" s="3" t="s">
        <v>3356</v>
      </c>
      <c r="L1196" s="1" t="s">
        <v>6135</v>
      </c>
    </row>
    <row r="1197" spans="1:12">
      <c r="A1197" s="3" t="s">
        <v>3356</v>
      </c>
      <c r="C1197" s="3" t="s">
        <v>3817</v>
      </c>
      <c r="D1197" s="3" t="s">
        <v>3618</v>
      </c>
      <c r="E1197" s="3" t="s">
        <v>3638</v>
      </c>
      <c r="F1197" s="3" t="s">
        <v>3402</v>
      </c>
      <c r="G1197" s="3" t="s">
        <v>7405</v>
      </c>
      <c r="H1197" s="6" t="s">
        <v>3356</v>
      </c>
      <c r="I1197" s="6" t="s">
        <v>3356</v>
      </c>
      <c r="J1197" s="3" t="s">
        <v>3356</v>
      </c>
      <c r="L1197" s="1" t="s">
        <v>6135</v>
      </c>
    </row>
    <row r="1198" spans="1:12">
      <c r="A1198" s="3" t="s">
        <v>3356</v>
      </c>
      <c r="C1198" s="3" t="s">
        <v>3817</v>
      </c>
      <c r="D1198" s="3" t="s">
        <v>3618</v>
      </c>
      <c r="E1198" s="3" t="s">
        <v>3638</v>
      </c>
      <c r="F1198" s="3" t="s">
        <v>3402</v>
      </c>
      <c r="G1198" s="3" t="s">
        <v>8129</v>
      </c>
      <c r="H1198" s="6" t="s">
        <v>3356</v>
      </c>
      <c r="I1198" s="6" t="s">
        <v>3356</v>
      </c>
      <c r="J1198" s="3" t="s">
        <v>3356</v>
      </c>
      <c r="L1198" s="1" t="s">
        <v>6135</v>
      </c>
    </row>
    <row r="1199" spans="1:12">
      <c r="A1199" s="3" t="s">
        <v>3356</v>
      </c>
      <c r="C1199" s="3" t="s">
        <v>3817</v>
      </c>
      <c r="D1199" s="3" t="s">
        <v>3618</v>
      </c>
      <c r="E1199" s="3" t="s">
        <v>3638</v>
      </c>
      <c r="F1199" s="3" t="s">
        <v>3402</v>
      </c>
      <c r="G1199" s="3" t="s">
        <v>7052</v>
      </c>
      <c r="H1199" s="6" t="s">
        <v>3356</v>
      </c>
      <c r="I1199" s="6" t="s">
        <v>3356</v>
      </c>
      <c r="J1199" s="3" t="s">
        <v>3356</v>
      </c>
      <c r="L1199" s="1" t="s">
        <v>6135</v>
      </c>
    </row>
    <row r="1200" spans="1:12">
      <c r="A1200" s="3" t="s">
        <v>3356</v>
      </c>
      <c r="C1200" s="3" t="s">
        <v>3817</v>
      </c>
      <c r="D1200" s="3" t="s">
        <v>3618</v>
      </c>
      <c r="E1200" s="3" t="s">
        <v>3638</v>
      </c>
      <c r="F1200" s="3" t="s">
        <v>3656</v>
      </c>
      <c r="G1200" s="3" t="s">
        <v>4665</v>
      </c>
      <c r="H1200" s="6" t="s">
        <v>3356</v>
      </c>
      <c r="I1200" s="6" t="s">
        <v>3356</v>
      </c>
      <c r="J1200" s="3" t="s">
        <v>3356</v>
      </c>
      <c r="L1200" s="1" t="s">
        <v>6135</v>
      </c>
    </row>
    <row r="1201" spans="1:12">
      <c r="A1201" s="3" t="s">
        <v>3356</v>
      </c>
      <c r="C1201" s="3" t="s">
        <v>3817</v>
      </c>
      <c r="D1201" s="3" t="s">
        <v>3618</v>
      </c>
      <c r="E1201" s="3" t="s">
        <v>3638</v>
      </c>
      <c r="F1201" s="3" t="s">
        <v>8294</v>
      </c>
      <c r="G1201" s="3" t="s">
        <v>8295</v>
      </c>
      <c r="H1201" s="6" t="s">
        <v>3356</v>
      </c>
      <c r="I1201" s="6" t="s">
        <v>3356</v>
      </c>
      <c r="J1201" s="3" t="s">
        <v>3356</v>
      </c>
      <c r="L1201" s="1" t="s">
        <v>6135</v>
      </c>
    </row>
    <row r="1202" spans="1:12">
      <c r="A1202" s="3" t="s">
        <v>3356</v>
      </c>
      <c r="C1202" s="3" t="s">
        <v>3817</v>
      </c>
      <c r="D1202" s="3" t="s">
        <v>3618</v>
      </c>
      <c r="E1202" s="3" t="s">
        <v>3638</v>
      </c>
      <c r="F1202" s="3" t="s">
        <v>6012</v>
      </c>
      <c r="G1202" s="3" t="s">
        <v>6013</v>
      </c>
      <c r="H1202" s="6" t="s">
        <v>3356</v>
      </c>
      <c r="I1202" s="6" t="s">
        <v>3356</v>
      </c>
      <c r="J1202" s="3" t="s">
        <v>3356</v>
      </c>
      <c r="L1202" s="1" t="s">
        <v>6135</v>
      </c>
    </row>
    <row r="1203" spans="1:12">
      <c r="A1203" s="3" t="s">
        <v>3356</v>
      </c>
      <c r="C1203" s="3" t="s">
        <v>3817</v>
      </c>
      <c r="D1203" s="3" t="s">
        <v>3618</v>
      </c>
      <c r="E1203" s="3" t="s">
        <v>3638</v>
      </c>
      <c r="F1203" s="3" t="s">
        <v>6012</v>
      </c>
      <c r="G1203" s="3" t="s">
        <v>6014</v>
      </c>
      <c r="H1203" s="6" t="s">
        <v>3356</v>
      </c>
      <c r="I1203" s="6" t="s">
        <v>3356</v>
      </c>
      <c r="J1203" s="3" t="s">
        <v>3356</v>
      </c>
      <c r="L1203" s="1" t="s">
        <v>6135</v>
      </c>
    </row>
    <row r="1204" spans="1:12">
      <c r="A1204" s="3" t="s">
        <v>3356</v>
      </c>
      <c r="C1204" s="3" t="s">
        <v>3817</v>
      </c>
      <c r="D1204" s="3" t="s">
        <v>3618</v>
      </c>
      <c r="E1204" s="3" t="s">
        <v>3638</v>
      </c>
      <c r="F1204" s="3" t="s">
        <v>6012</v>
      </c>
      <c r="G1204" s="3" t="s">
        <v>4473</v>
      </c>
      <c r="H1204" s="6" t="s">
        <v>3356</v>
      </c>
      <c r="I1204" s="6" t="s">
        <v>3356</v>
      </c>
      <c r="J1204" s="3" t="s">
        <v>3356</v>
      </c>
      <c r="L1204" s="1" t="s">
        <v>6135</v>
      </c>
    </row>
    <row r="1205" spans="1:12">
      <c r="A1205" s="3" t="s">
        <v>3356</v>
      </c>
      <c r="C1205" s="3" t="s">
        <v>3817</v>
      </c>
      <c r="D1205" s="3" t="s">
        <v>3618</v>
      </c>
      <c r="E1205" s="3" t="s">
        <v>3638</v>
      </c>
      <c r="F1205" s="3" t="s">
        <v>6015</v>
      </c>
      <c r="G1205" s="3" t="s">
        <v>3579</v>
      </c>
      <c r="H1205" s="6" t="s">
        <v>3356</v>
      </c>
      <c r="I1205" s="6" t="s">
        <v>3356</v>
      </c>
      <c r="J1205" s="3" t="s">
        <v>3356</v>
      </c>
      <c r="L1205" s="1" t="s">
        <v>6135</v>
      </c>
    </row>
    <row r="1206" spans="1:12">
      <c r="A1206" s="3" t="s">
        <v>3356</v>
      </c>
      <c r="C1206" s="3" t="s">
        <v>3817</v>
      </c>
      <c r="D1206" s="3" t="s">
        <v>3618</v>
      </c>
      <c r="E1206" s="3" t="s">
        <v>3638</v>
      </c>
      <c r="F1206" s="3" t="s">
        <v>6015</v>
      </c>
      <c r="G1206" s="3" t="s">
        <v>3295</v>
      </c>
      <c r="H1206" s="6" t="s">
        <v>3356</v>
      </c>
      <c r="I1206" s="6" t="s">
        <v>3356</v>
      </c>
      <c r="J1206" s="3" t="s">
        <v>3356</v>
      </c>
      <c r="L1206" s="1" t="s">
        <v>6135</v>
      </c>
    </row>
    <row r="1207" spans="1:12">
      <c r="A1207" s="3" t="s">
        <v>3356</v>
      </c>
      <c r="C1207" s="3" t="s">
        <v>3817</v>
      </c>
      <c r="D1207" s="3" t="s">
        <v>3618</v>
      </c>
      <c r="E1207" s="3" t="s">
        <v>3638</v>
      </c>
      <c r="F1207" s="3" t="s">
        <v>3421</v>
      </c>
      <c r="G1207" s="3" t="s">
        <v>5811</v>
      </c>
      <c r="H1207" s="6" t="s">
        <v>3356</v>
      </c>
      <c r="I1207" s="6" t="s">
        <v>3356</v>
      </c>
      <c r="J1207" s="3" t="s">
        <v>3356</v>
      </c>
      <c r="L1207" s="1" t="s">
        <v>6135</v>
      </c>
    </row>
    <row r="1208" spans="1:12">
      <c r="A1208" s="3" t="s">
        <v>3356</v>
      </c>
      <c r="C1208" s="3" t="s">
        <v>3817</v>
      </c>
      <c r="D1208" s="3" t="s">
        <v>3618</v>
      </c>
      <c r="E1208" s="3" t="s">
        <v>3638</v>
      </c>
      <c r="F1208" s="3" t="s">
        <v>3421</v>
      </c>
      <c r="G1208" s="3" t="s">
        <v>7450</v>
      </c>
      <c r="H1208" s="6" t="s">
        <v>3356</v>
      </c>
      <c r="I1208" s="6" t="s">
        <v>3356</v>
      </c>
      <c r="J1208" s="3" t="s">
        <v>3356</v>
      </c>
      <c r="L1208" s="1" t="s">
        <v>6135</v>
      </c>
    </row>
    <row r="1209" spans="1:12">
      <c r="A1209" s="3" t="s">
        <v>3356</v>
      </c>
      <c r="C1209" s="3" t="s">
        <v>3817</v>
      </c>
      <c r="D1209" s="3" t="s">
        <v>3618</v>
      </c>
      <c r="E1209" s="3" t="s">
        <v>3638</v>
      </c>
      <c r="F1209" s="3" t="s">
        <v>3421</v>
      </c>
      <c r="G1209" s="3" t="s">
        <v>7137</v>
      </c>
      <c r="H1209" s="6" t="s">
        <v>3356</v>
      </c>
      <c r="I1209" s="6" t="s">
        <v>3356</v>
      </c>
      <c r="J1209" s="3" t="s">
        <v>3356</v>
      </c>
      <c r="L1209" s="1" t="s">
        <v>6135</v>
      </c>
    </row>
    <row r="1210" spans="1:12">
      <c r="A1210" s="3" t="s">
        <v>3356</v>
      </c>
      <c r="C1210" s="3" t="s">
        <v>3817</v>
      </c>
      <c r="D1210" s="3" t="s">
        <v>3618</v>
      </c>
      <c r="E1210" s="3" t="s">
        <v>3638</v>
      </c>
      <c r="F1210" s="3" t="s">
        <v>4275</v>
      </c>
      <c r="G1210" s="3" t="s">
        <v>5812</v>
      </c>
      <c r="H1210" s="6" t="s">
        <v>3356</v>
      </c>
      <c r="I1210" s="6" t="s">
        <v>3356</v>
      </c>
      <c r="J1210" s="3" t="s">
        <v>3356</v>
      </c>
      <c r="L1210" s="1" t="s">
        <v>6135</v>
      </c>
    </row>
    <row r="1211" spans="1:12">
      <c r="A1211" s="3" t="s">
        <v>3356</v>
      </c>
      <c r="C1211" s="3" t="s">
        <v>3817</v>
      </c>
      <c r="D1211" s="3" t="s">
        <v>3618</v>
      </c>
      <c r="E1211" s="3" t="s">
        <v>3638</v>
      </c>
      <c r="F1211" s="3" t="s">
        <v>4275</v>
      </c>
      <c r="G1211" s="3" t="s">
        <v>5813</v>
      </c>
      <c r="H1211" s="6" t="s">
        <v>3356</v>
      </c>
      <c r="I1211" s="6" t="s">
        <v>3356</v>
      </c>
      <c r="J1211" s="3" t="s">
        <v>3356</v>
      </c>
      <c r="L1211" s="1" t="s">
        <v>6135</v>
      </c>
    </row>
    <row r="1212" spans="1:12">
      <c r="A1212" s="3" t="s">
        <v>3356</v>
      </c>
      <c r="C1212" s="3" t="s">
        <v>3817</v>
      </c>
      <c r="D1212" s="3" t="s">
        <v>3618</v>
      </c>
      <c r="E1212" s="3" t="s">
        <v>3638</v>
      </c>
      <c r="F1212" s="3" t="s">
        <v>4275</v>
      </c>
      <c r="G1212" s="3" t="s">
        <v>6759</v>
      </c>
      <c r="H1212" s="6" t="s">
        <v>3356</v>
      </c>
      <c r="I1212" s="6" t="s">
        <v>3356</v>
      </c>
      <c r="J1212" s="3" t="s">
        <v>3356</v>
      </c>
      <c r="L1212" s="1" t="s">
        <v>6135</v>
      </c>
    </row>
    <row r="1213" spans="1:12">
      <c r="A1213" s="3" t="s">
        <v>3356</v>
      </c>
      <c r="C1213" s="3" t="s">
        <v>3817</v>
      </c>
      <c r="D1213" s="3" t="s">
        <v>3618</v>
      </c>
      <c r="E1213" s="3" t="s">
        <v>3638</v>
      </c>
      <c r="F1213" s="3" t="s">
        <v>4275</v>
      </c>
      <c r="G1213" s="3" t="s">
        <v>6760</v>
      </c>
      <c r="H1213" s="6" t="s">
        <v>3356</v>
      </c>
      <c r="I1213" s="6" t="s">
        <v>3356</v>
      </c>
      <c r="J1213" s="3" t="s">
        <v>3356</v>
      </c>
      <c r="L1213" s="1" t="s">
        <v>6135</v>
      </c>
    </row>
    <row r="1214" spans="1:12">
      <c r="A1214" s="3" t="s">
        <v>3356</v>
      </c>
      <c r="C1214" s="3" t="s">
        <v>3817</v>
      </c>
      <c r="D1214" s="3" t="s">
        <v>3618</v>
      </c>
      <c r="E1214" s="3" t="s">
        <v>3638</v>
      </c>
      <c r="F1214" s="3" t="s">
        <v>4156</v>
      </c>
      <c r="G1214" s="3" t="s">
        <v>6765</v>
      </c>
      <c r="H1214" s="6" t="s">
        <v>3356</v>
      </c>
      <c r="I1214" s="6" t="s">
        <v>3356</v>
      </c>
      <c r="J1214" s="3" t="s">
        <v>3356</v>
      </c>
      <c r="L1214" s="1" t="s">
        <v>6135</v>
      </c>
    </row>
    <row r="1215" spans="1:12">
      <c r="A1215" s="3" t="s">
        <v>3356</v>
      </c>
      <c r="C1215" s="3" t="s">
        <v>3817</v>
      </c>
      <c r="D1215" s="3" t="s">
        <v>3618</v>
      </c>
      <c r="E1215" s="3" t="s">
        <v>3638</v>
      </c>
      <c r="F1215" s="3" t="s">
        <v>4156</v>
      </c>
      <c r="G1215" s="3" t="s">
        <v>6618</v>
      </c>
      <c r="H1215" s="6" t="s">
        <v>3356</v>
      </c>
      <c r="I1215" s="6" t="s">
        <v>3356</v>
      </c>
      <c r="J1215" s="3" t="s">
        <v>3356</v>
      </c>
      <c r="L1215" s="1" t="s">
        <v>6135</v>
      </c>
    </row>
    <row r="1216" spans="1:12">
      <c r="A1216" s="3" t="s">
        <v>3356</v>
      </c>
      <c r="C1216" s="3" t="s">
        <v>3817</v>
      </c>
      <c r="D1216" s="3" t="s">
        <v>3618</v>
      </c>
      <c r="E1216" s="3" t="s">
        <v>3638</v>
      </c>
      <c r="F1216" s="3" t="s">
        <v>4156</v>
      </c>
      <c r="G1216" s="3" t="s">
        <v>7332</v>
      </c>
      <c r="H1216" s="6" t="s">
        <v>3356</v>
      </c>
      <c r="I1216" s="6" t="s">
        <v>3356</v>
      </c>
      <c r="J1216" s="3" t="s">
        <v>3356</v>
      </c>
      <c r="L1216" s="1" t="s">
        <v>6135</v>
      </c>
    </row>
    <row r="1217" spans="1:12">
      <c r="A1217" s="3" t="s">
        <v>3356</v>
      </c>
      <c r="C1217" s="3" t="s">
        <v>3817</v>
      </c>
      <c r="D1217" s="3" t="s">
        <v>3618</v>
      </c>
      <c r="E1217" s="3" t="s">
        <v>3638</v>
      </c>
      <c r="F1217" s="3" t="s">
        <v>6619</v>
      </c>
      <c r="G1217" s="3" t="s">
        <v>6620</v>
      </c>
      <c r="H1217" s="6" t="s">
        <v>3356</v>
      </c>
      <c r="I1217" s="6" t="s">
        <v>3356</v>
      </c>
      <c r="J1217" s="3" t="s">
        <v>3356</v>
      </c>
      <c r="L1217" s="1" t="s">
        <v>6135</v>
      </c>
    </row>
    <row r="1218" spans="1:12">
      <c r="A1218" s="3" t="s">
        <v>3356</v>
      </c>
      <c r="C1218" s="3" t="s">
        <v>3817</v>
      </c>
      <c r="D1218" s="3" t="s">
        <v>3618</v>
      </c>
      <c r="E1218" s="3" t="s">
        <v>3638</v>
      </c>
      <c r="F1218" s="3" t="s">
        <v>6619</v>
      </c>
      <c r="G1218" s="3" t="s">
        <v>6621</v>
      </c>
      <c r="H1218" s="6" t="s">
        <v>3356</v>
      </c>
      <c r="I1218" s="6" t="s">
        <v>3356</v>
      </c>
      <c r="J1218" s="3" t="s">
        <v>3356</v>
      </c>
      <c r="L1218" s="1" t="s">
        <v>6135</v>
      </c>
    </row>
    <row r="1219" spans="1:12">
      <c r="A1219" s="3" t="s">
        <v>3356</v>
      </c>
      <c r="C1219" s="3" t="s">
        <v>3817</v>
      </c>
      <c r="D1219" s="3" t="s">
        <v>3618</v>
      </c>
      <c r="E1219" s="3" t="s">
        <v>3638</v>
      </c>
      <c r="F1219" s="3" t="s">
        <v>2999</v>
      </c>
      <c r="G1219" s="3" t="s">
        <v>3004</v>
      </c>
      <c r="H1219" s="6" t="s">
        <v>3356</v>
      </c>
      <c r="I1219" s="6" t="s">
        <v>3356</v>
      </c>
      <c r="J1219" s="3" t="s">
        <v>3356</v>
      </c>
      <c r="L1219" s="1" t="s">
        <v>6135</v>
      </c>
    </row>
    <row r="1220" spans="1:12">
      <c r="A1220" s="3" t="s">
        <v>3356</v>
      </c>
      <c r="C1220" s="3" t="s">
        <v>3817</v>
      </c>
      <c r="D1220" s="3" t="s">
        <v>3618</v>
      </c>
      <c r="E1220" s="3" t="s">
        <v>3638</v>
      </c>
      <c r="F1220" s="3" t="s">
        <v>2999</v>
      </c>
      <c r="G1220" s="3" t="s">
        <v>3005</v>
      </c>
      <c r="H1220" s="6" t="s">
        <v>3356</v>
      </c>
      <c r="I1220" s="6" t="s">
        <v>3356</v>
      </c>
      <c r="J1220" s="3" t="s">
        <v>3356</v>
      </c>
      <c r="L1220" s="1" t="s">
        <v>6135</v>
      </c>
    </row>
    <row r="1221" spans="1:12">
      <c r="A1221" s="3" t="s">
        <v>3356</v>
      </c>
      <c r="C1221" s="3" t="s">
        <v>3817</v>
      </c>
      <c r="D1221" s="3" t="s">
        <v>3618</v>
      </c>
      <c r="E1221" s="3" t="s">
        <v>3638</v>
      </c>
      <c r="F1221" s="3" t="s">
        <v>8203</v>
      </c>
      <c r="G1221" s="3" t="s">
        <v>8321</v>
      </c>
      <c r="H1221" s="6">
        <v>3.0969100130080562</v>
      </c>
      <c r="I1221" s="6">
        <v>1250</v>
      </c>
      <c r="J1221" s="3" t="s">
        <v>6736</v>
      </c>
      <c r="L1221" s="1" t="s">
        <v>6135</v>
      </c>
    </row>
    <row r="1222" spans="1:12">
      <c r="A1222" s="3" t="s">
        <v>3356</v>
      </c>
      <c r="C1222" s="3" t="s">
        <v>3817</v>
      </c>
      <c r="D1222" s="3" t="s">
        <v>3618</v>
      </c>
      <c r="E1222" s="3" t="s">
        <v>3638</v>
      </c>
      <c r="F1222" s="3" t="s">
        <v>3066</v>
      </c>
      <c r="G1222" s="3" t="s">
        <v>5421</v>
      </c>
      <c r="H1222" s="6" t="s">
        <v>3356</v>
      </c>
      <c r="I1222" s="6" t="s">
        <v>3356</v>
      </c>
      <c r="J1222" s="3" t="s">
        <v>3356</v>
      </c>
      <c r="L1222" s="1" t="s">
        <v>6135</v>
      </c>
    </row>
    <row r="1223" spans="1:12">
      <c r="A1223" s="3" t="s">
        <v>3356</v>
      </c>
      <c r="C1223" s="3" t="s">
        <v>3817</v>
      </c>
      <c r="D1223" s="3" t="s">
        <v>3618</v>
      </c>
      <c r="E1223" s="3" t="s">
        <v>3638</v>
      </c>
      <c r="F1223" s="3" t="s">
        <v>3521</v>
      </c>
      <c r="G1223" s="3" t="s">
        <v>3351</v>
      </c>
      <c r="H1223" s="6" t="s">
        <v>3356</v>
      </c>
      <c r="I1223" s="6" t="s">
        <v>3356</v>
      </c>
      <c r="J1223" s="3" t="s">
        <v>3356</v>
      </c>
      <c r="L1223" s="1" t="s">
        <v>6135</v>
      </c>
    </row>
    <row r="1224" spans="1:12">
      <c r="A1224" s="3" t="s">
        <v>3356</v>
      </c>
      <c r="C1224" s="3" t="s">
        <v>3817</v>
      </c>
      <c r="D1224" s="3" t="s">
        <v>3618</v>
      </c>
      <c r="E1224" s="3" t="s">
        <v>3638</v>
      </c>
      <c r="F1224" s="3" t="s">
        <v>3137</v>
      </c>
      <c r="G1224" s="3" t="s">
        <v>4004</v>
      </c>
      <c r="H1224" s="6" t="s">
        <v>3356</v>
      </c>
      <c r="I1224" s="6" t="s">
        <v>3356</v>
      </c>
      <c r="J1224" s="3" t="s">
        <v>3356</v>
      </c>
      <c r="L1224" s="1" t="s">
        <v>6135</v>
      </c>
    </row>
    <row r="1225" spans="1:12">
      <c r="A1225" s="3" t="s">
        <v>3356</v>
      </c>
      <c r="C1225" s="3" t="s">
        <v>3817</v>
      </c>
      <c r="D1225" s="3" t="s">
        <v>3618</v>
      </c>
      <c r="E1225" s="3" t="s">
        <v>3638</v>
      </c>
      <c r="F1225" s="3" t="s">
        <v>4200</v>
      </c>
      <c r="G1225" s="3" t="s">
        <v>4199</v>
      </c>
      <c r="H1225" s="6" t="s">
        <v>3356</v>
      </c>
      <c r="I1225" s="6" t="s">
        <v>3356</v>
      </c>
      <c r="J1225" s="3" t="s">
        <v>3356</v>
      </c>
      <c r="L1225" s="1" t="s">
        <v>6135</v>
      </c>
    </row>
    <row r="1226" spans="1:12">
      <c r="A1226" s="3" t="s">
        <v>3356</v>
      </c>
      <c r="C1226" s="3" t="s">
        <v>3817</v>
      </c>
      <c r="D1226" s="3" t="s">
        <v>3618</v>
      </c>
      <c r="E1226" s="3" t="s">
        <v>3638</v>
      </c>
      <c r="F1226" s="3" t="s">
        <v>3006</v>
      </c>
      <c r="G1226" s="3" t="s">
        <v>3007</v>
      </c>
      <c r="H1226" s="6" t="s">
        <v>3356</v>
      </c>
      <c r="I1226" s="6" t="s">
        <v>3356</v>
      </c>
      <c r="J1226" s="3" t="s">
        <v>3356</v>
      </c>
      <c r="L1226" s="1" t="s">
        <v>6135</v>
      </c>
    </row>
    <row r="1227" spans="1:12">
      <c r="A1227" s="3" t="s">
        <v>3356</v>
      </c>
      <c r="C1227" s="3" t="s">
        <v>3817</v>
      </c>
      <c r="D1227" s="3" t="s">
        <v>3618</v>
      </c>
      <c r="E1227" s="3" t="s">
        <v>3638</v>
      </c>
      <c r="F1227" s="3" t="s">
        <v>4197</v>
      </c>
      <c r="G1227" s="3" t="s">
        <v>3989</v>
      </c>
      <c r="H1227" s="6" t="s">
        <v>3356</v>
      </c>
      <c r="I1227" s="6" t="s">
        <v>3356</v>
      </c>
      <c r="J1227" s="3" t="s">
        <v>3356</v>
      </c>
      <c r="L1227" s="1" t="s">
        <v>6135</v>
      </c>
    </row>
    <row r="1228" spans="1:12">
      <c r="A1228" s="3" t="s">
        <v>3356</v>
      </c>
      <c r="C1228" s="3" t="s">
        <v>3817</v>
      </c>
      <c r="D1228" s="3" t="s">
        <v>3618</v>
      </c>
      <c r="E1228" s="3" t="s">
        <v>3638</v>
      </c>
      <c r="F1228" s="3" t="s">
        <v>6302</v>
      </c>
      <c r="G1228" s="3" t="s">
        <v>6303</v>
      </c>
      <c r="H1228" s="6" t="s">
        <v>3356</v>
      </c>
      <c r="I1228" s="6" t="s">
        <v>3356</v>
      </c>
      <c r="J1228" s="3" t="s">
        <v>3356</v>
      </c>
      <c r="L1228" s="1" t="s">
        <v>6135</v>
      </c>
    </row>
    <row r="1229" spans="1:12">
      <c r="A1229" s="3" t="s">
        <v>3356</v>
      </c>
      <c r="C1229" s="3" t="s">
        <v>3817</v>
      </c>
      <c r="D1229" s="3" t="s">
        <v>3618</v>
      </c>
      <c r="E1229" s="3" t="s">
        <v>3638</v>
      </c>
      <c r="F1229" s="3" t="s">
        <v>6302</v>
      </c>
      <c r="G1229" s="3" t="s">
        <v>4847</v>
      </c>
      <c r="H1229" s="6" t="s">
        <v>3356</v>
      </c>
      <c r="I1229" s="6" t="s">
        <v>3356</v>
      </c>
      <c r="J1229" s="3" t="s">
        <v>3356</v>
      </c>
      <c r="L1229" s="1" t="s">
        <v>6135</v>
      </c>
    </row>
    <row r="1230" spans="1:12">
      <c r="A1230" s="3" t="s">
        <v>3356</v>
      </c>
      <c r="C1230" s="3" t="s">
        <v>3817</v>
      </c>
      <c r="D1230" s="3" t="s">
        <v>3618</v>
      </c>
      <c r="E1230" s="3" t="s">
        <v>3638</v>
      </c>
      <c r="F1230" s="3" t="s">
        <v>6302</v>
      </c>
      <c r="G1230" s="3" t="s">
        <v>8021</v>
      </c>
      <c r="H1230" s="6" t="s">
        <v>3356</v>
      </c>
      <c r="I1230" s="6" t="s">
        <v>3356</v>
      </c>
      <c r="J1230" s="3" t="s">
        <v>3356</v>
      </c>
      <c r="L1230" s="1" t="s">
        <v>6135</v>
      </c>
    </row>
    <row r="1231" spans="1:12">
      <c r="A1231" s="3" t="s">
        <v>3356</v>
      </c>
      <c r="C1231" s="3" t="s">
        <v>3817</v>
      </c>
      <c r="D1231" s="3" t="s">
        <v>3618</v>
      </c>
      <c r="E1231" s="3" t="s">
        <v>3638</v>
      </c>
      <c r="F1231" s="3" t="s">
        <v>3400</v>
      </c>
      <c r="G1231" s="3" t="s">
        <v>8256</v>
      </c>
      <c r="H1231" s="6" t="s">
        <v>3356</v>
      </c>
      <c r="I1231" s="6" t="s">
        <v>3356</v>
      </c>
      <c r="J1231" s="3" t="s">
        <v>3356</v>
      </c>
      <c r="L1231" s="1" t="s">
        <v>6135</v>
      </c>
    </row>
    <row r="1232" spans="1:12">
      <c r="A1232" s="3" t="s">
        <v>3356</v>
      </c>
      <c r="C1232" s="3" t="s">
        <v>3817</v>
      </c>
      <c r="D1232" s="3" t="s">
        <v>3618</v>
      </c>
      <c r="E1232" s="3" t="s">
        <v>3638</v>
      </c>
      <c r="F1232" s="3" t="s">
        <v>7093</v>
      </c>
      <c r="G1232" s="3" t="s">
        <v>8022</v>
      </c>
      <c r="H1232" s="6" t="s">
        <v>3356</v>
      </c>
      <c r="I1232" s="6" t="s">
        <v>3356</v>
      </c>
      <c r="J1232" s="3" t="s">
        <v>3356</v>
      </c>
      <c r="L1232" s="1" t="s">
        <v>6135</v>
      </c>
    </row>
    <row r="1233" spans="1:12">
      <c r="A1233" s="3" t="s">
        <v>3356</v>
      </c>
      <c r="C1233" s="3" t="s">
        <v>3817</v>
      </c>
      <c r="D1233" s="3" t="s">
        <v>3618</v>
      </c>
      <c r="E1233" s="3" t="s">
        <v>3638</v>
      </c>
      <c r="F1233" s="3" t="s">
        <v>7093</v>
      </c>
      <c r="G1233" s="3" t="s">
        <v>8322</v>
      </c>
      <c r="H1233" s="6">
        <v>1.954242509439325</v>
      </c>
      <c r="I1233" s="6">
        <v>90</v>
      </c>
      <c r="J1233" s="3" t="s">
        <v>6736</v>
      </c>
      <c r="L1233" s="1" t="s">
        <v>6135</v>
      </c>
    </row>
    <row r="1234" spans="1:12">
      <c r="A1234" s="3" t="s">
        <v>3356</v>
      </c>
      <c r="C1234" s="3" t="s">
        <v>3817</v>
      </c>
      <c r="D1234" s="3" t="s">
        <v>3618</v>
      </c>
      <c r="E1234" s="3" t="s">
        <v>3638</v>
      </c>
      <c r="F1234" s="3" t="s">
        <v>6519</v>
      </c>
      <c r="G1234" s="3" t="s">
        <v>3999</v>
      </c>
      <c r="H1234" s="6" t="s">
        <v>3356</v>
      </c>
      <c r="I1234" s="6" t="s">
        <v>3356</v>
      </c>
      <c r="J1234" s="3" t="s">
        <v>3356</v>
      </c>
      <c r="L1234" s="1" t="s">
        <v>6135</v>
      </c>
    </row>
    <row r="1235" spans="1:12">
      <c r="A1235" s="3" t="s">
        <v>3356</v>
      </c>
      <c r="C1235" s="3" t="s">
        <v>3817</v>
      </c>
      <c r="D1235" s="3" t="s">
        <v>3618</v>
      </c>
      <c r="E1235" s="3" t="s">
        <v>3638</v>
      </c>
      <c r="F1235" s="3" t="s">
        <v>6519</v>
      </c>
      <c r="G1235" s="3" t="s">
        <v>5342</v>
      </c>
      <c r="H1235" s="6" t="s">
        <v>3356</v>
      </c>
      <c r="I1235" s="6" t="s">
        <v>3356</v>
      </c>
      <c r="J1235" s="3" t="s">
        <v>3356</v>
      </c>
      <c r="L1235" s="1" t="s">
        <v>6135</v>
      </c>
    </row>
    <row r="1236" spans="1:12">
      <c r="A1236" s="3" t="s">
        <v>3356</v>
      </c>
      <c r="C1236" s="3" t="s">
        <v>3817</v>
      </c>
      <c r="D1236" s="3" t="s">
        <v>3618</v>
      </c>
      <c r="E1236" s="3" t="s">
        <v>3638</v>
      </c>
      <c r="F1236" s="3" t="s">
        <v>6519</v>
      </c>
      <c r="G1236" s="3" t="s">
        <v>3997</v>
      </c>
      <c r="H1236" s="6" t="s">
        <v>3356</v>
      </c>
      <c r="I1236" s="6" t="s">
        <v>3356</v>
      </c>
      <c r="J1236" s="3" t="s">
        <v>3356</v>
      </c>
      <c r="L1236" s="1" t="s">
        <v>6135</v>
      </c>
    </row>
    <row r="1237" spans="1:12">
      <c r="A1237" s="3" t="s">
        <v>3356</v>
      </c>
      <c r="C1237" s="3" t="s">
        <v>3817</v>
      </c>
      <c r="D1237" s="3" t="s">
        <v>3618</v>
      </c>
      <c r="E1237" s="3" t="s">
        <v>3638</v>
      </c>
      <c r="F1237" s="3" t="s">
        <v>6519</v>
      </c>
      <c r="G1237" s="3" t="s">
        <v>6482</v>
      </c>
      <c r="H1237" s="6" t="s">
        <v>3356</v>
      </c>
      <c r="I1237" s="6" t="s">
        <v>3356</v>
      </c>
      <c r="J1237" s="3" t="s">
        <v>3356</v>
      </c>
      <c r="L1237" s="1" t="s">
        <v>6135</v>
      </c>
    </row>
    <row r="1238" spans="1:12">
      <c r="A1238" s="3" t="s">
        <v>3356</v>
      </c>
      <c r="C1238" s="3" t="s">
        <v>3817</v>
      </c>
      <c r="D1238" s="3" t="s">
        <v>3618</v>
      </c>
      <c r="E1238" s="3" t="s">
        <v>3638</v>
      </c>
      <c r="F1238" s="3" t="s">
        <v>6519</v>
      </c>
      <c r="G1238" s="3" t="s">
        <v>6483</v>
      </c>
      <c r="H1238" s="6" t="s">
        <v>3356</v>
      </c>
      <c r="I1238" s="6" t="s">
        <v>3356</v>
      </c>
      <c r="J1238" s="3" t="s">
        <v>3356</v>
      </c>
      <c r="L1238" s="1" t="s">
        <v>6135</v>
      </c>
    </row>
    <row r="1239" spans="1:12">
      <c r="A1239" s="3" t="s">
        <v>3356</v>
      </c>
      <c r="C1239" s="3" t="s">
        <v>3817</v>
      </c>
      <c r="D1239" s="3" t="s">
        <v>3618</v>
      </c>
      <c r="E1239" s="3" t="s">
        <v>3638</v>
      </c>
      <c r="F1239" s="3" t="s">
        <v>3347</v>
      </c>
      <c r="G1239" s="3" t="s">
        <v>5999</v>
      </c>
      <c r="H1239" s="6" t="s">
        <v>3356</v>
      </c>
      <c r="I1239" s="6" t="s">
        <v>3356</v>
      </c>
      <c r="J1239" s="3" t="s">
        <v>3356</v>
      </c>
      <c r="L1239" s="1" t="s">
        <v>6135</v>
      </c>
    </row>
    <row r="1240" spans="1:12">
      <c r="A1240" s="3" t="s">
        <v>3356</v>
      </c>
      <c r="C1240" s="3" t="s">
        <v>3817</v>
      </c>
      <c r="D1240" s="3" t="s">
        <v>3618</v>
      </c>
      <c r="E1240" s="3" t="s">
        <v>3638</v>
      </c>
      <c r="F1240" s="3" t="s">
        <v>6491</v>
      </c>
      <c r="G1240" s="3" t="s">
        <v>6247</v>
      </c>
      <c r="H1240" s="6" t="s">
        <v>3356</v>
      </c>
      <c r="I1240" s="6" t="s">
        <v>3356</v>
      </c>
      <c r="J1240" s="3" t="s">
        <v>3356</v>
      </c>
      <c r="L1240" s="1" t="s">
        <v>6135</v>
      </c>
    </row>
    <row r="1241" spans="1:12">
      <c r="A1241" s="3" t="s">
        <v>3356</v>
      </c>
      <c r="C1241" s="3" t="s">
        <v>3817</v>
      </c>
      <c r="D1241" s="3" t="s">
        <v>3618</v>
      </c>
      <c r="E1241" s="3" t="s">
        <v>3638</v>
      </c>
      <c r="F1241" s="3" t="s">
        <v>6492</v>
      </c>
      <c r="G1241" s="3" t="s">
        <v>4060</v>
      </c>
      <c r="H1241" s="6" t="s">
        <v>3356</v>
      </c>
      <c r="I1241" s="6" t="s">
        <v>3356</v>
      </c>
      <c r="J1241" s="3" t="s">
        <v>3356</v>
      </c>
      <c r="L1241" s="1" t="s">
        <v>6135</v>
      </c>
    </row>
    <row r="1242" spans="1:12">
      <c r="A1242" s="3" t="s">
        <v>3356</v>
      </c>
      <c r="C1242" s="3" t="s">
        <v>3817</v>
      </c>
      <c r="D1242" s="3" t="s">
        <v>3618</v>
      </c>
      <c r="E1242" s="3" t="s">
        <v>3638</v>
      </c>
      <c r="F1242" s="3" t="s">
        <v>6492</v>
      </c>
      <c r="G1242" s="3" t="s">
        <v>6493</v>
      </c>
      <c r="H1242" s="6" t="s">
        <v>3356</v>
      </c>
      <c r="I1242" s="6" t="s">
        <v>3356</v>
      </c>
      <c r="J1242" s="3" t="s">
        <v>3356</v>
      </c>
      <c r="L1242" s="1" t="s">
        <v>6135</v>
      </c>
    </row>
    <row r="1243" spans="1:12">
      <c r="A1243" s="3" t="s">
        <v>3356</v>
      </c>
      <c r="C1243" s="3" t="s">
        <v>3817</v>
      </c>
      <c r="D1243" s="3" t="s">
        <v>3618</v>
      </c>
      <c r="E1243" s="3" t="s">
        <v>3638</v>
      </c>
      <c r="F1243" s="3" t="s">
        <v>6492</v>
      </c>
      <c r="G1243" s="3" t="s">
        <v>3387</v>
      </c>
      <c r="H1243" s="6" t="s">
        <v>3356</v>
      </c>
      <c r="I1243" s="6" t="s">
        <v>3356</v>
      </c>
      <c r="J1243" s="3" t="s">
        <v>3356</v>
      </c>
      <c r="L1243" s="1" t="s">
        <v>6135</v>
      </c>
    </row>
    <row r="1244" spans="1:12">
      <c r="A1244" s="3" t="s">
        <v>3356</v>
      </c>
      <c r="C1244" s="3" t="s">
        <v>3817</v>
      </c>
      <c r="D1244" s="3" t="s">
        <v>3618</v>
      </c>
      <c r="E1244" s="3" t="s">
        <v>3638</v>
      </c>
      <c r="F1244" s="3" t="s">
        <v>6492</v>
      </c>
      <c r="G1244" s="3" t="s">
        <v>3388</v>
      </c>
      <c r="H1244" s="6" t="s">
        <v>3356</v>
      </c>
      <c r="I1244" s="6" t="s">
        <v>3356</v>
      </c>
      <c r="J1244" s="3" t="s">
        <v>3356</v>
      </c>
      <c r="L1244" s="1" t="s">
        <v>6135</v>
      </c>
    </row>
    <row r="1245" spans="1:12">
      <c r="A1245" s="3" t="s">
        <v>3356</v>
      </c>
      <c r="C1245" s="3" t="s">
        <v>3817</v>
      </c>
      <c r="D1245" s="3" t="s">
        <v>3618</v>
      </c>
      <c r="E1245" s="3" t="s">
        <v>3638</v>
      </c>
      <c r="F1245" s="3" t="s">
        <v>4016</v>
      </c>
      <c r="G1245" s="3" t="s">
        <v>4328</v>
      </c>
      <c r="H1245" s="6" t="s">
        <v>3356</v>
      </c>
      <c r="I1245" s="6" t="s">
        <v>3356</v>
      </c>
      <c r="J1245" s="3" t="s">
        <v>3356</v>
      </c>
      <c r="L1245" s="1" t="s">
        <v>6135</v>
      </c>
    </row>
    <row r="1246" spans="1:12">
      <c r="A1246" s="3" t="s">
        <v>3356</v>
      </c>
      <c r="C1246" s="3" t="s">
        <v>3817</v>
      </c>
      <c r="D1246" s="3" t="s">
        <v>3618</v>
      </c>
      <c r="E1246" s="3" t="s">
        <v>3638</v>
      </c>
      <c r="F1246" s="3" t="s">
        <v>2996</v>
      </c>
      <c r="G1246" s="3" t="s">
        <v>2076</v>
      </c>
      <c r="H1246" s="6" t="s">
        <v>3356</v>
      </c>
      <c r="I1246" s="6" t="s">
        <v>3356</v>
      </c>
      <c r="J1246" s="3" t="s">
        <v>3356</v>
      </c>
      <c r="L1246" s="1" t="s">
        <v>6135</v>
      </c>
    </row>
    <row r="1247" spans="1:12">
      <c r="A1247" s="3" t="s">
        <v>3356</v>
      </c>
      <c r="C1247" s="3" t="s">
        <v>3817</v>
      </c>
      <c r="D1247" s="3" t="s">
        <v>3618</v>
      </c>
      <c r="E1247" s="3" t="s">
        <v>3638</v>
      </c>
      <c r="F1247" s="3" t="s">
        <v>2996</v>
      </c>
      <c r="G1247" s="3" t="s">
        <v>2994</v>
      </c>
      <c r="H1247" s="6" t="s">
        <v>3356</v>
      </c>
      <c r="I1247" s="6" t="s">
        <v>3356</v>
      </c>
      <c r="J1247" s="3" t="s">
        <v>3356</v>
      </c>
      <c r="L1247" s="1" t="s">
        <v>6135</v>
      </c>
    </row>
    <row r="1248" spans="1:12">
      <c r="A1248" s="3" t="s">
        <v>3356</v>
      </c>
      <c r="C1248" s="3" t="s">
        <v>3817</v>
      </c>
      <c r="D1248" s="3" t="s">
        <v>3618</v>
      </c>
      <c r="E1248" s="3" t="s">
        <v>3638</v>
      </c>
      <c r="F1248" s="3" t="s">
        <v>2996</v>
      </c>
      <c r="G1248" s="3" t="s">
        <v>4038</v>
      </c>
      <c r="H1248" s="6" t="s">
        <v>3356</v>
      </c>
      <c r="I1248" s="6" t="s">
        <v>3356</v>
      </c>
      <c r="J1248" s="3" t="s">
        <v>3356</v>
      </c>
      <c r="L1248" s="1" t="s">
        <v>6135</v>
      </c>
    </row>
    <row r="1249" spans="1:12">
      <c r="A1249" s="3" t="s">
        <v>3356</v>
      </c>
      <c r="C1249" s="3" t="s">
        <v>3817</v>
      </c>
      <c r="D1249" s="3" t="s">
        <v>3618</v>
      </c>
      <c r="E1249" s="3" t="s">
        <v>3638</v>
      </c>
      <c r="F1249" s="3" t="s">
        <v>3581</v>
      </c>
      <c r="G1249" s="3" t="s">
        <v>3582</v>
      </c>
      <c r="H1249" s="6" t="s">
        <v>3356</v>
      </c>
      <c r="I1249" s="6" t="s">
        <v>3356</v>
      </c>
      <c r="J1249" s="3" t="s">
        <v>3356</v>
      </c>
      <c r="L1249" s="1" t="s">
        <v>6135</v>
      </c>
    </row>
    <row r="1250" spans="1:12">
      <c r="A1250" s="3" t="s">
        <v>3356</v>
      </c>
      <c r="C1250" s="3" t="s">
        <v>3817</v>
      </c>
      <c r="D1250" s="3" t="s">
        <v>3618</v>
      </c>
      <c r="E1250" s="3" t="s">
        <v>3638</v>
      </c>
      <c r="F1250" s="3" t="s">
        <v>3844</v>
      </c>
      <c r="G1250" s="3" t="s">
        <v>4485</v>
      </c>
      <c r="H1250" s="6" t="s">
        <v>3356</v>
      </c>
      <c r="I1250" s="6" t="s">
        <v>3356</v>
      </c>
      <c r="J1250" s="3" t="s">
        <v>3356</v>
      </c>
      <c r="L1250" s="1" t="s">
        <v>6135</v>
      </c>
    </row>
    <row r="1251" spans="1:12">
      <c r="A1251" s="3" t="s">
        <v>3356</v>
      </c>
      <c r="C1251" s="3" t="s">
        <v>3817</v>
      </c>
      <c r="D1251" s="3" t="s">
        <v>3618</v>
      </c>
      <c r="E1251" s="3" t="s">
        <v>3638</v>
      </c>
      <c r="F1251" s="3" t="s">
        <v>3844</v>
      </c>
      <c r="G1251" s="3" t="s">
        <v>3814</v>
      </c>
      <c r="H1251" s="6" t="s">
        <v>3356</v>
      </c>
      <c r="I1251" s="6" t="s">
        <v>3356</v>
      </c>
      <c r="J1251" s="3" t="s">
        <v>3356</v>
      </c>
      <c r="L1251" s="1" t="s">
        <v>6135</v>
      </c>
    </row>
    <row r="1252" spans="1:12">
      <c r="A1252" s="3" t="s">
        <v>3356</v>
      </c>
      <c r="C1252" s="3" t="s">
        <v>3817</v>
      </c>
      <c r="D1252" s="3" t="s">
        <v>3618</v>
      </c>
      <c r="E1252" s="3" t="s">
        <v>3638</v>
      </c>
      <c r="F1252" s="3" t="s">
        <v>3844</v>
      </c>
      <c r="G1252" s="3" t="s">
        <v>3580</v>
      </c>
      <c r="H1252" s="6" t="s">
        <v>3356</v>
      </c>
      <c r="I1252" s="6" t="s">
        <v>3356</v>
      </c>
      <c r="J1252" s="3" t="s">
        <v>3356</v>
      </c>
      <c r="L1252" s="1" t="s">
        <v>6135</v>
      </c>
    </row>
    <row r="1253" spans="1:12">
      <c r="A1253" s="3" t="s">
        <v>3356</v>
      </c>
      <c r="C1253" s="3" t="s">
        <v>3817</v>
      </c>
      <c r="D1253" s="3" t="s">
        <v>3618</v>
      </c>
      <c r="E1253" s="3" t="s">
        <v>3638</v>
      </c>
      <c r="F1253" s="3" t="s">
        <v>3844</v>
      </c>
      <c r="G1253" s="3" t="s">
        <v>4091</v>
      </c>
      <c r="H1253" s="6" t="s">
        <v>3356</v>
      </c>
      <c r="I1253" s="6" t="s">
        <v>3356</v>
      </c>
      <c r="J1253" s="3" t="s">
        <v>3356</v>
      </c>
      <c r="L1253" s="1" t="s">
        <v>6135</v>
      </c>
    </row>
    <row r="1254" spans="1:12">
      <c r="A1254" s="3" t="s">
        <v>3356</v>
      </c>
      <c r="C1254" s="3" t="s">
        <v>3817</v>
      </c>
      <c r="D1254" s="3" t="s">
        <v>3618</v>
      </c>
      <c r="E1254" s="3" t="s">
        <v>3638</v>
      </c>
      <c r="F1254" s="3" t="s">
        <v>3844</v>
      </c>
      <c r="G1254" s="3" t="s">
        <v>3386</v>
      </c>
      <c r="H1254" s="6" t="s">
        <v>3356</v>
      </c>
      <c r="I1254" s="6" t="s">
        <v>3356</v>
      </c>
      <c r="J1254" s="3" t="s">
        <v>3356</v>
      </c>
      <c r="L1254" s="1" t="s">
        <v>6135</v>
      </c>
    </row>
    <row r="1255" spans="1:12">
      <c r="A1255" s="3" t="s">
        <v>3356</v>
      </c>
      <c r="C1255" s="3" t="s">
        <v>3817</v>
      </c>
      <c r="D1255" s="3" t="s">
        <v>3618</v>
      </c>
      <c r="E1255" s="3" t="s">
        <v>3638</v>
      </c>
      <c r="F1255" s="3" t="s">
        <v>3844</v>
      </c>
      <c r="G1255" s="3" t="s">
        <v>7413</v>
      </c>
      <c r="H1255" s="6">
        <v>1.8260748027008264</v>
      </c>
      <c r="I1255" s="6">
        <v>67</v>
      </c>
      <c r="J1255" s="3" t="s">
        <v>6736</v>
      </c>
      <c r="L1255" s="1" t="s">
        <v>6135</v>
      </c>
    </row>
    <row r="1256" spans="1:12">
      <c r="A1256" s="3" t="s">
        <v>3356</v>
      </c>
      <c r="C1256" s="3" t="s">
        <v>3817</v>
      </c>
      <c r="D1256" s="3" t="s">
        <v>3618</v>
      </c>
      <c r="E1256" s="3" t="s">
        <v>3638</v>
      </c>
      <c r="F1256" s="3" t="s">
        <v>3165</v>
      </c>
      <c r="G1256" s="3" t="s">
        <v>3166</v>
      </c>
      <c r="H1256" s="6" t="s">
        <v>3356</v>
      </c>
      <c r="I1256" s="6" t="s">
        <v>3356</v>
      </c>
      <c r="J1256" s="3" t="s">
        <v>3356</v>
      </c>
      <c r="L1256" s="1" t="s">
        <v>6135</v>
      </c>
    </row>
    <row r="1257" spans="1:12">
      <c r="A1257" s="3" t="s">
        <v>3356</v>
      </c>
      <c r="C1257" s="3" t="s">
        <v>3817</v>
      </c>
      <c r="D1257" s="3" t="s">
        <v>3618</v>
      </c>
      <c r="E1257" s="3" t="s">
        <v>3638</v>
      </c>
      <c r="F1257" s="3" t="s">
        <v>3657</v>
      </c>
      <c r="G1257" s="3" t="s">
        <v>5594</v>
      </c>
      <c r="H1257" s="6" t="s">
        <v>3356</v>
      </c>
      <c r="I1257" s="6" t="s">
        <v>3356</v>
      </c>
      <c r="J1257" s="3" t="s">
        <v>3356</v>
      </c>
      <c r="L1257" s="1" t="s">
        <v>6135</v>
      </c>
    </row>
    <row r="1258" spans="1:12">
      <c r="A1258" s="3" t="s">
        <v>3356</v>
      </c>
      <c r="C1258" s="3" t="s">
        <v>3817</v>
      </c>
      <c r="D1258" s="3" t="s">
        <v>3618</v>
      </c>
      <c r="E1258" s="3" t="s">
        <v>3638</v>
      </c>
      <c r="F1258" s="3" t="s">
        <v>3657</v>
      </c>
      <c r="G1258" s="3" t="s">
        <v>3159</v>
      </c>
      <c r="H1258" s="6" t="s">
        <v>3356</v>
      </c>
      <c r="I1258" s="6" t="s">
        <v>3356</v>
      </c>
      <c r="J1258" s="3" t="s">
        <v>3356</v>
      </c>
      <c r="L1258" s="1" t="s">
        <v>6135</v>
      </c>
    </row>
    <row r="1259" spans="1:12">
      <c r="A1259" s="3" t="s">
        <v>3356</v>
      </c>
      <c r="C1259" s="3" t="s">
        <v>3817</v>
      </c>
      <c r="D1259" s="3" t="s">
        <v>3618</v>
      </c>
      <c r="E1259" s="3" t="s">
        <v>3638</v>
      </c>
      <c r="F1259" s="3" t="s">
        <v>3207</v>
      </c>
      <c r="G1259" s="3" t="s">
        <v>2076</v>
      </c>
      <c r="H1259" s="6" t="s">
        <v>3356</v>
      </c>
      <c r="I1259" s="6" t="s">
        <v>3356</v>
      </c>
      <c r="J1259" s="3" t="s">
        <v>3356</v>
      </c>
      <c r="L1259" s="1" t="s">
        <v>6135</v>
      </c>
    </row>
    <row r="1260" spans="1:12">
      <c r="A1260" s="3" t="s">
        <v>3356</v>
      </c>
      <c r="C1260" s="3" t="s">
        <v>3817</v>
      </c>
      <c r="D1260" s="3" t="s">
        <v>3618</v>
      </c>
      <c r="E1260" s="3" t="s">
        <v>3638</v>
      </c>
      <c r="F1260" s="3" t="s">
        <v>3207</v>
      </c>
      <c r="G1260" s="3" t="s">
        <v>5838</v>
      </c>
      <c r="H1260" s="6" t="s">
        <v>3356</v>
      </c>
      <c r="I1260" s="6" t="s">
        <v>3356</v>
      </c>
      <c r="J1260" s="3" t="s">
        <v>3356</v>
      </c>
      <c r="L1260" s="1" t="s">
        <v>6135</v>
      </c>
    </row>
    <row r="1261" spans="1:12">
      <c r="A1261" s="3" t="s">
        <v>3356</v>
      </c>
      <c r="C1261" s="3" t="s">
        <v>3817</v>
      </c>
      <c r="D1261" s="3" t="s">
        <v>3618</v>
      </c>
      <c r="E1261" s="3" t="s">
        <v>3638</v>
      </c>
      <c r="F1261" s="3" t="s">
        <v>4059</v>
      </c>
      <c r="G1261" s="3" t="s">
        <v>3205</v>
      </c>
      <c r="H1261" s="6" t="s">
        <v>3356</v>
      </c>
      <c r="I1261" s="6" t="s">
        <v>3356</v>
      </c>
      <c r="J1261" s="3" t="s">
        <v>3356</v>
      </c>
      <c r="L1261" s="1" t="s">
        <v>6135</v>
      </c>
    </row>
    <row r="1262" spans="1:12">
      <c r="A1262" s="3" t="s">
        <v>3356</v>
      </c>
      <c r="C1262" s="3" t="s">
        <v>3817</v>
      </c>
      <c r="D1262" s="3" t="s">
        <v>3618</v>
      </c>
      <c r="E1262" s="3" t="s">
        <v>3638</v>
      </c>
      <c r="F1262" s="3" t="s">
        <v>4059</v>
      </c>
      <c r="G1262" s="3" t="s">
        <v>3206</v>
      </c>
      <c r="H1262" s="6" t="s">
        <v>3356</v>
      </c>
      <c r="I1262" s="6" t="s">
        <v>3356</v>
      </c>
      <c r="J1262" s="3" t="s">
        <v>3356</v>
      </c>
      <c r="L1262" s="1" t="s">
        <v>6135</v>
      </c>
    </row>
    <row r="1263" spans="1:12">
      <c r="A1263" s="3" t="s">
        <v>3356</v>
      </c>
      <c r="C1263" s="3" t="s">
        <v>3817</v>
      </c>
      <c r="D1263" s="3" t="s">
        <v>3618</v>
      </c>
      <c r="E1263" s="3" t="s">
        <v>3638</v>
      </c>
      <c r="F1263" s="3" t="s">
        <v>4059</v>
      </c>
      <c r="G1263" s="3" t="s">
        <v>6304</v>
      </c>
      <c r="H1263" s="6" t="s">
        <v>3356</v>
      </c>
      <c r="I1263" s="6" t="s">
        <v>3356</v>
      </c>
      <c r="J1263" s="3" t="s">
        <v>3356</v>
      </c>
      <c r="L1263" s="1" t="s">
        <v>6135</v>
      </c>
    </row>
    <row r="1264" spans="1:12">
      <c r="A1264" s="3" t="s">
        <v>3356</v>
      </c>
      <c r="C1264" s="3" t="s">
        <v>3817</v>
      </c>
      <c r="D1264" s="3" t="s">
        <v>3618</v>
      </c>
      <c r="E1264" s="3" t="s">
        <v>3638</v>
      </c>
      <c r="F1264" s="3" t="s">
        <v>6311</v>
      </c>
      <c r="G1264" s="3" t="s">
        <v>3200</v>
      </c>
      <c r="H1264" s="6" t="s">
        <v>3356</v>
      </c>
      <c r="I1264" s="6" t="s">
        <v>3356</v>
      </c>
      <c r="J1264" s="3" t="s">
        <v>3356</v>
      </c>
      <c r="L1264" s="1" t="s">
        <v>6135</v>
      </c>
    </row>
    <row r="1265" spans="1:12">
      <c r="A1265" s="3" t="s">
        <v>3356</v>
      </c>
      <c r="C1265" s="3" t="s">
        <v>3817</v>
      </c>
      <c r="D1265" s="3" t="s">
        <v>3618</v>
      </c>
      <c r="E1265" s="3" t="s">
        <v>3638</v>
      </c>
      <c r="F1265" s="3" t="s">
        <v>6311</v>
      </c>
      <c r="G1265" s="3" t="s">
        <v>3201</v>
      </c>
      <c r="H1265" s="6" t="s">
        <v>3356</v>
      </c>
      <c r="I1265" s="6" t="s">
        <v>3356</v>
      </c>
      <c r="J1265" s="3" t="s">
        <v>3356</v>
      </c>
      <c r="L1265" s="1" t="s">
        <v>6135</v>
      </c>
    </row>
    <row r="1266" spans="1:12">
      <c r="A1266" s="3" t="s">
        <v>3356</v>
      </c>
      <c r="C1266" s="3" t="s">
        <v>3817</v>
      </c>
      <c r="D1266" s="3" t="s">
        <v>3618</v>
      </c>
      <c r="E1266" s="3" t="s">
        <v>3638</v>
      </c>
      <c r="F1266" s="3" t="s">
        <v>6311</v>
      </c>
      <c r="G1266" s="3" t="s">
        <v>3202</v>
      </c>
      <c r="H1266" s="6" t="s">
        <v>3356</v>
      </c>
      <c r="I1266" s="6" t="s">
        <v>3356</v>
      </c>
      <c r="J1266" s="3" t="s">
        <v>3356</v>
      </c>
      <c r="L1266" s="1" t="s">
        <v>6135</v>
      </c>
    </row>
    <row r="1267" spans="1:12">
      <c r="A1267" s="3" t="s">
        <v>3356</v>
      </c>
      <c r="C1267" s="3" t="s">
        <v>3817</v>
      </c>
      <c r="D1267" s="3" t="s">
        <v>3618</v>
      </c>
      <c r="E1267" s="3" t="s">
        <v>3638</v>
      </c>
      <c r="F1267" s="3" t="s">
        <v>6311</v>
      </c>
      <c r="G1267" s="3" t="s">
        <v>4178</v>
      </c>
      <c r="H1267" s="6" t="s">
        <v>3356</v>
      </c>
      <c r="I1267" s="6" t="s">
        <v>3356</v>
      </c>
      <c r="J1267" s="3" t="s">
        <v>3356</v>
      </c>
      <c r="L1267" s="1" t="s">
        <v>6135</v>
      </c>
    </row>
    <row r="1268" spans="1:12">
      <c r="A1268" s="3" t="s">
        <v>3356</v>
      </c>
      <c r="C1268" s="3" t="s">
        <v>3817</v>
      </c>
      <c r="D1268" s="3" t="s">
        <v>3618</v>
      </c>
      <c r="E1268" s="3" t="s">
        <v>3638</v>
      </c>
      <c r="F1268" s="3" t="s">
        <v>3203</v>
      </c>
      <c r="G1268" s="3" t="s">
        <v>8271</v>
      </c>
      <c r="H1268" s="6" t="s">
        <v>3356</v>
      </c>
      <c r="I1268" s="6" t="s">
        <v>3356</v>
      </c>
      <c r="J1268" s="3" t="s">
        <v>3356</v>
      </c>
      <c r="L1268" s="1" t="s">
        <v>6135</v>
      </c>
    </row>
    <row r="1269" spans="1:12">
      <c r="A1269" s="3" t="s">
        <v>3356</v>
      </c>
      <c r="C1269" s="3" t="s">
        <v>3817</v>
      </c>
      <c r="D1269" s="3" t="s">
        <v>3618</v>
      </c>
      <c r="E1269" s="3" t="s">
        <v>3638</v>
      </c>
      <c r="F1269" s="3" t="s">
        <v>3204</v>
      </c>
      <c r="G1269" s="3" t="s">
        <v>8172</v>
      </c>
      <c r="H1269" s="6" t="s">
        <v>3356</v>
      </c>
      <c r="I1269" s="6" t="s">
        <v>3356</v>
      </c>
      <c r="J1269" s="3" t="s">
        <v>3356</v>
      </c>
      <c r="L1269" s="1" t="s">
        <v>6135</v>
      </c>
    </row>
    <row r="1270" spans="1:12">
      <c r="A1270" s="3" t="s">
        <v>3356</v>
      </c>
      <c r="C1270" s="3" t="s">
        <v>3817</v>
      </c>
      <c r="D1270" s="3" t="s">
        <v>3618</v>
      </c>
      <c r="E1270" s="3" t="s">
        <v>3638</v>
      </c>
      <c r="F1270" s="3" t="s">
        <v>3204</v>
      </c>
      <c r="G1270" s="3" t="s">
        <v>2076</v>
      </c>
      <c r="H1270" s="6" t="s">
        <v>3356</v>
      </c>
      <c r="I1270" s="6" t="s">
        <v>3356</v>
      </c>
      <c r="J1270" s="3" t="s">
        <v>3356</v>
      </c>
      <c r="L1270" s="1" t="s">
        <v>6135</v>
      </c>
    </row>
    <row r="1271" spans="1:12">
      <c r="A1271" s="3" t="s">
        <v>3356</v>
      </c>
      <c r="C1271" s="3" t="s">
        <v>3817</v>
      </c>
      <c r="D1271" s="3" t="s">
        <v>3618</v>
      </c>
      <c r="E1271" s="3" t="s">
        <v>3638</v>
      </c>
      <c r="F1271" s="3" t="s">
        <v>3204</v>
      </c>
      <c r="G1271" s="3" t="s">
        <v>7332</v>
      </c>
      <c r="H1271" s="6" t="s">
        <v>3356</v>
      </c>
      <c r="I1271" s="6" t="s">
        <v>3356</v>
      </c>
      <c r="J1271" s="3" t="s">
        <v>3356</v>
      </c>
      <c r="L1271" s="1" t="s">
        <v>6135</v>
      </c>
    </row>
    <row r="1272" spans="1:12">
      <c r="A1272" s="3" t="s">
        <v>3356</v>
      </c>
      <c r="C1272" s="3" t="s">
        <v>3817</v>
      </c>
      <c r="D1272" s="3" t="s">
        <v>3618</v>
      </c>
      <c r="E1272" s="3" t="s">
        <v>3638</v>
      </c>
      <c r="F1272" s="3" t="s">
        <v>4159</v>
      </c>
      <c r="G1272" s="3" t="s">
        <v>4911</v>
      </c>
      <c r="H1272" s="6" t="s">
        <v>3356</v>
      </c>
      <c r="I1272" s="6" t="s">
        <v>3356</v>
      </c>
      <c r="J1272" s="3" t="s">
        <v>3356</v>
      </c>
      <c r="L1272" s="1" t="s">
        <v>6135</v>
      </c>
    </row>
    <row r="1273" spans="1:12">
      <c r="A1273" s="3" t="s">
        <v>3356</v>
      </c>
      <c r="C1273" s="3" t="s">
        <v>3817</v>
      </c>
      <c r="D1273" s="3" t="s">
        <v>3618</v>
      </c>
      <c r="E1273" s="3" t="s">
        <v>3638</v>
      </c>
      <c r="F1273" s="3" t="s">
        <v>4159</v>
      </c>
      <c r="G1273" s="3" t="s">
        <v>8173</v>
      </c>
      <c r="H1273" s="6" t="s">
        <v>3356</v>
      </c>
      <c r="I1273" s="6" t="s">
        <v>3356</v>
      </c>
      <c r="J1273" s="3" t="s">
        <v>3356</v>
      </c>
      <c r="L1273" s="1" t="s">
        <v>6135</v>
      </c>
    </row>
    <row r="1274" spans="1:12">
      <c r="A1274" s="3" t="s">
        <v>3356</v>
      </c>
      <c r="C1274" s="3" t="s">
        <v>3817</v>
      </c>
      <c r="D1274" s="3" t="s">
        <v>3618</v>
      </c>
      <c r="E1274" s="3" t="s">
        <v>3638</v>
      </c>
      <c r="F1274" s="3" t="s">
        <v>4159</v>
      </c>
      <c r="G1274" s="3" t="s">
        <v>8023</v>
      </c>
      <c r="H1274" s="6" t="s">
        <v>3356</v>
      </c>
      <c r="I1274" s="6" t="s">
        <v>3356</v>
      </c>
      <c r="J1274" s="3" t="s">
        <v>3356</v>
      </c>
      <c r="L1274" s="1" t="s">
        <v>6135</v>
      </c>
    </row>
    <row r="1275" spans="1:12">
      <c r="A1275" s="3" t="s">
        <v>3356</v>
      </c>
      <c r="C1275" s="3" t="s">
        <v>3817</v>
      </c>
      <c r="D1275" s="3" t="s">
        <v>3618</v>
      </c>
      <c r="E1275" s="3" t="s">
        <v>3638</v>
      </c>
      <c r="F1275" s="3" t="s">
        <v>8323</v>
      </c>
      <c r="G1275" s="3" t="s">
        <v>5373</v>
      </c>
      <c r="H1275" s="6" t="s">
        <v>3356</v>
      </c>
      <c r="I1275" s="6" t="s">
        <v>3356</v>
      </c>
      <c r="J1275" s="3" t="s">
        <v>3356</v>
      </c>
      <c r="L1275" s="1" t="s">
        <v>6135</v>
      </c>
    </row>
    <row r="1276" spans="1:12">
      <c r="A1276" s="3" t="s">
        <v>3356</v>
      </c>
      <c r="C1276" s="3" t="s">
        <v>3817</v>
      </c>
      <c r="D1276" s="3" t="s">
        <v>3618</v>
      </c>
      <c r="E1276" s="3" t="s">
        <v>3638</v>
      </c>
      <c r="F1276" s="3" t="s">
        <v>8323</v>
      </c>
      <c r="G1276" s="3" t="s">
        <v>3992</v>
      </c>
      <c r="H1276" s="6" t="s">
        <v>3356</v>
      </c>
      <c r="I1276" s="6" t="s">
        <v>3356</v>
      </c>
      <c r="J1276" s="3" t="s">
        <v>3356</v>
      </c>
      <c r="L1276" s="1" t="s">
        <v>6135</v>
      </c>
    </row>
    <row r="1277" spans="1:12">
      <c r="A1277" s="3" t="s">
        <v>3356</v>
      </c>
      <c r="C1277" s="3" t="s">
        <v>3817</v>
      </c>
      <c r="D1277" s="3" t="s">
        <v>3618</v>
      </c>
      <c r="E1277" s="3" t="s">
        <v>3638</v>
      </c>
      <c r="F1277" s="3" t="s">
        <v>8323</v>
      </c>
      <c r="G1277" s="3" t="s">
        <v>3993</v>
      </c>
      <c r="H1277" s="6" t="s">
        <v>3356</v>
      </c>
      <c r="I1277" s="6" t="s">
        <v>3356</v>
      </c>
      <c r="J1277" s="3" t="s">
        <v>3356</v>
      </c>
      <c r="L1277" s="1" t="s">
        <v>6135</v>
      </c>
    </row>
    <row r="1278" spans="1:12">
      <c r="A1278" s="3" t="s">
        <v>3356</v>
      </c>
      <c r="C1278" s="3" t="s">
        <v>3817</v>
      </c>
      <c r="D1278" s="3" t="s">
        <v>3618</v>
      </c>
      <c r="E1278" s="3" t="s">
        <v>3638</v>
      </c>
      <c r="F1278" s="3" t="s">
        <v>8323</v>
      </c>
      <c r="G1278" s="3" t="s">
        <v>3994</v>
      </c>
      <c r="H1278" s="6" t="s">
        <v>3356</v>
      </c>
      <c r="I1278" s="6" t="s">
        <v>3356</v>
      </c>
      <c r="J1278" s="3" t="s">
        <v>3356</v>
      </c>
      <c r="L1278" s="1" t="s">
        <v>6135</v>
      </c>
    </row>
    <row r="1279" spans="1:12">
      <c r="A1279" s="3" t="s">
        <v>3356</v>
      </c>
      <c r="C1279" s="3" t="s">
        <v>3817</v>
      </c>
      <c r="D1279" s="3" t="s">
        <v>3618</v>
      </c>
      <c r="E1279" s="3" t="s">
        <v>3638</v>
      </c>
      <c r="F1279" s="3" t="s">
        <v>8323</v>
      </c>
      <c r="G1279" s="3" t="s">
        <v>3222</v>
      </c>
      <c r="H1279" s="6" t="s">
        <v>3356</v>
      </c>
      <c r="I1279" s="6" t="s">
        <v>3356</v>
      </c>
      <c r="J1279" s="3" t="s">
        <v>3356</v>
      </c>
      <c r="L1279" s="1" t="s">
        <v>6135</v>
      </c>
    </row>
    <row r="1280" spans="1:12">
      <c r="A1280" s="3" t="s">
        <v>3356</v>
      </c>
      <c r="C1280" s="3" t="s">
        <v>3817</v>
      </c>
      <c r="D1280" s="3" t="s">
        <v>3618</v>
      </c>
      <c r="E1280" s="3" t="s">
        <v>3638</v>
      </c>
      <c r="F1280" s="3" t="s">
        <v>8323</v>
      </c>
      <c r="G1280" s="3" t="s">
        <v>3223</v>
      </c>
      <c r="H1280" s="6" t="s">
        <v>3356</v>
      </c>
      <c r="I1280" s="6" t="s">
        <v>3356</v>
      </c>
      <c r="J1280" s="3" t="s">
        <v>3356</v>
      </c>
      <c r="L1280" s="1" t="s">
        <v>6135</v>
      </c>
    </row>
    <row r="1281" spans="1:12">
      <c r="A1281" s="3" t="s">
        <v>3356</v>
      </c>
      <c r="C1281" s="3" t="s">
        <v>3817</v>
      </c>
      <c r="D1281" s="3" t="s">
        <v>3618</v>
      </c>
      <c r="E1281" s="3" t="s">
        <v>3638</v>
      </c>
      <c r="F1281" s="3" t="s">
        <v>8323</v>
      </c>
      <c r="G1281" s="3" t="s">
        <v>8020</v>
      </c>
      <c r="H1281" s="6" t="s">
        <v>3356</v>
      </c>
      <c r="I1281" s="6" t="s">
        <v>3356</v>
      </c>
      <c r="J1281" s="3" t="s">
        <v>3356</v>
      </c>
      <c r="L1281" s="1" t="s">
        <v>6135</v>
      </c>
    </row>
    <row r="1282" spans="1:12">
      <c r="A1282" s="3" t="s">
        <v>3356</v>
      </c>
      <c r="C1282" s="3" t="s">
        <v>3817</v>
      </c>
      <c r="D1282" s="3" t="s">
        <v>3618</v>
      </c>
      <c r="E1282" s="3" t="s">
        <v>3638</v>
      </c>
      <c r="F1282" s="3" t="s">
        <v>8323</v>
      </c>
      <c r="G1282" s="3" t="s">
        <v>6052</v>
      </c>
      <c r="H1282" s="6" t="s">
        <v>3356</v>
      </c>
      <c r="I1282" s="6" t="s">
        <v>3356</v>
      </c>
      <c r="J1282" s="3" t="s">
        <v>3356</v>
      </c>
      <c r="L1282" s="1" t="s">
        <v>6135</v>
      </c>
    </row>
    <row r="1283" spans="1:12">
      <c r="A1283" s="3" t="s">
        <v>3356</v>
      </c>
      <c r="C1283" s="3" t="s">
        <v>3817</v>
      </c>
      <c r="D1283" s="3" t="s">
        <v>3618</v>
      </c>
      <c r="E1283" s="3" t="s">
        <v>3638</v>
      </c>
      <c r="F1283" s="3" t="s">
        <v>8323</v>
      </c>
      <c r="G1283" s="3" t="s">
        <v>6053</v>
      </c>
      <c r="H1283" s="6" t="s">
        <v>3356</v>
      </c>
      <c r="I1283" s="6" t="s">
        <v>3356</v>
      </c>
      <c r="J1283" s="3" t="s">
        <v>3356</v>
      </c>
      <c r="L1283" s="1" t="s">
        <v>6135</v>
      </c>
    </row>
    <row r="1284" spans="1:12">
      <c r="A1284" s="3" t="s">
        <v>3356</v>
      </c>
      <c r="C1284" s="3" t="s">
        <v>3817</v>
      </c>
      <c r="D1284" s="3" t="s">
        <v>3618</v>
      </c>
      <c r="E1284" s="3" t="s">
        <v>3638</v>
      </c>
      <c r="F1284" s="3" t="s">
        <v>8323</v>
      </c>
      <c r="G1284" s="3" t="s">
        <v>5703</v>
      </c>
      <c r="H1284" s="6" t="s">
        <v>3356</v>
      </c>
      <c r="I1284" s="6" t="s">
        <v>3356</v>
      </c>
      <c r="J1284" s="3" t="s">
        <v>3356</v>
      </c>
      <c r="L1284" s="1" t="s">
        <v>6135</v>
      </c>
    </row>
    <row r="1285" spans="1:12">
      <c r="A1285" s="3" t="s">
        <v>3356</v>
      </c>
      <c r="C1285" s="3" t="s">
        <v>3817</v>
      </c>
      <c r="D1285" s="3" t="s">
        <v>3618</v>
      </c>
      <c r="E1285" s="3" t="s">
        <v>3638</v>
      </c>
      <c r="F1285" s="3" t="s">
        <v>8323</v>
      </c>
      <c r="G1285" s="3" t="s">
        <v>5875</v>
      </c>
      <c r="H1285" s="6" t="s">
        <v>3356</v>
      </c>
      <c r="I1285" s="6" t="s">
        <v>3356</v>
      </c>
      <c r="J1285" s="3" t="s">
        <v>3356</v>
      </c>
      <c r="L1285" s="1" t="s">
        <v>6135</v>
      </c>
    </row>
    <row r="1286" spans="1:12">
      <c r="A1286" s="3" t="s">
        <v>3356</v>
      </c>
      <c r="C1286" s="3" t="s">
        <v>3817</v>
      </c>
      <c r="D1286" s="3" t="s">
        <v>3618</v>
      </c>
      <c r="E1286" s="3" t="s">
        <v>3638</v>
      </c>
      <c r="F1286" s="3" t="s">
        <v>8323</v>
      </c>
      <c r="G1286" s="3" t="s">
        <v>5672</v>
      </c>
      <c r="H1286" s="6" t="s">
        <v>3356</v>
      </c>
      <c r="I1286" s="6" t="s">
        <v>3356</v>
      </c>
      <c r="J1286" s="3" t="s">
        <v>3356</v>
      </c>
      <c r="L1286" s="1" t="s">
        <v>6135</v>
      </c>
    </row>
    <row r="1287" spans="1:12">
      <c r="A1287" s="3" t="s">
        <v>3356</v>
      </c>
      <c r="C1287" s="3" t="s">
        <v>3817</v>
      </c>
      <c r="D1287" s="3" t="s">
        <v>3618</v>
      </c>
      <c r="E1287" s="3" t="s">
        <v>3638</v>
      </c>
      <c r="F1287" s="3" t="s">
        <v>8323</v>
      </c>
      <c r="G1287" s="3" t="s">
        <v>5673</v>
      </c>
      <c r="H1287" s="6" t="s">
        <v>3356</v>
      </c>
      <c r="I1287" s="6" t="s">
        <v>3356</v>
      </c>
      <c r="J1287" s="3" t="s">
        <v>3356</v>
      </c>
      <c r="L1287" s="1" t="s">
        <v>6135</v>
      </c>
    </row>
    <row r="1288" spans="1:12">
      <c r="A1288" s="3" t="s">
        <v>3356</v>
      </c>
      <c r="C1288" s="3" t="s">
        <v>3817</v>
      </c>
      <c r="D1288" s="3" t="s">
        <v>3618</v>
      </c>
      <c r="E1288" s="3" t="s">
        <v>3638</v>
      </c>
      <c r="F1288" s="3" t="s">
        <v>8323</v>
      </c>
      <c r="G1288" s="3" t="s">
        <v>5674</v>
      </c>
      <c r="H1288" s="6" t="s">
        <v>3356</v>
      </c>
      <c r="I1288" s="6" t="s">
        <v>3356</v>
      </c>
      <c r="J1288" s="3" t="s">
        <v>3356</v>
      </c>
      <c r="L1288" s="1" t="s">
        <v>6135</v>
      </c>
    </row>
    <row r="1289" spans="1:12">
      <c r="A1289" s="3" t="s">
        <v>3356</v>
      </c>
      <c r="C1289" s="3" t="s">
        <v>3817</v>
      </c>
      <c r="D1289" s="3" t="s">
        <v>3618</v>
      </c>
      <c r="E1289" s="3" t="s">
        <v>3638</v>
      </c>
      <c r="F1289" s="3" t="s">
        <v>8323</v>
      </c>
      <c r="G1289" s="3" t="s">
        <v>5675</v>
      </c>
      <c r="H1289" s="6" t="s">
        <v>3356</v>
      </c>
      <c r="I1289" s="6" t="s">
        <v>3356</v>
      </c>
      <c r="J1289" s="3" t="s">
        <v>3356</v>
      </c>
      <c r="L1289" s="1" t="s">
        <v>6135</v>
      </c>
    </row>
    <row r="1290" spans="1:12">
      <c r="A1290" s="3" t="s">
        <v>3356</v>
      </c>
      <c r="C1290" s="3" t="s">
        <v>3817</v>
      </c>
      <c r="D1290" s="3" t="s">
        <v>3618</v>
      </c>
      <c r="E1290" s="3" t="s">
        <v>3638</v>
      </c>
      <c r="F1290" s="3" t="s">
        <v>8323</v>
      </c>
      <c r="G1290" s="3" t="s">
        <v>5676</v>
      </c>
      <c r="H1290" s="6" t="s">
        <v>3356</v>
      </c>
      <c r="I1290" s="6" t="s">
        <v>3356</v>
      </c>
      <c r="J1290" s="3" t="s">
        <v>3356</v>
      </c>
      <c r="L1290" s="1" t="s">
        <v>6135</v>
      </c>
    </row>
    <row r="1291" spans="1:12">
      <c r="A1291" s="3" t="s">
        <v>3356</v>
      </c>
      <c r="C1291" s="3" t="s">
        <v>3817</v>
      </c>
      <c r="D1291" s="3" t="s">
        <v>3618</v>
      </c>
      <c r="E1291" s="3" t="s">
        <v>3638</v>
      </c>
      <c r="F1291" s="3" t="s">
        <v>8323</v>
      </c>
      <c r="G1291" s="3" t="s">
        <v>5495</v>
      </c>
      <c r="H1291" s="6">
        <v>1.7323937598229686</v>
      </c>
      <c r="I1291" s="6">
        <v>54</v>
      </c>
      <c r="J1291" s="3" t="s">
        <v>6736</v>
      </c>
      <c r="L1291" s="1" t="s">
        <v>6135</v>
      </c>
    </row>
    <row r="1292" spans="1:12">
      <c r="A1292" s="3" t="s">
        <v>3356</v>
      </c>
      <c r="C1292" s="3" t="s">
        <v>3817</v>
      </c>
      <c r="D1292" s="3" t="s">
        <v>3618</v>
      </c>
      <c r="E1292" s="3" t="s">
        <v>3638</v>
      </c>
      <c r="F1292" s="3" t="s">
        <v>8199</v>
      </c>
      <c r="G1292" s="3" t="s">
        <v>8200</v>
      </c>
      <c r="H1292" s="6" t="s">
        <v>3356</v>
      </c>
      <c r="I1292" s="6" t="s">
        <v>3356</v>
      </c>
      <c r="J1292" s="3" t="s">
        <v>3356</v>
      </c>
      <c r="L1292" s="1" t="s">
        <v>6135</v>
      </c>
    </row>
    <row r="1293" spans="1:12">
      <c r="A1293" s="3" t="s">
        <v>3356</v>
      </c>
      <c r="C1293" s="3" t="s">
        <v>3817</v>
      </c>
      <c r="D1293" s="3" t="s">
        <v>3618</v>
      </c>
      <c r="E1293" s="3" t="s">
        <v>3638</v>
      </c>
      <c r="F1293" s="3" t="s">
        <v>4227</v>
      </c>
      <c r="G1293" s="3" t="s">
        <v>5422</v>
      </c>
      <c r="H1293" s="6" t="s">
        <v>3356</v>
      </c>
      <c r="I1293" s="6" t="s">
        <v>3356</v>
      </c>
      <c r="J1293" s="3" t="s">
        <v>3356</v>
      </c>
      <c r="L1293" s="1" t="s">
        <v>6135</v>
      </c>
    </row>
    <row r="1294" spans="1:12">
      <c r="A1294" s="3" t="s">
        <v>3356</v>
      </c>
      <c r="C1294" s="3" t="s">
        <v>3817</v>
      </c>
      <c r="D1294" s="3" t="s">
        <v>3618</v>
      </c>
      <c r="E1294" s="3" t="s">
        <v>3638</v>
      </c>
      <c r="F1294" s="3" t="s">
        <v>4227</v>
      </c>
      <c r="G1294" s="3" t="s">
        <v>3155</v>
      </c>
      <c r="H1294" s="6" t="s">
        <v>3356</v>
      </c>
      <c r="I1294" s="6" t="s">
        <v>3356</v>
      </c>
      <c r="J1294" s="3" t="s">
        <v>3356</v>
      </c>
      <c r="L1294" s="1" t="s">
        <v>6135</v>
      </c>
    </row>
    <row r="1295" spans="1:12">
      <c r="A1295" s="3" t="s">
        <v>3356</v>
      </c>
      <c r="C1295" s="3" t="s">
        <v>3817</v>
      </c>
      <c r="D1295" s="3" t="s">
        <v>3618</v>
      </c>
      <c r="E1295" s="3" t="s">
        <v>3638</v>
      </c>
      <c r="F1295" s="3" t="s">
        <v>6024</v>
      </c>
      <c r="G1295" s="3" t="s">
        <v>6025</v>
      </c>
      <c r="H1295" s="6" t="s">
        <v>3356</v>
      </c>
      <c r="I1295" s="6" t="s">
        <v>3356</v>
      </c>
      <c r="J1295" s="3" t="s">
        <v>3356</v>
      </c>
      <c r="L1295" s="1" t="s">
        <v>6135</v>
      </c>
    </row>
    <row r="1296" spans="1:12">
      <c r="A1296" s="3" t="s">
        <v>3356</v>
      </c>
      <c r="C1296" s="3" t="s">
        <v>3817</v>
      </c>
      <c r="D1296" s="3" t="s">
        <v>3618</v>
      </c>
      <c r="E1296" s="3" t="s">
        <v>3638</v>
      </c>
      <c r="F1296" s="3" t="s">
        <v>6024</v>
      </c>
      <c r="G1296" s="3" t="s">
        <v>5662</v>
      </c>
      <c r="H1296" s="6" t="s">
        <v>3356</v>
      </c>
      <c r="I1296" s="6" t="s">
        <v>3356</v>
      </c>
      <c r="J1296" s="3" t="s">
        <v>3356</v>
      </c>
      <c r="L1296" s="1" t="s">
        <v>6135</v>
      </c>
    </row>
    <row r="1297" spans="1:12">
      <c r="A1297" s="3" t="s">
        <v>3356</v>
      </c>
      <c r="C1297" s="3" t="s">
        <v>3817</v>
      </c>
      <c r="D1297" s="3" t="s">
        <v>3618</v>
      </c>
      <c r="E1297" s="3" t="s">
        <v>3638</v>
      </c>
      <c r="F1297" s="3" t="s">
        <v>8201</v>
      </c>
      <c r="G1297" s="3" t="s">
        <v>7088</v>
      </c>
      <c r="H1297" s="6" t="s">
        <v>3356</v>
      </c>
      <c r="I1297" s="6" t="s">
        <v>3356</v>
      </c>
      <c r="J1297" s="3" t="s">
        <v>3356</v>
      </c>
      <c r="L1297" s="1" t="s">
        <v>6135</v>
      </c>
    </row>
    <row r="1298" spans="1:12">
      <c r="A1298" s="3" t="s">
        <v>3356</v>
      </c>
      <c r="C1298" s="3" t="s">
        <v>3817</v>
      </c>
      <c r="D1298" s="3" t="s">
        <v>3618</v>
      </c>
      <c r="E1298" s="3" t="s">
        <v>3638</v>
      </c>
      <c r="F1298" s="3" t="s">
        <v>3941</v>
      </c>
      <c r="G1298" s="3" t="s">
        <v>7452</v>
      </c>
      <c r="H1298" s="6" t="s">
        <v>3356</v>
      </c>
      <c r="I1298" s="6" t="s">
        <v>3356</v>
      </c>
      <c r="J1298" s="3" t="s">
        <v>3356</v>
      </c>
      <c r="L1298" s="1" t="s">
        <v>6135</v>
      </c>
    </row>
    <row r="1299" spans="1:12">
      <c r="A1299" s="3" t="s">
        <v>3356</v>
      </c>
      <c r="C1299" s="3" t="s">
        <v>3817</v>
      </c>
      <c r="D1299" s="3" t="s">
        <v>3618</v>
      </c>
      <c r="E1299" s="3" t="s">
        <v>3638</v>
      </c>
      <c r="F1299" s="3" t="s">
        <v>3941</v>
      </c>
      <c r="G1299" s="3" t="s">
        <v>2554</v>
      </c>
      <c r="H1299" s="6" t="s">
        <v>3356</v>
      </c>
      <c r="I1299" s="6" t="s">
        <v>3356</v>
      </c>
      <c r="J1299" s="3" t="s">
        <v>3356</v>
      </c>
      <c r="L1299" s="1" t="s">
        <v>6135</v>
      </c>
    </row>
    <row r="1300" spans="1:12">
      <c r="A1300" s="3" t="s">
        <v>3356</v>
      </c>
      <c r="C1300" s="3" t="s">
        <v>3817</v>
      </c>
      <c r="D1300" s="3" t="s">
        <v>3618</v>
      </c>
      <c r="E1300" s="3" t="s">
        <v>3638</v>
      </c>
      <c r="F1300" s="3" t="s">
        <v>3941</v>
      </c>
      <c r="G1300" s="3" t="s">
        <v>8202</v>
      </c>
      <c r="H1300" s="6" t="s">
        <v>3356</v>
      </c>
      <c r="I1300" s="6" t="s">
        <v>3356</v>
      </c>
      <c r="J1300" s="3" t="s">
        <v>3356</v>
      </c>
      <c r="L1300" s="1" t="s">
        <v>6135</v>
      </c>
    </row>
    <row r="1301" spans="1:12">
      <c r="A1301" s="3" t="s">
        <v>3356</v>
      </c>
      <c r="C1301" s="3" t="s">
        <v>3817</v>
      </c>
      <c r="D1301" s="3" t="s">
        <v>3618</v>
      </c>
      <c r="E1301" s="3" t="s">
        <v>3638</v>
      </c>
      <c r="F1301" s="3" t="s">
        <v>3941</v>
      </c>
      <c r="G1301" s="3" t="s">
        <v>5341</v>
      </c>
      <c r="H1301" s="6" t="s">
        <v>3356</v>
      </c>
      <c r="I1301" s="6" t="s">
        <v>3356</v>
      </c>
      <c r="J1301" s="3" t="s">
        <v>3356</v>
      </c>
      <c r="L1301" s="1" t="s">
        <v>6135</v>
      </c>
    </row>
    <row r="1302" spans="1:12">
      <c r="A1302" s="3" t="s">
        <v>3356</v>
      </c>
      <c r="C1302" s="3" t="s">
        <v>3817</v>
      </c>
      <c r="D1302" s="3" t="s">
        <v>3618</v>
      </c>
      <c r="E1302" s="3" t="s">
        <v>3638</v>
      </c>
      <c r="F1302" s="3" t="s">
        <v>3941</v>
      </c>
      <c r="G1302" s="3" t="s">
        <v>3786</v>
      </c>
      <c r="H1302" s="6" t="s">
        <v>3356</v>
      </c>
      <c r="I1302" s="6" t="s">
        <v>3356</v>
      </c>
      <c r="J1302" s="3" t="s">
        <v>3356</v>
      </c>
      <c r="L1302" s="1" t="s">
        <v>6135</v>
      </c>
    </row>
    <row r="1303" spans="1:12">
      <c r="A1303" s="3" t="s">
        <v>3356</v>
      </c>
      <c r="C1303" s="3" t="s">
        <v>3817</v>
      </c>
      <c r="D1303" s="3" t="s">
        <v>3618</v>
      </c>
      <c r="E1303" s="3" t="s">
        <v>3638</v>
      </c>
      <c r="F1303" s="3" t="s">
        <v>3941</v>
      </c>
      <c r="G1303" s="3" t="s">
        <v>3426</v>
      </c>
      <c r="H1303" s="6" t="s">
        <v>3356</v>
      </c>
      <c r="I1303" s="6" t="s">
        <v>3356</v>
      </c>
      <c r="J1303" s="3" t="s">
        <v>3356</v>
      </c>
      <c r="L1303" s="1" t="s">
        <v>6135</v>
      </c>
    </row>
    <row r="1304" spans="1:12">
      <c r="A1304" s="3" t="s">
        <v>3356</v>
      </c>
      <c r="C1304" s="3" t="s">
        <v>3817</v>
      </c>
      <c r="D1304" s="3" t="s">
        <v>3618</v>
      </c>
      <c r="E1304" s="3" t="s">
        <v>3638</v>
      </c>
      <c r="F1304" s="3" t="s">
        <v>3941</v>
      </c>
      <c r="G1304" s="3" t="s">
        <v>4045</v>
      </c>
      <c r="H1304" s="6" t="s">
        <v>3356</v>
      </c>
      <c r="I1304" s="6" t="s">
        <v>3356</v>
      </c>
      <c r="J1304" s="3" t="s">
        <v>3356</v>
      </c>
      <c r="L1304" s="1" t="s">
        <v>6135</v>
      </c>
    </row>
    <row r="1305" spans="1:12">
      <c r="A1305" s="3" t="s">
        <v>3356</v>
      </c>
      <c r="C1305" s="3" t="s">
        <v>3817</v>
      </c>
      <c r="D1305" s="3" t="s">
        <v>3618</v>
      </c>
      <c r="E1305" s="3" t="s">
        <v>3638</v>
      </c>
      <c r="F1305" s="3" t="s">
        <v>3941</v>
      </c>
      <c r="G1305" s="3" t="s">
        <v>2183</v>
      </c>
      <c r="H1305" s="6" t="s">
        <v>3356</v>
      </c>
      <c r="I1305" s="6" t="s">
        <v>3356</v>
      </c>
      <c r="J1305" s="3" t="s">
        <v>3356</v>
      </c>
      <c r="L1305" s="1" t="s">
        <v>6135</v>
      </c>
    </row>
    <row r="1306" spans="1:12">
      <c r="A1306" s="3" t="s">
        <v>3356</v>
      </c>
      <c r="C1306" s="3" t="s">
        <v>3817</v>
      </c>
      <c r="D1306" s="3" t="s">
        <v>3618</v>
      </c>
      <c r="E1306" s="3" t="s">
        <v>3638</v>
      </c>
      <c r="F1306" s="3" t="s">
        <v>3941</v>
      </c>
      <c r="G1306" s="3" t="s">
        <v>6312</v>
      </c>
      <c r="H1306" s="6" t="s">
        <v>3356</v>
      </c>
      <c r="I1306" s="6" t="s">
        <v>3356</v>
      </c>
      <c r="J1306" s="3" t="s">
        <v>3356</v>
      </c>
      <c r="L1306" s="1" t="s">
        <v>6135</v>
      </c>
    </row>
    <row r="1307" spans="1:12">
      <c r="A1307" s="3" t="s">
        <v>3356</v>
      </c>
      <c r="C1307" s="3" t="s">
        <v>3817</v>
      </c>
      <c r="D1307" s="3" t="s">
        <v>3618</v>
      </c>
      <c r="E1307" s="3" t="s">
        <v>3638</v>
      </c>
      <c r="F1307" s="3" t="s">
        <v>3941</v>
      </c>
      <c r="G1307" s="3" t="s">
        <v>6675</v>
      </c>
      <c r="H1307" s="6" t="s">
        <v>3356</v>
      </c>
      <c r="I1307" s="6" t="s">
        <v>3356</v>
      </c>
      <c r="J1307" s="3" t="s">
        <v>3356</v>
      </c>
      <c r="L1307" s="1" t="s">
        <v>6135</v>
      </c>
    </row>
    <row r="1308" spans="1:12">
      <c r="A1308" s="3" t="s">
        <v>3356</v>
      </c>
      <c r="C1308" s="3" t="s">
        <v>3817</v>
      </c>
      <c r="D1308" s="3" t="s">
        <v>3618</v>
      </c>
      <c r="E1308" s="3" t="s">
        <v>3638</v>
      </c>
      <c r="F1308" s="3" t="s">
        <v>3941</v>
      </c>
      <c r="G1308" s="3" t="s">
        <v>3125</v>
      </c>
      <c r="H1308" s="6" t="s">
        <v>3356</v>
      </c>
      <c r="I1308" s="6" t="s">
        <v>3356</v>
      </c>
      <c r="J1308" s="3" t="s">
        <v>3356</v>
      </c>
      <c r="L1308" s="1" t="s">
        <v>6135</v>
      </c>
    </row>
    <row r="1309" spans="1:12">
      <c r="A1309" s="3" t="s">
        <v>3356</v>
      </c>
      <c r="C1309" s="3" t="s">
        <v>3817</v>
      </c>
      <c r="D1309" s="3" t="s">
        <v>3618</v>
      </c>
      <c r="E1309" s="3" t="s">
        <v>3638</v>
      </c>
      <c r="F1309" s="3" t="s">
        <v>3941</v>
      </c>
      <c r="G1309" s="3" t="s">
        <v>5446</v>
      </c>
      <c r="H1309" s="6" t="s">
        <v>3356</v>
      </c>
      <c r="I1309" s="6" t="s">
        <v>3356</v>
      </c>
      <c r="J1309" s="3" t="s">
        <v>3356</v>
      </c>
      <c r="L1309" s="1" t="s">
        <v>6135</v>
      </c>
    </row>
    <row r="1310" spans="1:12">
      <c r="A1310" s="3" t="s">
        <v>3356</v>
      </c>
      <c r="C1310" s="3" t="s">
        <v>3817</v>
      </c>
      <c r="D1310" s="3" t="s">
        <v>3618</v>
      </c>
      <c r="E1310" s="3" t="s">
        <v>3638</v>
      </c>
      <c r="F1310" s="3" t="s">
        <v>3941</v>
      </c>
      <c r="G1310" s="3" t="s">
        <v>8045</v>
      </c>
      <c r="H1310" s="6" t="s">
        <v>3356</v>
      </c>
      <c r="I1310" s="6" t="s">
        <v>3356</v>
      </c>
      <c r="J1310" s="3" t="s">
        <v>3356</v>
      </c>
      <c r="L1310" s="1" t="s">
        <v>6135</v>
      </c>
    </row>
    <row r="1311" spans="1:12">
      <c r="A1311" s="3" t="s">
        <v>3356</v>
      </c>
      <c r="C1311" s="3" t="s">
        <v>3817</v>
      </c>
      <c r="D1311" s="3" t="s">
        <v>3618</v>
      </c>
      <c r="E1311" s="3" t="s">
        <v>3638</v>
      </c>
      <c r="F1311" s="3" t="s">
        <v>3941</v>
      </c>
      <c r="G1311" s="3" t="s">
        <v>5447</v>
      </c>
      <c r="H1311" s="6" t="s">
        <v>3356</v>
      </c>
      <c r="I1311" s="6" t="s">
        <v>3356</v>
      </c>
      <c r="J1311" s="3" t="s">
        <v>3356</v>
      </c>
      <c r="L1311" s="1" t="s">
        <v>6135</v>
      </c>
    </row>
    <row r="1312" spans="1:12">
      <c r="A1312" s="3" t="s">
        <v>3356</v>
      </c>
      <c r="C1312" s="3" t="s">
        <v>3817</v>
      </c>
      <c r="D1312" s="3" t="s">
        <v>3618</v>
      </c>
      <c r="E1312" s="3" t="s">
        <v>3638</v>
      </c>
      <c r="F1312" s="3" t="s">
        <v>3941</v>
      </c>
      <c r="G1312" s="3" t="s">
        <v>5448</v>
      </c>
      <c r="H1312" s="6" t="s">
        <v>3356</v>
      </c>
      <c r="I1312" s="6" t="s">
        <v>3356</v>
      </c>
      <c r="J1312" s="3" t="s">
        <v>3356</v>
      </c>
      <c r="L1312" s="1" t="s">
        <v>6135</v>
      </c>
    </row>
    <row r="1313" spans="1:12">
      <c r="A1313" s="3" t="s">
        <v>3356</v>
      </c>
      <c r="C1313" s="3" t="s">
        <v>3817</v>
      </c>
      <c r="D1313" s="3" t="s">
        <v>3618</v>
      </c>
      <c r="E1313" s="3" t="s">
        <v>3638</v>
      </c>
      <c r="F1313" s="3" t="s">
        <v>3941</v>
      </c>
      <c r="G1313" s="3" t="s">
        <v>4446</v>
      </c>
      <c r="H1313" s="6" t="s">
        <v>3356</v>
      </c>
      <c r="I1313" s="6" t="s">
        <v>3356</v>
      </c>
      <c r="J1313" s="3" t="s">
        <v>3356</v>
      </c>
      <c r="L1313" s="1" t="s">
        <v>6135</v>
      </c>
    </row>
    <row r="1314" spans="1:12">
      <c r="A1314" s="3" t="s">
        <v>3356</v>
      </c>
      <c r="C1314" s="3" t="s">
        <v>3817</v>
      </c>
      <c r="D1314" s="3" t="s">
        <v>3618</v>
      </c>
      <c r="E1314" s="3" t="s">
        <v>3638</v>
      </c>
      <c r="F1314" s="3" t="s">
        <v>3941</v>
      </c>
      <c r="G1314" s="3" t="s">
        <v>8027</v>
      </c>
      <c r="H1314" s="6" t="s">
        <v>3356</v>
      </c>
      <c r="I1314" s="6" t="s">
        <v>3356</v>
      </c>
      <c r="J1314" s="3" t="s">
        <v>3356</v>
      </c>
      <c r="L1314" s="1" t="s">
        <v>6135</v>
      </c>
    </row>
    <row r="1315" spans="1:12">
      <c r="A1315" s="3" t="s">
        <v>3356</v>
      </c>
      <c r="C1315" s="3" t="s">
        <v>3817</v>
      </c>
      <c r="D1315" s="3" t="s">
        <v>3618</v>
      </c>
      <c r="E1315" s="3" t="s">
        <v>3638</v>
      </c>
      <c r="F1315" s="3" t="s">
        <v>6815</v>
      </c>
      <c r="G1315" s="3" t="s">
        <v>6116</v>
      </c>
      <c r="H1315" s="6" t="s">
        <v>3356</v>
      </c>
      <c r="I1315" s="6" t="s">
        <v>3356</v>
      </c>
      <c r="J1315" s="3" t="s">
        <v>3356</v>
      </c>
      <c r="L1315" s="1" t="s">
        <v>6135</v>
      </c>
    </row>
    <row r="1316" spans="1:12">
      <c r="A1316" s="3" t="s">
        <v>3356</v>
      </c>
      <c r="C1316" s="3" t="s">
        <v>3817</v>
      </c>
      <c r="D1316" s="3" t="s">
        <v>3618</v>
      </c>
      <c r="E1316" s="3" t="s">
        <v>3638</v>
      </c>
      <c r="F1316" s="3" t="s">
        <v>6815</v>
      </c>
      <c r="G1316" s="3" t="s">
        <v>8220</v>
      </c>
      <c r="H1316" s="6" t="s">
        <v>3356</v>
      </c>
      <c r="I1316" s="6" t="s">
        <v>3356</v>
      </c>
      <c r="J1316" s="3" t="s">
        <v>3356</v>
      </c>
      <c r="L1316" s="1" t="s">
        <v>6135</v>
      </c>
    </row>
    <row r="1317" spans="1:12">
      <c r="A1317" s="3" t="s">
        <v>3356</v>
      </c>
      <c r="C1317" s="3" t="s">
        <v>3817</v>
      </c>
      <c r="D1317" s="3" t="s">
        <v>3618</v>
      </c>
      <c r="E1317" s="3" t="s">
        <v>3638</v>
      </c>
      <c r="F1317" s="3" t="s">
        <v>6815</v>
      </c>
      <c r="G1317" s="3" t="s">
        <v>4457</v>
      </c>
      <c r="H1317" s="6" t="s">
        <v>3356</v>
      </c>
      <c r="I1317" s="6" t="s">
        <v>3356</v>
      </c>
      <c r="J1317" s="3" t="s">
        <v>3356</v>
      </c>
      <c r="L1317" s="1" t="s">
        <v>6135</v>
      </c>
    </row>
    <row r="1318" spans="1:12">
      <c r="A1318" s="3" t="s">
        <v>3356</v>
      </c>
      <c r="C1318" s="3" t="s">
        <v>3817</v>
      </c>
      <c r="D1318" s="3" t="s">
        <v>3618</v>
      </c>
      <c r="E1318" s="3" t="s">
        <v>3638</v>
      </c>
      <c r="F1318" s="3" t="s">
        <v>6815</v>
      </c>
      <c r="G1318" s="3" t="s">
        <v>5496</v>
      </c>
      <c r="H1318" s="6">
        <v>1.6989700043360187</v>
      </c>
      <c r="I1318" s="6">
        <v>50</v>
      </c>
      <c r="J1318" s="3" t="s">
        <v>6736</v>
      </c>
      <c r="L1318" s="1" t="s">
        <v>6135</v>
      </c>
    </row>
    <row r="1319" spans="1:12">
      <c r="A1319" s="3" t="s">
        <v>3356</v>
      </c>
      <c r="C1319" s="3" t="s">
        <v>3817</v>
      </c>
      <c r="D1319" s="3" t="s">
        <v>3618</v>
      </c>
      <c r="E1319" s="3" t="s">
        <v>3638</v>
      </c>
      <c r="F1319" s="3" t="s">
        <v>6815</v>
      </c>
      <c r="G1319" s="3" t="s">
        <v>3699</v>
      </c>
      <c r="H1319" s="6" t="s">
        <v>3356</v>
      </c>
      <c r="I1319" s="6" t="s">
        <v>3356</v>
      </c>
      <c r="J1319" s="3" t="s">
        <v>3356</v>
      </c>
      <c r="L1319" s="1" t="s">
        <v>6135</v>
      </c>
    </row>
    <row r="1320" spans="1:12">
      <c r="A1320" s="3" t="s">
        <v>3356</v>
      </c>
      <c r="C1320" s="3" t="s">
        <v>3817</v>
      </c>
      <c r="D1320" s="3" t="s">
        <v>3618</v>
      </c>
      <c r="E1320" s="3" t="s">
        <v>3638</v>
      </c>
      <c r="F1320" s="3" t="s">
        <v>6815</v>
      </c>
      <c r="G1320" s="3" t="s">
        <v>5497</v>
      </c>
      <c r="H1320" s="6">
        <v>2.0644579892269186</v>
      </c>
      <c r="I1320" s="6">
        <v>116</v>
      </c>
      <c r="J1320" s="3" t="s">
        <v>6736</v>
      </c>
      <c r="L1320" s="1" t="s">
        <v>6135</v>
      </c>
    </row>
    <row r="1321" spans="1:12">
      <c r="A1321" s="3" t="s">
        <v>3356</v>
      </c>
      <c r="C1321" s="3" t="s">
        <v>3817</v>
      </c>
      <c r="D1321" s="3" t="s">
        <v>3618</v>
      </c>
      <c r="E1321" s="3" t="s">
        <v>3638</v>
      </c>
      <c r="F1321" s="3" t="s">
        <v>6815</v>
      </c>
      <c r="G1321" s="3" t="s">
        <v>2050</v>
      </c>
      <c r="H1321" s="6" t="s">
        <v>3356</v>
      </c>
      <c r="I1321" s="6" t="s">
        <v>3356</v>
      </c>
      <c r="J1321" s="3" t="s">
        <v>3356</v>
      </c>
      <c r="L1321" s="1" t="s">
        <v>6135</v>
      </c>
    </row>
    <row r="1322" spans="1:12">
      <c r="A1322" s="3" t="s">
        <v>3356</v>
      </c>
      <c r="C1322" s="3" t="s">
        <v>3817</v>
      </c>
      <c r="D1322" s="3" t="s">
        <v>3618</v>
      </c>
      <c r="E1322" s="3" t="s">
        <v>3638</v>
      </c>
      <c r="F1322" s="3" t="s">
        <v>6815</v>
      </c>
      <c r="G1322" s="3" t="s">
        <v>3700</v>
      </c>
      <c r="H1322" s="6" t="s">
        <v>3356</v>
      </c>
      <c r="I1322" s="6" t="s">
        <v>3356</v>
      </c>
      <c r="J1322" s="3" t="s">
        <v>3356</v>
      </c>
      <c r="L1322" s="1" t="s">
        <v>6135</v>
      </c>
    </row>
    <row r="1323" spans="1:12">
      <c r="A1323" s="3" t="s">
        <v>3356</v>
      </c>
      <c r="C1323" s="3" t="s">
        <v>3817</v>
      </c>
      <c r="D1323" s="3" t="s">
        <v>3618</v>
      </c>
      <c r="E1323" s="3" t="s">
        <v>3638</v>
      </c>
      <c r="F1323" s="3" t="s">
        <v>6815</v>
      </c>
      <c r="G1323" s="3" t="s">
        <v>3671</v>
      </c>
      <c r="H1323" s="6" t="s">
        <v>3356</v>
      </c>
      <c r="I1323" s="6" t="s">
        <v>3356</v>
      </c>
      <c r="J1323" s="3" t="s">
        <v>3356</v>
      </c>
      <c r="L1323" s="1" t="s">
        <v>6135</v>
      </c>
    </row>
    <row r="1324" spans="1:12">
      <c r="A1324" s="3" t="s">
        <v>3356</v>
      </c>
      <c r="C1324" s="3" t="s">
        <v>3817</v>
      </c>
      <c r="D1324" s="3" t="s">
        <v>3618</v>
      </c>
      <c r="E1324" s="3" t="s">
        <v>3638</v>
      </c>
      <c r="F1324" s="3" t="s">
        <v>6815</v>
      </c>
      <c r="G1324" s="3" t="s">
        <v>6548</v>
      </c>
      <c r="H1324" s="6" t="s">
        <v>3356</v>
      </c>
      <c r="I1324" s="6" t="s">
        <v>3356</v>
      </c>
      <c r="J1324" s="3" t="s">
        <v>3356</v>
      </c>
      <c r="L1324" s="1" t="s">
        <v>6135</v>
      </c>
    </row>
    <row r="1325" spans="1:12">
      <c r="A1325" s="3" t="s">
        <v>3356</v>
      </c>
      <c r="C1325" s="3" t="s">
        <v>3817</v>
      </c>
      <c r="D1325" s="3" t="s">
        <v>3618</v>
      </c>
      <c r="E1325" s="3" t="s">
        <v>3638</v>
      </c>
      <c r="F1325" s="3" t="s">
        <v>6815</v>
      </c>
      <c r="G1325" s="3" t="s">
        <v>5498</v>
      </c>
      <c r="H1325" s="6">
        <v>1.7403626894942439</v>
      </c>
      <c r="I1325" s="6">
        <v>55</v>
      </c>
      <c r="J1325" s="3" t="s">
        <v>6736</v>
      </c>
      <c r="L1325" s="1" t="s">
        <v>6135</v>
      </c>
    </row>
    <row r="1326" spans="1:12">
      <c r="A1326" s="3" t="s">
        <v>3356</v>
      </c>
      <c r="C1326" s="3" t="s">
        <v>3817</v>
      </c>
      <c r="D1326" s="3" t="s">
        <v>3618</v>
      </c>
      <c r="E1326" s="3" t="s">
        <v>3638</v>
      </c>
      <c r="F1326" s="3" t="s">
        <v>6815</v>
      </c>
      <c r="G1326" s="3" t="s">
        <v>8132</v>
      </c>
      <c r="H1326" s="6" t="s">
        <v>3356</v>
      </c>
      <c r="I1326" s="6" t="s">
        <v>3356</v>
      </c>
      <c r="J1326" s="3" t="s">
        <v>3356</v>
      </c>
      <c r="L1326" s="1" t="s">
        <v>6135</v>
      </c>
    </row>
    <row r="1327" spans="1:12">
      <c r="A1327" s="3" t="s">
        <v>3356</v>
      </c>
      <c r="C1327" s="3" t="s">
        <v>3817</v>
      </c>
      <c r="D1327" s="3" t="s">
        <v>3618</v>
      </c>
      <c r="E1327" s="3" t="s">
        <v>3638</v>
      </c>
      <c r="F1327" s="3" t="s">
        <v>6815</v>
      </c>
      <c r="G1327" s="3" t="s">
        <v>3927</v>
      </c>
      <c r="H1327" s="6" t="s">
        <v>3356</v>
      </c>
      <c r="I1327" s="6" t="s">
        <v>3356</v>
      </c>
      <c r="J1327" s="3" t="s">
        <v>3356</v>
      </c>
      <c r="L1327" s="1" t="s">
        <v>6135</v>
      </c>
    </row>
    <row r="1328" spans="1:12">
      <c r="A1328" s="3" t="s">
        <v>3356</v>
      </c>
      <c r="C1328" s="3" t="s">
        <v>3817</v>
      </c>
      <c r="D1328" s="3" t="s">
        <v>3618</v>
      </c>
      <c r="E1328" s="3" t="s">
        <v>3638</v>
      </c>
      <c r="F1328" s="3" t="s">
        <v>5499</v>
      </c>
      <c r="G1328" s="3" t="s">
        <v>2341</v>
      </c>
      <c r="H1328" s="6">
        <v>2.0211892990699383</v>
      </c>
      <c r="I1328" s="6">
        <v>105</v>
      </c>
      <c r="J1328" s="3" t="s">
        <v>6736</v>
      </c>
      <c r="L1328" s="1" t="s">
        <v>6135</v>
      </c>
    </row>
    <row r="1329" spans="1:12">
      <c r="A1329" s="3" t="s">
        <v>3356</v>
      </c>
      <c r="C1329" s="3" t="s">
        <v>3817</v>
      </c>
      <c r="D1329" s="3" t="s">
        <v>3618</v>
      </c>
      <c r="E1329" s="3" t="s">
        <v>3638</v>
      </c>
      <c r="F1329" s="3" t="s">
        <v>5499</v>
      </c>
      <c r="G1329" s="3" t="s">
        <v>5500</v>
      </c>
      <c r="H1329" s="6">
        <v>2.3010299956639813</v>
      </c>
      <c r="I1329" s="6">
        <v>200</v>
      </c>
      <c r="J1329" s="3" t="s">
        <v>6736</v>
      </c>
      <c r="L1329" s="1" t="s">
        <v>6135</v>
      </c>
    </row>
    <row r="1330" spans="1:12">
      <c r="A1330" s="3" t="s">
        <v>3356</v>
      </c>
      <c r="C1330" s="3" t="s">
        <v>3817</v>
      </c>
      <c r="D1330" s="3" t="s">
        <v>3618</v>
      </c>
      <c r="E1330" s="3" t="s">
        <v>3638</v>
      </c>
      <c r="F1330" s="3" t="s">
        <v>5499</v>
      </c>
      <c r="G1330" s="3" t="s">
        <v>3442</v>
      </c>
      <c r="H1330" s="6" t="s">
        <v>3356</v>
      </c>
      <c r="I1330" s="6" t="s">
        <v>3356</v>
      </c>
      <c r="J1330" s="3" t="s">
        <v>3356</v>
      </c>
      <c r="L1330" s="1" t="s">
        <v>6135</v>
      </c>
    </row>
    <row r="1331" spans="1:12">
      <c r="A1331" s="3" t="s">
        <v>3356</v>
      </c>
      <c r="C1331" s="3" t="s">
        <v>3817</v>
      </c>
      <c r="D1331" s="3" t="s">
        <v>3618</v>
      </c>
      <c r="E1331" s="3" t="s">
        <v>3638</v>
      </c>
      <c r="F1331" s="3" t="s">
        <v>5499</v>
      </c>
      <c r="G1331" s="3" t="s">
        <v>3443</v>
      </c>
      <c r="H1331" s="6" t="s">
        <v>3356</v>
      </c>
      <c r="I1331" s="6" t="s">
        <v>3356</v>
      </c>
      <c r="J1331" s="3" t="s">
        <v>3356</v>
      </c>
      <c r="L1331" s="1" t="s">
        <v>6135</v>
      </c>
    </row>
    <row r="1332" spans="1:12">
      <c r="A1332" s="3" t="s">
        <v>3356</v>
      </c>
      <c r="C1332" s="3" t="s">
        <v>3817</v>
      </c>
      <c r="D1332" s="3" t="s">
        <v>3618</v>
      </c>
      <c r="E1332" s="3" t="s">
        <v>3638</v>
      </c>
      <c r="F1332" s="3" t="s">
        <v>6076</v>
      </c>
      <c r="G1332" s="3" t="s">
        <v>8080</v>
      </c>
      <c r="H1332" s="6" t="s">
        <v>3356</v>
      </c>
      <c r="I1332" s="6" t="s">
        <v>3356</v>
      </c>
      <c r="J1332" s="3" t="s">
        <v>3356</v>
      </c>
      <c r="L1332" s="1" t="s">
        <v>6135</v>
      </c>
    </row>
    <row r="1333" spans="1:12">
      <c r="A1333" s="3" t="s">
        <v>3356</v>
      </c>
      <c r="C1333" s="3" t="s">
        <v>3817</v>
      </c>
      <c r="D1333" s="3" t="s">
        <v>3618</v>
      </c>
      <c r="E1333" s="3" t="s">
        <v>3638</v>
      </c>
      <c r="F1333" s="3" t="s">
        <v>5169</v>
      </c>
      <c r="G1333" s="3" t="s">
        <v>6697</v>
      </c>
      <c r="H1333" s="6" t="s">
        <v>3356</v>
      </c>
      <c r="I1333" s="6" t="s">
        <v>3356</v>
      </c>
      <c r="J1333" s="3" t="s">
        <v>3356</v>
      </c>
      <c r="L1333" s="1" t="s">
        <v>6135</v>
      </c>
    </row>
    <row r="1334" spans="1:12">
      <c r="A1334" s="3" t="s">
        <v>3356</v>
      </c>
      <c r="C1334" s="3" t="s">
        <v>3817</v>
      </c>
      <c r="D1334" s="3" t="s">
        <v>3618</v>
      </c>
      <c r="E1334" s="3" t="s">
        <v>3638</v>
      </c>
      <c r="F1334" s="3" t="s">
        <v>5169</v>
      </c>
      <c r="G1334" s="3" t="s">
        <v>4206</v>
      </c>
      <c r="H1334" s="6" t="s">
        <v>3356</v>
      </c>
      <c r="I1334" s="6" t="s">
        <v>3356</v>
      </c>
      <c r="J1334" s="3" t="s">
        <v>3356</v>
      </c>
      <c r="L1334" s="1" t="s">
        <v>6135</v>
      </c>
    </row>
    <row r="1335" spans="1:12">
      <c r="A1335" s="3" t="s">
        <v>3356</v>
      </c>
      <c r="C1335" s="3" t="s">
        <v>3817</v>
      </c>
      <c r="D1335" s="3" t="s">
        <v>3618</v>
      </c>
      <c r="E1335" s="3" t="s">
        <v>3638</v>
      </c>
      <c r="F1335" s="3" t="s">
        <v>5735</v>
      </c>
      <c r="G1335" s="3" t="s">
        <v>3876</v>
      </c>
      <c r="H1335" s="6">
        <v>0.77815125038364363</v>
      </c>
      <c r="I1335" s="6">
        <v>6</v>
      </c>
      <c r="J1335" s="3" t="s">
        <v>6736</v>
      </c>
      <c r="L1335" s="1" t="s">
        <v>6135</v>
      </c>
    </row>
    <row r="1336" spans="1:12">
      <c r="A1336" s="3" t="s">
        <v>3356</v>
      </c>
      <c r="C1336" s="3" t="s">
        <v>3817</v>
      </c>
      <c r="D1336" s="3" t="s">
        <v>3618</v>
      </c>
      <c r="E1336" s="3" t="s">
        <v>3638</v>
      </c>
      <c r="F1336" s="3" t="s">
        <v>4228</v>
      </c>
      <c r="G1336" s="3" t="s">
        <v>6305</v>
      </c>
      <c r="H1336" s="6" t="s">
        <v>3356</v>
      </c>
      <c r="I1336" s="6" t="s">
        <v>3356</v>
      </c>
      <c r="J1336" s="3" t="s">
        <v>3356</v>
      </c>
      <c r="L1336" s="1" t="s">
        <v>6135</v>
      </c>
    </row>
    <row r="1337" spans="1:12">
      <c r="A1337" s="3" t="s">
        <v>3356</v>
      </c>
      <c r="C1337" s="3" t="s">
        <v>3817</v>
      </c>
      <c r="D1337" s="3" t="s">
        <v>3618</v>
      </c>
      <c r="E1337" s="3" t="s">
        <v>3638</v>
      </c>
      <c r="F1337" s="3" t="s">
        <v>4228</v>
      </c>
      <c r="G1337" s="3" t="s">
        <v>5729</v>
      </c>
      <c r="H1337" s="6">
        <v>1.6020599913279623</v>
      </c>
      <c r="I1337" s="6">
        <v>40</v>
      </c>
      <c r="J1337" s="3" t="s">
        <v>6736</v>
      </c>
      <c r="L1337" s="1" t="s">
        <v>6135</v>
      </c>
    </row>
    <row r="1338" spans="1:12">
      <c r="A1338" s="3" t="s">
        <v>3356</v>
      </c>
      <c r="C1338" s="3" t="s">
        <v>3817</v>
      </c>
      <c r="D1338" s="3" t="s">
        <v>3618</v>
      </c>
      <c r="E1338" s="3" t="s">
        <v>3638</v>
      </c>
      <c r="F1338" s="3" t="s">
        <v>4228</v>
      </c>
      <c r="G1338" s="3" t="s">
        <v>5730</v>
      </c>
      <c r="H1338" s="6">
        <v>1.4771212547196624</v>
      </c>
      <c r="I1338" s="6">
        <v>30</v>
      </c>
      <c r="J1338" s="3" t="s">
        <v>6736</v>
      </c>
      <c r="L1338" s="1" t="s">
        <v>6135</v>
      </c>
    </row>
    <row r="1339" spans="1:12">
      <c r="A1339" s="3" t="s">
        <v>3356</v>
      </c>
      <c r="C1339" s="3" t="s">
        <v>3817</v>
      </c>
      <c r="D1339" s="3" t="s">
        <v>3618</v>
      </c>
      <c r="E1339" s="3" t="s">
        <v>3638</v>
      </c>
      <c r="F1339" s="3" t="s">
        <v>4228</v>
      </c>
      <c r="G1339" s="3" t="s">
        <v>6306</v>
      </c>
      <c r="H1339" s="6" t="s">
        <v>3356</v>
      </c>
      <c r="I1339" s="6" t="s">
        <v>3356</v>
      </c>
      <c r="J1339" s="3" t="s">
        <v>3356</v>
      </c>
      <c r="L1339" s="1" t="s">
        <v>6135</v>
      </c>
    </row>
    <row r="1340" spans="1:12">
      <c r="A1340" s="3" t="s">
        <v>3356</v>
      </c>
      <c r="C1340" s="3" t="s">
        <v>3817</v>
      </c>
      <c r="D1340" s="3" t="s">
        <v>3618</v>
      </c>
      <c r="E1340" s="3" t="s">
        <v>3638</v>
      </c>
      <c r="F1340" s="3" t="s">
        <v>4228</v>
      </c>
      <c r="G1340" s="3" t="s">
        <v>2334</v>
      </c>
      <c r="H1340" s="6" t="s">
        <v>3356</v>
      </c>
      <c r="I1340" s="6" t="s">
        <v>3356</v>
      </c>
      <c r="J1340" s="3" t="s">
        <v>3356</v>
      </c>
      <c r="L1340" s="1" t="s">
        <v>6135</v>
      </c>
    </row>
    <row r="1341" spans="1:12">
      <c r="A1341" s="3" t="s">
        <v>3356</v>
      </c>
      <c r="C1341" s="3" t="s">
        <v>3817</v>
      </c>
      <c r="D1341" s="3" t="s">
        <v>3618</v>
      </c>
      <c r="E1341" s="3" t="s">
        <v>3638</v>
      </c>
      <c r="F1341" s="3" t="s">
        <v>4228</v>
      </c>
      <c r="G1341" s="3" t="s">
        <v>6307</v>
      </c>
      <c r="H1341" s="6" t="s">
        <v>3356</v>
      </c>
      <c r="I1341" s="6" t="s">
        <v>3356</v>
      </c>
      <c r="J1341" s="3" t="s">
        <v>3356</v>
      </c>
      <c r="L1341" s="1" t="s">
        <v>6135</v>
      </c>
    </row>
    <row r="1342" spans="1:12">
      <c r="A1342" s="3" t="s">
        <v>3356</v>
      </c>
      <c r="C1342" s="3" t="s">
        <v>3817</v>
      </c>
      <c r="D1342" s="3" t="s">
        <v>3618</v>
      </c>
      <c r="E1342" s="3" t="s">
        <v>3638</v>
      </c>
      <c r="F1342" s="3" t="s">
        <v>4228</v>
      </c>
      <c r="G1342" s="3" t="s">
        <v>3199</v>
      </c>
      <c r="H1342" s="6" t="s">
        <v>3356</v>
      </c>
      <c r="I1342" s="6" t="s">
        <v>3356</v>
      </c>
      <c r="J1342" s="3" t="s">
        <v>3356</v>
      </c>
      <c r="L1342" s="1" t="s">
        <v>6135</v>
      </c>
    </row>
    <row r="1343" spans="1:12">
      <c r="A1343" s="3" t="s">
        <v>3356</v>
      </c>
      <c r="C1343" s="3" t="s">
        <v>3817</v>
      </c>
      <c r="D1343" s="3" t="s">
        <v>3618</v>
      </c>
      <c r="E1343" s="3" t="s">
        <v>3638</v>
      </c>
      <c r="F1343" s="3" t="s">
        <v>4228</v>
      </c>
      <c r="G1343" s="3" t="s">
        <v>2989</v>
      </c>
      <c r="H1343" s="6" t="s">
        <v>3356</v>
      </c>
      <c r="I1343" s="6" t="s">
        <v>3356</v>
      </c>
      <c r="J1343" s="3" t="s">
        <v>3356</v>
      </c>
      <c r="L1343" s="1" t="s">
        <v>6135</v>
      </c>
    </row>
    <row r="1344" spans="1:12">
      <c r="A1344" s="3" t="s">
        <v>3356</v>
      </c>
      <c r="C1344" s="3" t="s">
        <v>3817</v>
      </c>
      <c r="D1344" s="3" t="s">
        <v>3618</v>
      </c>
      <c r="E1344" s="3" t="s">
        <v>3638</v>
      </c>
      <c r="F1344" s="3" t="s">
        <v>4228</v>
      </c>
      <c r="G1344" s="3" t="s">
        <v>2990</v>
      </c>
      <c r="H1344" s="6" t="s">
        <v>3356</v>
      </c>
      <c r="I1344" s="6" t="s">
        <v>3356</v>
      </c>
      <c r="J1344" s="3" t="s">
        <v>3356</v>
      </c>
      <c r="L1344" s="1" t="s">
        <v>6135</v>
      </c>
    </row>
    <row r="1345" spans="1:12">
      <c r="A1345" s="3" t="s">
        <v>3356</v>
      </c>
      <c r="C1345" s="3" t="s">
        <v>3817</v>
      </c>
      <c r="D1345" s="3" t="s">
        <v>3618</v>
      </c>
      <c r="E1345" s="3" t="s">
        <v>3638</v>
      </c>
      <c r="F1345" s="3" t="s">
        <v>4228</v>
      </c>
      <c r="G1345" s="3" t="s">
        <v>8196</v>
      </c>
      <c r="H1345" s="6" t="s">
        <v>3356</v>
      </c>
      <c r="I1345" s="6" t="s">
        <v>3356</v>
      </c>
      <c r="J1345" s="3" t="s">
        <v>3356</v>
      </c>
      <c r="L1345" s="1" t="s">
        <v>6135</v>
      </c>
    </row>
    <row r="1346" spans="1:12">
      <c r="A1346" s="3" t="s">
        <v>3356</v>
      </c>
      <c r="C1346" s="3" t="s">
        <v>3817</v>
      </c>
      <c r="D1346" s="3" t="s">
        <v>3618</v>
      </c>
      <c r="E1346" s="3" t="s">
        <v>3638</v>
      </c>
      <c r="F1346" s="3" t="s">
        <v>4228</v>
      </c>
      <c r="G1346" s="3" t="s">
        <v>8197</v>
      </c>
      <c r="H1346" s="6" t="s">
        <v>3356</v>
      </c>
      <c r="I1346" s="6" t="s">
        <v>3356</v>
      </c>
      <c r="J1346" s="3" t="s">
        <v>3356</v>
      </c>
      <c r="L1346" s="1" t="s">
        <v>6135</v>
      </c>
    </row>
    <row r="1347" spans="1:12">
      <c r="A1347" s="3" t="s">
        <v>3356</v>
      </c>
      <c r="C1347" s="3" t="s">
        <v>3817</v>
      </c>
      <c r="D1347" s="3" t="s">
        <v>3618</v>
      </c>
      <c r="E1347" s="3" t="s">
        <v>3638</v>
      </c>
      <c r="F1347" s="3" t="s">
        <v>4228</v>
      </c>
      <c r="G1347" s="3" t="s">
        <v>8198</v>
      </c>
      <c r="H1347" s="6" t="s">
        <v>3356</v>
      </c>
      <c r="I1347" s="6" t="s">
        <v>3356</v>
      </c>
      <c r="J1347" s="3" t="s">
        <v>3356</v>
      </c>
      <c r="L1347" s="1" t="s">
        <v>6135</v>
      </c>
    </row>
    <row r="1348" spans="1:12">
      <c r="A1348" s="3" t="s">
        <v>3356</v>
      </c>
      <c r="C1348" s="3" t="s">
        <v>3817</v>
      </c>
      <c r="D1348" s="3" t="s">
        <v>3618</v>
      </c>
      <c r="E1348" s="3" t="s">
        <v>3638</v>
      </c>
      <c r="F1348" s="3" t="s">
        <v>4228</v>
      </c>
      <c r="G1348" s="3" t="s">
        <v>6308</v>
      </c>
      <c r="H1348" s="6" t="s">
        <v>3356</v>
      </c>
      <c r="I1348" s="6" t="s">
        <v>3356</v>
      </c>
      <c r="J1348" s="3" t="s">
        <v>3356</v>
      </c>
      <c r="L1348" s="1" t="s">
        <v>6135</v>
      </c>
    </row>
    <row r="1349" spans="1:12">
      <c r="A1349" s="3" t="s">
        <v>3356</v>
      </c>
      <c r="C1349" s="3" t="s">
        <v>3817</v>
      </c>
      <c r="D1349" s="3" t="s">
        <v>3618</v>
      </c>
      <c r="E1349" s="3" t="s">
        <v>3638</v>
      </c>
      <c r="F1349" s="3" t="s">
        <v>4228</v>
      </c>
      <c r="G1349" s="3" t="s">
        <v>3895</v>
      </c>
      <c r="H1349" s="6" t="s">
        <v>3356</v>
      </c>
      <c r="I1349" s="6" t="s">
        <v>3356</v>
      </c>
      <c r="J1349" s="3" t="s">
        <v>3356</v>
      </c>
      <c r="L1349" s="1" t="s">
        <v>6135</v>
      </c>
    </row>
    <row r="1350" spans="1:12">
      <c r="A1350" s="3" t="s">
        <v>3356</v>
      </c>
      <c r="C1350" s="3" t="s">
        <v>3817</v>
      </c>
      <c r="D1350" s="3" t="s">
        <v>3618</v>
      </c>
      <c r="E1350" s="3" t="s">
        <v>3638</v>
      </c>
      <c r="F1350" s="3" t="s">
        <v>4228</v>
      </c>
      <c r="G1350" s="3" t="s">
        <v>6309</v>
      </c>
      <c r="H1350" s="6" t="s">
        <v>3356</v>
      </c>
      <c r="I1350" s="6" t="s">
        <v>3356</v>
      </c>
      <c r="J1350" s="3" t="s">
        <v>3356</v>
      </c>
      <c r="L1350" s="1" t="s">
        <v>6135</v>
      </c>
    </row>
    <row r="1351" spans="1:12">
      <c r="A1351" s="3" t="s">
        <v>3356</v>
      </c>
      <c r="C1351" s="3" t="s">
        <v>3817</v>
      </c>
      <c r="D1351" s="3" t="s">
        <v>3618</v>
      </c>
      <c r="E1351" s="3" t="s">
        <v>3638</v>
      </c>
      <c r="F1351" s="3" t="s">
        <v>4228</v>
      </c>
      <c r="G1351" s="3" t="s">
        <v>8163</v>
      </c>
      <c r="H1351" s="6" t="s">
        <v>3356</v>
      </c>
      <c r="I1351" s="6" t="s">
        <v>3356</v>
      </c>
      <c r="J1351" s="3" t="s">
        <v>3356</v>
      </c>
      <c r="L1351" s="1" t="s">
        <v>6135</v>
      </c>
    </row>
    <row r="1352" spans="1:12">
      <c r="A1352" s="3" t="s">
        <v>3356</v>
      </c>
      <c r="C1352" s="3" t="s">
        <v>3817</v>
      </c>
      <c r="D1352" s="3" t="s">
        <v>3618</v>
      </c>
      <c r="E1352" s="3" t="s">
        <v>3638</v>
      </c>
      <c r="F1352" s="3" t="s">
        <v>4228</v>
      </c>
      <c r="G1352" s="3" t="s">
        <v>8164</v>
      </c>
      <c r="H1352" s="6" t="s">
        <v>3356</v>
      </c>
      <c r="I1352" s="6" t="s">
        <v>3356</v>
      </c>
      <c r="J1352" s="3" t="s">
        <v>3356</v>
      </c>
      <c r="L1352" s="1" t="s">
        <v>6135</v>
      </c>
    </row>
    <row r="1353" spans="1:12">
      <c r="A1353" s="3" t="s">
        <v>3356</v>
      </c>
      <c r="C1353" s="3" t="s">
        <v>3817</v>
      </c>
      <c r="D1353" s="3" t="s">
        <v>3618</v>
      </c>
      <c r="E1353" s="3" t="s">
        <v>3638</v>
      </c>
      <c r="F1353" s="3" t="s">
        <v>4228</v>
      </c>
      <c r="G1353" s="3" t="s">
        <v>8165</v>
      </c>
      <c r="H1353" s="6" t="s">
        <v>3356</v>
      </c>
      <c r="I1353" s="6" t="s">
        <v>3356</v>
      </c>
      <c r="J1353" s="3" t="s">
        <v>3356</v>
      </c>
      <c r="L1353" s="1" t="s">
        <v>6135</v>
      </c>
    </row>
    <row r="1354" spans="1:12">
      <c r="A1354" s="3" t="s">
        <v>3356</v>
      </c>
      <c r="C1354" s="3" t="s">
        <v>3817</v>
      </c>
      <c r="D1354" s="3" t="s">
        <v>3618</v>
      </c>
      <c r="E1354" s="3" t="s">
        <v>3638</v>
      </c>
      <c r="F1354" s="3" t="s">
        <v>4228</v>
      </c>
      <c r="G1354" s="3" t="s">
        <v>8166</v>
      </c>
      <c r="H1354" s="6" t="s">
        <v>3356</v>
      </c>
      <c r="I1354" s="6" t="s">
        <v>3356</v>
      </c>
      <c r="J1354" s="3" t="s">
        <v>3356</v>
      </c>
      <c r="L1354" s="1" t="s">
        <v>6135</v>
      </c>
    </row>
    <row r="1355" spans="1:12">
      <c r="A1355" s="3" t="s">
        <v>3356</v>
      </c>
      <c r="C1355" s="3" t="s">
        <v>3817</v>
      </c>
      <c r="D1355" s="3" t="s">
        <v>3618</v>
      </c>
      <c r="E1355" s="3" t="s">
        <v>3638</v>
      </c>
      <c r="F1355" s="3" t="s">
        <v>4228</v>
      </c>
      <c r="G1355" s="3" t="s">
        <v>8167</v>
      </c>
      <c r="H1355" s="6" t="s">
        <v>3356</v>
      </c>
      <c r="I1355" s="6" t="s">
        <v>3356</v>
      </c>
      <c r="J1355" s="3" t="s">
        <v>3356</v>
      </c>
      <c r="L1355" s="1" t="s">
        <v>6135</v>
      </c>
    </row>
    <row r="1356" spans="1:12">
      <c r="A1356" s="3" t="s">
        <v>3356</v>
      </c>
      <c r="C1356" s="3" t="s">
        <v>3817</v>
      </c>
      <c r="D1356" s="3" t="s">
        <v>3618</v>
      </c>
      <c r="E1356" s="3" t="s">
        <v>3638</v>
      </c>
      <c r="F1356" s="3" t="s">
        <v>4228</v>
      </c>
      <c r="G1356" s="3" t="s">
        <v>6796</v>
      </c>
      <c r="H1356" s="6" t="s">
        <v>3356</v>
      </c>
      <c r="I1356" s="6" t="s">
        <v>3356</v>
      </c>
      <c r="J1356" s="3" t="s">
        <v>3356</v>
      </c>
      <c r="L1356" s="1" t="s">
        <v>6135</v>
      </c>
    </row>
    <row r="1357" spans="1:12">
      <c r="A1357" s="3" t="s">
        <v>3356</v>
      </c>
      <c r="C1357" s="3" t="s">
        <v>3817</v>
      </c>
      <c r="D1357" s="3" t="s">
        <v>3618</v>
      </c>
      <c r="E1357" s="3" t="s">
        <v>3638</v>
      </c>
      <c r="F1357" s="3" t="s">
        <v>4228</v>
      </c>
      <c r="G1357" s="3" t="s">
        <v>8168</v>
      </c>
      <c r="H1357" s="6" t="s">
        <v>3356</v>
      </c>
      <c r="I1357" s="6" t="s">
        <v>3356</v>
      </c>
      <c r="J1357" s="3" t="s">
        <v>3356</v>
      </c>
      <c r="L1357" s="1" t="s">
        <v>6135</v>
      </c>
    </row>
    <row r="1358" spans="1:12">
      <c r="A1358" s="3" t="s">
        <v>3356</v>
      </c>
      <c r="C1358" s="3" t="s">
        <v>3817</v>
      </c>
      <c r="D1358" s="3" t="s">
        <v>3618</v>
      </c>
      <c r="E1358" s="3" t="s">
        <v>3638</v>
      </c>
      <c r="F1358" s="3" t="s">
        <v>4228</v>
      </c>
      <c r="G1358" s="3" t="s">
        <v>5474</v>
      </c>
      <c r="H1358" s="6" t="s">
        <v>3356</v>
      </c>
      <c r="I1358" s="6" t="s">
        <v>3356</v>
      </c>
      <c r="J1358" s="3" t="s">
        <v>3356</v>
      </c>
      <c r="L1358" s="1" t="s">
        <v>6135</v>
      </c>
    </row>
    <row r="1359" spans="1:12">
      <c r="A1359" s="3" t="s">
        <v>3356</v>
      </c>
      <c r="C1359" s="3" t="s">
        <v>3817</v>
      </c>
      <c r="D1359" s="3" t="s">
        <v>3618</v>
      </c>
      <c r="E1359" s="3" t="s">
        <v>3638</v>
      </c>
      <c r="F1359" s="3" t="s">
        <v>4228</v>
      </c>
      <c r="G1359" s="3" t="s">
        <v>5475</v>
      </c>
      <c r="H1359" s="6" t="s">
        <v>3356</v>
      </c>
      <c r="I1359" s="6" t="s">
        <v>3356</v>
      </c>
      <c r="J1359" s="3" t="s">
        <v>3356</v>
      </c>
      <c r="L1359" s="1" t="s">
        <v>6135</v>
      </c>
    </row>
    <row r="1360" spans="1:12">
      <c r="A1360" s="3" t="s">
        <v>3356</v>
      </c>
      <c r="C1360" s="3" t="s">
        <v>3817</v>
      </c>
      <c r="D1360" s="3" t="s">
        <v>3618</v>
      </c>
      <c r="E1360" s="3" t="s">
        <v>3638</v>
      </c>
      <c r="F1360" s="3" t="s">
        <v>4228</v>
      </c>
      <c r="G1360" s="3" t="s">
        <v>5445</v>
      </c>
      <c r="H1360" s="6" t="s">
        <v>3356</v>
      </c>
      <c r="I1360" s="6" t="s">
        <v>3356</v>
      </c>
      <c r="J1360" s="3" t="s">
        <v>3356</v>
      </c>
      <c r="L1360" s="1" t="s">
        <v>6135</v>
      </c>
    </row>
    <row r="1361" spans="1:12">
      <c r="A1361" s="3" t="s">
        <v>3356</v>
      </c>
      <c r="C1361" s="3" t="s">
        <v>3817</v>
      </c>
      <c r="D1361" s="3" t="s">
        <v>3618</v>
      </c>
      <c r="E1361" s="3" t="s">
        <v>3638</v>
      </c>
      <c r="F1361" s="3" t="s">
        <v>4228</v>
      </c>
      <c r="G1361" s="3" t="s">
        <v>8039</v>
      </c>
      <c r="H1361" s="6" t="s">
        <v>3356</v>
      </c>
      <c r="I1361" s="6" t="s">
        <v>3356</v>
      </c>
      <c r="J1361" s="3" t="s">
        <v>3356</v>
      </c>
      <c r="L1361" s="1" t="s">
        <v>6135</v>
      </c>
    </row>
    <row r="1362" spans="1:12">
      <c r="A1362" s="3" t="s">
        <v>3356</v>
      </c>
      <c r="C1362" s="3" t="s">
        <v>3817</v>
      </c>
      <c r="D1362" s="3" t="s">
        <v>3618</v>
      </c>
      <c r="E1362" s="3" t="s">
        <v>3638</v>
      </c>
      <c r="F1362" s="3" t="s">
        <v>4228</v>
      </c>
      <c r="G1362" s="3" t="s">
        <v>8040</v>
      </c>
      <c r="H1362" s="6" t="s">
        <v>3356</v>
      </c>
      <c r="I1362" s="6" t="s">
        <v>3356</v>
      </c>
      <c r="J1362" s="3" t="s">
        <v>3356</v>
      </c>
      <c r="L1362" s="1" t="s">
        <v>6135</v>
      </c>
    </row>
    <row r="1363" spans="1:12">
      <c r="A1363" s="3" t="s">
        <v>3356</v>
      </c>
      <c r="C1363" s="3" t="s">
        <v>3817</v>
      </c>
      <c r="D1363" s="3" t="s">
        <v>3618</v>
      </c>
      <c r="E1363" s="3" t="s">
        <v>3638</v>
      </c>
      <c r="F1363" s="3" t="s">
        <v>4228</v>
      </c>
      <c r="G1363" s="3" t="s">
        <v>8041</v>
      </c>
      <c r="H1363" s="6" t="s">
        <v>3356</v>
      </c>
      <c r="I1363" s="6" t="s">
        <v>3356</v>
      </c>
      <c r="J1363" s="3" t="s">
        <v>3356</v>
      </c>
      <c r="L1363" s="1" t="s">
        <v>6135</v>
      </c>
    </row>
    <row r="1364" spans="1:12">
      <c r="A1364" s="3" t="s">
        <v>3356</v>
      </c>
      <c r="C1364" s="3" t="s">
        <v>3817</v>
      </c>
      <c r="D1364" s="3" t="s">
        <v>3618</v>
      </c>
      <c r="E1364" s="3" t="s">
        <v>3638</v>
      </c>
      <c r="F1364" s="3" t="s">
        <v>4228</v>
      </c>
      <c r="G1364" s="3" t="s">
        <v>5889</v>
      </c>
      <c r="H1364" s="6" t="s">
        <v>3356</v>
      </c>
      <c r="I1364" s="6" t="s">
        <v>3356</v>
      </c>
      <c r="J1364" s="3" t="s">
        <v>3356</v>
      </c>
      <c r="L1364" s="1" t="s">
        <v>6135</v>
      </c>
    </row>
    <row r="1365" spans="1:12">
      <c r="A1365" s="3" t="s">
        <v>3356</v>
      </c>
      <c r="C1365" s="3" t="s">
        <v>3817</v>
      </c>
      <c r="D1365" s="3" t="s">
        <v>3618</v>
      </c>
      <c r="E1365" s="3" t="s">
        <v>3638</v>
      </c>
      <c r="F1365" s="3" t="s">
        <v>4228</v>
      </c>
      <c r="G1365" s="3" t="s">
        <v>5890</v>
      </c>
      <c r="H1365" s="6" t="s">
        <v>3356</v>
      </c>
      <c r="I1365" s="6" t="s">
        <v>3356</v>
      </c>
      <c r="J1365" s="3" t="s">
        <v>3356</v>
      </c>
      <c r="L1365" s="1" t="s">
        <v>6135</v>
      </c>
    </row>
    <row r="1366" spans="1:12">
      <c r="A1366" s="3" t="s">
        <v>3356</v>
      </c>
      <c r="C1366" s="3" t="s">
        <v>3817</v>
      </c>
      <c r="D1366" s="3" t="s">
        <v>3618</v>
      </c>
      <c r="E1366" s="3" t="s">
        <v>3638</v>
      </c>
      <c r="F1366" s="3" t="s">
        <v>4228</v>
      </c>
      <c r="G1366" s="3" t="s">
        <v>5891</v>
      </c>
      <c r="H1366" s="6" t="s">
        <v>3356</v>
      </c>
      <c r="I1366" s="6" t="s">
        <v>3356</v>
      </c>
      <c r="J1366" s="3" t="s">
        <v>3356</v>
      </c>
      <c r="L1366" s="1" t="s">
        <v>6135</v>
      </c>
    </row>
    <row r="1367" spans="1:12">
      <c r="A1367" s="3" t="s">
        <v>3356</v>
      </c>
      <c r="C1367" s="3" t="s">
        <v>3817</v>
      </c>
      <c r="D1367" s="3" t="s">
        <v>3618</v>
      </c>
      <c r="E1367" s="3" t="s">
        <v>3638</v>
      </c>
      <c r="F1367" s="3" t="s">
        <v>4228</v>
      </c>
      <c r="G1367" s="3" t="s">
        <v>7543</v>
      </c>
      <c r="H1367" s="6" t="s">
        <v>3356</v>
      </c>
      <c r="I1367" s="6" t="s">
        <v>3356</v>
      </c>
      <c r="J1367" s="3" t="s">
        <v>3356</v>
      </c>
      <c r="L1367" s="1" t="s">
        <v>6135</v>
      </c>
    </row>
    <row r="1368" spans="1:12">
      <c r="A1368" s="3" t="s">
        <v>3356</v>
      </c>
      <c r="C1368" s="3" t="s">
        <v>3817</v>
      </c>
      <c r="D1368" s="3" t="s">
        <v>3618</v>
      </c>
      <c r="E1368" s="3" t="s">
        <v>3638</v>
      </c>
      <c r="F1368" s="3" t="s">
        <v>4228</v>
      </c>
      <c r="G1368" s="3" t="s">
        <v>5892</v>
      </c>
      <c r="H1368" s="6" t="s">
        <v>3356</v>
      </c>
      <c r="I1368" s="6" t="s">
        <v>3356</v>
      </c>
      <c r="J1368" s="3" t="s">
        <v>3356</v>
      </c>
      <c r="L1368" s="1" t="s">
        <v>6135</v>
      </c>
    </row>
    <row r="1369" spans="1:12">
      <c r="A1369" s="3" t="s">
        <v>3356</v>
      </c>
      <c r="C1369" s="3" t="s">
        <v>3817</v>
      </c>
      <c r="D1369" s="3" t="s">
        <v>3618</v>
      </c>
      <c r="E1369" s="3" t="s">
        <v>3638</v>
      </c>
      <c r="F1369" s="3" t="s">
        <v>4228</v>
      </c>
      <c r="G1369" s="3" t="s">
        <v>5682</v>
      </c>
      <c r="H1369" s="6" t="s">
        <v>3356</v>
      </c>
      <c r="I1369" s="6" t="s">
        <v>3356</v>
      </c>
      <c r="J1369" s="3" t="s">
        <v>3356</v>
      </c>
      <c r="L1369" s="1" t="s">
        <v>6135</v>
      </c>
    </row>
    <row r="1370" spans="1:12">
      <c r="A1370" s="3" t="s">
        <v>3356</v>
      </c>
      <c r="C1370" s="3" t="s">
        <v>3817</v>
      </c>
      <c r="D1370" s="3" t="s">
        <v>3618</v>
      </c>
      <c r="E1370" s="3" t="s">
        <v>3638</v>
      </c>
      <c r="F1370" s="3" t="s">
        <v>4228</v>
      </c>
      <c r="G1370" s="3" t="s">
        <v>5683</v>
      </c>
      <c r="H1370" s="6" t="s">
        <v>3356</v>
      </c>
      <c r="I1370" s="6" t="s">
        <v>3356</v>
      </c>
      <c r="J1370" s="3" t="s">
        <v>3356</v>
      </c>
      <c r="L1370" s="1" t="s">
        <v>6135</v>
      </c>
    </row>
    <row r="1371" spans="1:12">
      <c r="A1371" s="3" t="s">
        <v>3356</v>
      </c>
      <c r="C1371" s="3" t="s">
        <v>3817</v>
      </c>
      <c r="D1371" s="3" t="s">
        <v>3618</v>
      </c>
      <c r="E1371" s="3" t="s">
        <v>3638</v>
      </c>
      <c r="F1371" s="3" t="s">
        <v>4228</v>
      </c>
      <c r="G1371" s="3" t="s">
        <v>5684</v>
      </c>
      <c r="H1371" s="6" t="s">
        <v>3356</v>
      </c>
      <c r="I1371" s="6" t="s">
        <v>3356</v>
      </c>
      <c r="J1371" s="3" t="s">
        <v>3356</v>
      </c>
      <c r="L1371" s="1" t="s">
        <v>6135</v>
      </c>
    </row>
    <row r="1372" spans="1:12">
      <c r="A1372" s="3" t="s">
        <v>3356</v>
      </c>
      <c r="C1372" s="3" t="s">
        <v>3817</v>
      </c>
      <c r="D1372" s="3" t="s">
        <v>3618</v>
      </c>
      <c r="E1372" s="3" t="s">
        <v>3638</v>
      </c>
      <c r="F1372" s="3" t="s">
        <v>4228</v>
      </c>
      <c r="G1372" s="3" t="s">
        <v>5685</v>
      </c>
      <c r="H1372" s="6" t="s">
        <v>3356</v>
      </c>
      <c r="I1372" s="6" t="s">
        <v>3356</v>
      </c>
      <c r="J1372" s="3" t="s">
        <v>3356</v>
      </c>
      <c r="L1372" s="1" t="s">
        <v>6135</v>
      </c>
    </row>
    <row r="1373" spans="1:12">
      <c r="A1373" s="3" t="s">
        <v>3356</v>
      </c>
      <c r="C1373" s="3" t="s">
        <v>3817</v>
      </c>
      <c r="D1373" s="3" t="s">
        <v>3618</v>
      </c>
      <c r="E1373" s="3" t="s">
        <v>3638</v>
      </c>
      <c r="F1373" s="3" t="s">
        <v>4228</v>
      </c>
      <c r="G1373" s="3" t="s">
        <v>5449</v>
      </c>
      <c r="H1373" s="6">
        <v>1.6989700043360187</v>
      </c>
      <c r="I1373" s="6">
        <v>50</v>
      </c>
      <c r="J1373" s="3" t="s">
        <v>6736</v>
      </c>
      <c r="L1373" s="1" t="s">
        <v>6135</v>
      </c>
    </row>
    <row r="1374" spans="1:12">
      <c r="A1374" s="3" t="s">
        <v>3356</v>
      </c>
      <c r="C1374" s="3" t="s">
        <v>3817</v>
      </c>
      <c r="D1374" s="3" t="s">
        <v>3618</v>
      </c>
      <c r="E1374" s="3" t="s">
        <v>3638</v>
      </c>
      <c r="F1374" s="3" t="s">
        <v>4228</v>
      </c>
      <c r="G1374" s="3" t="s">
        <v>6055</v>
      </c>
      <c r="H1374" s="6">
        <v>1.3010299956639813</v>
      </c>
      <c r="I1374" s="6">
        <v>20</v>
      </c>
      <c r="J1374" s="3" t="s">
        <v>6736</v>
      </c>
      <c r="L1374" s="1" t="s">
        <v>6135</v>
      </c>
    </row>
    <row r="1375" spans="1:12">
      <c r="A1375" s="3" t="s">
        <v>3356</v>
      </c>
      <c r="C1375" s="3" t="s">
        <v>3817</v>
      </c>
      <c r="D1375" s="3" t="s">
        <v>3618</v>
      </c>
      <c r="E1375" s="3" t="s">
        <v>3638</v>
      </c>
      <c r="F1375" s="3" t="s">
        <v>4228</v>
      </c>
      <c r="G1375" s="3" t="s">
        <v>5686</v>
      </c>
      <c r="H1375" s="6" t="s">
        <v>3356</v>
      </c>
      <c r="I1375" s="6" t="s">
        <v>3356</v>
      </c>
      <c r="J1375" s="3" t="s">
        <v>3356</v>
      </c>
      <c r="L1375" s="1" t="s">
        <v>6135</v>
      </c>
    </row>
    <row r="1376" spans="1:12">
      <c r="A1376" s="3" t="s">
        <v>3356</v>
      </c>
      <c r="C1376" s="3" t="s">
        <v>3817</v>
      </c>
      <c r="D1376" s="3" t="s">
        <v>3618</v>
      </c>
      <c r="E1376" s="3" t="s">
        <v>3638</v>
      </c>
      <c r="F1376" s="3" t="s">
        <v>4228</v>
      </c>
      <c r="G1376" s="3" t="s">
        <v>4852</v>
      </c>
      <c r="H1376" s="6" t="s">
        <v>3356</v>
      </c>
      <c r="I1376" s="6" t="s">
        <v>3356</v>
      </c>
      <c r="J1376" s="3" t="s">
        <v>3356</v>
      </c>
      <c r="L1376" s="1" t="s">
        <v>6135</v>
      </c>
    </row>
    <row r="1377" spans="1:12">
      <c r="A1377" s="3" t="s">
        <v>3356</v>
      </c>
      <c r="C1377" s="3" t="s">
        <v>3817</v>
      </c>
      <c r="D1377" s="3" t="s">
        <v>3618</v>
      </c>
      <c r="E1377" s="3" t="s">
        <v>3638</v>
      </c>
      <c r="F1377" s="3" t="s">
        <v>4228</v>
      </c>
      <c r="G1377" s="3" t="s">
        <v>5687</v>
      </c>
      <c r="H1377" s="6" t="s">
        <v>3356</v>
      </c>
      <c r="I1377" s="6" t="s">
        <v>3356</v>
      </c>
      <c r="J1377" s="3" t="s">
        <v>3356</v>
      </c>
      <c r="L1377" s="1" t="s">
        <v>6135</v>
      </c>
    </row>
    <row r="1378" spans="1:12">
      <c r="A1378" s="3" t="s">
        <v>3356</v>
      </c>
      <c r="C1378" s="3" t="s">
        <v>3817</v>
      </c>
      <c r="D1378" s="3" t="s">
        <v>3618</v>
      </c>
      <c r="E1378" s="3" t="s">
        <v>3638</v>
      </c>
      <c r="F1378" s="3" t="s">
        <v>6056</v>
      </c>
      <c r="G1378" s="3" t="s">
        <v>6525</v>
      </c>
      <c r="H1378" s="6" t="s">
        <v>3356</v>
      </c>
      <c r="I1378" s="6" t="s">
        <v>3356</v>
      </c>
      <c r="J1378" s="3" t="s">
        <v>3356</v>
      </c>
      <c r="L1378" s="1" t="s">
        <v>6135</v>
      </c>
    </row>
    <row r="1379" spans="1:12">
      <c r="A1379" s="3" t="s">
        <v>3356</v>
      </c>
      <c r="C1379" s="3" t="s">
        <v>3817</v>
      </c>
      <c r="D1379" s="3" t="s">
        <v>3618</v>
      </c>
      <c r="E1379" s="3" t="s">
        <v>3638</v>
      </c>
      <c r="F1379" s="3" t="s">
        <v>6056</v>
      </c>
      <c r="G1379" s="3" t="s">
        <v>5857</v>
      </c>
      <c r="H1379" s="6" t="s">
        <v>3356</v>
      </c>
      <c r="I1379" s="6" t="s">
        <v>3356</v>
      </c>
      <c r="J1379" s="3" t="s">
        <v>3356</v>
      </c>
      <c r="L1379" s="1" t="s">
        <v>6135</v>
      </c>
    </row>
    <row r="1380" spans="1:12">
      <c r="A1380" s="3" t="s">
        <v>3356</v>
      </c>
      <c r="C1380" s="3" t="s">
        <v>3817</v>
      </c>
      <c r="D1380" s="3" t="s">
        <v>3618</v>
      </c>
      <c r="E1380" s="3" t="s">
        <v>3638</v>
      </c>
      <c r="F1380" s="3" t="s">
        <v>6056</v>
      </c>
      <c r="G1380" s="3" t="s">
        <v>5858</v>
      </c>
      <c r="H1380" s="6" t="s">
        <v>3356</v>
      </c>
      <c r="I1380" s="6" t="s">
        <v>3356</v>
      </c>
      <c r="J1380" s="3" t="s">
        <v>3356</v>
      </c>
      <c r="L1380" s="1" t="s">
        <v>6135</v>
      </c>
    </row>
    <row r="1381" spans="1:12">
      <c r="A1381" s="3" t="s">
        <v>3356</v>
      </c>
      <c r="C1381" s="3" t="s">
        <v>3817</v>
      </c>
      <c r="D1381" s="3" t="s">
        <v>3618</v>
      </c>
      <c r="E1381" s="3" t="s">
        <v>3638</v>
      </c>
      <c r="F1381" s="3" t="s">
        <v>6056</v>
      </c>
      <c r="G1381" s="3" t="s">
        <v>5454</v>
      </c>
      <c r="H1381" s="6">
        <v>1.8450980400142569</v>
      </c>
      <c r="I1381" s="6">
        <v>70</v>
      </c>
      <c r="J1381" s="3" t="s">
        <v>6736</v>
      </c>
      <c r="L1381" s="1" t="s">
        <v>6135</v>
      </c>
    </row>
    <row r="1382" spans="1:12">
      <c r="A1382" s="3" t="s">
        <v>3356</v>
      </c>
      <c r="C1382" s="3" t="s">
        <v>3817</v>
      </c>
      <c r="D1382" s="3" t="s">
        <v>3618</v>
      </c>
      <c r="E1382" s="3" t="s">
        <v>3638</v>
      </c>
      <c r="F1382" s="3" t="s">
        <v>6293</v>
      </c>
      <c r="G1382" s="3" t="s">
        <v>3417</v>
      </c>
      <c r="H1382" s="6" t="s">
        <v>3356</v>
      </c>
      <c r="I1382" s="6" t="s">
        <v>3356</v>
      </c>
      <c r="J1382" s="3" t="s">
        <v>3356</v>
      </c>
      <c r="L1382" s="1" t="s">
        <v>6135</v>
      </c>
    </row>
    <row r="1383" spans="1:12">
      <c r="A1383" s="3" t="s">
        <v>3356</v>
      </c>
      <c r="C1383" s="3" t="s">
        <v>3817</v>
      </c>
      <c r="D1383" s="3" t="s">
        <v>3618</v>
      </c>
      <c r="E1383" s="3" t="s">
        <v>3638</v>
      </c>
      <c r="F1383" s="3" t="s">
        <v>6536</v>
      </c>
      <c r="G1383" s="3" t="s">
        <v>5859</v>
      </c>
      <c r="H1383" s="6" t="s">
        <v>3356</v>
      </c>
      <c r="I1383" s="6" t="s">
        <v>3356</v>
      </c>
      <c r="J1383" s="3" t="s">
        <v>3356</v>
      </c>
      <c r="L1383" s="1" t="s">
        <v>6135</v>
      </c>
    </row>
    <row r="1384" spans="1:12">
      <c r="A1384" s="3" t="s">
        <v>3356</v>
      </c>
      <c r="C1384" s="3" t="s">
        <v>3817</v>
      </c>
      <c r="D1384" s="3" t="s">
        <v>3618</v>
      </c>
      <c r="E1384" s="3" t="s">
        <v>3638</v>
      </c>
      <c r="F1384" s="3" t="s">
        <v>6536</v>
      </c>
      <c r="G1384" s="3" t="s">
        <v>8160</v>
      </c>
      <c r="H1384" s="6" t="s">
        <v>3356</v>
      </c>
      <c r="I1384" s="6" t="s">
        <v>3356</v>
      </c>
      <c r="J1384" s="3" t="s">
        <v>3356</v>
      </c>
      <c r="L1384" s="1" t="s">
        <v>6135</v>
      </c>
    </row>
    <row r="1385" spans="1:12">
      <c r="A1385" s="3" t="s">
        <v>3356</v>
      </c>
      <c r="C1385" s="3" t="s">
        <v>3817</v>
      </c>
      <c r="D1385" s="3" t="s">
        <v>3618</v>
      </c>
      <c r="E1385" s="3" t="s">
        <v>3638</v>
      </c>
      <c r="F1385" s="3" t="s">
        <v>6536</v>
      </c>
      <c r="G1385" s="3" t="s">
        <v>5867</v>
      </c>
      <c r="H1385" s="6" t="s">
        <v>3356</v>
      </c>
      <c r="I1385" s="6" t="s">
        <v>3356</v>
      </c>
      <c r="J1385" s="3" t="s">
        <v>3356</v>
      </c>
      <c r="L1385" s="1" t="s">
        <v>6135</v>
      </c>
    </row>
    <row r="1386" spans="1:12">
      <c r="A1386" s="3" t="s">
        <v>3356</v>
      </c>
      <c r="C1386" s="3" t="s">
        <v>3817</v>
      </c>
      <c r="D1386" s="3" t="s">
        <v>3618</v>
      </c>
      <c r="E1386" s="3" t="s">
        <v>3638</v>
      </c>
      <c r="F1386" s="3" t="s">
        <v>6536</v>
      </c>
      <c r="G1386" s="3" t="s">
        <v>6046</v>
      </c>
      <c r="H1386" s="6" t="s">
        <v>3356</v>
      </c>
      <c r="I1386" s="6" t="s">
        <v>3356</v>
      </c>
      <c r="J1386" s="3" t="s">
        <v>3356</v>
      </c>
      <c r="L1386" s="1" t="s">
        <v>6135</v>
      </c>
    </row>
    <row r="1387" spans="1:12">
      <c r="A1387" s="3" t="s">
        <v>3356</v>
      </c>
      <c r="C1387" s="3" t="s">
        <v>3817</v>
      </c>
      <c r="D1387" s="3" t="s">
        <v>3618</v>
      </c>
      <c r="E1387" s="3" t="s">
        <v>3638</v>
      </c>
      <c r="F1387" s="3" t="s">
        <v>6536</v>
      </c>
      <c r="G1387" s="3" t="s">
        <v>7786</v>
      </c>
      <c r="H1387" s="6" t="s">
        <v>3356</v>
      </c>
      <c r="I1387" s="6" t="s">
        <v>3356</v>
      </c>
      <c r="J1387" s="3" t="s">
        <v>3356</v>
      </c>
      <c r="L1387" s="1" t="s">
        <v>6135</v>
      </c>
    </row>
    <row r="1388" spans="1:12">
      <c r="A1388" s="3" t="s">
        <v>3356</v>
      </c>
      <c r="C1388" s="3" t="s">
        <v>3817</v>
      </c>
      <c r="D1388" s="3" t="s">
        <v>3618</v>
      </c>
      <c r="E1388" s="3" t="s">
        <v>3638</v>
      </c>
      <c r="F1388" s="3" t="s">
        <v>6536</v>
      </c>
      <c r="G1388" s="3" t="s">
        <v>6174</v>
      </c>
      <c r="H1388" s="6" t="s">
        <v>3356</v>
      </c>
      <c r="I1388" s="6" t="s">
        <v>3356</v>
      </c>
      <c r="J1388" s="3" t="s">
        <v>3356</v>
      </c>
      <c r="L1388" s="1" t="s">
        <v>6135</v>
      </c>
    </row>
    <row r="1389" spans="1:12">
      <c r="A1389" s="3" t="s">
        <v>3356</v>
      </c>
      <c r="C1389" s="3" t="s">
        <v>3817</v>
      </c>
      <c r="D1389" s="3" t="s">
        <v>3618</v>
      </c>
      <c r="E1389" s="3" t="s">
        <v>3638</v>
      </c>
      <c r="F1389" s="3" t="s">
        <v>6536</v>
      </c>
      <c r="G1389" s="3" t="s">
        <v>6175</v>
      </c>
      <c r="H1389" s="6" t="s">
        <v>3356</v>
      </c>
      <c r="I1389" s="6" t="s">
        <v>3356</v>
      </c>
      <c r="J1389" s="3" t="s">
        <v>3356</v>
      </c>
      <c r="L1389" s="1" t="s">
        <v>6135</v>
      </c>
    </row>
    <row r="1390" spans="1:12">
      <c r="A1390" s="3" t="s">
        <v>3356</v>
      </c>
      <c r="C1390" s="3" t="s">
        <v>3817</v>
      </c>
      <c r="D1390" s="3" t="s">
        <v>3618</v>
      </c>
      <c r="E1390" s="3" t="s">
        <v>3638</v>
      </c>
      <c r="F1390" s="3" t="s">
        <v>6536</v>
      </c>
      <c r="G1390" s="3" t="s">
        <v>6523</v>
      </c>
      <c r="H1390" s="6" t="s">
        <v>3356</v>
      </c>
      <c r="I1390" s="6" t="s">
        <v>3356</v>
      </c>
      <c r="J1390" s="3" t="s">
        <v>3356</v>
      </c>
      <c r="L1390" s="1" t="s">
        <v>6135</v>
      </c>
    </row>
    <row r="1391" spans="1:12">
      <c r="A1391" s="3" t="s">
        <v>3356</v>
      </c>
      <c r="C1391" s="3" t="s">
        <v>3817</v>
      </c>
      <c r="D1391" s="3" t="s">
        <v>3618</v>
      </c>
      <c r="E1391" s="3" t="s">
        <v>3638</v>
      </c>
      <c r="F1391" s="3" t="s">
        <v>6536</v>
      </c>
      <c r="G1391" s="3" t="s">
        <v>6176</v>
      </c>
      <c r="H1391" s="6" t="s">
        <v>3356</v>
      </c>
      <c r="I1391" s="6" t="s">
        <v>3356</v>
      </c>
      <c r="J1391" s="3" t="s">
        <v>3356</v>
      </c>
      <c r="L1391" s="1" t="s">
        <v>6135</v>
      </c>
    </row>
    <row r="1392" spans="1:12">
      <c r="A1392" s="3" t="s">
        <v>3356</v>
      </c>
      <c r="C1392" s="3" t="s">
        <v>3817</v>
      </c>
      <c r="D1392" s="3" t="s">
        <v>3618</v>
      </c>
      <c r="E1392" s="3" t="s">
        <v>3638</v>
      </c>
      <c r="F1392" s="3" t="s">
        <v>6536</v>
      </c>
      <c r="G1392" s="3" t="s">
        <v>6499</v>
      </c>
      <c r="H1392" s="6" t="s">
        <v>3356</v>
      </c>
      <c r="I1392" s="6" t="s">
        <v>3356</v>
      </c>
      <c r="J1392" s="3" t="s">
        <v>3356</v>
      </c>
      <c r="L1392" s="1" t="s">
        <v>6135</v>
      </c>
    </row>
    <row r="1393" spans="1:12">
      <c r="A1393" s="3" t="s">
        <v>3356</v>
      </c>
      <c r="C1393" s="3" t="s">
        <v>3817</v>
      </c>
      <c r="D1393" s="3" t="s">
        <v>3618</v>
      </c>
      <c r="E1393" s="3" t="s">
        <v>3638</v>
      </c>
      <c r="F1393" s="3" t="s">
        <v>6536</v>
      </c>
      <c r="G1393" s="3" t="s">
        <v>6500</v>
      </c>
      <c r="H1393" s="6" t="s">
        <v>3356</v>
      </c>
      <c r="I1393" s="6" t="s">
        <v>3356</v>
      </c>
      <c r="J1393" s="3" t="s">
        <v>3356</v>
      </c>
      <c r="L1393" s="1" t="s">
        <v>6135</v>
      </c>
    </row>
    <row r="1394" spans="1:12">
      <c r="A1394" s="3" t="s">
        <v>3356</v>
      </c>
      <c r="C1394" s="3" t="s">
        <v>3817</v>
      </c>
      <c r="D1394" s="3" t="s">
        <v>3618</v>
      </c>
      <c r="E1394" s="3" t="s">
        <v>3638</v>
      </c>
      <c r="F1394" s="3" t="s">
        <v>6536</v>
      </c>
      <c r="G1394" s="3" t="s">
        <v>6501</v>
      </c>
      <c r="H1394" s="6" t="s">
        <v>3356</v>
      </c>
      <c r="I1394" s="6" t="s">
        <v>3356</v>
      </c>
      <c r="J1394" s="3" t="s">
        <v>3356</v>
      </c>
      <c r="L1394" s="1" t="s">
        <v>6135</v>
      </c>
    </row>
    <row r="1395" spans="1:12">
      <c r="A1395" s="3" t="s">
        <v>3356</v>
      </c>
      <c r="C1395" s="3" t="s">
        <v>3817</v>
      </c>
      <c r="D1395" s="3" t="s">
        <v>3618</v>
      </c>
      <c r="E1395" s="3" t="s">
        <v>3638</v>
      </c>
      <c r="F1395" s="3" t="s">
        <v>6536</v>
      </c>
      <c r="G1395" s="3" t="s">
        <v>6622</v>
      </c>
      <c r="H1395" s="6" t="s">
        <v>3356</v>
      </c>
      <c r="I1395" s="6" t="s">
        <v>3356</v>
      </c>
      <c r="J1395" s="3" t="s">
        <v>3356</v>
      </c>
      <c r="L1395" s="1" t="s">
        <v>6135</v>
      </c>
    </row>
    <row r="1396" spans="1:12">
      <c r="A1396" s="3" t="s">
        <v>3356</v>
      </c>
      <c r="C1396" s="3" t="s">
        <v>3817</v>
      </c>
      <c r="D1396" s="3" t="s">
        <v>3618</v>
      </c>
      <c r="E1396" s="3" t="s">
        <v>3638</v>
      </c>
      <c r="F1396" s="3" t="s">
        <v>6536</v>
      </c>
      <c r="G1396" s="3" t="s">
        <v>4954</v>
      </c>
      <c r="H1396" s="6" t="s">
        <v>3356</v>
      </c>
      <c r="I1396" s="6" t="s">
        <v>3356</v>
      </c>
      <c r="J1396" s="3" t="s">
        <v>3356</v>
      </c>
      <c r="L1396" s="1" t="s">
        <v>6135</v>
      </c>
    </row>
    <row r="1397" spans="1:12">
      <c r="A1397" s="3" t="s">
        <v>3356</v>
      </c>
      <c r="C1397" s="3" t="s">
        <v>3817</v>
      </c>
      <c r="D1397" s="3" t="s">
        <v>3618</v>
      </c>
      <c r="E1397" s="3" t="s">
        <v>3638</v>
      </c>
      <c r="F1397" s="3" t="s">
        <v>6536</v>
      </c>
      <c r="G1397" s="3" t="s">
        <v>4792</v>
      </c>
      <c r="H1397" s="6" t="s">
        <v>3356</v>
      </c>
      <c r="I1397" s="6" t="s">
        <v>3356</v>
      </c>
      <c r="J1397" s="3" t="s">
        <v>3356</v>
      </c>
      <c r="L1397" s="1" t="s">
        <v>6135</v>
      </c>
    </row>
    <row r="1398" spans="1:12">
      <c r="A1398" s="3" t="s">
        <v>3356</v>
      </c>
      <c r="C1398" s="3" t="s">
        <v>3817</v>
      </c>
      <c r="D1398" s="3" t="s">
        <v>3618</v>
      </c>
      <c r="E1398" s="3" t="s">
        <v>3638</v>
      </c>
      <c r="F1398" s="3" t="s">
        <v>6536</v>
      </c>
      <c r="G1398" s="3" t="s">
        <v>5455</v>
      </c>
      <c r="H1398" s="6">
        <v>0.92941892571429274</v>
      </c>
      <c r="I1398" s="6">
        <v>8.5</v>
      </c>
      <c r="J1398" s="3" t="s">
        <v>6736</v>
      </c>
      <c r="L1398" s="1" t="s">
        <v>6135</v>
      </c>
    </row>
    <row r="1399" spans="1:12">
      <c r="A1399" s="3" t="s">
        <v>3356</v>
      </c>
      <c r="C1399" s="3" t="s">
        <v>3817</v>
      </c>
      <c r="D1399" s="3" t="s">
        <v>3618</v>
      </c>
      <c r="E1399" s="3" t="s">
        <v>3638</v>
      </c>
      <c r="F1399" s="3" t="s">
        <v>6536</v>
      </c>
      <c r="G1399" s="3" t="s">
        <v>4793</v>
      </c>
      <c r="H1399" s="6" t="s">
        <v>3356</v>
      </c>
      <c r="I1399" s="6" t="s">
        <v>3356</v>
      </c>
      <c r="J1399" s="3" t="s">
        <v>3356</v>
      </c>
      <c r="L1399" s="1" t="s">
        <v>6135</v>
      </c>
    </row>
    <row r="1400" spans="1:12">
      <c r="A1400" s="3" t="s">
        <v>3356</v>
      </c>
      <c r="C1400" s="3" t="s">
        <v>3817</v>
      </c>
      <c r="D1400" s="3" t="s">
        <v>3618</v>
      </c>
      <c r="E1400" s="3" t="s">
        <v>3638</v>
      </c>
      <c r="F1400" s="3" t="s">
        <v>6536</v>
      </c>
      <c r="G1400" s="3" t="s">
        <v>4794</v>
      </c>
      <c r="H1400" s="6" t="s">
        <v>3356</v>
      </c>
      <c r="I1400" s="6" t="s">
        <v>3356</v>
      </c>
      <c r="J1400" s="3" t="s">
        <v>3356</v>
      </c>
      <c r="L1400" s="1" t="s">
        <v>6135</v>
      </c>
    </row>
    <row r="1401" spans="1:12">
      <c r="A1401" s="3" t="s">
        <v>3356</v>
      </c>
      <c r="C1401" s="3" t="s">
        <v>3817</v>
      </c>
      <c r="D1401" s="3" t="s">
        <v>3618</v>
      </c>
      <c r="E1401" s="3" t="s">
        <v>3638</v>
      </c>
      <c r="F1401" s="3" t="s">
        <v>6536</v>
      </c>
      <c r="G1401" s="3" t="s">
        <v>4795</v>
      </c>
      <c r="H1401" s="6" t="s">
        <v>3356</v>
      </c>
      <c r="I1401" s="6" t="s">
        <v>3356</v>
      </c>
      <c r="J1401" s="3" t="s">
        <v>3356</v>
      </c>
      <c r="L1401" s="1" t="s">
        <v>6135</v>
      </c>
    </row>
    <row r="1402" spans="1:12">
      <c r="A1402" s="3" t="s">
        <v>3356</v>
      </c>
      <c r="C1402" s="3" t="s">
        <v>3817</v>
      </c>
      <c r="D1402" s="3" t="s">
        <v>3618</v>
      </c>
      <c r="E1402" s="3" t="s">
        <v>3638</v>
      </c>
      <c r="F1402" s="3" t="s">
        <v>6536</v>
      </c>
      <c r="G1402" s="3" t="s">
        <v>4796</v>
      </c>
      <c r="H1402" s="6" t="s">
        <v>3356</v>
      </c>
      <c r="I1402" s="6" t="s">
        <v>3356</v>
      </c>
      <c r="J1402" s="3" t="s">
        <v>3356</v>
      </c>
      <c r="L1402" s="1" t="s">
        <v>6135</v>
      </c>
    </row>
    <row r="1403" spans="1:12">
      <c r="A1403" s="3" t="s">
        <v>3356</v>
      </c>
      <c r="C1403" s="3" t="s">
        <v>3817</v>
      </c>
      <c r="D1403" s="3" t="s">
        <v>3618</v>
      </c>
      <c r="E1403" s="3" t="s">
        <v>3638</v>
      </c>
      <c r="F1403" s="3" t="s">
        <v>6536</v>
      </c>
      <c r="G1403" s="3" t="s">
        <v>6393</v>
      </c>
      <c r="H1403" s="6" t="s">
        <v>3356</v>
      </c>
      <c r="I1403" s="6" t="s">
        <v>3356</v>
      </c>
      <c r="J1403" s="3" t="s">
        <v>3356</v>
      </c>
      <c r="L1403" s="1" t="s">
        <v>6135</v>
      </c>
    </row>
    <row r="1404" spans="1:12">
      <c r="A1404" s="3" t="s">
        <v>3356</v>
      </c>
      <c r="C1404" s="3" t="s">
        <v>3817</v>
      </c>
      <c r="D1404" s="3" t="s">
        <v>3618</v>
      </c>
      <c r="E1404" s="3" t="s">
        <v>3638</v>
      </c>
      <c r="F1404" s="3" t="s">
        <v>6536</v>
      </c>
      <c r="G1404" s="3" t="s">
        <v>4797</v>
      </c>
      <c r="H1404" s="6" t="s">
        <v>3356</v>
      </c>
      <c r="I1404" s="6" t="s">
        <v>3356</v>
      </c>
      <c r="J1404" s="3" t="s">
        <v>3356</v>
      </c>
      <c r="L1404" s="1" t="s">
        <v>6135</v>
      </c>
    </row>
    <row r="1405" spans="1:12">
      <c r="A1405" s="3" t="s">
        <v>3356</v>
      </c>
      <c r="C1405" s="3" t="s">
        <v>3817</v>
      </c>
      <c r="D1405" s="3" t="s">
        <v>3618</v>
      </c>
      <c r="E1405" s="3" t="s">
        <v>3638</v>
      </c>
      <c r="F1405" s="3" t="s">
        <v>6536</v>
      </c>
      <c r="G1405" s="3" t="s">
        <v>4798</v>
      </c>
      <c r="H1405" s="6" t="s">
        <v>3356</v>
      </c>
      <c r="I1405" s="6" t="s">
        <v>3356</v>
      </c>
      <c r="J1405" s="3" t="s">
        <v>3356</v>
      </c>
      <c r="L1405" s="1" t="s">
        <v>6135</v>
      </c>
    </row>
    <row r="1406" spans="1:12">
      <c r="A1406" s="3" t="s">
        <v>3356</v>
      </c>
      <c r="C1406" s="3" t="s">
        <v>3817</v>
      </c>
      <c r="D1406" s="3" t="s">
        <v>3618</v>
      </c>
      <c r="E1406" s="3" t="s">
        <v>3638</v>
      </c>
      <c r="F1406" s="3" t="s">
        <v>6536</v>
      </c>
      <c r="G1406" s="3" t="s">
        <v>3430</v>
      </c>
      <c r="H1406" s="6" t="s">
        <v>3356</v>
      </c>
      <c r="I1406" s="6" t="s">
        <v>3356</v>
      </c>
      <c r="J1406" s="3" t="s">
        <v>3356</v>
      </c>
      <c r="L1406" s="1" t="s">
        <v>6135</v>
      </c>
    </row>
    <row r="1407" spans="1:12">
      <c r="A1407" s="3" t="s">
        <v>3356</v>
      </c>
      <c r="C1407" s="3" t="s">
        <v>3817</v>
      </c>
      <c r="D1407" s="3" t="s">
        <v>3618</v>
      </c>
      <c r="E1407" s="3" t="s">
        <v>3638</v>
      </c>
      <c r="F1407" s="3" t="s">
        <v>6536</v>
      </c>
      <c r="G1407" s="3" t="s">
        <v>4799</v>
      </c>
      <c r="H1407" s="6" t="s">
        <v>3356</v>
      </c>
      <c r="I1407" s="6" t="s">
        <v>3356</v>
      </c>
      <c r="J1407" s="3" t="s">
        <v>3356</v>
      </c>
      <c r="L1407" s="1" t="s">
        <v>6135</v>
      </c>
    </row>
    <row r="1408" spans="1:12">
      <c r="A1408" s="3" t="s">
        <v>3356</v>
      </c>
      <c r="C1408" s="3" t="s">
        <v>3817</v>
      </c>
      <c r="D1408" s="3" t="s">
        <v>3618</v>
      </c>
      <c r="E1408" s="3" t="s">
        <v>3638</v>
      </c>
      <c r="F1408" s="3" t="s">
        <v>6536</v>
      </c>
      <c r="G1408" s="3" t="s">
        <v>3195</v>
      </c>
      <c r="H1408" s="6" t="s">
        <v>3356</v>
      </c>
      <c r="I1408" s="6" t="s">
        <v>3356</v>
      </c>
      <c r="J1408" s="3" t="s">
        <v>3356</v>
      </c>
      <c r="L1408" s="1" t="s">
        <v>6135</v>
      </c>
    </row>
    <row r="1409" spans="1:12">
      <c r="A1409" s="3" t="s">
        <v>3356</v>
      </c>
      <c r="C1409" s="3" t="s">
        <v>3817</v>
      </c>
      <c r="D1409" s="3" t="s">
        <v>3618</v>
      </c>
      <c r="E1409" s="3" t="s">
        <v>3638</v>
      </c>
      <c r="F1409" s="3" t="s">
        <v>6536</v>
      </c>
      <c r="G1409" s="3" t="s">
        <v>5456</v>
      </c>
      <c r="H1409" s="6">
        <v>1.3384564936046048</v>
      </c>
      <c r="I1409" s="6">
        <v>21.8</v>
      </c>
      <c r="J1409" s="3" t="s">
        <v>6736</v>
      </c>
      <c r="L1409" s="1" t="s">
        <v>6135</v>
      </c>
    </row>
    <row r="1410" spans="1:12">
      <c r="A1410" s="3" t="s">
        <v>3356</v>
      </c>
      <c r="C1410" s="3" t="s">
        <v>3817</v>
      </c>
      <c r="D1410" s="3" t="s">
        <v>3618</v>
      </c>
      <c r="E1410" s="3" t="s">
        <v>3638</v>
      </c>
      <c r="F1410" s="3" t="s">
        <v>6536</v>
      </c>
      <c r="G1410" s="3" t="s">
        <v>2446</v>
      </c>
      <c r="H1410" s="6" t="s">
        <v>3356</v>
      </c>
      <c r="I1410" s="6" t="s">
        <v>3356</v>
      </c>
      <c r="J1410" s="3" t="s">
        <v>3356</v>
      </c>
      <c r="L1410" s="1" t="s">
        <v>6135</v>
      </c>
    </row>
    <row r="1411" spans="1:12">
      <c r="A1411" s="3" t="s">
        <v>3356</v>
      </c>
      <c r="C1411" s="3" t="s">
        <v>3817</v>
      </c>
      <c r="D1411" s="3" t="s">
        <v>3618</v>
      </c>
      <c r="E1411" s="3" t="s">
        <v>3638</v>
      </c>
      <c r="F1411" s="3" t="s">
        <v>6536</v>
      </c>
      <c r="G1411" s="3" t="s">
        <v>6498</v>
      </c>
      <c r="H1411" s="6" t="s">
        <v>3356</v>
      </c>
      <c r="I1411" s="6" t="s">
        <v>3356</v>
      </c>
      <c r="J1411" s="3" t="s">
        <v>3356</v>
      </c>
      <c r="L1411" s="1" t="s">
        <v>6135</v>
      </c>
    </row>
    <row r="1412" spans="1:12">
      <c r="A1412" s="3" t="s">
        <v>3356</v>
      </c>
      <c r="C1412" s="3" t="s">
        <v>3817</v>
      </c>
      <c r="D1412" s="3" t="s">
        <v>3618</v>
      </c>
      <c r="E1412" s="3" t="s">
        <v>3638</v>
      </c>
      <c r="F1412" s="3" t="s">
        <v>6536</v>
      </c>
      <c r="G1412" s="3" t="s">
        <v>6458</v>
      </c>
      <c r="H1412" s="6" t="s">
        <v>3356</v>
      </c>
      <c r="I1412" s="6" t="s">
        <v>3356</v>
      </c>
      <c r="J1412" s="3" t="s">
        <v>3356</v>
      </c>
      <c r="L1412" s="1" t="s">
        <v>6135</v>
      </c>
    </row>
    <row r="1413" spans="1:12">
      <c r="A1413" s="3" t="s">
        <v>3356</v>
      </c>
      <c r="C1413" s="3" t="s">
        <v>3817</v>
      </c>
      <c r="D1413" s="3" t="s">
        <v>3618</v>
      </c>
      <c r="E1413" s="3" t="s">
        <v>3638</v>
      </c>
      <c r="F1413" s="3" t="s">
        <v>4310</v>
      </c>
      <c r="G1413" s="3" t="s">
        <v>4032</v>
      </c>
      <c r="H1413" s="6" t="s">
        <v>3356</v>
      </c>
      <c r="I1413" s="6" t="s">
        <v>3356</v>
      </c>
      <c r="J1413" s="3" t="s">
        <v>3356</v>
      </c>
      <c r="L1413" s="1" t="s">
        <v>6135</v>
      </c>
    </row>
    <row r="1414" spans="1:12">
      <c r="A1414" s="3" t="s">
        <v>3356</v>
      </c>
      <c r="C1414" s="3" t="s">
        <v>3817</v>
      </c>
      <c r="D1414" s="3" t="s">
        <v>3618</v>
      </c>
      <c r="E1414" s="3" t="s">
        <v>3638</v>
      </c>
      <c r="F1414" s="3" t="s">
        <v>4310</v>
      </c>
      <c r="G1414" s="3" t="s">
        <v>6654</v>
      </c>
      <c r="H1414" s="6" t="s">
        <v>3356</v>
      </c>
      <c r="I1414" s="6" t="s">
        <v>3356</v>
      </c>
      <c r="J1414" s="3" t="s">
        <v>3356</v>
      </c>
      <c r="L1414" s="1" t="s">
        <v>6135</v>
      </c>
    </row>
    <row r="1415" spans="1:12">
      <c r="A1415" s="3" t="s">
        <v>3356</v>
      </c>
      <c r="C1415" s="3" t="s">
        <v>3817</v>
      </c>
      <c r="D1415" s="3" t="s">
        <v>3618</v>
      </c>
      <c r="E1415" s="3" t="s">
        <v>3638</v>
      </c>
      <c r="F1415" s="3" t="s">
        <v>5457</v>
      </c>
      <c r="G1415" s="3" t="s">
        <v>5506</v>
      </c>
      <c r="H1415" s="6">
        <v>1.3979400086720377</v>
      </c>
      <c r="I1415" s="6">
        <v>25</v>
      </c>
      <c r="J1415" s="3" t="s">
        <v>6736</v>
      </c>
      <c r="L1415" s="1" t="s">
        <v>6135</v>
      </c>
    </row>
    <row r="1416" spans="1:12">
      <c r="A1416" s="3" t="s">
        <v>3356</v>
      </c>
      <c r="C1416" s="3" t="s">
        <v>3817</v>
      </c>
      <c r="D1416" s="3" t="s">
        <v>3618</v>
      </c>
      <c r="E1416" s="3" t="s">
        <v>3638</v>
      </c>
      <c r="F1416" s="3" t="s">
        <v>6215</v>
      </c>
      <c r="G1416" s="3" t="s">
        <v>6380</v>
      </c>
      <c r="H1416" s="6" t="s">
        <v>3356</v>
      </c>
      <c r="I1416" s="6" t="s">
        <v>3356</v>
      </c>
      <c r="J1416" s="3" t="s">
        <v>3356</v>
      </c>
      <c r="L1416" s="1" t="s">
        <v>6135</v>
      </c>
    </row>
    <row r="1417" spans="1:12">
      <c r="A1417" s="3" t="s">
        <v>3356</v>
      </c>
      <c r="C1417" s="3" t="s">
        <v>3817</v>
      </c>
      <c r="D1417" s="3" t="s">
        <v>3618</v>
      </c>
      <c r="E1417" s="3" t="s">
        <v>3638</v>
      </c>
      <c r="F1417" s="3" t="s">
        <v>6215</v>
      </c>
      <c r="G1417" s="3" t="s">
        <v>6823</v>
      </c>
      <c r="H1417" s="6" t="s">
        <v>3356</v>
      </c>
      <c r="I1417" s="6" t="s">
        <v>3356</v>
      </c>
      <c r="J1417" s="3" t="s">
        <v>3356</v>
      </c>
      <c r="L1417" s="1" t="s">
        <v>6135</v>
      </c>
    </row>
    <row r="1418" spans="1:12">
      <c r="A1418" s="3" t="s">
        <v>3356</v>
      </c>
      <c r="C1418" s="3" t="s">
        <v>3817</v>
      </c>
      <c r="D1418" s="3" t="s">
        <v>3618</v>
      </c>
      <c r="E1418" s="3" t="s">
        <v>3638</v>
      </c>
      <c r="F1418" s="3" t="s">
        <v>6215</v>
      </c>
      <c r="G1418" s="3" t="s">
        <v>4143</v>
      </c>
      <c r="H1418" s="6" t="s">
        <v>3356</v>
      </c>
      <c r="I1418" s="6" t="s">
        <v>3356</v>
      </c>
      <c r="J1418" s="3" t="s">
        <v>3356</v>
      </c>
      <c r="L1418" s="1" t="s">
        <v>6135</v>
      </c>
    </row>
    <row r="1419" spans="1:12">
      <c r="A1419" s="3" t="s">
        <v>3356</v>
      </c>
      <c r="C1419" s="3" t="s">
        <v>3817</v>
      </c>
      <c r="D1419" s="3" t="s">
        <v>3618</v>
      </c>
      <c r="E1419" s="3" t="s">
        <v>3638</v>
      </c>
      <c r="F1419" s="3" t="s">
        <v>6215</v>
      </c>
      <c r="G1419" s="3" t="s">
        <v>4144</v>
      </c>
      <c r="H1419" s="6" t="s">
        <v>3356</v>
      </c>
      <c r="I1419" s="6" t="s">
        <v>3356</v>
      </c>
      <c r="J1419" s="3" t="s">
        <v>3356</v>
      </c>
      <c r="L1419" s="1" t="s">
        <v>6135</v>
      </c>
    </row>
    <row r="1420" spans="1:12">
      <c r="A1420" s="3" t="s">
        <v>3356</v>
      </c>
      <c r="C1420" s="3" t="s">
        <v>3817</v>
      </c>
      <c r="D1420" s="3" t="s">
        <v>3618</v>
      </c>
      <c r="E1420" s="3" t="s">
        <v>3638</v>
      </c>
      <c r="F1420" s="3" t="s">
        <v>6215</v>
      </c>
      <c r="G1420" s="3" t="s">
        <v>4145</v>
      </c>
      <c r="H1420" s="6" t="s">
        <v>3356</v>
      </c>
      <c r="I1420" s="6" t="s">
        <v>3356</v>
      </c>
      <c r="J1420" s="3" t="s">
        <v>3356</v>
      </c>
      <c r="L1420" s="1" t="s">
        <v>6135</v>
      </c>
    </row>
    <row r="1421" spans="1:12">
      <c r="A1421" s="3" t="s">
        <v>3356</v>
      </c>
      <c r="C1421" s="3" t="s">
        <v>3817</v>
      </c>
      <c r="D1421" s="3" t="s">
        <v>3618</v>
      </c>
      <c r="E1421" s="3" t="s">
        <v>3638</v>
      </c>
      <c r="F1421" s="3" t="s">
        <v>6215</v>
      </c>
      <c r="G1421" s="3" t="s">
        <v>4178</v>
      </c>
      <c r="H1421" s="6" t="s">
        <v>3356</v>
      </c>
      <c r="I1421" s="6" t="s">
        <v>3356</v>
      </c>
      <c r="J1421" s="3" t="s">
        <v>3356</v>
      </c>
      <c r="L1421" s="1" t="s">
        <v>6135</v>
      </c>
    </row>
    <row r="1422" spans="1:12">
      <c r="A1422" s="3" t="s">
        <v>3356</v>
      </c>
      <c r="C1422" s="3" t="s">
        <v>3817</v>
      </c>
      <c r="D1422" s="3" t="s">
        <v>3618</v>
      </c>
      <c r="E1422" s="3" t="s">
        <v>3638</v>
      </c>
      <c r="F1422" s="3" t="s">
        <v>6215</v>
      </c>
      <c r="G1422" s="3" t="s">
        <v>4168</v>
      </c>
      <c r="H1422" s="6" t="s">
        <v>3356</v>
      </c>
      <c r="I1422" s="6" t="s">
        <v>3356</v>
      </c>
      <c r="J1422" s="3" t="s">
        <v>3356</v>
      </c>
      <c r="L1422" s="1" t="s">
        <v>6135</v>
      </c>
    </row>
    <row r="1423" spans="1:12">
      <c r="A1423" s="3" t="s">
        <v>3356</v>
      </c>
      <c r="C1423" s="3" t="s">
        <v>3817</v>
      </c>
      <c r="D1423" s="3" t="s">
        <v>3618</v>
      </c>
      <c r="E1423" s="3" t="s">
        <v>3638</v>
      </c>
      <c r="F1423" s="3" t="s">
        <v>3432</v>
      </c>
      <c r="G1423" s="3" t="s">
        <v>3691</v>
      </c>
      <c r="H1423" s="6">
        <v>2.1815577738627865</v>
      </c>
      <c r="I1423" s="6">
        <v>151.9</v>
      </c>
      <c r="J1423" s="3" t="s">
        <v>6736</v>
      </c>
      <c r="L1423" s="1" t="s">
        <v>6135</v>
      </c>
    </row>
    <row r="1424" spans="1:12">
      <c r="A1424" s="3" t="s">
        <v>3356</v>
      </c>
      <c r="C1424" s="3" t="s">
        <v>3817</v>
      </c>
      <c r="D1424" s="3" t="s">
        <v>3618</v>
      </c>
      <c r="E1424" s="3" t="s">
        <v>3638</v>
      </c>
      <c r="F1424" s="3" t="s">
        <v>3432</v>
      </c>
      <c r="G1424" s="3" t="s">
        <v>4944</v>
      </c>
      <c r="H1424" s="6" t="s">
        <v>3356</v>
      </c>
      <c r="I1424" s="6" t="s">
        <v>3356</v>
      </c>
      <c r="J1424" s="3" t="s">
        <v>3356</v>
      </c>
      <c r="L1424" s="1" t="s">
        <v>6135</v>
      </c>
    </row>
    <row r="1425" spans="1:12">
      <c r="A1425" s="3" t="s">
        <v>3356</v>
      </c>
      <c r="C1425" s="3" t="s">
        <v>3817</v>
      </c>
      <c r="D1425" s="3" t="s">
        <v>3618</v>
      </c>
      <c r="E1425" s="3" t="s">
        <v>3638</v>
      </c>
      <c r="F1425" s="3" t="s">
        <v>7373</v>
      </c>
      <c r="G1425" s="3" t="s">
        <v>7639</v>
      </c>
      <c r="H1425" s="6" t="s">
        <v>3356</v>
      </c>
      <c r="I1425" s="6" t="s">
        <v>3356</v>
      </c>
      <c r="J1425" s="3" t="s">
        <v>3356</v>
      </c>
      <c r="L1425" s="1" t="s">
        <v>6135</v>
      </c>
    </row>
    <row r="1426" spans="1:12">
      <c r="A1426" s="3" t="s">
        <v>3356</v>
      </c>
      <c r="C1426" s="3" t="s">
        <v>3817</v>
      </c>
      <c r="D1426" s="3" t="s">
        <v>3618</v>
      </c>
      <c r="E1426" s="3" t="s">
        <v>3638</v>
      </c>
      <c r="F1426" s="3" t="s">
        <v>3272</v>
      </c>
      <c r="G1426" s="3" t="s">
        <v>5294</v>
      </c>
      <c r="H1426" s="6" t="s">
        <v>3356</v>
      </c>
      <c r="I1426" s="6" t="s">
        <v>3356</v>
      </c>
      <c r="J1426" s="3" t="s">
        <v>3356</v>
      </c>
      <c r="L1426" s="1" t="s">
        <v>6135</v>
      </c>
    </row>
    <row r="1427" spans="1:12">
      <c r="A1427" s="3" t="s">
        <v>3356</v>
      </c>
      <c r="C1427" s="3" t="s">
        <v>3817</v>
      </c>
      <c r="D1427" s="3" t="s">
        <v>3618</v>
      </c>
      <c r="E1427" s="3" t="s">
        <v>3638</v>
      </c>
      <c r="F1427" s="3" t="s">
        <v>3383</v>
      </c>
      <c r="G1427" s="3" t="s">
        <v>7416</v>
      </c>
      <c r="H1427" s="6" t="s">
        <v>3356</v>
      </c>
      <c r="I1427" s="6" t="s">
        <v>3356</v>
      </c>
      <c r="J1427" s="3" t="s">
        <v>3356</v>
      </c>
      <c r="L1427" s="1" t="s">
        <v>6135</v>
      </c>
    </row>
    <row r="1428" spans="1:12">
      <c r="A1428" s="3" t="s">
        <v>3356</v>
      </c>
      <c r="C1428" s="3" t="s">
        <v>3817</v>
      </c>
      <c r="D1428" s="3" t="s">
        <v>3618</v>
      </c>
      <c r="E1428" s="3" t="s">
        <v>3638</v>
      </c>
      <c r="F1428" s="3" t="s">
        <v>6290</v>
      </c>
      <c r="G1428" s="3" t="s">
        <v>4847</v>
      </c>
      <c r="H1428" s="6" t="s">
        <v>3356</v>
      </c>
      <c r="I1428" s="6" t="s">
        <v>3356</v>
      </c>
      <c r="J1428" s="3" t="s">
        <v>3356</v>
      </c>
      <c r="L1428" s="1" t="s">
        <v>6135</v>
      </c>
    </row>
    <row r="1429" spans="1:12">
      <c r="A1429" s="3" t="s">
        <v>3356</v>
      </c>
      <c r="C1429" s="3" t="s">
        <v>3817</v>
      </c>
      <c r="D1429" s="3" t="s">
        <v>3618</v>
      </c>
      <c r="E1429" s="3" t="s">
        <v>3638</v>
      </c>
      <c r="F1429" s="3" t="s">
        <v>3154</v>
      </c>
      <c r="G1429" s="3" t="s">
        <v>5480</v>
      </c>
      <c r="H1429" s="6" t="s">
        <v>3356</v>
      </c>
      <c r="I1429" s="6" t="s">
        <v>3356</v>
      </c>
      <c r="J1429" s="3" t="s">
        <v>3356</v>
      </c>
      <c r="L1429" s="1" t="s">
        <v>6135</v>
      </c>
    </row>
    <row r="1430" spans="1:12">
      <c r="A1430" s="3" t="s">
        <v>3356</v>
      </c>
      <c r="C1430" s="3" t="s">
        <v>3817</v>
      </c>
      <c r="D1430" s="3" t="s">
        <v>3618</v>
      </c>
      <c r="E1430" s="3" t="s">
        <v>3638</v>
      </c>
      <c r="F1430" s="3" t="s">
        <v>3154</v>
      </c>
      <c r="G1430" s="3" t="s">
        <v>6009</v>
      </c>
      <c r="H1430" s="6" t="s">
        <v>3356</v>
      </c>
      <c r="I1430" s="6" t="s">
        <v>3356</v>
      </c>
      <c r="J1430" s="3" t="s">
        <v>3356</v>
      </c>
      <c r="L1430" s="1" t="s">
        <v>6135</v>
      </c>
    </row>
    <row r="1431" spans="1:12">
      <c r="A1431" s="3" t="s">
        <v>3356</v>
      </c>
      <c r="C1431" s="3" t="s">
        <v>3817</v>
      </c>
      <c r="D1431" s="3" t="s">
        <v>3618</v>
      </c>
      <c r="E1431" s="3" t="s">
        <v>3638</v>
      </c>
      <c r="F1431" s="3" t="s">
        <v>3154</v>
      </c>
      <c r="G1431" s="3" t="s">
        <v>6010</v>
      </c>
      <c r="H1431" s="6" t="s">
        <v>3356</v>
      </c>
      <c r="I1431" s="6" t="s">
        <v>3356</v>
      </c>
      <c r="J1431" s="3" t="s">
        <v>3356</v>
      </c>
      <c r="L1431" s="1" t="s">
        <v>6135</v>
      </c>
    </row>
    <row r="1432" spans="1:12">
      <c r="A1432" s="3" t="s">
        <v>3356</v>
      </c>
      <c r="C1432" s="3" t="s">
        <v>3817</v>
      </c>
      <c r="D1432" s="3" t="s">
        <v>3618</v>
      </c>
      <c r="E1432" s="3" t="s">
        <v>3638</v>
      </c>
      <c r="F1432" s="3" t="s">
        <v>3154</v>
      </c>
      <c r="G1432" s="3" t="s">
        <v>5663</v>
      </c>
      <c r="H1432" s="6" t="s">
        <v>3356</v>
      </c>
      <c r="I1432" s="6" t="s">
        <v>3356</v>
      </c>
      <c r="J1432" s="3" t="s">
        <v>3356</v>
      </c>
      <c r="L1432" s="1" t="s">
        <v>6135</v>
      </c>
    </row>
    <row r="1433" spans="1:12">
      <c r="A1433" s="3" t="s">
        <v>3356</v>
      </c>
      <c r="C1433" s="3" t="s">
        <v>3817</v>
      </c>
      <c r="D1433" s="3" t="s">
        <v>3618</v>
      </c>
      <c r="E1433" s="3" t="s">
        <v>3638</v>
      </c>
      <c r="F1433" s="3" t="s">
        <v>3154</v>
      </c>
      <c r="G1433" s="3" t="s">
        <v>5321</v>
      </c>
      <c r="H1433" s="6" t="s">
        <v>3356</v>
      </c>
      <c r="I1433" s="6" t="s">
        <v>3356</v>
      </c>
      <c r="J1433" s="3" t="s">
        <v>3356</v>
      </c>
      <c r="L1433" s="1" t="s">
        <v>6135</v>
      </c>
    </row>
    <row r="1434" spans="1:12">
      <c r="A1434" s="3" t="s">
        <v>3356</v>
      </c>
      <c r="C1434" s="3" t="s">
        <v>3817</v>
      </c>
      <c r="D1434" s="3" t="s">
        <v>3618</v>
      </c>
      <c r="E1434" s="3" t="s">
        <v>3638</v>
      </c>
      <c r="F1434" s="3" t="s">
        <v>3154</v>
      </c>
      <c r="G1434" s="3" t="s">
        <v>5322</v>
      </c>
      <c r="H1434" s="6" t="s">
        <v>3356</v>
      </c>
      <c r="I1434" s="6" t="s">
        <v>3356</v>
      </c>
      <c r="J1434" s="3" t="s">
        <v>3356</v>
      </c>
      <c r="L1434" s="1" t="s">
        <v>6135</v>
      </c>
    </row>
    <row r="1435" spans="1:12">
      <c r="A1435" s="3" t="s">
        <v>3356</v>
      </c>
      <c r="C1435" s="3" t="s">
        <v>3817</v>
      </c>
      <c r="D1435" s="3" t="s">
        <v>3618</v>
      </c>
      <c r="E1435" s="3" t="s">
        <v>3638</v>
      </c>
      <c r="F1435" s="3" t="s">
        <v>4337</v>
      </c>
      <c r="G1435" s="3" t="s">
        <v>6170</v>
      </c>
      <c r="H1435" s="6" t="s">
        <v>3356</v>
      </c>
      <c r="I1435" s="6" t="s">
        <v>3356</v>
      </c>
      <c r="J1435" s="3" t="s">
        <v>3356</v>
      </c>
      <c r="L1435" s="1" t="s">
        <v>6135</v>
      </c>
    </row>
    <row r="1436" spans="1:12">
      <c r="A1436" s="3" t="s">
        <v>3356</v>
      </c>
      <c r="C1436" s="3" t="s">
        <v>3817</v>
      </c>
      <c r="D1436" s="3" t="s">
        <v>3618</v>
      </c>
      <c r="E1436" s="3" t="s">
        <v>3638</v>
      </c>
      <c r="F1436" s="3" t="s">
        <v>5595</v>
      </c>
      <c r="G1436" s="3" t="s">
        <v>2329</v>
      </c>
      <c r="H1436" s="6" t="s">
        <v>3356</v>
      </c>
      <c r="I1436" s="6" t="s">
        <v>3356</v>
      </c>
      <c r="J1436" s="3" t="s">
        <v>3356</v>
      </c>
      <c r="L1436" s="1" t="s">
        <v>6135</v>
      </c>
    </row>
    <row r="1437" spans="1:12">
      <c r="A1437" s="3" t="s">
        <v>3356</v>
      </c>
      <c r="C1437" s="3" t="s">
        <v>3817</v>
      </c>
      <c r="D1437" s="3" t="s">
        <v>3618</v>
      </c>
      <c r="E1437" s="3" t="s">
        <v>3638</v>
      </c>
      <c r="F1437" s="3" t="s">
        <v>5323</v>
      </c>
      <c r="G1437" s="3" t="s">
        <v>3753</v>
      </c>
      <c r="H1437" s="6" t="s">
        <v>3356</v>
      </c>
      <c r="I1437" s="6" t="s">
        <v>3356</v>
      </c>
      <c r="J1437" s="3" t="s">
        <v>3356</v>
      </c>
      <c r="L1437" s="1" t="s">
        <v>6135</v>
      </c>
    </row>
    <row r="1438" spans="1:12">
      <c r="A1438" s="3" t="s">
        <v>3356</v>
      </c>
      <c r="C1438" s="3" t="s">
        <v>3817</v>
      </c>
      <c r="D1438" s="3" t="s">
        <v>3618</v>
      </c>
      <c r="E1438" s="3" t="s">
        <v>3638</v>
      </c>
      <c r="F1438" s="3" t="s">
        <v>5323</v>
      </c>
      <c r="G1438" s="3" t="s">
        <v>5742</v>
      </c>
      <c r="H1438" s="6" t="s">
        <v>3356</v>
      </c>
      <c r="I1438" s="6" t="s">
        <v>3356</v>
      </c>
      <c r="J1438" s="3" t="s">
        <v>3356</v>
      </c>
      <c r="L1438" s="1" t="s">
        <v>6135</v>
      </c>
    </row>
    <row r="1439" spans="1:12">
      <c r="A1439" s="3" t="s">
        <v>3356</v>
      </c>
      <c r="C1439" s="3" t="s">
        <v>3817</v>
      </c>
      <c r="D1439" s="3" t="s">
        <v>3618</v>
      </c>
      <c r="E1439" s="3" t="s">
        <v>3638</v>
      </c>
      <c r="F1439" s="3" t="s">
        <v>5323</v>
      </c>
      <c r="G1439" s="3" t="s">
        <v>5030</v>
      </c>
      <c r="H1439" s="6" t="s">
        <v>3356</v>
      </c>
      <c r="I1439" s="6" t="s">
        <v>3356</v>
      </c>
      <c r="J1439" s="3" t="s">
        <v>3356</v>
      </c>
      <c r="L1439" s="1" t="s">
        <v>6135</v>
      </c>
    </row>
    <row r="1440" spans="1:12">
      <c r="A1440" s="3" t="s">
        <v>3356</v>
      </c>
      <c r="C1440" s="3" t="s">
        <v>3817</v>
      </c>
      <c r="D1440" s="3" t="s">
        <v>3618</v>
      </c>
      <c r="E1440" s="3" t="s">
        <v>3638</v>
      </c>
      <c r="F1440" s="3" t="s">
        <v>5323</v>
      </c>
      <c r="G1440" s="3" t="s">
        <v>5494</v>
      </c>
      <c r="H1440" s="6" t="s">
        <v>3356</v>
      </c>
      <c r="I1440" s="6" t="s">
        <v>3356</v>
      </c>
      <c r="J1440" s="3" t="s">
        <v>3356</v>
      </c>
      <c r="L1440" s="1" t="s">
        <v>6135</v>
      </c>
    </row>
    <row r="1441" spans="1:12">
      <c r="A1441" s="3" t="s">
        <v>3356</v>
      </c>
      <c r="C1441" s="3" t="s">
        <v>3817</v>
      </c>
      <c r="D1441" s="3" t="s">
        <v>3618</v>
      </c>
      <c r="E1441" s="3" t="s">
        <v>3638</v>
      </c>
      <c r="F1441" s="3" t="s">
        <v>5507</v>
      </c>
      <c r="G1441" s="3" t="s">
        <v>4402</v>
      </c>
      <c r="H1441" s="6" t="s">
        <v>3356</v>
      </c>
      <c r="I1441" s="6" t="s">
        <v>3356</v>
      </c>
      <c r="J1441" s="3" t="s">
        <v>3356</v>
      </c>
      <c r="L1441" s="1" t="s">
        <v>6135</v>
      </c>
    </row>
    <row r="1442" spans="1:12">
      <c r="A1442" s="3" t="s">
        <v>3356</v>
      </c>
      <c r="C1442" s="3" t="s">
        <v>3817</v>
      </c>
      <c r="D1442" s="3" t="s">
        <v>3618</v>
      </c>
      <c r="E1442" s="3" t="s">
        <v>3638</v>
      </c>
      <c r="F1442" s="3" t="s">
        <v>5507</v>
      </c>
      <c r="G1442" s="3" t="s">
        <v>3548</v>
      </c>
      <c r="H1442" s="6" t="s">
        <v>3356</v>
      </c>
      <c r="I1442" s="6" t="s">
        <v>3356</v>
      </c>
      <c r="J1442" s="3" t="s">
        <v>3356</v>
      </c>
      <c r="L1442" s="1" t="s">
        <v>6135</v>
      </c>
    </row>
    <row r="1443" spans="1:12">
      <c r="A1443" s="3" t="s">
        <v>3356</v>
      </c>
      <c r="C1443" s="3" t="s">
        <v>3817</v>
      </c>
      <c r="D1443" s="3" t="s">
        <v>3618</v>
      </c>
      <c r="E1443" s="3" t="s">
        <v>3638</v>
      </c>
      <c r="F1443" s="3" t="s">
        <v>5507</v>
      </c>
      <c r="G1443" s="3" t="s">
        <v>4282</v>
      </c>
      <c r="H1443" s="6" t="s">
        <v>3356</v>
      </c>
      <c r="I1443" s="6" t="s">
        <v>3356</v>
      </c>
      <c r="J1443" s="3" t="s">
        <v>3356</v>
      </c>
      <c r="L1443" s="1" t="s">
        <v>6135</v>
      </c>
    </row>
    <row r="1444" spans="1:12">
      <c r="A1444" s="3" t="s">
        <v>3356</v>
      </c>
      <c r="C1444" s="3" t="s">
        <v>3817</v>
      </c>
      <c r="D1444" s="3" t="s">
        <v>3618</v>
      </c>
      <c r="E1444" s="3" t="s">
        <v>3638</v>
      </c>
      <c r="F1444" s="3" t="s">
        <v>5507</v>
      </c>
      <c r="G1444" s="3" t="s">
        <v>4283</v>
      </c>
      <c r="H1444" s="6" t="s">
        <v>3356</v>
      </c>
      <c r="I1444" s="6" t="s">
        <v>3356</v>
      </c>
      <c r="J1444" s="3" t="s">
        <v>3356</v>
      </c>
      <c r="L1444" s="1" t="s">
        <v>6135</v>
      </c>
    </row>
    <row r="1445" spans="1:12">
      <c r="A1445" s="3" t="s">
        <v>3356</v>
      </c>
      <c r="C1445" s="3" t="s">
        <v>3817</v>
      </c>
      <c r="D1445" s="3" t="s">
        <v>3618</v>
      </c>
      <c r="E1445" s="3" t="s">
        <v>3638</v>
      </c>
      <c r="F1445" s="3" t="s">
        <v>5507</v>
      </c>
      <c r="G1445" s="3" t="s">
        <v>5508</v>
      </c>
      <c r="H1445" s="6">
        <v>1.8573324964312685</v>
      </c>
      <c r="I1445" s="6">
        <v>72</v>
      </c>
      <c r="J1445" s="3" t="s">
        <v>6736</v>
      </c>
      <c r="L1445" s="1" t="s">
        <v>6135</v>
      </c>
    </row>
    <row r="1446" spans="1:12">
      <c r="A1446" s="3" t="s">
        <v>3356</v>
      </c>
      <c r="C1446" s="3" t="s">
        <v>3817</v>
      </c>
      <c r="D1446" s="3" t="s">
        <v>3618</v>
      </c>
      <c r="E1446" s="3" t="s">
        <v>3638</v>
      </c>
      <c r="F1446" s="3" t="s">
        <v>5507</v>
      </c>
      <c r="G1446" s="3" t="s">
        <v>4284</v>
      </c>
      <c r="H1446" s="6" t="s">
        <v>3356</v>
      </c>
      <c r="I1446" s="6" t="s">
        <v>3356</v>
      </c>
      <c r="J1446" s="3" t="s">
        <v>3356</v>
      </c>
      <c r="L1446" s="1" t="s">
        <v>6135</v>
      </c>
    </row>
    <row r="1447" spans="1:12">
      <c r="A1447" s="3" t="s">
        <v>3356</v>
      </c>
      <c r="C1447" s="3" t="s">
        <v>3817</v>
      </c>
      <c r="D1447" s="3" t="s">
        <v>3618</v>
      </c>
      <c r="E1447" s="3" t="s">
        <v>3638</v>
      </c>
      <c r="F1447" s="3" t="s">
        <v>5507</v>
      </c>
      <c r="G1447" s="3" t="s">
        <v>4285</v>
      </c>
      <c r="H1447" s="6" t="s">
        <v>3356</v>
      </c>
      <c r="I1447" s="6" t="s">
        <v>3356</v>
      </c>
      <c r="J1447" s="3" t="s">
        <v>3356</v>
      </c>
      <c r="L1447" s="1" t="s">
        <v>6135</v>
      </c>
    </row>
    <row r="1448" spans="1:12">
      <c r="A1448" s="3" t="s">
        <v>3356</v>
      </c>
      <c r="C1448" s="3" t="s">
        <v>3817</v>
      </c>
      <c r="D1448" s="3" t="s">
        <v>3618</v>
      </c>
      <c r="E1448" s="3" t="s">
        <v>3638</v>
      </c>
      <c r="F1448" s="3" t="s">
        <v>5507</v>
      </c>
      <c r="G1448" s="3" t="s">
        <v>4286</v>
      </c>
      <c r="H1448" s="6" t="s">
        <v>3356</v>
      </c>
      <c r="I1448" s="6" t="s">
        <v>3356</v>
      </c>
      <c r="J1448" s="3" t="s">
        <v>3356</v>
      </c>
      <c r="L1448" s="1" t="s">
        <v>6135</v>
      </c>
    </row>
    <row r="1449" spans="1:12">
      <c r="A1449" s="3" t="s">
        <v>3356</v>
      </c>
      <c r="C1449" s="3" t="s">
        <v>3817</v>
      </c>
      <c r="D1449" s="3" t="s">
        <v>3618</v>
      </c>
      <c r="E1449" s="3" t="s">
        <v>3638</v>
      </c>
      <c r="F1449" s="3" t="s">
        <v>5507</v>
      </c>
      <c r="G1449" s="3" t="s">
        <v>3368</v>
      </c>
      <c r="H1449" s="6" t="s">
        <v>3356</v>
      </c>
      <c r="I1449" s="6" t="s">
        <v>3356</v>
      </c>
      <c r="J1449" s="3" t="s">
        <v>3356</v>
      </c>
      <c r="L1449" s="1" t="s">
        <v>6135</v>
      </c>
    </row>
    <row r="1450" spans="1:12">
      <c r="A1450" s="3" t="s">
        <v>3356</v>
      </c>
      <c r="C1450" s="3" t="s">
        <v>3817</v>
      </c>
      <c r="D1450" s="3" t="s">
        <v>3618</v>
      </c>
      <c r="E1450" s="3" t="s">
        <v>3638</v>
      </c>
      <c r="F1450" s="3" t="s">
        <v>5507</v>
      </c>
      <c r="G1450" s="3" t="s">
        <v>3142</v>
      </c>
      <c r="H1450" s="6" t="s">
        <v>3356</v>
      </c>
      <c r="I1450" s="6" t="s">
        <v>3356</v>
      </c>
      <c r="J1450" s="3" t="s">
        <v>3356</v>
      </c>
      <c r="L1450" s="1" t="s">
        <v>6135</v>
      </c>
    </row>
    <row r="1451" spans="1:12">
      <c r="A1451" s="3" t="s">
        <v>3356</v>
      </c>
      <c r="C1451" s="3" t="s">
        <v>3817</v>
      </c>
      <c r="D1451" s="3" t="s">
        <v>3618</v>
      </c>
      <c r="E1451" s="3" t="s">
        <v>3638</v>
      </c>
      <c r="F1451" s="3" t="s">
        <v>5507</v>
      </c>
      <c r="G1451" s="3" t="s">
        <v>3143</v>
      </c>
      <c r="H1451" s="6" t="s">
        <v>3356</v>
      </c>
      <c r="I1451" s="6" t="s">
        <v>3356</v>
      </c>
      <c r="J1451" s="3" t="s">
        <v>3356</v>
      </c>
      <c r="L1451" s="1" t="s">
        <v>6135</v>
      </c>
    </row>
    <row r="1452" spans="1:12">
      <c r="A1452" s="3" t="s">
        <v>3356</v>
      </c>
      <c r="C1452" s="3" t="s">
        <v>3817</v>
      </c>
      <c r="D1452" s="3" t="s">
        <v>3618</v>
      </c>
      <c r="E1452" s="3" t="s">
        <v>3638</v>
      </c>
      <c r="F1452" s="3" t="s">
        <v>5507</v>
      </c>
      <c r="G1452" s="3" t="s">
        <v>3975</v>
      </c>
      <c r="H1452" s="6" t="s">
        <v>3356</v>
      </c>
      <c r="I1452" s="6" t="s">
        <v>3356</v>
      </c>
      <c r="J1452" s="3" t="s">
        <v>3356</v>
      </c>
      <c r="L1452" s="1" t="s">
        <v>6135</v>
      </c>
    </row>
    <row r="1453" spans="1:12">
      <c r="A1453" s="3" t="s">
        <v>3356</v>
      </c>
      <c r="C1453" s="3" t="s">
        <v>3817</v>
      </c>
      <c r="D1453" s="3" t="s">
        <v>3618</v>
      </c>
      <c r="E1453" s="3" t="s">
        <v>3638</v>
      </c>
      <c r="F1453" s="3" t="s">
        <v>5507</v>
      </c>
      <c r="G1453" s="3" t="s">
        <v>3557</v>
      </c>
      <c r="H1453" s="6" t="s">
        <v>3356</v>
      </c>
      <c r="I1453" s="6" t="s">
        <v>3356</v>
      </c>
      <c r="J1453" s="3" t="s">
        <v>3356</v>
      </c>
      <c r="L1453" s="1" t="s">
        <v>6135</v>
      </c>
    </row>
    <row r="1454" spans="1:12">
      <c r="A1454" s="3" t="s">
        <v>3356</v>
      </c>
      <c r="C1454" s="3" t="s">
        <v>3817</v>
      </c>
      <c r="D1454" s="3" t="s">
        <v>3618</v>
      </c>
      <c r="E1454" s="3" t="s">
        <v>3638</v>
      </c>
      <c r="F1454" s="3" t="s">
        <v>5507</v>
      </c>
      <c r="G1454" s="3" t="s">
        <v>3558</v>
      </c>
      <c r="H1454" s="6" t="s">
        <v>3356</v>
      </c>
      <c r="I1454" s="6" t="s">
        <v>3356</v>
      </c>
      <c r="J1454" s="3" t="s">
        <v>3356</v>
      </c>
      <c r="L1454" s="1" t="s">
        <v>6135</v>
      </c>
    </row>
    <row r="1455" spans="1:12">
      <c r="A1455" s="3" t="s">
        <v>3356</v>
      </c>
      <c r="C1455" s="3" t="s">
        <v>3817</v>
      </c>
      <c r="D1455" s="3" t="s">
        <v>3618</v>
      </c>
      <c r="E1455" s="3" t="s">
        <v>3638</v>
      </c>
      <c r="F1455" s="3" t="s">
        <v>5507</v>
      </c>
      <c r="G1455" s="3" t="s">
        <v>6047</v>
      </c>
      <c r="H1455" s="6" t="s">
        <v>3356</v>
      </c>
      <c r="I1455" s="6" t="s">
        <v>3356</v>
      </c>
      <c r="J1455" s="3" t="s">
        <v>3356</v>
      </c>
      <c r="L1455" s="1" t="s">
        <v>6135</v>
      </c>
    </row>
    <row r="1456" spans="1:12">
      <c r="A1456" s="3" t="s">
        <v>3356</v>
      </c>
      <c r="C1456" s="3" t="s">
        <v>3817</v>
      </c>
      <c r="D1456" s="3" t="s">
        <v>3618</v>
      </c>
      <c r="E1456" s="3" t="s">
        <v>3638</v>
      </c>
      <c r="F1456" s="3" t="s">
        <v>4844</v>
      </c>
      <c r="G1456" s="3" t="s">
        <v>4141</v>
      </c>
      <c r="H1456" s="6" t="s">
        <v>3356</v>
      </c>
      <c r="I1456" s="6" t="s">
        <v>3356</v>
      </c>
      <c r="J1456" s="3" t="s">
        <v>3356</v>
      </c>
      <c r="L1456" s="1" t="s">
        <v>6135</v>
      </c>
    </row>
    <row r="1457" spans="1:12">
      <c r="A1457" s="3" t="s">
        <v>3356</v>
      </c>
      <c r="C1457" s="3" t="s">
        <v>3817</v>
      </c>
      <c r="D1457" s="3" t="s">
        <v>3618</v>
      </c>
      <c r="E1457" s="3" t="s">
        <v>3638</v>
      </c>
      <c r="F1457" s="3" t="s">
        <v>4321</v>
      </c>
      <c r="G1457" s="3" t="s">
        <v>4907</v>
      </c>
      <c r="H1457" s="6" t="s">
        <v>3356</v>
      </c>
      <c r="I1457" s="6" t="s">
        <v>3356</v>
      </c>
      <c r="J1457" s="3" t="s">
        <v>3356</v>
      </c>
      <c r="L1457" s="1" t="s">
        <v>6135</v>
      </c>
    </row>
    <row r="1458" spans="1:12">
      <c r="A1458" s="3" t="s">
        <v>3356</v>
      </c>
      <c r="C1458" s="3" t="s">
        <v>3817</v>
      </c>
      <c r="D1458" s="3" t="s">
        <v>3618</v>
      </c>
      <c r="E1458" s="3" t="s">
        <v>3638</v>
      </c>
      <c r="F1458" s="3" t="s">
        <v>3827</v>
      </c>
      <c r="G1458" s="3" t="s">
        <v>5026</v>
      </c>
      <c r="H1458" s="6" t="s">
        <v>3356</v>
      </c>
      <c r="I1458" s="6" t="s">
        <v>3356</v>
      </c>
      <c r="J1458" s="3" t="s">
        <v>3356</v>
      </c>
      <c r="L1458" s="1" t="s">
        <v>6135</v>
      </c>
    </row>
    <row r="1459" spans="1:12">
      <c r="A1459" s="3" t="s">
        <v>3356</v>
      </c>
      <c r="C1459" s="3" t="s">
        <v>3817</v>
      </c>
      <c r="D1459" s="3" t="s">
        <v>3618</v>
      </c>
      <c r="E1459" s="3" t="s">
        <v>3638</v>
      </c>
      <c r="F1459" s="3" t="s">
        <v>3827</v>
      </c>
      <c r="G1459" s="3" t="s">
        <v>5027</v>
      </c>
      <c r="H1459" s="6" t="s">
        <v>3356</v>
      </c>
      <c r="I1459" s="6" t="s">
        <v>3356</v>
      </c>
      <c r="J1459" s="3" t="s">
        <v>3356</v>
      </c>
      <c r="L1459" s="1" t="s">
        <v>6135</v>
      </c>
    </row>
    <row r="1460" spans="1:12">
      <c r="A1460" s="3" t="s">
        <v>3356</v>
      </c>
      <c r="C1460" s="3" t="s">
        <v>3817</v>
      </c>
      <c r="D1460" s="3" t="s">
        <v>3618</v>
      </c>
      <c r="E1460" s="3" t="s">
        <v>3638</v>
      </c>
      <c r="F1460" s="3" t="s">
        <v>3398</v>
      </c>
      <c r="G1460" s="3" t="s">
        <v>5503</v>
      </c>
      <c r="H1460" s="6" t="s">
        <v>3356</v>
      </c>
      <c r="I1460" s="6" t="s">
        <v>3356</v>
      </c>
      <c r="J1460" s="3" t="s">
        <v>3356</v>
      </c>
      <c r="L1460" s="1" t="s">
        <v>6135</v>
      </c>
    </row>
    <row r="1461" spans="1:12">
      <c r="A1461" s="3" t="s">
        <v>3356</v>
      </c>
      <c r="C1461" s="3" t="s">
        <v>3817</v>
      </c>
      <c r="D1461" s="3" t="s">
        <v>3618</v>
      </c>
      <c r="E1461" s="3" t="s">
        <v>3638</v>
      </c>
      <c r="F1461" s="3" t="s">
        <v>3398</v>
      </c>
      <c r="G1461" s="3" t="s">
        <v>3518</v>
      </c>
      <c r="H1461" s="6" t="s">
        <v>3356</v>
      </c>
      <c r="I1461" s="6" t="s">
        <v>3356</v>
      </c>
      <c r="J1461" s="3" t="s">
        <v>3356</v>
      </c>
      <c r="L1461" s="1" t="s">
        <v>6135</v>
      </c>
    </row>
    <row r="1462" spans="1:12">
      <c r="A1462" s="3" t="s">
        <v>3356</v>
      </c>
      <c r="C1462" s="3" t="s">
        <v>3817</v>
      </c>
      <c r="D1462" s="3" t="s">
        <v>3618</v>
      </c>
      <c r="E1462" s="3" t="s">
        <v>3638</v>
      </c>
      <c r="F1462" s="3" t="s">
        <v>3398</v>
      </c>
      <c r="G1462" s="3" t="s">
        <v>6571</v>
      </c>
      <c r="H1462" s="6" t="s">
        <v>3356</v>
      </c>
      <c r="I1462" s="6" t="s">
        <v>3356</v>
      </c>
      <c r="J1462" s="3" t="s">
        <v>3356</v>
      </c>
      <c r="L1462" s="1" t="s">
        <v>6135</v>
      </c>
    </row>
    <row r="1463" spans="1:12">
      <c r="A1463" s="3" t="s">
        <v>3356</v>
      </c>
      <c r="C1463" s="3" t="s">
        <v>3817</v>
      </c>
      <c r="D1463" s="3" t="s">
        <v>3618</v>
      </c>
      <c r="E1463" s="3" t="s">
        <v>3638</v>
      </c>
      <c r="F1463" s="3" t="s">
        <v>3398</v>
      </c>
      <c r="G1463" s="3" t="s">
        <v>3155</v>
      </c>
      <c r="H1463" s="6" t="s">
        <v>3356</v>
      </c>
      <c r="I1463" s="6" t="s">
        <v>3356</v>
      </c>
      <c r="J1463" s="3" t="s">
        <v>3356</v>
      </c>
      <c r="L1463" s="1" t="s">
        <v>6135</v>
      </c>
    </row>
    <row r="1464" spans="1:12">
      <c r="A1464" s="3" t="s">
        <v>3356</v>
      </c>
      <c r="C1464" s="3" t="s">
        <v>3817</v>
      </c>
      <c r="D1464" s="3" t="s">
        <v>3618</v>
      </c>
      <c r="E1464" s="3" t="s">
        <v>3638</v>
      </c>
      <c r="F1464" s="3" t="s">
        <v>3398</v>
      </c>
      <c r="G1464" s="3" t="s">
        <v>7024</v>
      </c>
      <c r="H1464" s="6" t="s">
        <v>3356</v>
      </c>
      <c r="I1464" s="6" t="s">
        <v>3356</v>
      </c>
      <c r="J1464" s="3" t="s">
        <v>3356</v>
      </c>
      <c r="L1464" s="1" t="s">
        <v>6135</v>
      </c>
    </row>
    <row r="1465" spans="1:12">
      <c r="A1465" s="3" t="s">
        <v>3356</v>
      </c>
      <c r="C1465" s="3" t="s">
        <v>3817</v>
      </c>
      <c r="D1465" s="3" t="s">
        <v>3618</v>
      </c>
      <c r="E1465" s="3" t="s">
        <v>3638</v>
      </c>
      <c r="F1465" s="3" t="s">
        <v>3398</v>
      </c>
      <c r="G1465" s="3" t="s">
        <v>4048</v>
      </c>
      <c r="H1465" s="6" t="s">
        <v>3356</v>
      </c>
      <c r="I1465" s="6" t="s">
        <v>3356</v>
      </c>
      <c r="J1465" s="3" t="s">
        <v>3356</v>
      </c>
      <c r="L1465" s="1" t="s">
        <v>6135</v>
      </c>
    </row>
    <row r="1466" spans="1:12">
      <c r="A1466" s="3" t="s">
        <v>3356</v>
      </c>
      <c r="C1466" s="3" t="s">
        <v>3817</v>
      </c>
      <c r="D1466" s="3" t="s">
        <v>3618</v>
      </c>
      <c r="E1466" s="3" t="s">
        <v>3638</v>
      </c>
      <c r="F1466" s="3" t="s">
        <v>3398</v>
      </c>
      <c r="G1466" s="3" t="s">
        <v>7391</v>
      </c>
      <c r="H1466" s="6" t="s">
        <v>3356</v>
      </c>
      <c r="I1466" s="6" t="s">
        <v>3356</v>
      </c>
      <c r="J1466" s="3" t="s">
        <v>3356</v>
      </c>
      <c r="L1466" s="1" t="s">
        <v>6135</v>
      </c>
    </row>
    <row r="1467" spans="1:12">
      <c r="A1467" s="3" t="s">
        <v>3356</v>
      </c>
      <c r="C1467" s="3" t="s">
        <v>3817</v>
      </c>
      <c r="D1467" s="3" t="s">
        <v>3618</v>
      </c>
      <c r="E1467" s="3" t="s">
        <v>3638</v>
      </c>
      <c r="F1467" s="3" t="s">
        <v>4323</v>
      </c>
      <c r="G1467" s="3" t="s">
        <v>5596</v>
      </c>
      <c r="H1467" s="6" t="s">
        <v>3356</v>
      </c>
      <c r="I1467" s="6" t="s">
        <v>3356</v>
      </c>
      <c r="J1467" s="3" t="s">
        <v>3356</v>
      </c>
      <c r="L1467" s="1" t="s">
        <v>6135</v>
      </c>
    </row>
    <row r="1468" spans="1:12">
      <c r="A1468" s="3" t="s">
        <v>3356</v>
      </c>
      <c r="C1468" s="3" t="s">
        <v>3817</v>
      </c>
      <c r="D1468" s="3" t="s">
        <v>3618</v>
      </c>
      <c r="E1468" s="3" t="s">
        <v>3638</v>
      </c>
      <c r="F1468" s="3" t="s">
        <v>4323</v>
      </c>
      <c r="G1468" s="3" t="s">
        <v>2126</v>
      </c>
      <c r="H1468" s="6" t="s">
        <v>3356</v>
      </c>
      <c r="I1468" s="6" t="s">
        <v>3356</v>
      </c>
      <c r="J1468" s="3" t="s">
        <v>3356</v>
      </c>
      <c r="L1468" s="1" t="s">
        <v>6135</v>
      </c>
    </row>
    <row r="1469" spans="1:12">
      <c r="A1469" s="3" t="s">
        <v>3356</v>
      </c>
      <c r="C1469" s="3" t="s">
        <v>3817</v>
      </c>
      <c r="D1469" s="3" t="s">
        <v>3618</v>
      </c>
      <c r="E1469" s="3" t="s">
        <v>3638</v>
      </c>
      <c r="F1469" s="3" t="s">
        <v>4323</v>
      </c>
      <c r="G1469" s="3" t="s">
        <v>4843</v>
      </c>
      <c r="H1469" s="6" t="s">
        <v>3356</v>
      </c>
      <c r="I1469" s="6" t="s">
        <v>3356</v>
      </c>
      <c r="J1469" s="3" t="s">
        <v>3356</v>
      </c>
      <c r="L1469" s="1" t="s">
        <v>6135</v>
      </c>
    </row>
    <row r="1470" spans="1:12">
      <c r="A1470" s="3" t="s">
        <v>3356</v>
      </c>
      <c r="C1470" s="3" t="s">
        <v>3817</v>
      </c>
      <c r="D1470" s="3" t="s">
        <v>3618</v>
      </c>
      <c r="E1470" s="3" t="s">
        <v>3638</v>
      </c>
      <c r="F1470" s="3" t="s">
        <v>4323</v>
      </c>
      <c r="G1470" s="3" t="s">
        <v>4081</v>
      </c>
      <c r="H1470" s="6" t="s">
        <v>3356</v>
      </c>
      <c r="I1470" s="6" t="s">
        <v>3356</v>
      </c>
      <c r="J1470" s="3" t="s">
        <v>3356</v>
      </c>
      <c r="L1470" s="1" t="s">
        <v>6135</v>
      </c>
    </row>
    <row r="1471" spans="1:12">
      <c r="A1471" s="3" t="s">
        <v>3356</v>
      </c>
      <c r="C1471" s="3" t="s">
        <v>3817</v>
      </c>
      <c r="D1471" s="3" t="s">
        <v>3618</v>
      </c>
      <c r="E1471" s="3" t="s">
        <v>3638</v>
      </c>
      <c r="F1471" s="3" t="s">
        <v>4323</v>
      </c>
      <c r="G1471" s="3" t="s">
        <v>3509</v>
      </c>
      <c r="H1471" s="6" t="s">
        <v>3356</v>
      </c>
      <c r="I1471" s="6" t="s">
        <v>3356</v>
      </c>
      <c r="J1471" s="3" t="s">
        <v>3356</v>
      </c>
      <c r="L1471" s="1" t="s">
        <v>6135</v>
      </c>
    </row>
    <row r="1472" spans="1:12">
      <c r="A1472" s="3" t="s">
        <v>3356</v>
      </c>
      <c r="C1472" s="3" t="s">
        <v>3817</v>
      </c>
      <c r="D1472" s="3" t="s">
        <v>3618</v>
      </c>
      <c r="E1472" s="3" t="s">
        <v>3638</v>
      </c>
      <c r="F1472" s="3" t="s">
        <v>4101</v>
      </c>
      <c r="G1472" s="3" t="s">
        <v>4102</v>
      </c>
      <c r="H1472" s="6" t="s">
        <v>3356</v>
      </c>
      <c r="I1472" s="6" t="s">
        <v>3356</v>
      </c>
      <c r="J1472" s="3" t="s">
        <v>3356</v>
      </c>
      <c r="L1472" s="1" t="s">
        <v>6135</v>
      </c>
    </row>
    <row r="1473" spans="1:12">
      <c r="A1473" s="3" t="s">
        <v>3356</v>
      </c>
      <c r="C1473" s="3" t="s">
        <v>3817</v>
      </c>
      <c r="D1473" s="3" t="s">
        <v>3618</v>
      </c>
      <c r="E1473" s="3" t="s">
        <v>3638</v>
      </c>
      <c r="F1473" s="3" t="s">
        <v>6048</v>
      </c>
      <c r="G1473" s="3" t="s">
        <v>3212</v>
      </c>
      <c r="H1473" s="6" t="s">
        <v>3356</v>
      </c>
      <c r="I1473" s="6" t="s">
        <v>3356</v>
      </c>
      <c r="J1473" s="3" t="s">
        <v>3356</v>
      </c>
      <c r="L1473" s="1" t="s">
        <v>6135</v>
      </c>
    </row>
    <row r="1474" spans="1:12">
      <c r="A1474" s="3" t="s">
        <v>3356</v>
      </c>
      <c r="C1474" s="3" t="s">
        <v>3817</v>
      </c>
      <c r="D1474" s="3" t="s">
        <v>3618</v>
      </c>
      <c r="E1474" s="3" t="s">
        <v>3638</v>
      </c>
      <c r="F1474" s="3" t="s">
        <v>6049</v>
      </c>
      <c r="G1474" s="3" t="s">
        <v>5527</v>
      </c>
      <c r="H1474" s="6" t="s">
        <v>3356</v>
      </c>
      <c r="I1474" s="6" t="s">
        <v>3356</v>
      </c>
      <c r="J1474" s="3" t="s">
        <v>3356</v>
      </c>
      <c r="L1474" s="1" t="s">
        <v>6135</v>
      </c>
    </row>
    <row r="1475" spans="1:12">
      <c r="A1475" s="3" t="s">
        <v>3356</v>
      </c>
      <c r="C1475" s="3" t="s">
        <v>3817</v>
      </c>
      <c r="D1475" s="3" t="s">
        <v>3618</v>
      </c>
      <c r="E1475" s="3" t="s">
        <v>3638</v>
      </c>
      <c r="F1475" s="3" t="s">
        <v>6049</v>
      </c>
      <c r="G1475" s="3" t="s">
        <v>5312</v>
      </c>
      <c r="H1475" s="6" t="s">
        <v>3356</v>
      </c>
      <c r="I1475" s="6" t="s">
        <v>3356</v>
      </c>
      <c r="J1475" s="3" t="s">
        <v>3356</v>
      </c>
      <c r="L1475" s="1" t="s">
        <v>6135</v>
      </c>
    </row>
    <row r="1476" spans="1:12">
      <c r="A1476" s="3" t="s">
        <v>3356</v>
      </c>
      <c r="C1476" s="3" t="s">
        <v>3817</v>
      </c>
      <c r="D1476" s="3" t="s">
        <v>3618</v>
      </c>
      <c r="E1476" s="3" t="s">
        <v>3638</v>
      </c>
      <c r="F1476" s="3" t="s">
        <v>5313</v>
      </c>
      <c r="G1476" s="3" t="s">
        <v>5721</v>
      </c>
      <c r="H1476" s="6" t="s">
        <v>3356</v>
      </c>
      <c r="I1476" s="6" t="s">
        <v>3356</v>
      </c>
      <c r="J1476" s="3" t="s">
        <v>3356</v>
      </c>
      <c r="L1476" s="1" t="s">
        <v>6135</v>
      </c>
    </row>
    <row r="1477" spans="1:12">
      <c r="A1477" s="3" t="s">
        <v>3356</v>
      </c>
      <c r="C1477" s="3" t="s">
        <v>3817</v>
      </c>
      <c r="D1477" s="3" t="s">
        <v>3618</v>
      </c>
      <c r="E1477" s="3" t="s">
        <v>3638</v>
      </c>
      <c r="F1477" s="3" t="s">
        <v>5384</v>
      </c>
      <c r="G1477" s="3" t="s">
        <v>4076</v>
      </c>
      <c r="H1477" s="6" t="s">
        <v>3356</v>
      </c>
      <c r="I1477" s="6" t="s">
        <v>3356</v>
      </c>
      <c r="J1477" s="3" t="s">
        <v>3356</v>
      </c>
      <c r="L1477" s="1" t="s">
        <v>6135</v>
      </c>
    </row>
    <row r="1478" spans="1:12">
      <c r="A1478" s="3" t="s">
        <v>3356</v>
      </c>
      <c r="C1478" s="3" t="s">
        <v>3817</v>
      </c>
      <c r="D1478" s="3" t="s">
        <v>3618</v>
      </c>
      <c r="E1478" s="3" t="s">
        <v>3638</v>
      </c>
      <c r="F1478" s="3" t="s">
        <v>5384</v>
      </c>
      <c r="G1478" s="3" t="s">
        <v>5385</v>
      </c>
      <c r="H1478" s="6" t="s">
        <v>3356</v>
      </c>
      <c r="I1478" s="6" t="s">
        <v>3356</v>
      </c>
      <c r="J1478" s="3" t="s">
        <v>3356</v>
      </c>
      <c r="L1478" s="1" t="s">
        <v>6135</v>
      </c>
    </row>
    <row r="1479" spans="1:12">
      <c r="A1479" s="3" t="s">
        <v>3356</v>
      </c>
      <c r="C1479" s="3" t="s">
        <v>3817</v>
      </c>
      <c r="D1479" s="3" t="s">
        <v>3618</v>
      </c>
      <c r="E1479" s="3" t="s">
        <v>3638</v>
      </c>
      <c r="F1479" s="3" t="s">
        <v>5386</v>
      </c>
      <c r="G1479" s="3" t="s">
        <v>5082</v>
      </c>
      <c r="H1479" s="6" t="s">
        <v>3356</v>
      </c>
      <c r="I1479" s="6" t="s">
        <v>3356</v>
      </c>
      <c r="J1479" s="3" t="s">
        <v>3356</v>
      </c>
      <c r="L1479" s="1" t="s">
        <v>6135</v>
      </c>
    </row>
    <row r="1480" spans="1:12">
      <c r="A1480" s="3" t="s">
        <v>3356</v>
      </c>
      <c r="C1480" s="3" t="s">
        <v>3817</v>
      </c>
      <c r="D1480" s="3" t="s">
        <v>3618</v>
      </c>
      <c r="E1480" s="3" t="s">
        <v>3638</v>
      </c>
      <c r="F1480" s="3" t="s">
        <v>5386</v>
      </c>
      <c r="G1480" s="3" t="s">
        <v>4470</v>
      </c>
      <c r="H1480" s="6" t="s">
        <v>3356</v>
      </c>
      <c r="I1480" s="6" t="s">
        <v>3356</v>
      </c>
      <c r="J1480" s="3" t="s">
        <v>3356</v>
      </c>
      <c r="L1480" s="1" t="s">
        <v>6135</v>
      </c>
    </row>
    <row r="1481" spans="1:12">
      <c r="A1481" s="3" t="s">
        <v>3356</v>
      </c>
      <c r="C1481" s="3" t="s">
        <v>3817</v>
      </c>
      <c r="D1481" s="3" t="s">
        <v>3618</v>
      </c>
      <c r="E1481" s="3" t="s">
        <v>3638</v>
      </c>
      <c r="F1481" s="3" t="s">
        <v>5083</v>
      </c>
      <c r="G1481" s="3" t="s">
        <v>7088</v>
      </c>
      <c r="H1481" s="6" t="s">
        <v>3356</v>
      </c>
      <c r="I1481" s="6" t="s">
        <v>3356</v>
      </c>
      <c r="J1481" s="3" t="s">
        <v>3356</v>
      </c>
      <c r="L1481" s="1" t="s">
        <v>6135</v>
      </c>
    </row>
    <row r="1482" spans="1:12">
      <c r="A1482" s="3" t="s">
        <v>3356</v>
      </c>
      <c r="C1482" s="3" t="s">
        <v>3817</v>
      </c>
      <c r="D1482" s="3" t="s">
        <v>3618</v>
      </c>
      <c r="E1482" s="3" t="s">
        <v>3638</v>
      </c>
      <c r="F1482" s="3" t="s">
        <v>3507</v>
      </c>
      <c r="G1482" s="3" t="s">
        <v>5084</v>
      </c>
      <c r="H1482" s="6" t="s">
        <v>3356</v>
      </c>
      <c r="I1482" s="6" t="s">
        <v>3356</v>
      </c>
      <c r="J1482" s="3" t="s">
        <v>3356</v>
      </c>
      <c r="L1482" s="1" t="s">
        <v>6135</v>
      </c>
    </row>
    <row r="1483" spans="1:12">
      <c r="A1483" s="3" t="s">
        <v>3356</v>
      </c>
      <c r="C1483" s="3" t="s">
        <v>3817</v>
      </c>
      <c r="D1483" s="3" t="s">
        <v>3618</v>
      </c>
      <c r="E1483" s="3" t="s">
        <v>3638</v>
      </c>
      <c r="F1483" s="3" t="s">
        <v>3507</v>
      </c>
      <c r="G1483" s="3" t="s">
        <v>5458</v>
      </c>
      <c r="H1483" s="6" t="s">
        <v>3356</v>
      </c>
      <c r="I1483" s="6" t="s">
        <v>3356</v>
      </c>
      <c r="J1483" s="3" t="s">
        <v>3356</v>
      </c>
      <c r="L1483" s="1" t="s">
        <v>6135</v>
      </c>
    </row>
    <row r="1484" spans="1:12">
      <c r="A1484" s="3" t="s">
        <v>3356</v>
      </c>
      <c r="C1484" s="3" t="s">
        <v>3817</v>
      </c>
      <c r="D1484" s="3" t="s">
        <v>3618</v>
      </c>
      <c r="E1484" s="3" t="s">
        <v>3638</v>
      </c>
      <c r="F1484" s="3" t="s">
        <v>3167</v>
      </c>
      <c r="G1484" s="3" t="s">
        <v>3526</v>
      </c>
      <c r="H1484" s="6" t="s">
        <v>3356</v>
      </c>
      <c r="I1484" s="6" t="s">
        <v>3356</v>
      </c>
      <c r="J1484" s="3" t="s">
        <v>3356</v>
      </c>
      <c r="L1484" s="1" t="s">
        <v>6135</v>
      </c>
    </row>
    <row r="1485" spans="1:12">
      <c r="A1485" s="3" t="s">
        <v>3356</v>
      </c>
      <c r="C1485" s="3" t="s">
        <v>3817</v>
      </c>
      <c r="D1485" s="3" t="s">
        <v>3618</v>
      </c>
      <c r="E1485" s="3" t="s">
        <v>3638</v>
      </c>
      <c r="F1485" s="3" t="s">
        <v>3167</v>
      </c>
      <c r="G1485" s="3" t="s">
        <v>7392</v>
      </c>
      <c r="H1485" s="6" t="s">
        <v>3356</v>
      </c>
      <c r="I1485" s="6" t="s">
        <v>3356</v>
      </c>
      <c r="J1485" s="3" t="s">
        <v>3356</v>
      </c>
      <c r="L1485" s="1" t="s">
        <v>6135</v>
      </c>
    </row>
    <row r="1486" spans="1:12">
      <c r="A1486" s="3" t="s">
        <v>3356</v>
      </c>
      <c r="C1486" s="3" t="s">
        <v>3817</v>
      </c>
      <c r="D1486" s="3" t="s">
        <v>3618</v>
      </c>
      <c r="E1486" s="3" t="s">
        <v>3638</v>
      </c>
      <c r="F1486" s="3" t="s">
        <v>3167</v>
      </c>
      <c r="G1486" s="3" t="s">
        <v>7393</v>
      </c>
      <c r="H1486" s="6" t="s">
        <v>3356</v>
      </c>
      <c r="I1486" s="6" t="s">
        <v>3356</v>
      </c>
      <c r="J1486" s="3" t="s">
        <v>3356</v>
      </c>
      <c r="L1486" s="1" t="s">
        <v>6135</v>
      </c>
    </row>
    <row r="1487" spans="1:12">
      <c r="A1487" s="3" t="s">
        <v>3356</v>
      </c>
      <c r="C1487" s="3" t="s">
        <v>3817</v>
      </c>
      <c r="D1487" s="3" t="s">
        <v>3618</v>
      </c>
      <c r="E1487" s="3" t="s">
        <v>3638</v>
      </c>
      <c r="F1487" s="3" t="s">
        <v>3167</v>
      </c>
      <c r="G1487" s="3" t="s">
        <v>7394</v>
      </c>
      <c r="H1487" s="6" t="s">
        <v>3356</v>
      </c>
      <c r="I1487" s="6" t="s">
        <v>3356</v>
      </c>
      <c r="J1487" s="3" t="s">
        <v>3356</v>
      </c>
      <c r="L1487" s="1" t="s">
        <v>6135</v>
      </c>
    </row>
    <row r="1488" spans="1:12">
      <c r="A1488" s="3" t="s">
        <v>3356</v>
      </c>
      <c r="C1488" s="3" t="s">
        <v>3817</v>
      </c>
      <c r="D1488" s="3" t="s">
        <v>3618</v>
      </c>
      <c r="E1488" s="3" t="s">
        <v>3638</v>
      </c>
      <c r="F1488" s="3" t="s">
        <v>3167</v>
      </c>
      <c r="G1488" s="3" t="s">
        <v>7395</v>
      </c>
      <c r="H1488" s="6" t="s">
        <v>3356</v>
      </c>
      <c r="I1488" s="6" t="s">
        <v>3356</v>
      </c>
      <c r="J1488" s="3" t="s">
        <v>3356</v>
      </c>
      <c r="L1488" s="1" t="s">
        <v>6135</v>
      </c>
    </row>
    <row r="1489" spans="1:12">
      <c r="A1489" s="3" t="s">
        <v>3356</v>
      </c>
      <c r="C1489" s="3" t="s">
        <v>3817</v>
      </c>
      <c r="D1489" s="3" t="s">
        <v>3618</v>
      </c>
      <c r="E1489" s="3" t="s">
        <v>3638</v>
      </c>
      <c r="F1489" s="3" t="s">
        <v>3167</v>
      </c>
      <c r="G1489" s="3" t="s">
        <v>2183</v>
      </c>
      <c r="H1489" s="6" t="s">
        <v>3356</v>
      </c>
      <c r="I1489" s="6" t="s">
        <v>3356</v>
      </c>
      <c r="J1489" s="3" t="s">
        <v>3356</v>
      </c>
      <c r="L1489" s="1" t="s">
        <v>6135</v>
      </c>
    </row>
    <row r="1490" spans="1:12">
      <c r="A1490" s="3" t="s">
        <v>3356</v>
      </c>
      <c r="C1490" s="3" t="s">
        <v>3817</v>
      </c>
      <c r="D1490" s="3" t="s">
        <v>3618</v>
      </c>
      <c r="E1490" s="3" t="s">
        <v>3638</v>
      </c>
      <c r="F1490" s="3" t="s">
        <v>3167</v>
      </c>
      <c r="G1490" s="3" t="s">
        <v>6219</v>
      </c>
      <c r="H1490" s="6" t="s">
        <v>3356</v>
      </c>
      <c r="I1490" s="6" t="s">
        <v>3356</v>
      </c>
      <c r="J1490" s="3" t="s">
        <v>3356</v>
      </c>
      <c r="L1490" s="1" t="s">
        <v>6135</v>
      </c>
    </row>
    <row r="1491" spans="1:12">
      <c r="A1491" s="3" t="s">
        <v>3356</v>
      </c>
      <c r="C1491" s="3" t="s">
        <v>3817</v>
      </c>
      <c r="D1491" s="3" t="s">
        <v>3618</v>
      </c>
      <c r="E1491" s="3" t="s">
        <v>3638</v>
      </c>
      <c r="F1491" s="3" t="s">
        <v>3167</v>
      </c>
      <c r="G1491" s="3" t="s">
        <v>5390</v>
      </c>
      <c r="H1491" s="6" t="s">
        <v>3356</v>
      </c>
      <c r="I1491" s="6" t="s">
        <v>3356</v>
      </c>
      <c r="J1491" s="3" t="s">
        <v>3356</v>
      </c>
      <c r="L1491" s="1" t="s">
        <v>6135</v>
      </c>
    </row>
    <row r="1492" spans="1:12">
      <c r="A1492" s="3" t="s">
        <v>3356</v>
      </c>
      <c r="C1492" s="3" t="s">
        <v>3817</v>
      </c>
      <c r="D1492" s="3" t="s">
        <v>3618</v>
      </c>
      <c r="E1492" s="3" t="s">
        <v>3638</v>
      </c>
      <c r="F1492" s="3" t="s">
        <v>3167</v>
      </c>
      <c r="G1492" s="3" t="s">
        <v>4705</v>
      </c>
      <c r="H1492" s="6" t="s">
        <v>3356</v>
      </c>
      <c r="I1492" s="6" t="s">
        <v>3356</v>
      </c>
      <c r="J1492" s="3" t="s">
        <v>3356</v>
      </c>
      <c r="L1492" s="1" t="s">
        <v>6135</v>
      </c>
    </row>
    <row r="1493" spans="1:12">
      <c r="A1493" s="3" t="s">
        <v>3356</v>
      </c>
      <c r="C1493" s="3" t="s">
        <v>3817</v>
      </c>
      <c r="D1493" s="3" t="s">
        <v>3618</v>
      </c>
      <c r="E1493" s="3" t="s">
        <v>3638</v>
      </c>
      <c r="F1493" s="3" t="s">
        <v>3167</v>
      </c>
      <c r="G1493" s="3" t="s">
        <v>8035</v>
      </c>
      <c r="H1493" s="6" t="s">
        <v>3356</v>
      </c>
      <c r="I1493" s="6" t="s">
        <v>3356</v>
      </c>
      <c r="J1493" s="3" t="s">
        <v>3356</v>
      </c>
      <c r="L1493" s="1" t="s">
        <v>6135</v>
      </c>
    </row>
    <row r="1494" spans="1:12">
      <c r="A1494" s="3" t="s">
        <v>3356</v>
      </c>
      <c r="C1494" s="3" t="s">
        <v>3817</v>
      </c>
      <c r="D1494" s="3" t="s">
        <v>3618</v>
      </c>
      <c r="E1494" s="3" t="s">
        <v>3638</v>
      </c>
      <c r="F1494" s="3" t="s">
        <v>3167</v>
      </c>
      <c r="G1494" s="3" t="s">
        <v>5745</v>
      </c>
      <c r="H1494" s="6" t="s">
        <v>3356</v>
      </c>
      <c r="I1494" s="6" t="s">
        <v>3356</v>
      </c>
      <c r="J1494" s="3" t="s">
        <v>3356</v>
      </c>
      <c r="L1494" s="1" t="s">
        <v>6135</v>
      </c>
    </row>
    <row r="1495" spans="1:12">
      <c r="A1495" s="3" t="s">
        <v>3356</v>
      </c>
      <c r="C1495" s="3" t="s">
        <v>3817</v>
      </c>
      <c r="D1495" s="3" t="s">
        <v>3618</v>
      </c>
      <c r="E1495" s="3" t="s">
        <v>3638</v>
      </c>
      <c r="F1495" s="3" t="s">
        <v>3167</v>
      </c>
      <c r="G1495" s="3" t="s">
        <v>5388</v>
      </c>
      <c r="H1495" s="6" t="s">
        <v>3356</v>
      </c>
      <c r="I1495" s="6" t="s">
        <v>3356</v>
      </c>
      <c r="J1495" s="3" t="s">
        <v>3356</v>
      </c>
      <c r="L1495" s="1" t="s">
        <v>6135</v>
      </c>
    </row>
    <row r="1496" spans="1:12">
      <c r="A1496" s="3" t="s">
        <v>3356</v>
      </c>
      <c r="C1496" s="3" t="s">
        <v>3817</v>
      </c>
      <c r="D1496" s="3" t="s">
        <v>3618</v>
      </c>
      <c r="E1496" s="3" t="s">
        <v>3638</v>
      </c>
      <c r="F1496" s="3" t="s">
        <v>3167</v>
      </c>
      <c r="G1496" s="3" t="s">
        <v>7787</v>
      </c>
      <c r="H1496" s="6" t="s">
        <v>3356</v>
      </c>
      <c r="I1496" s="6" t="s">
        <v>3356</v>
      </c>
      <c r="J1496" s="3" t="s">
        <v>3356</v>
      </c>
      <c r="L1496" s="1" t="s">
        <v>6135</v>
      </c>
    </row>
    <row r="1497" spans="1:12">
      <c r="A1497" s="3" t="s">
        <v>3356</v>
      </c>
      <c r="C1497" s="3" t="s">
        <v>3817</v>
      </c>
      <c r="D1497" s="3" t="s">
        <v>3618</v>
      </c>
      <c r="E1497" s="3" t="s">
        <v>3638</v>
      </c>
      <c r="F1497" s="3" t="s">
        <v>3167</v>
      </c>
      <c r="G1497" s="3" t="s">
        <v>5509</v>
      </c>
      <c r="H1497" s="6">
        <v>1.4517864355242902</v>
      </c>
      <c r="I1497" s="6">
        <v>28.3</v>
      </c>
      <c r="J1497" s="3" t="s">
        <v>6736</v>
      </c>
      <c r="L1497" s="1" t="s">
        <v>6135</v>
      </c>
    </row>
    <row r="1498" spans="1:12">
      <c r="A1498" s="3" t="s">
        <v>3356</v>
      </c>
      <c r="C1498" s="3" t="s">
        <v>3817</v>
      </c>
      <c r="D1498" s="3" t="s">
        <v>3618</v>
      </c>
      <c r="E1498" s="3" t="s">
        <v>3638</v>
      </c>
      <c r="F1498" s="3" t="s">
        <v>3167</v>
      </c>
      <c r="G1498" s="3" t="s">
        <v>4791</v>
      </c>
      <c r="H1498" s="6" t="s">
        <v>3356</v>
      </c>
      <c r="I1498" s="6" t="s">
        <v>3356</v>
      </c>
      <c r="J1498" s="3" t="s">
        <v>3356</v>
      </c>
      <c r="L1498" s="1" t="s">
        <v>6135</v>
      </c>
    </row>
    <row r="1499" spans="1:12">
      <c r="A1499" s="3" t="s">
        <v>3356</v>
      </c>
      <c r="C1499" s="3" t="s">
        <v>3817</v>
      </c>
      <c r="D1499" s="3" t="s">
        <v>3618</v>
      </c>
      <c r="E1499" s="3" t="s">
        <v>3638</v>
      </c>
      <c r="F1499" s="3" t="s">
        <v>3167</v>
      </c>
      <c r="G1499" s="3" t="s">
        <v>4951</v>
      </c>
      <c r="H1499" s="6" t="s">
        <v>3356</v>
      </c>
      <c r="I1499" s="6" t="s">
        <v>3356</v>
      </c>
      <c r="J1499" s="3" t="s">
        <v>3356</v>
      </c>
      <c r="L1499" s="1" t="s">
        <v>6135</v>
      </c>
    </row>
    <row r="1500" spans="1:12">
      <c r="A1500" s="3" t="s">
        <v>3356</v>
      </c>
      <c r="C1500" s="3" t="s">
        <v>3817</v>
      </c>
      <c r="D1500" s="3" t="s">
        <v>3618</v>
      </c>
      <c r="E1500" s="3" t="s">
        <v>3638</v>
      </c>
      <c r="F1500" s="3" t="s">
        <v>3167</v>
      </c>
      <c r="G1500" s="3" t="s">
        <v>4952</v>
      </c>
      <c r="H1500" s="6" t="s">
        <v>3356</v>
      </c>
      <c r="I1500" s="6" t="s">
        <v>3356</v>
      </c>
      <c r="J1500" s="3" t="s">
        <v>3356</v>
      </c>
      <c r="L1500" s="1" t="s">
        <v>6135</v>
      </c>
    </row>
    <row r="1501" spans="1:12">
      <c r="A1501" s="3" t="s">
        <v>3356</v>
      </c>
      <c r="C1501" s="3" t="s">
        <v>3817</v>
      </c>
      <c r="D1501" s="3" t="s">
        <v>3618</v>
      </c>
      <c r="E1501" s="3" t="s">
        <v>3638</v>
      </c>
      <c r="F1501" s="3" t="s">
        <v>3079</v>
      </c>
      <c r="G1501" s="3" t="s">
        <v>8243</v>
      </c>
      <c r="H1501" s="6" t="s">
        <v>3356</v>
      </c>
      <c r="I1501" s="6" t="s">
        <v>3356</v>
      </c>
      <c r="J1501" s="3" t="s">
        <v>3356</v>
      </c>
      <c r="L1501" s="1" t="s">
        <v>6135</v>
      </c>
    </row>
    <row r="1502" spans="1:12">
      <c r="A1502" s="3" t="s">
        <v>3356</v>
      </c>
      <c r="C1502" s="3" t="s">
        <v>3817</v>
      </c>
      <c r="D1502" s="3" t="s">
        <v>3618</v>
      </c>
      <c r="E1502" s="3" t="s">
        <v>3638</v>
      </c>
      <c r="F1502" s="3" t="s">
        <v>3079</v>
      </c>
      <c r="G1502" s="3" t="s">
        <v>3430</v>
      </c>
      <c r="H1502" s="6" t="s">
        <v>3356</v>
      </c>
      <c r="I1502" s="6" t="s">
        <v>3356</v>
      </c>
      <c r="J1502" s="3" t="s">
        <v>3356</v>
      </c>
      <c r="L1502" s="1" t="s">
        <v>6135</v>
      </c>
    </row>
    <row r="1503" spans="1:12">
      <c r="A1503" s="3" t="s">
        <v>3356</v>
      </c>
      <c r="C1503" s="3" t="s">
        <v>3817</v>
      </c>
      <c r="D1503" s="3" t="s">
        <v>3618</v>
      </c>
      <c r="E1503" s="3" t="s">
        <v>3638</v>
      </c>
      <c r="F1503" s="3" t="s">
        <v>5688</v>
      </c>
      <c r="G1503" s="3" t="s">
        <v>4402</v>
      </c>
      <c r="H1503" s="6" t="s">
        <v>3356</v>
      </c>
      <c r="I1503" s="6" t="s">
        <v>3356</v>
      </c>
      <c r="J1503" s="3" t="s">
        <v>3356</v>
      </c>
      <c r="L1503" s="1" t="s">
        <v>6135</v>
      </c>
    </row>
    <row r="1504" spans="1:12">
      <c r="A1504" s="3" t="s">
        <v>3356</v>
      </c>
      <c r="C1504" s="3" t="s">
        <v>3817</v>
      </c>
      <c r="D1504" s="3" t="s">
        <v>3618</v>
      </c>
      <c r="E1504" s="3" t="s">
        <v>3638</v>
      </c>
      <c r="F1504" s="3" t="s">
        <v>5688</v>
      </c>
      <c r="G1504" s="3" t="s">
        <v>4168</v>
      </c>
      <c r="H1504" s="6" t="s">
        <v>3356</v>
      </c>
      <c r="I1504" s="6" t="s">
        <v>3356</v>
      </c>
      <c r="J1504" s="3" t="s">
        <v>3356</v>
      </c>
      <c r="L1504" s="1" t="s">
        <v>6135</v>
      </c>
    </row>
    <row r="1505" spans="1:12">
      <c r="A1505" s="3" t="s">
        <v>3356</v>
      </c>
      <c r="C1505" s="3" t="s">
        <v>3817</v>
      </c>
      <c r="D1505" s="3" t="s">
        <v>3618</v>
      </c>
      <c r="E1505" s="3" t="s">
        <v>3638</v>
      </c>
      <c r="F1505" s="3" t="s">
        <v>7221</v>
      </c>
      <c r="G1505" s="3" t="s">
        <v>5689</v>
      </c>
      <c r="H1505" s="6" t="s">
        <v>3356</v>
      </c>
      <c r="I1505" s="6" t="s">
        <v>3356</v>
      </c>
      <c r="J1505" s="3" t="s">
        <v>3356</v>
      </c>
      <c r="L1505" s="1" t="s">
        <v>6135</v>
      </c>
    </row>
    <row r="1506" spans="1:12">
      <c r="A1506" s="3" t="s">
        <v>3356</v>
      </c>
      <c r="C1506" s="3" t="s">
        <v>3817</v>
      </c>
      <c r="D1506" s="3" t="s">
        <v>3618</v>
      </c>
      <c r="E1506" s="3" t="s">
        <v>3638</v>
      </c>
      <c r="F1506" s="3" t="s">
        <v>5459</v>
      </c>
      <c r="G1506" s="3" t="s">
        <v>5825</v>
      </c>
      <c r="H1506" s="6" t="s">
        <v>3356</v>
      </c>
      <c r="I1506" s="6" t="s">
        <v>3356</v>
      </c>
      <c r="J1506" s="3" t="s">
        <v>3356</v>
      </c>
      <c r="L1506" s="1" t="s">
        <v>6135</v>
      </c>
    </row>
    <row r="1507" spans="1:12">
      <c r="A1507" s="3" t="s">
        <v>3356</v>
      </c>
      <c r="C1507" s="3" t="s">
        <v>3817</v>
      </c>
      <c r="D1507" s="3" t="s">
        <v>3618</v>
      </c>
      <c r="E1507" s="3" t="s">
        <v>3638</v>
      </c>
      <c r="F1507" s="3" t="s">
        <v>5459</v>
      </c>
      <c r="G1507" s="3" t="s">
        <v>5379</v>
      </c>
      <c r="H1507" s="6" t="s">
        <v>3356</v>
      </c>
      <c r="I1507" s="6" t="s">
        <v>3356</v>
      </c>
      <c r="J1507" s="3" t="s">
        <v>3356</v>
      </c>
      <c r="L1507" s="1" t="s">
        <v>6135</v>
      </c>
    </row>
    <row r="1508" spans="1:12">
      <c r="A1508" s="3" t="s">
        <v>3356</v>
      </c>
      <c r="C1508" s="3" t="s">
        <v>3817</v>
      </c>
      <c r="D1508" s="3" t="s">
        <v>3618</v>
      </c>
      <c r="E1508" s="3" t="s">
        <v>3638</v>
      </c>
      <c r="F1508" s="3" t="s">
        <v>5510</v>
      </c>
      <c r="G1508" s="3" t="s">
        <v>3364</v>
      </c>
      <c r="H1508" s="6">
        <v>1.4969296480732148</v>
      </c>
      <c r="I1508" s="6">
        <v>31.4</v>
      </c>
      <c r="J1508" s="3" t="s">
        <v>6736</v>
      </c>
      <c r="L1508" s="1" t="s">
        <v>6135</v>
      </c>
    </row>
    <row r="1509" spans="1:12">
      <c r="A1509" s="3" t="s">
        <v>3356</v>
      </c>
      <c r="C1509" s="3" t="s">
        <v>3817</v>
      </c>
      <c r="D1509" s="3" t="s">
        <v>3618</v>
      </c>
      <c r="E1509" s="3" t="s">
        <v>3638</v>
      </c>
      <c r="F1509" s="3" t="s">
        <v>5510</v>
      </c>
      <c r="G1509" s="3" t="s">
        <v>3444</v>
      </c>
      <c r="H1509" s="6" t="s">
        <v>3356</v>
      </c>
      <c r="I1509" s="6" t="s">
        <v>3356</v>
      </c>
      <c r="J1509" s="3" t="s">
        <v>3356</v>
      </c>
      <c r="L1509" s="1" t="s">
        <v>6135</v>
      </c>
    </row>
    <row r="1510" spans="1:12">
      <c r="A1510" s="3" t="s">
        <v>3356</v>
      </c>
      <c r="C1510" s="3" t="s">
        <v>3817</v>
      </c>
      <c r="D1510" s="3" t="s">
        <v>3618</v>
      </c>
      <c r="E1510" s="3" t="s">
        <v>3638</v>
      </c>
      <c r="F1510" s="3" t="s">
        <v>5510</v>
      </c>
      <c r="G1510" s="3" t="s">
        <v>5511</v>
      </c>
      <c r="H1510" s="6">
        <v>1.5550944485783191</v>
      </c>
      <c r="I1510" s="6">
        <v>35.9</v>
      </c>
      <c r="J1510" s="3" t="s">
        <v>6736</v>
      </c>
      <c r="L1510" s="1" t="s">
        <v>6135</v>
      </c>
    </row>
    <row r="1511" spans="1:12">
      <c r="A1511" s="3" t="s">
        <v>3356</v>
      </c>
      <c r="C1511" s="3" t="s">
        <v>3817</v>
      </c>
      <c r="D1511" s="3" t="s">
        <v>3618</v>
      </c>
      <c r="E1511" s="3" t="s">
        <v>3638</v>
      </c>
      <c r="F1511" s="3" t="s">
        <v>5826</v>
      </c>
      <c r="G1511" s="3" t="s">
        <v>3607</v>
      </c>
      <c r="H1511" s="6" t="s">
        <v>3356</v>
      </c>
      <c r="I1511" s="6" t="s">
        <v>3356</v>
      </c>
      <c r="J1511" s="3" t="s">
        <v>3356</v>
      </c>
      <c r="L1511" s="1" t="s">
        <v>6135</v>
      </c>
    </row>
    <row r="1512" spans="1:12">
      <c r="A1512" s="3" t="s">
        <v>3356</v>
      </c>
      <c r="C1512" s="3" t="s">
        <v>3817</v>
      </c>
      <c r="D1512" s="3" t="s">
        <v>3618</v>
      </c>
      <c r="E1512" s="3" t="s">
        <v>3638</v>
      </c>
      <c r="F1512" s="3" t="s">
        <v>5826</v>
      </c>
      <c r="G1512" s="3" t="s">
        <v>7332</v>
      </c>
      <c r="H1512" s="6" t="s">
        <v>3356</v>
      </c>
      <c r="I1512" s="6" t="s">
        <v>3356</v>
      </c>
      <c r="J1512" s="3" t="s">
        <v>3356</v>
      </c>
      <c r="L1512" s="1" t="s">
        <v>6135</v>
      </c>
    </row>
    <row r="1513" spans="1:12">
      <c r="A1513" s="3" t="s">
        <v>3356</v>
      </c>
      <c r="C1513" s="3" t="s">
        <v>3817</v>
      </c>
      <c r="D1513" s="3" t="s">
        <v>3618</v>
      </c>
      <c r="E1513" s="3" t="s">
        <v>3638</v>
      </c>
      <c r="F1513" s="3" t="s">
        <v>5332</v>
      </c>
      <c r="G1513" s="3" t="s">
        <v>4395</v>
      </c>
      <c r="H1513" s="6" t="s">
        <v>3356</v>
      </c>
      <c r="I1513" s="6" t="s">
        <v>3356</v>
      </c>
      <c r="J1513" s="3" t="s">
        <v>3356</v>
      </c>
      <c r="L1513" s="1" t="s">
        <v>6135</v>
      </c>
    </row>
    <row r="1514" spans="1:12">
      <c r="A1514" s="3" t="s">
        <v>3356</v>
      </c>
      <c r="C1514" s="3" t="s">
        <v>3817</v>
      </c>
      <c r="D1514" s="3" t="s">
        <v>3618</v>
      </c>
      <c r="E1514" s="3" t="s">
        <v>3638</v>
      </c>
      <c r="F1514" s="3" t="s">
        <v>5827</v>
      </c>
      <c r="G1514" s="3" t="s">
        <v>5818</v>
      </c>
      <c r="H1514" s="6" t="s">
        <v>3356</v>
      </c>
      <c r="I1514" s="6" t="s">
        <v>3356</v>
      </c>
      <c r="J1514" s="3" t="s">
        <v>3356</v>
      </c>
      <c r="L1514" s="1" t="s">
        <v>6135</v>
      </c>
    </row>
    <row r="1515" spans="1:12">
      <c r="A1515" s="3" t="s">
        <v>3356</v>
      </c>
      <c r="C1515" s="3" t="s">
        <v>3817</v>
      </c>
      <c r="D1515" s="3" t="s">
        <v>3618</v>
      </c>
      <c r="E1515" s="3" t="s">
        <v>3638</v>
      </c>
      <c r="F1515" s="3" t="s">
        <v>5827</v>
      </c>
      <c r="G1515" s="3" t="s">
        <v>5828</v>
      </c>
      <c r="H1515" s="6" t="s">
        <v>3356</v>
      </c>
      <c r="I1515" s="6" t="s">
        <v>3356</v>
      </c>
      <c r="J1515" s="3" t="s">
        <v>3356</v>
      </c>
      <c r="L1515" s="1" t="s">
        <v>6135</v>
      </c>
    </row>
    <row r="1516" spans="1:12">
      <c r="A1516" s="3" t="s">
        <v>3356</v>
      </c>
      <c r="C1516" s="3" t="s">
        <v>3817</v>
      </c>
      <c r="D1516" s="3" t="s">
        <v>3618</v>
      </c>
      <c r="E1516" s="3" t="s">
        <v>3638</v>
      </c>
      <c r="F1516" s="3" t="s">
        <v>5827</v>
      </c>
      <c r="G1516" s="3" t="s">
        <v>5829</v>
      </c>
      <c r="H1516" s="6" t="s">
        <v>3356</v>
      </c>
      <c r="I1516" s="6" t="s">
        <v>3356</v>
      </c>
      <c r="J1516" s="3" t="s">
        <v>3356</v>
      </c>
      <c r="L1516" s="1" t="s">
        <v>6135</v>
      </c>
    </row>
    <row r="1517" spans="1:12">
      <c r="A1517" s="3" t="s">
        <v>3356</v>
      </c>
      <c r="C1517" s="3" t="s">
        <v>3817</v>
      </c>
      <c r="D1517" s="3" t="s">
        <v>3618</v>
      </c>
      <c r="E1517" s="3" t="s">
        <v>3638</v>
      </c>
      <c r="F1517" s="3" t="s">
        <v>4177</v>
      </c>
      <c r="G1517" s="3" t="s">
        <v>5830</v>
      </c>
      <c r="H1517" s="6" t="s">
        <v>3356</v>
      </c>
      <c r="I1517" s="6" t="s">
        <v>3356</v>
      </c>
      <c r="J1517" s="3" t="s">
        <v>3356</v>
      </c>
      <c r="L1517" s="1" t="s">
        <v>6135</v>
      </c>
    </row>
    <row r="1518" spans="1:12">
      <c r="A1518" s="3" t="s">
        <v>3356</v>
      </c>
      <c r="C1518" s="3" t="s">
        <v>3817</v>
      </c>
      <c r="D1518" s="3" t="s">
        <v>3618</v>
      </c>
      <c r="E1518" s="3" t="s">
        <v>3638</v>
      </c>
      <c r="F1518" s="3" t="s">
        <v>4177</v>
      </c>
      <c r="G1518" s="3" t="s">
        <v>5512</v>
      </c>
      <c r="H1518" s="6">
        <v>1.7558748556724915</v>
      </c>
      <c r="I1518" s="6">
        <v>57</v>
      </c>
      <c r="J1518" s="3" t="s">
        <v>6736</v>
      </c>
      <c r="L1518" s="1" t="s">
        <v>6135</v>
      </c>
    </row>
    <row r="1519" spans="1:12">
      <c r="A1519" s="3" t="s">
        <v>3356</v>
      </c>
      <c r="C1519" s="3" t="s">
        <v>3817</v>
      </c>
      <c r="D1519" s="3" t="s">
        <v>3618</v>
      </c>
      <c r="E1519" s="3" t="s">
        <v>3638</v>
      </c>
      <c r="F1519" s="3" t="s">
        <v>4177</v>
      </c>
      <c r="G1519" s="3" t="s">
        <v>8312</v>
      </c>
      <c r="H1519" s="6" t="s">
        <v>3356</v>
      </c>
      <c r="I1519" s="6" t="s">
        <v>3356</v>
      </c>
      <c r="J1519" s="3" t="s">
        <v>3356</v>
      </c>
      <c r="L1519" s="1" t="s">
        <v>6135</v>
      </c>
    </row>
    <row r="1520" spans="1:12">
      <c r="A1520" s="3" t="s">
        <v>3356</v>
      </c>
      <c r="C1520" s="3" t="s">
        <v>3817</v>
      </c>
      <c r="D1520" s="3" t="s">
        <v>3618</v>
      </c>
      <c r="E1520" s="3" t="s">
        <v>3638</v>
      </c>
      <c r="F1520" s="3" t="s">
        <v>3714</v>
      </c>
      <c r="G1520" s="3" t="s">
        <v>7631</v>
      </c>
      <c r="H1520" s="6" t="s">
        <v>3356</v>
      </c>
      <c r="I1520" s="6" t="s">
        <v>3356</v>
      </c>
      <c r="J1520" s="3" t="s">
        <v>3356</v>
      </c>
      <c r="L1520" s="1" t="s">
        <v>6135</v>
      </c>
    </row>
    <row r="1521" spans="1:12">
      <c r="A1521" s="3" t="s">
        <v>3356</v>
      </c>
      <c r="C1521" s="3" t="s">
        <v>3817</v>
      </c>
      <c r="D1521" s="3" t="s">
        <v>3618</v>
      </c>
      <c r="E1521" s="3" t="s">
        <v>3638</v>
      </c>
      <c r="F1521" s="3" t="s">
        <v>3714</v>
      </c>
      <c r="G1521" s="3" t="s">
        <v>3078</v>
      </c>
      <c r="H1521" s="6" t="s">
        <v>3356</v>
      </c>
      <c r="I1521" s="6" t="s">
        <v>3356</v>
      </c>
      <c r="J1521" s="3" t="s">
        <v>3356</v>
      </c>
      <c r="L1521" s="1" t="s">
        <v>6135</v>
      </c>
    </row>
    <row r="1522" spans="1:12">
      <c r="A1522" s="3" t="s">
        <v>3356</v>
      </c>
      <c r="C1522" s="3" t="s">
        <v>3817</v>
      </c>
      <c r="D1522" s="3" t="s">
        <v>3618</v>
      </c>
      <c r="E1522" s="3" t="s">
        <v>3638</v>
      </c>
      <c r="F1522" s="3" t="s">
        <v>3714</v>
      </c>
      <c r="G1522" s="3" t="s">
        <v>5150</v>
      </c>
      <c r="H1522" s="6" t="s">
        <v>3356</v>
      </c>
      <c r="I1522" s="6" t="s">
        <v>3356</v>
      </c>
      <c r="J1522" s="3" t="s">
        <v>3356</v>
      </c>
      <c r="L1522" s="1" t="s">
        <v>6135</v>
      </c>
    </row>
    <row r="1523" spans="1:12">
      <c r="A1523" s="3" t="s">
        <v>3356</v>
      </c>
      <c r="C1523" s="3" t="s">
        <v>3817</v>
      </c>
      <c r="D1523" s="3" t="s">
        <v>3618</v>
      </c>
      <c r="E1523" s="3" t="s">
        <v>3638</v>
      </c>
      <c r="F1523" s="3" t="s">
        <v>3714</v>
      </c>
      <c r="G1523" s="3" t="s">
        <v>5151</v>
      </c>
      <c r="H1523" s="6" t="s">
        <v>3356</v>
      </c>
      <c r="I1523" s="6" t="s">
        <v>3356</v>
      </c>
      <c r="J1523" s="3" t="s">
        <v>3356</v>
      </c>
      <c r="L1523" s="1" t="s">
        <v>6135</v>
      </c>
    </row>
    <row r="1524" spans="1:12">
      <c r="A1524" s="3" t="s">
        <v>3356</v>
      </c>
      <c r="C1524" s="3" t="s">
        <v>3817</v>
      </c>
      <c r="D1524" s="3" t="s">
        <v>3618</v>
      </c>
      <c r="E1524" s="3" t="s">
        <v>3638</v>
      </c>
      <c r="F1524" s="3" t="s">
        <v>3714</v>
      </c>
      <c r="G1524" s="3" t="s">
        <v>4048</v>
      </c>
      <c r="H1524" s="6" t="s">
        <v>3356</v>
      </c>
      <c r="I1524" s="6" t="s">
        <v>3356</v>
      </c>
      <c r="J1524" s="3" t="s">
        <v>3356</v>
      </c>
      <c r="L1524" s="1" t="s">
        <v>6135</v>
      </c>
    </row>
    <row r="1525" spans="1:12">
      <c r="A1525" s="3" t="s">
        <v>3356</v>
      </c>
      <c r="C1525" s="3" t="s">
        <v>3817</v>
      </c>
      <c r="D1525" s="3" t="s">
        <v>3618</v>
      </c>
      <c r="E1525" s="3" t="s">
        <v>3638</v>
      </c>
      <c r="F1525" s="3" t="s">
        <v>8257</v>
      </c>
      <c r="G1525" s="3" t="s">
        <v>7222</v>
      </c>
      <c r="H1525" s="6" t="s">
        <v>3356</v>
      </c>
      <c r="I1525" s="6" t="s">
        <v>3356</v>
      </c>
      <c r="J1525" s="3" t="s">
        <v>3356</v>
      </c>
      <c r="L1525" s="1" t="s">
        <v>6135</v>
      </c>
    </row>
    <row r="1526" spans="1:12">
      <c r="A1526" s="3" t="s">
        <v>3356</v>
      </c>
      <c r="C1526" s="3" t="s">
        <v>3817</v>
      </c>
      <c r="D1526" s="3" t="s">
        <v>3618</v>
      </c>
      <c r="E1526" s="3" t="s">
        <v>3638</v>
      </c>
      <c r="F1526" s="3" t="s">
        <v>5690</v>
      </c>
      <c r="G1526" s="3" t="s">
        <v>5691</v>
      </c>
      <c r="H1526" s="6" t="s">
        <v>3356</v>
      </c>
      <c r="I1526" s="6" t="s">
        <v>3356</v>
      </c>
      <c r="J1526" s="3" t="s">
        <v>3356</v>
      </c>
      <c r="L1526" s="1" t="s">
        <v>6135</v>
      </c>
    </row>
    <row r="1527" spans="1:12">
      <c r="A1527" s="3" t="s">
        <v>3356</v>
      </c>
      <c r="C1527" s="3" t="s">
        <v>3817</v>
      </c>
      <c r="D1527" s="3" t="s">
        <v>3618</v>
      </c>
      <c r="E1527" s="3" t="s">
        <v>3638</v>
      </c>
      <c r="F1527" s="3" t="s">
        <v>5921</v>
      </c>
      <c r="G1527" s="3" t="s">
        <v>6700</v>
      </c>
      <c r="H1527" s="6" t="s">
        <v>3356</v>
      </c>
      <c r="I1527" s="6" t="s">
        <v>3356</v>
      </c>
      <c r="J1527" s="3" t="s">
        <v>3356</v>
      </c>
      <c r="L1527" s="1" t="s">
        <v>6135</v>
      </c>
    </row>
    <row r="1528" spans="1:12">
      <c r="A1528" s="3" t="s">
        <v>3356</v>
      </c>
      <c r="C1528" s="3" t="s">
        <v>3817</v>
      </c>
      <c r="D1528" s="3" t="s">
        <v>3618</v>
      </c>
      <c r="E1528" s="3" t="s">
        <v>3638</v>
      </c>
      <c r="F1528" s="3" t="s">
        <v>6400</v>
      </c>
      <c r="G1528" s="3" t="s">
        <v>3667</v>
      </c>
      <c r="H1528" s="6" t="s">
        <v>3356</v>
      </c>
      <c r="I1528" s="6" t="s">
        <v>3356</v>
      </c>
      <c r="J1528" s="3" t="s">
        <v>3356</v>
      </c>
      <c r="L1528" s="1" t="s">
        <v>6135</v>
      </c>
    </row>
    <row r="1529" spans="1:12">
      <c r="A1529" s="3" t="s">
        <v>3356</v>
      </c>
      <c r="C1529" s="3" t="s">
        <v>3817</v>
      </c>
      <c r="D1529" s="3" t="s">
        <v>3618</v>
      </c>
      <c r="E1529" s="3" t="s">
        <v>3638</v>
      </c>
      <c r="F1529" s="3" t="s">
        <v>7504</v>
      </c>
      <c r="G1529" s="3" t="s">
        <v>4557</v>
      </c>
      <c r="H1529" s="6" t="s">
        <v>3356</v>
      </c>
      <c r="I1529" s="6" t="s">
        <v>3356</v>
      </c>
      <c r="J1529" s="3" t="s">
        <v>3356</v>
      </c>
      <c r="L1529" s="1" t="s">
        <v>6135</v>
      </c>
    </row>
    <row r="1530" spans="1:12">
      <c r="A1530" s="3" t="s">
        <v>3356</v>
      </c>
      <c r="C1530" s="3" t="s">
        <v>3817</v>
      </c>
      <c r="D1530" s="3" t="s">
        <v>3618</v>
      </c>
      <c r="E1530" s="3" t="s">
        <v>3638</v>
      </c>
      <c r="F1530" s="3" t="s">
        <v>7504</v>
      </c>
      <c r="G1530" s="3" t="s">
        <v>4843</v>
      </c>
      <c r="H1530" s="6" t="s">
        <v>3356</v>
      </c>
      <c r="I1530" s="6" t="s">
        <v>3356</v>
      </c>
      <c r="J1530" s="3" t="s">
        <v>3356</v>
      </c>
      <c r="L1530" s="1" t="s">
        <v>6135</v>
      </c>
    </row>
    <row r="1531" spans="1:12">
      <c r="A1531" s="3" t="s">
        <v>3356</v>
      </c>
      <c r="C1531" s="3" t="s">
        <v>3817</v>
      </c>
      <c r="D1531" s="3" t="s">
        <v>3618</v>
      </c>
      <c r="E1531" s="3" t="s">
        <v>3638</v>
      </c>
      <c r="F1531" s="3" t="s">
        <v>7414</v>
      </c>
      <c r="G1531" s="3" t="s">
        <v>5787</v>
      </c>
      <c r="H1531" s="6" t="s">
        <v>3356</v>
      </c>
      <c r="I1531" s="6" t="s">
        <v>3356</v>
      </c>
      <c r="J1531" s="3" t="s">
        <v>3356</v>
      </c>
      <c r="L1531" s="1" t="s">
        <v>6135</v>
      </c>
    </row>
    <row r="1532" spans="1:12">
      <c r="A1532" s="3" t="s">
        <v>3356</v>
      </c>
      <c r="C1532" s="3" t="s">
        <v>3817</v>
      </c>
      <c r="D1532" s="3" t="s">
        <v>3618</v>
      </c>
      <c r="E1532" s="3" t="s">
        <v>3638</v>
      </c>
      <c r="F1532" s="3" t="s">
        <v>7414</v>
      </c>
      <c r="G1532" s="3" t="s">
        <v>6742</v>
      </c>
      <c r="H1532" s="6" t="s">
        <v>3356</v>
      </c>
      <c r="I1532" s="6" t="s">
        <v>3356</v>
      </c>
      <c r="J1532" s="3" t="s">
        <v>3356</v>
      </c>
      <c r="L1532" s="1" t="s">
        <v>6135</v>
      </c>
    </row>
    <row r="1533" spans="1:12">
      <c r="A1533" s="3" t="s">
        <v>3356</v>
      </c>
      <c r="C1533" s="3" t="s">
        <v>3817</v>
      </c>
      <c r="D1533" s="3" t="s">
        <v>3618</v>
      </c>
      <c r="E1533" s="3" t="s">
        <v>3638</v>
      </c>
      <c r="F1533" s="3" t="s">
        <v>7414</v>
      </c>
      <c r="G1533" s="3" t="s">
        <v>5788</v>
      </c>
      <c r="H1533" s="6" t="s">
        <v>3356</v>
      </c>
      <c r="I1533" s="6" t="s">
        <v>3356</v>
      </c>
      <c r="J1533" s="3" t="s">
        <v>3356</v>
      </c>
      <c r="L1533" s="1" t="s">
        <v>6135</v>
      </c>
    </row>
    <row r="1534" spans="1:12">
      <c r="A1534" s="3" t="s">
        <v>3356</v>
      </c>
      <c r="C1534" s="3" t="s">
        <v>3817</v>
      </c>
      <c r="D1534" s="3" t="s">
        <v>3618</v>
      </c>
      <c r="E1534" s="3" t="s">
        <v>3638</v>
      </c>
      <c r="F1534" s="3" t="s">
        <v>7414</v>
      </c>
      <c r="G1534" s="3" t="s">
        <v>5758</v>
      </c>
      <c r="H1534" s="6" t="s">
        <v>3356</v>
      </c>
      <c r="I1534" s="6" t="s">
        <v>3356</v>
      </c>
      <c r="J1534" s="3" t="s">
        <v>3356</v>
      </c>
      <c r="L1534" s="1" t="s">
        <v>6135</v>
      </c>
    </row>
    <row r="1535" spans="1:12">
      <c r="A1535" s="3" t="s">
        <v>3356</v>
      </c>
      <c r="C1535" s="3" t="s">
        <v>3817</v>
      </c>
      <c r="D1535" s="3" t="s">
        <v>3618</v>
      </c>
      <c r="E1535" s="3" t="s">
        <v>3638</v>
      </c>
      <c r="F1535" s="3" t="s">
        <v>7644</v>
      </c>
      <c r="G1535" s="3" t="s">
        <v>3957</v>
      </c>
      <c r="H1535" s="6" t="s">
        <v>3356</v>
      </c>
      <c r="I1535" s="6" t="s">
        <v>3356</v>
      </c>
      <c r="J1535" s="3" t="s">
        <v>3356</v>
      </c>
      <c r="L1535" s="1" t="s">
        <v>6135</v>
      </c>
    </row>
    <row r="1536" spans="1:12">
      <c r="A1536" s="3" t="s">
        <v>3356</v>
      </c>
      <c r="C1536" s="3" t="s">
        <v>3817</v>
      </c>
      <c r="D1536" s="3" t="s">
        <v>3618</v>
      </c>
      <c r="E1536" s="3" t="s">
        <v>3638</v>
      </c>
      <c r="F1536" s="3" t="s">
        <v>7644</v>
      </c>
      <c r="G1536" s="3" t="s">
        <v>5157</v>
      </c>
      <c r="H1536" s="6" t="s">
        <v>3356</v>
      </c>
      <c r="I1536" s="6" t="s">
        <v>3356</v>
      </c>
      <c r="J1536" s="3" t="s">
        <v>3356</v>
      </c>
      <c r="L1536" s="1" t="s">
        <v>6135</v>
      </c>
    </row>
    <row r="1537" spans="1:12">
      <c r="A1537" s="3" t="s">
        <v>3356</v>
      </c>
      <c r="C1537" s="3" t="s">
        <v>3817</v>
      </c>
      <c r="D1537" s="3" t="s">
        <v>3618</v>
      </c>
      <c r="E1537" s="3" t="s">
        <v>3638</v>
      </c>
      <c r="F1537" s="3" t="s">
        <v>7644</v>
      </c>
      <c r="G1537" s="3" t="s">
        <v>7725</v>
      </c>
      <c r="H1537" s="6" t="s">
        <v>3356</v>
      </c>
      <c r="I1537" s="6" t="s">
        <v>3356</v>
      </c>
      <c r="J1537" s="3" t="s">
        <v>3356</v>
      </c>
      <c r="L1537" s="1" t="s">
        <v>6135</v>
      </c>
    </row>
    <row r="1538" spans="1:12">
      <c r="A1538" s="3" t="s">
        <v>3356</v>
      </c>
      <c r="C1538" s="3" t="s">
        <v>3817</v>
      </c>
      <c r="D1538" s="3" t="s">
        <v>3618</v>
      </c>
      <c r="E1538" s="3" t="s">
        <v>3638</v>
      </c>
      <c r="F1538" s="3" t="s">
        <v>7644</v>
      </c>
      <c r="G1538" s="3" t="s">
        <v>6109</v>
      </c>
      <c r="H1538" s="6" t="s">
        <v>3356</v>
      </c>
      <c r="I1538" s="6" t="s">
        <v>3356</v>
      </c>
      <c r="J1538" s="3" t="s">
        <v>3356</v>
      </c>
      <c r="L1538" s="1" t="s">
        <v>6135</v>
      </c>
    </row>
    <row r="1539" spans="1:12">
      <c r="A1539" s="3" t="s">
        <v>3356</v>
      </c>
      <c r="C1539" s="3" t="s">
        <v>3817</v>
      </c>
      <c r="D1539" s="3" t="s">
        <v>3618</v>
      </c>
      <c r="E1539" s="3" t="s">
        <v>3638</v>
      </c>
      <c r="F1539" s="3" t="s">
        <v>7644</v>
      </c>
      <c r="G1539" s="3" t="s">
        <v>8175</v>
      </c>
      <c r="H1539" s="6" t="s">
        <v>3356</v>
      </c>
      <c r="I1539" s="6" t="s">
        <v>3356</v>
      </c>
      <c r="J1539" s="3" t="s">
        <v>3356</v>
      </c>
      <c r="L1539" s="1" t="s">
        <v>6135</v>
      </c>
    </row>
    <row r="1540" spans="1:12">
      <c r="A1540" s="3" t="s">
        <v>3356</v>
      </c>
      <c r="C1540" s="3" t="s">
        <v>3817</v>
      </c>
      <c r="D1540" s="3" t="s">
        <v>3618</v>
      </c>
      <c r="E1540" s="3" t="s">
        <v>3638</v>
      </c>
      <c r="F1540" s="3" t="s">
        <v>7644</v>
      </c>
      <c r="G1540" s="3" t="s">
        <v>8176</v>
      </c>
      <c r="H1540" s="6" t="s">
        <v>3356</v>
      </c>
      <c r="I1540" s="6" t="s">
        <v>3356</v>
      </c>
      <c r="J1540" s="3" t="s">
        <v>3356</v>
      </c>
      <c r="L1540" s="1" t="s">
        <v>6135</v>
      </c>
    </row>
    <row r="1541" spans="1:12">
      <c r="A1541" s="3" t="s">
        <v>3356</v>
      </c>
      <c r="C1541" s="3" t="s">
        <v>3817</v>
      </c>
      <c r="D1541" s="3" t="s">
        <v>3618</v>
      </c>
      <c r="E1541" s="3" t="s">
        <v>3638</v>
      </c>
      <c r="F1541" s="3" t="s">
        <v>7644</v>
      </c>
      <c r="G1541" s="3" t="s">
        <v>7747</v>
      </c>
      <c r="H1541" s="6" t="s">
        <v>3356</v>
      </c>
      <c r="I1541" s="6" t="s">
        <v>3356</v>
      </c>
      <c r="J1541" s="3" t="s">
        <v>3356</v>
      </c>
      <c r="L1541" s="1" t="s">
        <v>6135</v>
      </c>
    </row>
    <row r="1542" spans="1:12">
      <c r="A1542" s="3" t="s">
        <v>3356</v>
      </c>
      <c r="C1542" s="3" t="s">
        <v>3817</v>
      </c>
      <c r="D1542" s="3" t="s">
        <v>3618</v>
      </c>
      <c r="E1542" s="3" t="s">
        <v>3638</v>
      </c>
      <c r="F1542" s="3" t="s">
        <v>7644</v>
      </c>
      <c r="G1542" s="3" t="s">
        <v>5137</v>
      </c>
      <c r="H1542" s="6" t="s">
        <v>3356</v>
      </c>
      <c r="I1542" s="6" t="s">
        <v>3356</v>
      </c>
      <c r="J1542" s="3" t="s">
        <v>3356</v>
      </c>
      <c r="L1542" s="1" t="s">
        <v>6135</v>
      </c>
    </row>
    <row r="1543" spans="1:12">
      <c r="A1543" s="3" t="s">
        <v>3356</v>
      </c>
      <c r="C1543" s="3" t="s">
        <v>3817</v>
      </c>
      <c r="D1543" s="3" t="s">
        <v>3618</v>
      </c>
      <c r="E1543" s="3" t="s">
        <v>3638</v>
      </c>
      <c r="F1543" s="3" t="s">
        <v>7644</v>
      </c>
      <c r="G1543" s="3" t="s">
        <v>4289</v>
      </c>
      <c r="H1543" s="6" t="s">
        <v>3356</v>
      </c>
      <c r="I1543" s="6" t="s">
        <v>3356</v>
      </c>
      <c r="J1543" s="3" t="s">
        <v>3356</v>
      </c>
      <c r="L1543" s="1" t="s">
        <v>6135</v>
      </c>
    </row>
    <row r="1544" spans="1:12">
      <c r="A1544" s="3" t="s">
        <v>3356</v>
      </c>
      <c r="C1544" s="3" t="s">
        <v>3817</v>
      </c>
      <c r="D1544" s="3" t="s">
        <v>3618</v>
      </c>
      <c r="E1544" s="3" t="s">
        <v>3638</v>
      </c>
      <c r="F1544" s="3" t="s">
        <v>7644</v>
      </c>
      <c r="G1544" s="3" t="s">
        <v>4721</v>
      </c>
      <c r="H1544" s="6" t="s">
        <v>3356</v>
      </c>
      <c r="I1544" s="6" t="s">
        <v>3356</v>
      </c>
      <c r="J1544" s="3" t="s">
        <v>3356</v>
      </c>
      <c r="L1544" s="1" t="s">
        <v>6135</v>
      </c>
    </row>
    <row r="1545" spans="1:12">
      <c r="A1545" s="3" t="s">
        <v>3356</v>
      </c>
      <c r="C1545" s="3" t="s">
        <v>3817</v>
      </c>
      <c r="D1545" s="3" t="s">
        <v>3618</v>
      </c>
      <c r="E1545" s="3" t="s">
        <v>3638</v>
      </c>
      <c r="F1545" s="3" t="s">
        <v>7644</v>
      </c>
      <c r="G1545" s="3" t="s">
        <v>4722</v>
      </c>
      <c r="H1545" s="6" t="s">
        <v>3356</v>
      </c>
      <c r="I1545" s="6" t="s">
        <v>3356</v>
      </c>
      <c r="J1545" s="3" t="s">
        <v>3356</v>
      </c>
      <c r="L1545" s="1" t="s">
        <v>6135</v>
      </c>
    </row>
    <row r="1546" spans="1:12">
      <c r="A1546" s="3" t="s">
        <v>3356</v>
      </c>
      <c r="C1546" s="3" t="s">
        <v>3817</v>
      </c>
      <c r="D1546" s="3" t="s">
        <v>3618</v>
      </c>
      <c r="E1546" s="3" t="s">
        <v>3638</v>
      </c>
      <c r="F1546" s="3" t="s">
        <v>7644</v>
      </c>
      <c r="G1546" s="3" t="s">
        <v>4725</v>
      </c>
      <c r="H1546" s="6" t="s">
        <v>3356</v>
      </c>
      <c r="I1546" s="6" t="s">
        <v>3356</v>
      </c>
      <c r="J1546" s="3" t="s">
        <v>3356</v>
      </c>
      <c r="L1546" s="1" t="s">
        <v>6135</v>
      </c>
    </row>
    <row r="1547" spans="1:12">
      <c r="A1547" s="3" t="s">
        <v>3356</v>
      </c>
      <c r="C1547" s="3" t="s">
        <v>3817</v>
      </c>
      <c r="D1547" s="3" t="s">
        <v>3618</v>
      </c>
      <c r="E1547" s="3" t="s">
        <v>3638</v>
      </c>
      <c r="F1547" s="3" t="s">
        <v>7644</v>
      </c>
      <c r="G1547" s="3" t="s">
        <v>4726</v>
      </c>
      <c r="H1547" s="6" t="s">
        <v>3356</v>
      </c>
      <c r="I1547" s="6" t="s">
        <v>3356</v>
      </c>
      <c r="J1547" s="3" t="s">
        <v>3356</v>
      </c>
      <c r="L1547" s="1" t="s">
        <v>6135</v>
      </c>
    </row>
    <row r="1548" spans="1:12">
      <c r="A1548" s="3" t="s">
        <v>3356</v>
      </c>
      <c r="C1548" s="3" t="s">
        <v>3817</v>
      </c>
      <c r="D1548" s="3" t="s">
        <v>3618</v>
      </c>
      <c r="E1548" s="3" t="s">
        <v>3638</v>
      </c>
      <c r="F1548" s="3" t="s">
        <v>7644</v>
      </c>
      <c r="G1548" s="3" t="s">
        <v>3285</v>
      </c>
      <c r="H1548" s="6" t="s">
        <v>3356</v>
      </c>
      <c r="I1548" s="6" t="s">
        <v>3356</v>
      </c>
      <c r="J1548" s="3" t="s">
        <v>3356</v>
      </c>
      <c r="L1548" s="1" t="s">
        <v>6135</v>
      </c>
    </row>
    <row r="1549" spans="1:12">
      <c r="A1549" s="3" t="s">
        <v>3356</v>
      </c>
      <c r="C1549" s="3" t="s">
        <v>3817</v>
      </c>
      <c r="D1549" s="3" t="s">
        <v>3618</v>
      </c>
      <c r="E1549" s="3" t="s">
        <v>3638</v>
      </c>
      <c r="F1549" s="3" t="s">
        <v>7644</v>
      </c>
      <c r="G1549" s="3" t="s">
        <v>8189</v>
      </c>
      <c r="H1549" s="6" t="s">
        <v>3356</v>
      </c>
      <c r="I1549" s="6" t="s">
        <v>3356</v>
      </c>
      <c r="J1549" s="3" t="s">
        <v>3356</v>
      </c>
      <c r="L1549" s="1" t="s">
        <v>6135</v>
      </c>
    </row>
    <row r="1550" spans="1:12">
      <c r="A1550" s="3" t="s">
        <v>3356</v>
      </c>
      <c r="C1550" s="3" t="s">
        <v>3817</v>
      </c>
      <c r="D1550" s="3" t="s">
        <v>3618</v>
      </c>
      <c r="E1550" s="3" t="s">
        <v>3638</v>
      </c>
      <c r="F1550" s="3" t="s">
        <v>7644</v>
      </c>
      <c r="G1550" s="3" t="s">
        <v>4732</v>
      </c>
      <c r="H1550" s="6" t="s">
        <v>3356</v>
      </c>
      <c r="I1550" s="6" t="s">
        <v>3356</v>
      </c>
      <c r="J1550" s="3" t="s">
        <v>3356</v>
      </c>
      <c r="L1550" s="1" t="s">
        <v>6135</v>
      </c>
    </row>
    <row r="1551" spans="1:12">
      <c r="A1551" s="3" t="s">
        <v>3356</v>
      </c>
      <c r="C1551" s="3" t="s">
        <v>3817</v>
      </c>
      <c r="D1551" s="3" t="s">
        <v>3618</v>
      </c>
      <c r="E1551" s="3" t="s">
        <v>3638</v>
      </c>
      <c r="F1551" s="3" t="s">
        <v>7644</v>
      </c>
      <c r="G1551" s="3" t="s">
        <v>6292</v>
      </c>
      <c r="H1551" s="6" t="s">
        <v>3356</v>
      </c>
      <c r="I1551" s="6" t="s">
        <v>3356</v>
      </c>
      <c r="J1551" s="3" t="s">
        <v>3356</v>
      </c>
      <c r="L1551" s="1" t="s">
        <v>6135</v>
      </c>
    </row>
    <row r="1552" spans="1:12">
      <c r="A1552" s="3" t="s">
        <v>3356</v>
      </c>
      <c r="C1552" s="3" t="s">
        <v>3817</v>
      </c>
      <c r="D1552" s="3" t="s">
        <v>3618</v>
      </c>
      <c r="E1552" s="3" t="s">
        <v>3638</v>
      </c>
      <c r="F1552" s="3" t="s">
        <v>7644</v>
      </c>
      <c r="G1552" s="3" t="s">
        <v>5240</v>
      </c>
      <c r="H1552" s="6" t="s">
        <v>3356</v>
      </c>
      <c r="I1552" s="6" t="s">
        <v>3356</v>
      </c>
      <c r="J1552" s="3" t="s">
        <v>3356</v>
      </c>
      <c r="L1552" s="1" t="s">
        <v>6135</v>
      </c>
    </row>
    <row r="1553" spans="1:12">
      <c r="A1553" s="3" t="s">
        <v>3356</v>
      </c>
      <c r="C1553" s="3" t="s">
        <v>3817</v>
      </c>
      <c r="D1553" s="3" t="s">
        <v>3618</v>
      </c>
      <c r="E1553" s="3" t="s">
        <v>3638</v>
      </c>
      <c r="F1553" s="3" t="s">
        <v>7644</v>
      </c>
      <c r="G1553" s="3" t="s">
        <v>5241</v>
      </c>
      <c r="H1553" s="6" t="s">
        <v>3356</v>
      </c>
      <c r="I1553" s="6" t="s">
        <v>3356</v>
      </c>
      <c r="J1553" s="3" t="s">
        <v>3356</v>
      </c>
      <c r="L1553" s="1" t="s">
        <v>6135</v>
      </c>
    </row>
    <row r="1554" spans="1:12">
      <c r="A1554" s="3" t="s">
        <v>3356</v>
      </c>
      <c r="C1554" s="3" t="s">
        <v>3817</v>
      </c>
      <c r="D1554" s="3" t="s">
        <v>3618</v>
      </c>
      <c r="E1554" s="3" t="s">
        <v>3638</v>
      </c>
      <c r="F1554" s="3" t="s">
        <v>7644</v>
      </c>
      <c r="G1554" s="3" t="s">
        <v>7213</v>
      </c>
      <c r="H1554" s="6" t="s">
        <v>3356</v>
      </c>
      <c r="I1554" s="6" t="s">
        <v>3356</v>
      </c>
      <c r="J1554" s="3" t="s">
        <v>3356</v>
      </c>
      <c r="L1554" s="1" t="s">
        <v>6135</v>
      </c>
    </row>
    <row r="1555" spans="1:12">
      <c r="A1555" s="3" t="s">
        <v>3356</v>
      </c>
      <c r="C1555" s="3" t="s">
        <v>3817</v>
      </c>
      <c r="D1555" s="3" t="s">
        <v>3618</v>
      </c>
      <c r="E1555" s="3" t="s">
        <v>3638</v>
      </c>
      <c r="F1555" s="3" t="s">
        <v>7644</v>
      </c>
      <c r="G1555" s="3" t="s">
        <v>5242</v>
      </c>
      <c r="H1555" s="6" t="s">
        <v>3356</v>
      </c>
      <c r="I1555" s="6" t="s">
        <v>3356</v>
      </c>
      <c r="J1555" s="3" t="s">
        <v>3356</v>
      </c>
      <c r="L1555" s="1" t="s">
        <v>6135</v>
      </c>
    </row>
    <row r="1556" spans="1:12">
      <c r="A1556" s="3" t="s">
        <v>3356</v>
      </c>
      <c r="C1556" s="3" t="s">
        <v>3817</v>
      </c>
      <c r="D1556" s="3" t="s">
        <v>3618</v>
      </c>
      <c r="E1556" s="3" t="s">
        <v>3638</v>
      </c>
      <c r="F1556" s="3" t="s">
        <v>7644</v>
      </c>
      <c r="G1556" s="3" t="s">
        <v>5243</v>
      </c>
      <c r="H1556" s="6" t="s">
        <v>3356</v>
      </c>
      <c r="I1556" s="6" t="s">
        <v>3356</v>
      </c>
      <c r="J1556" s="3" t="s">
        <v>3356</v>
      </c>
      <c r="L1556" s="1" t="s">
        <v>6135</v>
      </c>
    </row>
    <row r="1557" spans="1:12">
      <c r="A1557" s="3" t="s">
        <v>3356</v>
      </c>
      <c r="C1557" s="3" t="s">
        <v>3817</v>
      </c>
      <c r="D1557" s="3" t="s">
        <v>3618</v>
      </c>
      <c r="E1557" s="3" t="s">
        <v>3638</v>
      </c>
      <c r="F1557" s="3" t="s">
        <v>7644</v>
      </c>
      <c r="G1557" s="3" t="s">
        <v>5877</v>
      </c>
      <c r="H1557" s="6" t="s">
        <v>3356</v>
      </c>
      <c r="I1557" s="6" t="s">
        <v>3356</v>
      </c>
      <c r="J1557" s="3" t="s">
        <v>3356</v>
      </c>
      <c r="L1557" s="1" t="s">
        <v>6135</v>
      </c>
    </row>
    <row r="1558" spans="1:12">
      <c r="A1558" s="3" t="s">
        <v>3356</v>
      </c>
      <c r="C1558" s="3" t="s">
        <v>3817</v>
      </c>
      <c r="D1558" s="3" t="s">
        <v>3618</v>
      </c>
      <c r="E1558" s="3" t="s">
        <v>3638</v>
      </c>
      <c r="F1558" s="3" t="s">
        <v>7644</v>
      </c>
      <c r="G1558" s="3" t="s">
        <v>5244</v>
      </c>
      <c r="H1558" s="6" t="s">
        <v>3356</v>
      </c>
      <c r="I1558" s="6" t="s">
        <v>3356</v>
      </c>
      <c r="J1558" s="3" t="s">
        <v>3356</v>
      </c>
      <c r="L1558" s="1" t="s">
        <v>6135</v>
      </c>
    </row>
    <row r="1559" spans="1:12">
      <c r="A1559" s="3" t="s">
        <v>3356</v>
      </c>
      <c r="C1559" s="3" t="s">
        <v>3817</v>
      </c>
      <c r="D1559" s="3" t="s">
        <v>3618</v>
      </c>
      <c r="E1559" s="3" t="s">
        <v>3638</v>
      </c>
      <c r="F1559" s="3" t="s">
        <v>7644</v>
      </c>
      <c r="G1559" s="3" t="s">
        <v>3985</v>
      </c>
      <c r="H1559" s="6" t="s">
        <v>3356</v>
      </c>
      <c r="I1559" s="6" t="s">
        <v>3356</v>
      </c>
      <c r="J1559" s="3" t="s">
        <v>3356</v>
      </c>
      <c r="L1559" s="1" t="s">
        <v>6135</v>
      </c>
    </row>
    <row r="1560" spans="1:12">
      <c r="A1560" s="3" t="s">
        <v>3356</v>
      </c>
      <c r="C1560" s="3" t="s">
        <v>3817</v>
      </c>
      <c r="D1560" s="3" t="s">
        <v>3618</v>
      </c>
      <c r="E1560" s="3" t="s">
        <v>3638</v>
      </c>
      <c r="F1560" s="3" t="s">
        <v>7644</v>
      </c>
      <c r="G1560" s="3" t="s">
        <v>6743</v>
      </c>
      <c r="H1560" s="6" t="s">
        <v>3356</v>
      </c>
      <c r="I1560" s="6" t="s">
        <v>3356</v>
      </c>
      <c r="J1560" s="3" t="s">
        <v>3356</v>
      </c>
      <c r="L1560" s="1" t="s">
        <v>6135</v>
      </c>
    </row>
    <row r="1561" spans="1:12">
      <c r="A1561" s="3" t="s">
        <v>3356</v>
      </c>
      <c r="C1561" s="3" t="s">
        <v>3817</v>
      </c>
      <c r="D1561" s="3" t="s">
        <v>3618</v>
      </c>
      <c r="E1561" s="3" t="s">
        <v>3638</v>
      </c>
      <c r="F1561" s="3" t="s">
        <v>7644</v>
      </c>
      <c r="G1561" s="3" t="s">
        <v>5245</v>
      </c>
      <c r="H1561" s="6" t="s">
        <v>3356</v>
      </c>
      <c r="I1561" s="6" t="s">
        <v>3356</v>
      </c>
      <c r="J1561" s="3" t="s">
        <v>3356</v>
      </c>
      <c r="L1561" s="1" t="s">
        <v>6135</v>
      </c>
    </row>
    <row r="1562" spans="1:12">
      <c r="A1562" s="3" t="s">
        <v>3356</v>
      </c>
      <c r="C1562" s="3" t="s">
        <v>3817</v>
      </c>
      <c r="D1562" s="3" t="s">
        <v>3618</v>
      </c>
      <c r="E1562" s="3" t="s">
        <v>3638</v>
      </c>
      <c r="F1562" s="3" t="s">
        <v>7644</v>
      </c>
      <c r="G1562" s="3" t="s">
        <v>7512</v>
      </c>
      <c r="H1562" s="6" t="s">
        <v>3356</v>
      </c>
      <c r="I1562" s="6" t="s">
        <v>3356</v>
      </c>
      <c r="J1562" s="3" t="s">
        <v>3356</v>
      </c>
      <c r="L1562" s="1" t="s">
        <v>6135</v>
      </c>
    </row>
    <row r="1563" spans="1:12">
      <c r="A1563" s="3" t="s">
        <v>3356</v>
      </c>
      <c r="C1563" s="3" t="s">
        <v>3817</v>
      </c>
      <c r="D1563" s="3" t="s">
        <v>3618</v>
      </c>
      <c r="E1563" s="3" t="s">
        <v>3638</v>
      </c>
      <c r="F1563" s="3" t="s">
        <v>7644</v>
      </c>
      <c r="G1563" s="3" t="s">
        <v>4026</v>
      </c>
      <c r="H1563" s="6" t="s">
        <v>3356</v>
      </c>
      <c r="I1563" s="6" t="s">
        <v>3356</v>
      </c>
      <c r="J1563" s="3" t="s">
        <v>3356</v>
      </c>
      <c r="L1563" s="1" t="s">
        <v>6135</v>
      </c>
    </row>
    <row r="1564" spans="1:12">
      <c r="A1564" s="3" t="s">
        <v>3356</v>
      </c>
      <c r="C1564" s="3" t="s">
        <v>3817</v>
      </c>
      <c r="D1564" s="3" t="s">
        <v>3618</v>
      </c>
      <c r="E1564" s="3" t="s">
        <v>3638</v>
      </c>
      <c r="F1564" s="3" t="s">
        <v>7644</v>
      </c>
      <c r="G1564" s="3" t="s">
        <v>5182</v>
      </c>
      <c r="H1564" s="6" t="s">
        <v>3356</v>
      </c>
      <c r="I1564" s="6" t="s">
        <v>3356</v>
      </c>
      <c r="J1564" s="3" t="s">
        <v>3356</v>
      </c>
      <c r="L1564" s="1" t="s">
        <v>6135</v>
      </c>
    </row>
    <row r="1565" spans="1:12">
      <c r="A1565" s="3" t="s">
        <v>3356</v>
      </c>
      <c r="C1565" s="3" t="s">
        <v>3817</v>
      </c>
      <c r="D1565" s="3" t="s">
        <v>3618</v>
      </c>
      <c r="E1565" s="3" t="s">
        <v>3638</v>
      </c>
      <c r="F1565" s="3" t="s">
        <v>7644</v>
      </c>
      <c r="G1565" s="3" t="s">
        <v>4683</v>
      </c>
      <c r="H1565" s="6" t="s">
        <v>3356</v>
      </c>
      <c r="I1565" s="6" t="s">
        <v>3356</v>
      </c>
      <c r="J1565" s="3" t="s">
        <v>3356</v>
      </c>
      <c r="L1565" s="1" t="s">
        <v>6135</v>
      </c>
    </row>
    <row r="1566" spans="1:12">
      <c r="A1566" s="3" t="s">
        <v>3356</v>
      </c>
      <c r="C1566" s="3" t="s">
        <v>3817</v>
      </c>
      <c r="D1566" s="3" t="s">
        <v>3618</v>
      </c>
      <c r="E1566" s="3" t="s">
        <v>3638</v>
      </c>
      <c r="F1566" s="3" t="s">
        <v>7644</v>
      </c>
      <c r="G1566" s="3" t="s">
        <v>8273</v>
      </c>
      <c r="H1566" s="6" t="s">
        <v>3356</v>
      </c>
      <c r="I1566" s="6" t="s">
        <v>3356</v>
      </c>
      <c r="J1566" s="3" t="s">
        <v>3356</v>
      </c>
      <c r="L1566" s="1" t="s">
        <v>6135</v>
      </c>
    </row>
    <row r="1567" spans="1:12">
      <c r="A1567" s="3" t="s">
        <v>3356</v>
      </c>
      <c r="C1567" s="3" t="s">
        <v>3817</v>
      </c>
      <c r="D1567" s="3" t="s">
        <v>3618</v>
      </c>
      <c r="E1567" s="3" t="s">
        <v>3638</v>
      </c>
      <c r="F1567" s="3" t="s">
        <v>7644</v>
      </c>
      <c r="G1567" s="3" t="s">
        <v>5784</v>
      </c>
      <c r="H1567" s="6" t="s">
        <v>3356</v>
      </c>
      <c r="I1567" s="6" t="s">
        <v>3356</v>
      </c>
      <c r="J1567" s="3" t="s">
        <v>3356</v>
      </c>
      <c r="L1567" s="1" t="s">
        <v>6135</v>
      </c>
    </row>
    <row r="1568" spans="1:12">
      <c r="A1568" s="3" t="s">
        <v>3356</v>
      </c>
      <c r="C1568" s="3" t="s">
        <v>3817</v>
      </c>
      <c r="D1568" s="3" t="s">
        <v>3618</v>
      </c>
      <c r="E1568" s="3" t="s">
        <v>3638</v>
      </c>
      <c r="F1568" s="3" t="s">
        <v>7644</v>
      </c>
      <c r="G1568" s="3" t="s">
        <v>5785</v>
      </c>
      <c r="H1568" s="6" t="s">
        <v>3356</v>
      </c>
      <c r="I1568" s="6" t="s">
        <v>3356</v>
      </c>
      <c r="J1568" s="3" t="s">
        <v>3356</v>
      </c>
      <c r="L1568" s="1" t="s">
        <v>6135</v>
      </c>
    </row>
    <row r="1569" spans="1:12">
      <c r="A1569" s="3" t="s">
        <v>3356</v>
      </c>
      <c r="C1569" s="3" t="s">
        <v>3817</v>
      </c>
      <c r="D1569" s="3" t="s">
        <v>3618</v>
      </c>
      <c r="E1569" s="3" t="s">
        <v>3638</v>
      </c>
      <c r="F1569" s="3" t="s">
        <v>7644</v>
      </c>
      <c r="G1569" s="3" t="s">
        <v>5185</v>
      </c>
      <c r="H1569" s="6" t="s">
        <v>3356</v>
      </c>
      <c r="I1569" s="6" t="s">
        <v>3356</v>
      </c>
      <c r="J1569" s="3" t="s">
        <v>3356</v>
      </c>
      <c r="L1569" s="1" t="s">
        <v>6135</v>
      </c>
    </row>
    <row r="1570" spans="1:12">
      <c r="A1570" s="3" t="s">
        <v>3356</v>
      </c>
      <c r="C1570" s="3" t="s">
        <v>3817</v>
      </c>
      <c r="D1570" s="3" t="s">
        <v>3618</v>
      </c>
      <c r="E1570" s="3" t="s">
        <v>3638</v>
      </c>
      <c r="F1570" s="3" t="s">
        <v>7644</v>
      </c>
      <c r="G1570" s="3" t="s">
        <v>5186</v>
      </c>
      <c r="H1570" s="6" t="s">
        <v>3356</v>
      </c>
      <c r="I1570" s="6" t="s">
        <v>3356</v>
      </c>
      <c r="J1570" s="3" t="s">
        <v>3356</v>
      </c>
      <c r="L1570" s="1" t="s">
        <v>6135</v>
      </c>
    </row>
    <row r="1571" spans="1:12">
      <c r="A1571" s="3" t="s">
        <v>3356</v>
      </c>
      <c r="C1571" s="3" t="s">
        <v>3817</v>
      </c>
      <c r="D1571" s="3" t="s">
        <v>3618</v>
      </c>
      <c r="E1571" s="3" t="s">
        <v>3638</v>
      </c>
      <c r="F1571" s="3" t="s">
        <v>7644</v>
      </c>
      <c r="G1571" s="3" t="s">
        <v>5187</v>
      </c>
      <c r="H1571" s="6" t="s">
        <v>3356</v>
      </c>
      <c r="I1571" s="6" t="s">
        <v>3356</v>
      </c>
      <c r="J1571" s="3" t="s">
        <v>3356</v>
      </c>
      <c r="L1571" s="1" t="s">
        <v>6135</v>
      </c>
    </row>
    <row r="1572" spans="1:12">
      <c r="A1572" s="3" t="s">
        <v>3356</v>
      </c>
      <c r="C1572" s="3" t="s">
        <v>3817</v>
      </c>
      <c r="D1572" s="3" t="s">
        <v>3618</v>
      </c>
      <c r="E1572" s="3" t="s">
        <v>3638</v>
      </c>
      <c r="F1572" s="3" t="s">
        <v>7644</v>
      </c>
      <c r="G1572" s="3" t="s">
        <v>5172</v>
      </c>
      <c r="H1572" s="6" t="s">
        <v>3356</v>
      </c>
      <c r="I1572" s="6" t="s">
        <v>3356</v>
      </c>
      <c r="J1572" s="3" t="s">
        <v>3356</v>
      </c>
      <c r="L1572" s="1" t="s">
        <v>6135</v>
      </c>
    </row>
    <row r="1573" spans="1:12">
      <c r="A1573" s="3" t="s">
        <v>3356</v>
      </c>
      <c r="C1573" s="3" t="s">
        <v>3817</v>
      </c>
      <c r="D1573" s="3" t="s">
        <v>3618</v>
      </c>
      <c r="E1573" s="3" t="s">
        <v>3638</v>
      </c>
      <c r="F1573" s="3" t="s">
        <v>7644</v>
      </c>
      <c r="G1573" s="3" t="s">
        <v>5173</v>
      </c>
      <c r="H1573" s="6" t="s">
        <v>3356</v>
      </c>
      <c r="I1573" s="6" t="s">
        <v>3356</v>
      </c>
      <c r="J1573" s="3" t="s">
        <v>3356</v>
      </c>
      <c r="L1573" s="1" t="s">
        <v>6135</v>
      </c>
    </row>
    <row r="1574" spans="1:12">
      <c r="A1574" s="3" t="s">
        <v>3356</v>
      </c>
      <c r="C1574" s="3" t="s">
        <v>3817</v>
      </c>
      <c r="D1574" s="3" t="s">
        <v>3618</v>
      </c>
      <c r="E1574" s="3" t="s">
        <v>3638</v>
      </c>
      <c r="F1574" s="3" t="s">
        <v>7644</v>
      </c>
      <c r="G1574" s="3" t="s">
        <v>5174</v>
      </c>
      <c r="H1574" s="6" t="s">
        <v>3356</v>
      </c>
      <c r="I1574" s="6" t="s">
        <v>3356</v>
      </c>
      <c r="J1574" s="3" t="s">
        <v>3356</v>
      </c>
      <c r="L1574" s="1" t="s">
        <v>6135</v>
      </c>
    </row>
    <row r="1575" spans="1:12">
      <c r="A1575" s="3" t="s">
        <v>3356</v>
      </c>
      <c r="C1575" s="3" t="s">
        <v>3817</v>
      </c>
      <c r="D1575" s="3" t="s">
        <v>3618</v>
      </c>
      <c r="E1575" s="3" t="s">
        <v>3638</v>
      </c>
      <c r="F1575" s="3" t="s">
        <v>7644</v>
      </c>
      <c r="G1575" s="3" t="s">
        <v>5175</v>
      </c>
      <c r="H1575" s="6" t="s">
        <v>3356</v>
      </c>
      <c r="I1575" s="6" t="s">
        <v>3356</v>
      </c>
      <c r="J1575" s="3" t="s">
        <v>3356</v>
      </c>
      <c r="L1575" s="1" t="s">
        <v>6135</v>
      </c>
    </row>
    <row r="1576" spans="1:12">
      <c r="A1576" s="3" t="s">
        <v>3356</v>
      </c>
      <c r="C1576" s="3" t="s">
        <v>3817</v>
      </c>
      <c r="D1576" s="3" t="s">
        <v>3618</v>
      </c>
      <c r="E1576" s="3" t="s">
        <v>3638</v>
      </c>
      <c r="F1576" s="3" t="s">
        <v>7644</v>
      </c>
      <c r="G1576" s="3" t="s">
        <v>4716</v>
      </c>
      <c r="H1576" s="6" t="s">
        <v>3356</v>
      </c>
      <c r="I1576" s="6" t="s">
        <v>3356</v>
      </c>
      <c r="J1576" s="3" t="s">
        <v>3356</v>
      </c>
      <c r="L1576" s="1" t="s">
        <v>6135</v>
      </c>
    </row>
    <row r="1577" spans="1:12">
      <c r="A1577" s="3" t="s">
        <v>3356</v>
      </c>
      <c r="C1577" s="3" t="s">
        <v>3817</v>
      </c>
      <c r="D1577" s="3" t="s">
        <v>3618</v>
      </c>
      <c r="E1577" s="3" t="s">
        <v>3638</v>
      </c>
      <c r="F1577" s="3" t="s">
        <v>7644</v>
      </c>
      <c r="G1577" s="3" t="s">
        <v>3909</v>
      </c>
      <c r="H1577" s="6" t="s">
        <v>3356</v>
      </c>
      <c r="I1577" s="6" t="s">
        <v>3356</v>
      </c>
      <c r="J1577" s="3" t="s">
        <v>3356</v>
      </c>
      <c r="L1577" s="1" t="s">
        <v>6135</v>
      </c>
    </row>
    <row r="1578" spans="1:12">
      <c r="A1578" s="3" t="s">
        <v>3356</v>
      </c>
      <c r="C1578" s="3" t="s">
        <v>3817</v>
      </c>
      <c r="D1578" s="3" t="s">
        <v>3618</v>
      </c>
      <c r="E1578" s="3" t="s">
        <v>3638</v>
      </c>
      <c r="F1578" s="3" t="s">
        <v>7644</v>
      </c>
      <c r="G1578" s="3" t="s">
        <v>5513</v>
      </c>
      <c r="H1578" s="6">
        <v>2.0492180226701815</v>
      </c>
      <c r="I1578" s="6">
        <v>112</v>
      </c>
      <c r="J1578" s="3" t="s">
        <v>6736</v>
      </c>
      <c r="L1578" s="1" t="s">
        <v>6135</v>
      </c>
    </row>
    <row r="1579" spans="1:12">
      <c r="A1579" s="3" t="s">
        <v>3356</v>
      </c>
      <c r="C1579" s="3" t="s">
        <v>3817</v>
      </c>
      <c r="D1579" s="3" t="s">
        <v>3618</v>
      </c>
      <c r="E1579" s="3" t="s">
        <v>3638</v>
      </c>
      <c r="F1579" s="3" t="s">
        <v>7644</v>
      </c>
      <c r="G1579" s="3" t="s">
        <v>4717</v>
      </c>
      <c r="H1579" s="6" t="s">
        <v>3356</v>
      </c>
      <c r="I1579" s="6" t="s">
        <v>3356</v>
      </c>
      <c r="J1579" s="3" t="s">
        <v>3356</v>
      </c>
      <c r="L1579" s="1" t="s">
        <v>6135</v>
      </c>
    </row>
    <row r="1580" spans="1:12">
      <c r="A1580" s="3" t="s">
        <v>3356</v>
      </c>
      <c r="C1580" s="3" t="s">
        <v>3817</v>
      </c>
      <c r="D1580" s="3" t="s">
        <v>3618</v>
      </c>
      <c r="E1580" s="3" t="s">
        <v>3638</v>
      </c>
      <c r="F1580" s="3" t="s">
        <v>7644</v>
      </c>
      <c r="G1580" s="3" t="s">
        <v>4718</v>
      </c>
      <c r="H1580" s="6" t="s">
        <v>3356</v>
      </c>
      <c r="I1580" s="6" t="s">
        <v>3356</v>
      </c>
      <c r="J1580" s="3" t="s">
        <v>3356</v>
      </c>
      <c r="L1580" s="1" t="s">
        <v>6135</v>
      </c>
    </row>
    <row r="1581" spans="1:12">
      <c r="A1581" s="3" t="s">
        <v>3356</v>
      </c>
      <c r="C1581" s="3" t="s">
        <v>3817</v>
      </c>
      <c r="D1581" s="3" t="s">
        <v>3618</v>
      </c>
      <c r="E1581" s="3" t="s">
        <v>3638</v>
      </c>
      <c r="F1581" s="3" t="s">
        <v>4890</v>
      </c>
      <c r="G1581" s="3" t="s">
        <v>5644</v>
      </c>
      <c r="H1581" s="6" t="s">
        <v>3356</v>
      </c>
      <c r="I1581" s="6" t="s">
        <v>3356</v>
      </c>
      <c r="J1581" s="3" t="s">
        <v>3356</v>
      </c>
      <c r="L1581" s="1" t="s">
        <v>6135</v>
      </c>
    </row>
    <row r="1582" spans="1:12">
      <c r="A1582" s="3" t="s">
        <v>3356</v>
      </c>
      <c r="C1582" s="3" t="s">
        <v>3817</v>
      </c>
      <c r="D1582" s="3" t="s">
        <v>3618</v>
      </c>
      <c r="E1582" s="3" t="s">
        <v>3638</v>
      </c>
      <c r="F1582" s="3" t="s">
        <v>4890</v>
      </c>
      <c r="G1582" s="3" t="s">
        <v>4953</v>
      </c>
      <c r="H1582" s="6" t="s">
        <v>3356</v>
      </c>
      <c r="I1582" s="6" t="s">
        <v>3356</v>
      </c>
      <c r="J1582" s="3" t="s">
        <v>3356</v>
      </c>
      <c r="L1582" s="1" t="s">
        <v>6135</v>
      </c>
    </row>
    <row r="1583" spans="1:12">
      <c r="A1583" s="3" t="s">
        <v>3356</v>
      </c>
      <c r="C1583" s="3" t="s">
        <v>3817</v>
      </c>
      <c r="D1583" s="3" t="s">
        <v>3618</v>
      </c>
      <c r="E1583" s="3" t="s">
        <v>3638</v>
      </c>
      <c r="F1583" s="3" t="s">
        <v>4890</v>
      </c>
      <c r="G1583" s="3" t="s">
        <v>5484</v>
      </c>
      <c r="H1583" s="6" t="s">
        <v>3356</v>
      </c>
      <c r="I1583" s="6" t="s">
        <v>3356</v>
      </c>
      <c r="J1583" s="3" t="s">
        <v>3356</v>
      </c>
      <c r="L1583" s="1" t="s">
        <v>6135</v>
      </c>
    </row>
    <row r="1584" spans="1:12">
      <c r="A1584" s="3" t="s">
        <v>3356</v>
      </c>
      <c r="C1584" s="3" t="s">
        <v>3817</v>
      </c>
      <c r="D1584" s="3" t="s">
        <v>3618</v>
      </c>
      <c r="E1584" s="3" t="s">
        <v>3638</v>
      </c>
      <c r="F1584" s="3" t="s">
        <v>4890</v>
      </c>
      <c r="G1584" s="3" t="s">
        <v>7398</v>
      </c>
      <c r="H1584" s="6" t="s">
        <v>3356</v>
      </c>
      <c r="I1584" s="6" t="s">
        <v>3356</v>
      </c>
      <c r="J1584" s="3" t="s">
        <v>3356</v>
      </c>
      <c r="L1584" s="1" t="s">
        <v>6135</v>
      </c>
    </row>
    <row r="1585" spans="1:12">
      <c r="A1585" s="3" t="s">
        <v>3356</v>
      </c>
      <c r="C1585" s="3" t="s">
        <v>3817</v>
      </c>
      <c r="D1585" s="3" t="s">
        <v>3618</v>
      </c>
      <c r="E1585" s="3" t="s">
        <v>3638</v>
      </c>
      <c r="F1585" s="3" t="s">
        <v>4890</v>
      </c>
      <c r="G1585" s="3" t="s">
        <v>5540</v>
      </c>
      <c r="H1585" s="6" t="s">
        <v>3356</v>
      </c>
      <c r="I1585" s="6" t="s">
        <v>3356</v>
      </c>
      <c r="J1585" s="3" t="s">
        <v>3356</v>
      </c>
      <c r="L1585" s="1" t="s">
        <v>6135</v>
      </c>
    </row>
    <row r="1586" spans="1:12">
      <c r="A1586" s="3" t="s">
        <v>3356</v>
      </c>
      <c r="C1586" s="3" t="s">
        <v>3817</v>
      </c>
      <c r="D1586" s="3" t="s">
        <v>3618</v>
      </c>
      <c r="E1586" s="3" t="s">
        <v>3638</v>
      </c>
      <c r="F1586" s="3" t="s">
        <v>4890</v>
      </c>
      <c r="G1586" s="3" t="s">
        <v>4807</v>
      </c>
      <c r="H1586" s="6" t="s">
        <v>3356</v>
      </c>
      <c r="I1586" s="6" t="s">
        <v>3356</v>
      </c>
      <c r="J1586" s="3" t="s">
        <v>3356</v>
      </c>
      <c r="L1586" s="1" t="s">
        <v>6135</v>
      </c>
    </row>
    <row r="1587" spans="1:12">
      <c r="A1587" s="3" t="s">
        <v>3356</v>
      </c>
      <c r="C1587" s="3" t="s">
        <v>3817</v>
      </c>
      <c r="D1587" s="3" t="s">
        <v>3618</v>
      </c>
      <c r="E1587" s="3" t="s">
        <v>3638</v>
      </c>
      <c r="F1587" s="3" t="s">
        <v>1997</v>
      </c>
      <c r="G1587" s="3" t="s">
        <v>6738</v>
      </c>
      <c r="H1587" s="6" t="s">
        <v>3356</v>
      </c>
      <c r="I1587" s="6" t="s">
        <v>3356</v>
      </c>
      <c r="J1587" s="3" t="s">
        <v>3356</v>
      </c>
      <c r="L1587" s="1" t="s">
        <v>6135</v>
      </c>
    </row>
    <row r="1588" spans="1:12">
      <c r="A1588" s="3" t="s">
        <v>3356</v>
      </c>
      <c r="C1588" s="3" t="s">
        <v>3817</v>
      </c>
      <c r="D1588" s="3" t="s">
        <v>3618</v>
      </c>
      <c r="E1588" s="3" t="s">
        <v>3638</v>
      </c>
      <c r="F1588" s="3" t="s">
        <v>4233</v>
      </c>
      <c r="G1588" s="3" t="s">
        <v>4790</v>
      </c>
      <c r="H1588" s="6" t="s">
        <v>3356</v>
      </c>
      <c r="I1588" s="6" t="s">
        <v>3356</v>
      </c>
      <c r="J1588" s="3" t="s">
        <v>3356</v>
      </c>
      <c r="L1588" s="1" t="s">
        <v>6135</v>
      </c>
    </row>
    <row r="1589" spans="1:12">
      <c r="A1589" s="3" t="s">
        <v>3356</v>
      </c>
      <c r="C1589" s="3" t="s">
        <v>3817</v>
      </c>
      <c r="D1589" s="3" t="s">
        <v>3618</v>
      </c>
      <c r="E1589" s="3" t="s">
        <v>3638</v>
      </c>
      <c r="F1589" s="3" t="s">
        <v>5223</v>
      </c>
      <c r="G1589" s="3" t="s">
        <v>5224</v>
      </c>
      <c r="H1589" s="6" t="s">
        <v>3356</v>
      </c>
      <c r="I1589" s="6" t="s">
        <v>3356</v>
      </c>
      <c r="J1589" s="3" t="s">
        <v>3356</v>
      </c>
      <c r="L1589" s="1" t="s">
        <v>6135</v>
      </c>
    </row>
    <row r="1590" spans="1:12">
      <c r="A1590" s="3" t="s">
        <v>3356</v>
      </c>
      <c r="C1590" s="3" t="s">
        <v>3817</v>
      </c>
      <c r="D1590" s="3" t="s">
        <v>3618</v>
      </c>
      <c r="E1590" s="3" t="s">
        <v>3638</v>
      </c>
      <c r="F1590" s="3" t="s">
        <v>5223</v>
      </c>
      <c r="G1590" s="3" t="s">
        <v>4967</v>
      </c>
      <c r="H1590" s="6" t="s">
        <v>3356</v>
      </c>
      <c r="I1590" s="6" t="s">
        <v>3356</v>
      </c>
      <c r="J1590" s="3" t="s">
        <v>3356</v>
      </c>
      <c r="L1590" s="1" t="s">
        <v>6135</v>
      </c>
    </row>
    <row r="1591" spans="1:12">
      <c r="A1591" s="3" t="s">
        <v>3356</v>
      </c>
      <c r="C1591" s="3" t="s">
        <v>3817</v>
      </c>
      <c r="D1591" s="3" t="s">
        <v>3618</v>
      </c>
      <c r="E1591" s="3" t="s">
        <v>3638</v>
      </c>
      <c r="F1591" s="3" t="s">
        <v>5223</v>
      </c>
      <c r="G1591" s="3" t="s">
        <v>6166</v>
      </c>
      <c r="H1591" s="6" t="s">
        <v>3356</v>
      </c>
      <c r="I1591" s="6" t="s">
        <v>3356</v>
      </c>
      <c r="J1591" s="3" t="s">
        <v>3356</v>
      </c>
      <c r="L1591" s="1" t="s">
        <v>6135</v>
      </c>
    </row>
    <row r="1592" spans="1:12">
      <c r="A1592" s="3" t="s">
        <v>3356</v>
      </c>
      <c r="C1592" s="3" t="s">
        <v>3817</v>
      </c>
      <c r="D1592" s="3" t="s">
        <v>3618</v>
      </c>
      <c r="E1592" s="3" t="s">
        <v>3638</v>
      </c>
      <c r="F1592" s="3" t="s">
        <v>3668</v>
      </c>
      <c r="G1592" s="3" t="s">
        <v>4381</v>
      </c>
      <c r="H1592" s="6" t="s">
        <v>3356</v>
      </c>
      <c r="I1592" s="6" t="s">
        <v>3356</v>
      </c>
      <c r="J1592" s="3" t="s">
        <v>3356</v>
      </c>
      <c r="L1592" s="1" t="s">
        <v>6135</v>
      </c>
    </row>
    <row r="1593" spans="1:12">
      <c r="A1593" s="3" t="s">
        <v>3356</v>
      </c>
      <c r="C1593" s="3" t="s">
        <v>3817</v>
      </c>
      <c r="D1593" s="3" t="s">
        <v>3618</v>
      </c>
      <c r="E1593" s="3" t="s">
        <v>3638</v>
      </c>
      <c r="F1593" s="3" t="s">
        <v>8162</v>
      </c>
      <c r="G1593" s="3" t="s">
        <v>6050</v>
      </c>
      <c r="H1593" s="6" t="s">
        <v>3356</v>
      </c>
      <c r="I1593" s="6" t="s">
        <v>3356</v>
      </c>
      <c r="J1593" s="3" t="s">
        <v>3356</v>
      </c>
      <c r="L1593" s="1" t="s">
        <v>6135</v>
      </c>
    </row>
    <row r="1594" spans="1:12">
      <c r="A1594" s="3" t="s">
        <v>3356</v>
      </c>
      <c r="C1594" s="3" t="s">
        <v>3817</v>
      </c>
      <c r="D1594" s="3" t="s">
        <v>3618</v>
      </c>
      <c r="E1594" s="3" t="s">
        <v>3638</v>
      </c>
      <c r="F1594" s="3" t="s">
        <v>8162</v>
      </c>
      <c r="G1594" s="3" t="s">
        <v>5290</v>
      </c>
      <c r="H1594" s="6" t="s">
        <v>3356</v>
      </c>
      <c r="I1594" s="6" t="s">
        <v>3356</v>
      </c>
      <c r="J1594" s="3" t="s">
        <v>3356</v>
      </c>
      <c r="L1594" s="1" t="s">
        <v>6135</v>
      </c>
    </row>
    <row r="1595" spans="1:12">
      <c r="A1595" s="3" t="s">
        <v>3356</v>
      </c>
      <c r="C1595" s="3" t="s">
        <v>3817</v>
      </c>
      <c r="D1595" s="3" t="s">
        <v>3618</v>
      </c>
      <c r="E1595" s="3" t="s">
        <v>3638</v>
      </c>
      <c r="F1595" s="3" t="s">
        <v>4745</v>
      </c>
      <c r="G1595" s="3" t="s">
        <v>5886</v>
      </c>
      <c r="H1595" s="6">
        <v>1.1760912590556813</v>
      </c>
      <c r="I1595" s="6">
        <v>15</v>
      </c>
      <c r="J1595" s="3" t="s">
        <v>6736</v>
      </c>
      <c r="L1595" s="1" t="s">
        <v>6135</v>
      </c>
    </row>
    <row r="1596" spans="1:12">
      <c r="A1596" s="3" t="s">
        <v>3356</v>
      </c>
      <c r="C1596" s="3" t="s">
        <v>3817</v>
      </c>
      <c r="D1596" s="3" t="s">
        <v>3618</v>
      </c>
      <c r="E1596" s="3" t="s">
        <v>3638</v>
      </c>
      <c r="F1596" s="3" t="s">
        <v>4747</v>
      </c>
      <c r="G1596" s="3" t="s">
        <v>4382</v>
      </c>
      <c r="H1596" s="6" t="s">
        <v>3356</v>
      </c>
      <c r="I1596" s="6" t="s">
        <v>3356</v>
      </c>
      <c r="J1596" s="3" t="s">
        <v>3356</v>
      </c>
      <c r="L1596" s="1" t="s">
        <v>6135</v>
      </c>
    </row>
    <row r="1597" spans="1:12">
      <c r="A1597" s="3" t="s">
        <v>3356</v>
      </c>
      <c r="C1597" s="3" t="s">
        <v>3817</v>
      </c>
      <c r="D1597" s="3" t="s">
        <v>3618</v>
      </c>
      <c r="E1597" s="3" t="s">
        <v>3638</v>
      </c>
      <c r="F1597" s="3" t="s">
        <v>5078</v>
      </c>
      <c r="G1597" s="3" t="s">
        <v>6233</v>
      </c>
      <c r="H1597" s="6" t="s">
        <v>3356</v>
      </c>
      <c r="I1597" s="6" t="s">
        <v>3356</v>
      </c>
      <c r="J1597" s="3" t="s">
        <v>3356</v>
      </c>
      <c r="L1597" s="1" t="s">
        <v>6135</v>
      </c>
    </row>
    <row r="1598" spans="1:12">
      <c r="A1598" s="3" t="s">
        <v>3356</v>
      </c>
      <c r="C1598" s="3" t="s">
        <v>3817</v>
      </c>
      <c r="D1598" s="3" t="s">
        <v>3618</v>
      </c>
      <c r="E1598" s="3" t="s">
        <v>3638</v>
      </c>
      <c r="F1598" s="3" t="s">
        <v>5078</v>
      </c>
      <c r="G1598" s="3" t="s">
        <v>5079</v>
      </c>
      <c r="H1598" s="6" t="s">
        <v>3356</v>
      </c>
      <c r="I1598" s="6" t="s">
        <v>3356</v>
      </c>
      <c r="J1598" s="3" t="s">
        <v>3356</v>
      </c>
      <c r="L1598" s="1" t="s">
        <v>6135</v>
      </c>
    </row>
    <row r="1599" spans="1:12">
      <c r="A1599" s="3" t="s">
        <v>3356</v>
      </c>
      <c r="C1599" s="3" t="s">
        <v>3817</v>
      </c>
      <c r="D1599" s="3" t="s">
        <v>3618</v>
      </c>
      <c r="E1599" s="3" t="s">
        <v>3638</v>
      </c>
      <c r="F1599" s="3" t="s">
        <v>5291</v>
      </c>
      <c r="G1599" s="3" t="s">
        <v>5158</v>
      </c>
      <c r="H1599" s="6" t="s">
        <v>3356</v>
      </c>
      <c r="I1599" s="6" t="s">
        <v>3356</v>
      </c>
      <c r="J1599" s="3" t="s">
        <v>3356</v>
      </c>
      <c r="L1599" s="1" t="s">
        <v>6135</v>
      </c>
    </row>
    <row r="1600" spans="1:12">
      <c r="A1600" s="3" t="s">
        <v>3356</v>
      </c>
      <c r="C1600" s="3" t="s">
        <v>3817</v>
      </c>
      <c r="D1600" s="3" t="s">
        <v>3618</v>
      </c>
      <c r="E1600" s="3" t="s">
        <v>3638</v>
      </c>
      <c r="F1600" s="3" t="s">
        <v>5291</v>
      </c>
      <c r="G1600" s="3" t="s">
        <v>4719</v>
      </c>
      <c r="H1600" s="6" t="s">
        <v>3356</v>
      </c>
      <c r="I1600" s="6" t="s">
        <v>3356</v>
      </c>
      <c r="J1600" s="3" t="s">
        <v>3356</v>
      </c>
      <c r="L1600" s="1" t="s">
        <v>6135</v>
      </c>
    </row>
    <row r="1601" spans="1:12">
      <c r="A1601" s="3" t="s">
        <v>3356</v>
      </c>
      <c r="C1601" s="3" t="s">
        <v>3817</v>
      </c>
      <c r="D1601" s="3" t="s">
        <v>3618</v>
      </c>
      <c r="E1601" s="3" t="s">
        <v>3638</v>
      </c>
      <c r="F1601" s="3" t="s">
        <v>5291</v>
      </c>
      <c r="G1601" s="3" t="s">
        <v>5285</v>
      </c>
      <c r="H1601" s="6" t="s">
        <v>3356</v>
      </c>
      <c r="I1601" s="6" t="s">
        <v>3356</v>
      </c>
      <c r="J1601" s="3" t="s">
        <v>3356</v>
      </c>
      <c r="L1601" s="1" t="s">
        <v>6135</v>
      </c>
    </row>
    <row r="1602" spans="1:12">
      <c r="A1602" s="3" t="s">
        <v>3356</v>
      </c>
      <c r="C1602" s="3" t="s">
        <v>3817</v>
      </c>
      <c r="D1602" s="3" t="s">
        <v>3618</v>
      </c>
      <c r="E1602" s="3" t="s">
        <v>3638</v>
      </c>
      <c r="F1602" s="3" t="s">
        <v>5291</v>
      </c>
      <c r="G1602" s="3" t="s">
        <v>8309</v>
      </c>
      <c r="H1602" s="6" t="s">
        <v>3356</v>
      </c>
      <c r="I1602" s="6" t="s">
        <v>3356</v>
      </c>
      <c r="J1602" s="3" t="s">
        <v>3356</v>
      </c>
      <c r="L1602" s="1" t="s">
        <v>6135</v>
      </c>
    </row>
    <row r="1603" spans="1:12">
      <c r="A1603" s="3" t="s">
        <v>3356</v>
      </c>
      <c r="C1603" s="3" t="s">
        <v>3817</v>
      </c>
      <c r="D1603" s="3" t="s">
        <v>3618</v>
      </c>
      <c r="E1603" s="3" t="s">
        <v>3638</v>
      </c>
      <c r="F1603" s="3" t="s">
        <v>5291</v>
      </c>
      <c r="G1603" s="3" t="s">
        <v>8310</v>
      </c>
      <c r="H1603" s="6" t="s">
        <v>3356</v>
      </c>
      <c r="I1603" s="6" t="s">
        <v>3356</v>
      </c>
      <c r="J1603" s="3" t="s">
        <v>3356</v>
      </c>
      <c r="L1603" s="1" t="s">
        <v>6135</v>
      </c>
    </row>
    <row r="1604" spans="1:12">
      <c r="A1604" s="3" t="s">
        <v>3356</v>
      </c>
      <c r="C1604" s="3" t="s">
        <v>3817</v>
      </c>
      <c r="D1604" s="3" t="s">
        <v>3618</v>
      </c>
      <c r="E1604" s="3" t="s">
        <v>3638</v>
      </c>
      <c r="F1604" s="3" t="s">
        <v>7209</v>
      </c>
      <c r="G1604" s="3" t="s">
        <v>5526</v>
      </c>
      <c r="H1604" s="6" t="s">
        <v>3356</v>
      </c>
      <c r="I1604" s="6" t="s">
        <v>3356</v>
      </c>
      <c r="J1604" s="3" t="s">
        <v>3356</v>
      </c>
      <c r="L1604" s="1" t="s">
        <v>6135</v>
      </c>
    </row>
    <row r="1605" spans="1:12">
      <c r="A1605" s="3" t="s">
        <v>3356</v>
      </c>
      <c r="C1605" s="3" t="s">
        <v>3817</v>
      </c>
      <c r="D1605" s="3" t="s">
        <v>3618</v>
      </c>
      <c r="E1605" s="3" t="s">
        <v>3638</v>
      </c>
      <c r="F1605" s="3" t="s">
        <v>7209</v>
      </c>
      <c r="G1605" s="3" t="s">
        <v>4255</v>
      </c>
      <c r="H1605" s="6" t="s">
        <v>3356</v>
      </c>
      <c r="I1605" s="6" t="s">
        <v>3356</v>
      </c>
      <c r="J1605" s="3" t="s">
        <v>3356</v>
      </c>
      <c r="L1605" s="1" t="s">
        <v>6135</v>
      </c>
    </row>
    <row r="1606" spans="1:12">
      <c r="A1606" s="3" t="s">
        <v>3356</v>
      </c>
      <c r="C1606" s="3" t="s">
        <v>3817</v>
      </c>
      <c r="D1606" s="3" t="s">
        <v>3618</v>
      </c>
      <c r="E1606" s="3" t="s">
        <v>3638</v>
      </c>
      <c r="F1606" s="3" t="s">
        <v>7209</v>
      </c>
      <c r="G1606" s="3" t="s">
        <v>6431</v>
      </c>
      <c r="H1606" s="6" t="s">
        <v>3356</v>
      </c>
      <c r="I1606" s="6" t="s">
        <v>3356</v>
      </c>
      <c r="J1606" s="3" t="s">
        <v>3356</v>
      </c>
      <c r="L1606" s="1" t="s">
        <v>6135</v>
      </c>
    </row>
    <row r="1607" spans="1:12">
      <c r="A1607" s="3" t="s">
        <v>3356</v>
      </c>
      <c r="C1607" s="3" t="s">
        <v>3817</v>
      </c>
      <c r="D1607" s="3" t="s">
        <v>3618</v>
      </c>
      <c r="E1607" s="3" t="s">
        <v>3638</v>
      </c>
      <c r="F1607" s="3" t="s">
        <v>7209</v>
      </c>
      <c r="G1607" s="3" t="s">
        <v>6433</v>
      </c>
      <c r="H1607" s="6" t="s">
        <v>3356</v>
      </c>
      <c r="I1607" s="6" t="s">
        <v>3356</v>
      </c>
      <c r="J1607" s="3" t="s">
        <v>3356</v>
      </c>
      <c r="L1607" s="1" t="s">
        <v>6135</v>
      </c>
    </row>
    <row r="1608" spans="1:12">
      <c r="A1608" s="3" t="s">
        <v>3356</v>
      </c>
      <c r="C1608" s="3" t="s">
        <v>3817</v>
      </c>
      <c r="D1608" s="3" t="s">
        <v>3618</v>
      </c>
      <c r="E1608" s="3" t="s">
        <v>3638</v>
      </c>
      <c r="F1608" s="3" t="s">
        <v>7209</v>
      </c>
      <c r="G1608" s="3" t="s">
        <v>6434</v>
      </c>
      <c r="H1608" s="6" t="s">
        <v>3356</v>
      </c>
      <c r="I1608" s="6" t="s">
        <v>3356</v>
      </c>
      <c r="J1608" s="3" t="s">
        <v>3356</v>
      </c>
      <c r="L1608" s="1" t="s">
        <v>6135</v>
      </c>
    </row>
    <row r="1609" spans="1:12">
      <c r="A1609" s="3" t="s">
        <v>3356</v>
      </c>
      <c r="C1609" s="3" t="s">
        <v>3817</v>
      </c>
      <c r="D1609" s="3" t="s">
        <v>3618</v>
      </c>
      <c r="E1609" s="3" t="s">
        <v>3638</v>
      </c>
      <c r="F1609" s="3" t="s">
        <v>7698</v>
      </c>
      <c r="G1609" s="3" t="s">
        <v>7699</v>
      </c>
      <c r="H1609" s="6" t="s">
        <v>3356</v>
      </c>
      <c r="I1609" s="6" t="s">
        <v>3356</v>
      </c>
      <c r="J1609" s="3" t="s">
        <v>3356</v>
      </c>
      <c r="L1609" s="1" t="s">
        <v>6135</v>
      </c>
    </row>
    <row r="1610" spans="1:12">
      <c r="A1610" s="3" t="s">
        <v>3356</v>
      </c>
      <c r="C1610" s="3" t="s">
        <v>3817</v>
      </c>
      <c r="D1610" s="3" t="s">
        <v>3618</v>
      </c>
      <c r="E1610" s="3" t="s">
        <v>3638</v>
      </c>
      <c r="F1610" s="3" t="s">
        <v>7676</v>
      </c>
      <c r="G1610" s="3" t="s">
        <v>5217</v>
      </c>
      <c r="H1610" s="6" t="s">
        <v>3356</v>
      </c>
      <c r="I1610" s="6" t="s">
        <v>3356</v>
      </c>
      <c r="J1610" s="3" t="s">
        <v>3356</v>
      </c>
      <c r="L1610" s="1" t="s">
        <v>6135</v>
      </c>
    </row>
    <row r="1611" spans="1:12">
      <c r="A1611" s="3" t="s">
        <v>3356</v>
      </c>
      <c r="C1611" s="3" t="s">
        <v>3817</v>
      </c>
      <c r="D1611" s="3" t="s">
        <v>3618</v>
      </c>
      <c r="E1611" s="3" t="s">
        <v>3638</v>
      </c>
      <c r="F1611" s="3" t="s">
        <v>3313</v>
      </c>
      <c r="G1611" s="3" t="s">
        <v>8261</v>
      </c>
      <c r="H1611" s="6" t="s">
        <v>3356</v>
      </c>
      <c r="I1611" s="6" t="s">
        <v>3356</v>
      </c>
      <c r="J1611" s="3" t="s">
        <v>3356</v>
      </c>
      <c r="L1611" s="1" t="s">
        <v>6135</v>
      </c>
    </row>
    <row r="1612" spans="1:12">
      <c r="A1612" s="3" t="s">
        <v>3356</v>
      </c>
      <c r="C1612" s="3" t="s">
        <v>3817</v>
      </c>
      <c r="D1612" s="3" t="s">
        <v>3618</v>
      </c>
      <c r="E1612" s="3" t="s">
        <v>3638</v>
      </c>
      <c r="F1612" s="3" t="s">
        <v>3313</v>
      </c>
      <c r="G1612" s="3" t="s">
        <v>5914</v>
      </c>
      <c r="H1612" s="6" t="s">
        <v>3356</v>
      </c>
      <c r="I1612" s="6" t="s">
        <v>3356</v>
      </c>
      <c r="J1612" s="3" t="s">
        <v>3356</v>
      </c>
      <c r="L1612" s="1" t="s">
        <v>6135</v>
      </c>
    </row>
    <row r="1613" spans="1:12">
      <c r="A1613" s="3" t="s">
        <v>3356</v>
      </c>
      <c r="C1613" s="3" t="s">
        <v>3817</v>
      </c>
      <c r="D1613" s="3" t="s">
        <v>3618</v>
      </c>
      <c r="E1613" s="3" t="s">
        <v>3638</v>
      </c>
      <c r="F1613" s="3" t="s">
        <v>3313</v>
      </c>
      <c r="G1613" s="3" t="s">
        <v>4056</v>
      </c>
      <c r="H1613" s="6" t="s">
        <v>3356</v>
      </c>
      <c r="I1613" s="6" t="s">
        <v>3356</v>
      </c>
      <c r="J1613" s="3" t="s">
        <v>3356</v>
      </c>
      <c r="L1613" s="1" t="s">
        <v>6135</v>
      </c>
    </row>
    <row r="1614" spans="1:12">
      <c r="A1614" s="3" t="s">
        <v>3356</v>
      </c>
      <c r="C1614" s="3" t="s">
        <v>3817</v>
      </c>
      <c r="D1614" s="3" t="s">
        <v>3618</v>
      </c>
      <c r="E1614" s="3" t="s">
        <v>3638</v>
      </c>
      <c r="F1614" s="3" t="s">
        <v>7770</v>
      </c>
      <c r="G1614" s="3" t="s">
        <v>6288</v>
      </c>
      <c r="H1614" s="6" t="s">
        <v>3356</v>
      </c>
      <c r="I1614" s="6" t="s">
        <v>3356</v>
      </c>
      <c r="J1614" s="3" t="s">
        <v>3356</v>
      </c>
      <c r="L1614" s="1" t="s">
        <v>6135</v>
      </c>
    </row>
    <row r="1615" spans="1:12">
      <c r="A1615" s="3" t="s">
        <v>3356</v>
      </c>
      <c r="C1615" s="3" t="s">
        <v>3817</v>
      </c>
      <c r="D1615" s="3" t="s">
        <v>3618</v>
      </c>
      <c r="E1615" s="3" t="s">
        <v>3638</v>
      </c>
      <c r="F1615" s="3" t="s">
        <v>7770</v>
      </c>
      <c r="G1615" s="3" t="s">
        <v>4331</v>
      </c>
      <c r="H1615" s="6" t="s">
        <v>3356</v>
      </c>
      <c r="I1615" s="6" t="s">
        <v>3356</v>
      </c>
      <c r="J1615" s="3" t="s">
        <v>3356</v>
      </c>
      <c r="L1615" s="1" t="s">
        <v>6135</v>
      </c>
    </row>
    <row r="1616" spans="1:12">
      <c r="A1616" s="3" t="s">
        <v>3356</v>
      </c>
      <c r="C1616" s="3" t="s">
        <v>3817</v>
      </c>
      <c r="D1616" s="3" t="s">
        <v>3618</v>
      </c>
      <c r="E1616" s="3" t="s">
        <v>3638</v>
      </c>
      <c r="F1616" s="3" t="s">
        <v>7770</v>
      </c>
      <c r="G1616" s="3" t="s">
        <v>4206</v>
      </c>
      <c r="H1616" s="6" t="s">
        <v>3356</v>
      </c>
      <c r="I1616" s="6" t="s">
        <v>3356</v>
      </c>
      <c r="J1616" s="3" t="s">
        <v>3356</v>
      </c>
      <c r="L1616" s="1" t="s">
        <v>6135</v>
      </c>
    </row>
    <row r="1617" spans="1:12">
      <c r="A1617" s="3" t="s">
        <v>3356</v>
      </c>
      <c r="C1617" s="3" t="s">
        <v>3817</v>
      </c>
      <c r="D1617" s="3" t="s">
        <v>3618</v>
      </c>
      <c r="E1617" s="3" t="s">
        <v>3638</v>
      </c>
      <c r="F1617" s="3" t="s">
        <v>7770</v>
      </c>
      <c r="G1617" s="3" t="s">
        <v>5100</v>
      </c>
      <c r="H1617" s="6" t="s">
        <v>3356</v>
      </c>
      <c r="I1617" s="6" t="s">
        <v>3356</v>
      </c>
      <c r="J1617" s="3" t="s">
        <v>3356</v>
      </c>
      <c r="L1617" s="1" t="s">
        <v>6135</v>
      </c>
    </row>
    <row r="1618" spans="1:12">
      <c r="A1618" s="3" t="s">
        <v>3356</v>
      </c>
      <c r="C1618" s="3" t="s">
        <v>3817</v>
      </c>
      <c r="D1618" s="3" t="s">
        <v>3618</v>
      </c>
      <c r="E1618" s="3" t="s">
        <v>3638</v>
      </c>
      <c r="F1618" s="3" t="s">
        <v>7770</v>
      </c>
      <c r="G1618" s="3" t="s">
        <v>6006</v>
      </c>
      <c r="H1618" s="6" t="s">
        <v>3356</v>
      </c>
      <c r="I1618" s="6" t="s">
        <v>3356</v>
      </c>
      <c r="J1618" s="3" t="s">
        <v>3356</v>
      </c>
      <c r="L1618" s="1" t="s">
        <v>6135</v>
      </c>
    </row>
    <row r="1619" spans="1:12">
      <c r="A1619" s="3" t="s">
        <v>3356</v>
      </c>
      <c r="C1619" s="3" t="s">
        <v>3817</v>
      </c>
      <c r="D1619" s="3" t="s">
        <v>3618</v>
      </c>
      <c r="E1619" s="3" t="s">
        <v>3638</v>
      </c>
      <c r="F1619" s="3" t="s">
        <v>5887</v>
      </c>
      <c r="G1619" s="3" t="s">
        <v>6830</v>
      </c>
      <c r="H1619" s="6" t="s">
        <v>3356</v>
      </c>
      <c r="I1619" s="6" t="s">
        <v>3356</v>
      </c>
      <c r="J1619" s="3" t="s">
        <v>3356</v>
      </c>
      <c r="L1619" s="1" t="s">
        <v>6135</v>
      </c>
    </row>
    <row r="1620" spans="1:12">
      <c r="A1620" s="3" t="s">
        <v>3356</v>
      </c>
      <c r="C1620" s="3" t="s">
        <v>3817</v>
      </c>
      <c r="D1620" s="3" t="s">
        <v>3618</v>
      </c>
      <c r="E1620" s="3" t="s">
        <v>3638</v>
      </c>
      <c r="F1620" s="3" t="s">
        <v>5887</v>
      </c>
      <c r="G1620" s="3" t="s">
        <v>6705</v>
      </c>
      <c r="H1620" s="6" t="s">
        <v>3356</v>
      </c>
      <c r="I1620" s="6" t="s">
        <v>3356</v>
      </c>
      <c r="J1620" s="3" t="s">
        <v>3356</v>
      </c>
      <c r="L1620" s="1" t="s">
        <v>6135</v>
      </c>
    </row>
    <row r="1621" spans="1:12">
      <c r="A1621" s="3" t="s">
        <v>3356</v>
      </c>
      <c r="C1621" s="3" t="s">
        <v>3817</v>
      </c>
      <c r="D1621" s="3" t="s">
        <v>3618</v>
      </c>
      <c r="E1621" s="3" t="s">
        <v>3638</v>
      </c>
      <c r="F1621" s="3" t="s">
        <v>5887</v>
      </c>
      <c r="G1621" s="3" t="s">
        <v>5586</v>
      </c>
      <c r="H1621" s="6">
        <v>2.6273658565927325</v>
      </c>
      <c r="I1621" s="6">
        <v>424</v>
      </c>
      <c r="J1621" s="3" t="s">
        <v>6736</v>
      </c>
      <c r="L1621" s="1" t="s">
        <v>6135</v>
      </c>
    </row>
    <row r="1622" spans="1:12">
      <c r="A1622" s="3" t="s">
        <v>3356</v>
      </c>
      <c r="C1622" s="3" t="s">
        <v>3817</v>
      </c>
      <c r="D1622" s="3" t="s">
        <v>3618</v>
      </c>
      <c r="E1622" s="3" t="s">
        <v>3638</v>
      </c>
      <c r="F1622" s="3" t="s">
        <v>3498</v>
      </c>
      <c r="G1622" s="3" t="s">
        <v>4968</v>
      </c>
      <c r="H1622" s="6" t="s">
        <v>3356</v>
      </c>
      <c r="I1622" s="6" t="s">
        <v>3356</v>
      </c>
      <c r="J1622" s="3" t="s">
        <v>3356</v>
      </c>
      <c r="L1622" s="1" t="s">
        <v>6135</v>
      </c>
    </row>
    <row r="1623" spans="1:12">
      <c r="A1623" s="3" t="s">
        <v>3356</v>
      </c>
      <c r="C1623" s="3" t="s">
        <v>3817</v>
      </c>
      <c r="D1623" s="3" t="s">
        <v>3618</v>
      </c>
      <c r="E1623" s="3" t="s">
        <v>3638</v>
      </c>
      <c r="F1623" s="3" t="s">
        <v>3498</v>
      </c>
      <c r="G1623" s="3" t="s">
        <v>4969</v>
      </c>
      <c r="H1623" s="6" t="s">
        <v>3356</v>
      </c>
      <c r="I1623" s="6" t="s">
        <v>3356</v>
      </c>
      <c r="J1623" s="3" t="s">
        <v>3356</v>
      </c>
      <c r="L1623" s="1" t="s">
        <v>6135</v>
      </c>
    </row>
    <row r="1624" spans="1:12">
      <c r="A1624" s="3" t="s">
        <v>3356</v>
      </c>
      <c r="C1624" s="3" t="s">
        <v>3817</v>
      </c>
      <c r="D1624" s="3" t="s">
        <v>3618</v>
      </c>
      <c r="E1624" s="3" t="s">
        <v>3638</v>
      </c>
      <c r="F1624" s="3" t="s">
        <v>3498</v>
      </c>
      <c r="G1624" s="3" t="s">
        <v>4970</v>
      </c>
      <c r="H1624" s="6" t="s">
        <v>3356</v>
      </c>
      <c r="I1624" s="6" t="s">
        <v>3356</v>
      </c>
      <c r="J1624" s="3" t="s">
        <v>3356</v>
      </c>
      <c r="L1624" s="1" t="s">
        <v>6135</v>
      </c>
    </row>
    <row r="1625" spans="1:12">
      <c r="A1625" s="3" t="s">
        <v>3356</v>
      </c>
      <c r="C1625" s="3" t="s">
        <v>3817</v>
      </c>
      <c r="D1625" s="3" t="s">
        <v>3618</v>
      </c>
      <c r="E1625" s="3" t="s">
        <v>3638</v>
      </c>
      <c r="F1625" s="3" t="s">
        <v>3498</v>
      </c>
      <c r="G1625" s="3" t="s">
        <v>4971</v>
      </c>
      <c r="H1625" s="6" t="s">
        <v>3356</v>
      </c>
      <c r="I1625" s="6" t="s">
        <v>3356</v>
      </c>
      <c r="J1625" s="3" t="s">
        <v>3356</v>
      </c>
      <c r="L1625" s="1" t="s">
        <v>6135</v>
      </c>
    </row>
    <row r="1626" spans="1:12">
      <c r="A1626" s="3" t="s">
        <v>3356</v>
      </c>
      <c r="C1626" s="3" t="s">
        <v>3817</v>
      </c>
      <c r="D1626" s="3" t="s">
        <v>3618</v>
      </c>
      <c r="E1626" s="3" t="s">
        <v>3638</v>
      </c>
      <c r="F1626" s="3" t="s">
        <v>3498</v>
      </c>
      <c r="G1626" s="3" t="s">
        <v>5416</v>
      </c>
      <c r="H1626" s="6" t="s">
        <v>3356</v>
      </c>
      <c r="I1626" s="6" t="s">
        <v>3356</v>
      </c>
      <c r="J1626" s="3" t="s">
        <v>3356</v>
      </c>
      <c r="L1626" s="1" t="s">
        <v>6135</v>
      </c>
    </row>
    <row r="1627" spans="1:12">
      <c r="A1627" s="3" t="s">
        <v>3356</v>
      </c>
      <c r="C1627" s="3" t="s">
        <v>3817</v>
      </c>
      <c r="D1627" s="3" t="s">
        <v>3618</v>
      </c>
      <c r="E1627" s="3" t="s">
        <v>3638</v>
      </c>
      <c r="F1627" s="3" t="s">
        <v>3498</v>
      </c>
      <c r="G1627" s="3" t="s">
        <v>2050</v>
      </c>
      <c r="H1627" s="6" t="s">
        <v>3356</v>
      </c>
      <c r="I1627" s="6" t="s">
        <v>3356</v>
      </c>
      <c r="J1627" s="3" t="s">
        <v>3356</v>
      </c>
      <c r="L1627" s="1" t="s">
        <v>6135</v>
      </c>
    </row>
    <row r="1628" spans="1:12">
      <c r="A1628" s="3" t="s">
        <v>3356</v>
      </c>
      <c r="C1628" s="3" t="s">
        <v>3817</v>
      </c>
      <c r="D1628" s="3" t="s">
        <v>3618</v>
      </c>
      <c r="E1628" s="3" t="s">
        <v>3638</v>
      </c>
      <c r="F1628" s="3" t="s">
        <v>3498</v>
      </c>
      <c r="G1628" s="3" t="s">
        <v>5417</v>
      </c>
      <c r="H1628" s="6" t="s">
        <v>3356</v>
      </c>
      <c r="I1628" s="6" t="s">
        <v>3356</v>
      </c>
      <c r="J1628" s="3" t="s">
        <v>3356</v>
      </c>
      <c r="L1628" s="1" t="s">
        <v>6135</v>
      </c>
    </row>
    <row r="1629" spans="1:12">
      <c r="A1629" s="3" t="s">
        <v>3356</v>
      </c>
      <c r="C1629" s="3" t="s">
        <v>3817</v>
      </c>
      <c r="D1629" s="3" t="s">
        <v>3618</v>
      </c>
      <c r="E1629" s="3" t="s">
        <v>3638</v>
      </c>
      <c r="F1629" s="3" t="s">
        <v>3498</v>
      </c>
      <c r="G1629" s="3" t="s">
        <v>7411</v>
      </c>
      <c r="H1629" s="6" t="s">
        <v>3356</v>
      </c>
      <c r="I1629" s="6" t="s">
        <v>3356</v>
      </c>
      <c r="J1629" s="3" t="s">
        <v>3356</v>
      </c>
      <c r="L1629" s="1" t="s">
        <v>6135</v>
      </c>
    </row>
    <row r="1630" spans="1:12">
      <c r="A1630" s="3" t="s">
        <v>3356</v>
      </c>
      <c r="C1630" s="3" t="s">
        <v>3817</v>
      </c>
      <c r="D1630" s="3" t="s">
        <v>3618</v>
      </c>
      <c r="E1630" s="3" t="s">
        <v>3638</v>
      </c>
      <c r="F1630" s="3" t="s">
        <v>3498</v>
      </c>
      <c r="G1630" s="3" t="s">
        <v>5418</v>
      </c>
      <c r="H1630" s="6" t="s">
        <v>3356</v>
      </c>
      <c r="I1630" s="6" t="s">
        <v>3356</v>
      </c>
      <c r="J1630" s="3" t="s">
        <v>3356</v>
      </c>
      <c r="L1630" s="1" t="s">
        <v>6135</v>
      </c>
    </row>
    <row r="1631" spans="1:12">
      <c r="A1631" s="3" t="s">
        <v>3356</v>
      </c>
      <c r="C1631" s="3" t="s">
        <v>3817</v>
      </c>
      <c r="D1631" s="3" t="s">
        <v>3618</v>
      </c>
      <c r="E1631" s="3" t="s">
        <v>3638</v>
      </c>
      <c r="F1631" s="3" t="s">
        <v>6377</v>
      </c>
      <c r="G1631" s="3" t="s">
        <v>5303</v>
      </c>
      <c r="H1631" s="6" t="s">
        <v>3356</v>
      </c>
      <c r="I1631" s="6" t="s">
        <v>3356</v>
      </c>
      <c r="J1631" s="3" t="s">
        <v>3356</v>
      </c>
      <c r="L1631" s="1" t="s">
        <v>6135</v>
      </c>
    </row>
    <row r="1632" spans="1:12">
      <c r="A1632" s="3" t="s">
        <v>3356</v>
      </c>
      <c r="C1632" s="3" t="s">
        <v>3817</v>
      </c>
      <c r="D1632" s="3" t="s">
        <v>3618</v>
      </c>
      <c r="E1632" s="3" t="s">
        <v>3638</v>
      </c>
      <c r="F1632" s="3" t="s">
        <v>6377</v>
      </c>
      <c r="G1632" s="3" t="s">
        <v>5237</v>
      </c>
      <c r="H1632" s="6" t="s">
        <v>3356</v>
      </c>
      <c r="I1632" s="6" t="s">
        <v>3356</v>
      </c>
      <c r="J1632" s="3" t="s">
        <v>3356</v>
      </c>
      <c r="L1632" s="1" t="s">
        <v>6135</v>
      </c>
    </row>
    <row r="1633" spans="1:12">
      <c r="A1633" s="3" t="s">
        <v>3356</v>
      </c>
      <c r="C1633" s="3" t="s">
        <v>3817</v>
      </c>
      <c r="D1633" s="3" t="s">
        <v>3618</v>
      </c>
      <c r="E1633" s="3" t="s">
        <v>3638</v>
      </c>
      <c r="F1633" s="3" t="s">
        <v>6377</v>
      </c>
      <c r="G1633" s="3" t="s">
        <v>6485</v>
      </c>
      <c r="H1633" s="6" t="s">
        <v>3356</v>
      </c>
      <c r="I1633" s="6" t="s">
        <v>3356</v>
      </c>
      <c r="J1633" s="3" t="s">
        <v>3356</v>
      </c>
      <c r="L1633" s="1" t="s">
        <v>6135</v>
      </c>
    </row>
    <row r="1634" spans="1:12">
      <c r="A1634" s="3" t="s">
        <v>3356</v>
      </c>
      <c r="C1634" s="3" t="s">
        <v>3817</v>
      </c>
      <c r="D1634" s="3" t="s">
        <v>3618</v>
      </c>
      <c r="E1634" s="3" t="s">
        <v>3638</v>
      </c>
      <c r="F1634" s="3" t="s">
        <v>6377</v>
      </c>
      <c r="G1634" s="3" t="s">
        <v>5238</v>
      </c>
      <c r="H1634" s="6" t="s">
        <v>3356</v>
      </c>
      <c r="I1634" s="6" t="s">
        <v>3356</v>
      </c>
      <c r="J1634" s="3" t="s">
        <v>3356</v>
      </c>
      <c r="L1634" s="1" t="s">
        <v>6135</v>
      </c>
    </row>
    <row r="1635" spans="1:12">
      <c r="A1635" s="3" t="s">
        <v>3356</v>
      </c>
      <c r="C1635" s="3" t="s">
        <v>3817</v>
      </c>
      <c r="D1635" s="3" t="s">
        <v>3618</v>
      </c>
      <c r="E1635" s="3" t="s">
        <v>3638</v>
      </c>
      <c r="F1635" s="3" t="s">
        <v>6377</v>
      </c>
      <c r="G1635" s="3" t="s">
        <v>5239</v>
      </c>
      <c r="H1635" s="6" t="s">
        <v>3356</v>
      </c>
      <c r="I1635" s="6" t="s">
        <v>3356</v>
      </c>
      <c r="J1635" s="3" t="s">
        <v>3356</v>
      </c>
      <c r="L1635" s="1" t="s">
        <v>6135</v>
      </c>
    </row>
    <row r="1636" spans="1:12">
      <c r="A1636" s="3" t="s">
        <v>3356</v>
      </c>
      <c r="C1636" s="3" t="s">
        <v>3817</v>
      </c>
      <c r="D1636" s="3" t="s">
        <v>3618</v>
      </c>
      <c r="E1636" s="3" t="s">
        <v>3638</v>
      </c>
      <c r="F1636" s="3" t="s">
        <v>6377</v>
      </c>
      <c r="G1636" s="3" t="s">
        <v>5376</v>
      </c>
      <c r="H1636" s="6" t="s">
        <v>3356</v>
      </c>
      <c r="I1636" s="6" t="s">
        <v>3356</v>
      </c>
      <c r="J1636" s="3" t="s">
        <v>3356</v>
      </c>
      <c r="L1636" s="1" t="s">
        <v>6135</v>
      </c>
    </row>
    <row r="1637" spans="1:12">
      <c r="A1637" s="3" t="s">
        <v>3356</v>
      </c>
      <c r="C1637" s="3" t="s">
        <v>3817</v>
      </c>
      <c r="D1637" s="3" t="s">
        <v>3618</v>
      </c>
      <c r="E1637" s="3" t="s">
        <v>3638</v>
      </c>
      <c r="F1637" s="3" t="s">
        <v>5377</v>
      </c>
      <c r="G1637" s="3" t="s">
        <v>5378</v>
      </c>
      <c r="H1637" s="6" t="s">
        <v>3356</v>
      </c>
      <c r="I1637" s="6" t="s">
        <v>3356</v>
      </c>
      <c r="J1637" s="3" t="s">
        <v>3356</v>
      </c>
      <c r="L1637" s="1" t="s">
        <v>6135</v>
      </c>
    </row>
    <row r="1638" spans="1:12">
      <c r="A1638" s="3" t="s">
        <v>3356</v>
      </c>
      <c r="C1638" s="3" t="s">
        <v>3817</v>
      </c>
      <c r="D1638" s="3" t="s">
        <v>3618</v>
      </c>
      <c r="E1638" s="3" t="s">
        <v>3638</v>
      </c>
      <c r="F1638" s="3" t="s">
        <v>5377</v>
      </c>
      <c r="G1638" s="3" t="s">
        <v>5410</v>
      </c>
      <c r="H1638" s="6" t="s">
        <v>3356</v>
      </c>
      <c r="I1638" s="6" t="s">
        <v>3356</v>
      </c>
      <c r="J1638" s="3" t="s">
        <v>3356</v>
      </c>
      <c r="L1638" s="1" t="s">
        <v>6135</v>
      </c>
    </row>
    <row r="1639" spans="1:12">
      <c r="A1639" s="3" t="s">
        <v>3356</v>
      </c>
      <c r="C1639" s="3" t="s">
        <v>3817</v>
      </c>
      <c r="D1639" s="3" t="s">
        <v>3618</v>
      </c>
      <c r="E1639" s="3" t="s">
        <v>3638</v>
      </c>
      <c r="F1639" s="3" t="s">
        <v>5409</v>
      </c>
      <c r="G1639" s="3" t="s">
        <v>4962</v>
      </c>
      <c r="H1639" s="6" t="s">
        <v>3356</v>
      </c>
      <c r="I1639" s="6" t="s">
        <v>3356</v>
      </c>
      <c r="J1639" s="3" t="s">
        <v>3356</v>
      </c>
      <c r="L1639" s="1" t="s">
        <v>6135</v>
      </c>
    </row>
    <row r="1640" spans="1:12">
      <c r="A1640" s="3" t="s">
        <v>3356</v>
      </c>
      <c r="C1640" s="3" t="s">
        <v>3817</v>
      </c>
      <c r="D1640" s="3" t="s">
        <v>3618</v>
      </c>
      <c r="E1640" s="3" t="s">
        <v>3638</v>
      </c>
      <c r="F1640" s="3" t="s">
        <v>5409</v>
      </c>
      <c r="G1640" s="3" t="s">
        <v>5630</v>
      </c>
      <c r="H1640" s="6" t="s">
        <v>3356</v>
      </c>
      <c r="I1640" s="6" t="s">
        <v>3356</v>
      </c>
      <c r="J1640" s="3" t="s">
        <v>3356</v>
      </c>
      <c r="L1640" s="1" t="s">
        <v>6135</v>
      </c>
    </row>
    <row r="1641" spans="1:12">
      <c r="A1641" s="3" t="s">
        <v>3356</v>
      </c>
      <c r="C1641" s="3" t="s">
        <v>3817</v>
      </c>
      <c r="D1641" s="3" t="s">
        <v>3618</v>
      </c>
      <c r="E1641" s="3" t="s">
        <v>3638</v>
      </c>
      <c r="F1641" s="3" t="s">
        <v>3489</v>
      </c>
      <c r="G1641" s="3" t="s">
        <v>2931</v>
      </c>
      <c r="H1641" s="6" t="s">
        <v>3356</v>
      </c>
      <c r="I1641" s="6" t="s">
        <v>3356</v>
      </c>
      <c r="J1641" s="3" t="s">
        <v>3356</v>
      </c>
      <c r="L1641" s="1" t="s">
        <v>6135</v>
      </c>
    </row>
    <row r="1642" spans="1:12">
      <c r="A1642" s="3" t="s">
        <v>3356</v>
      </c>
      <c r="C1642" s="3" t="s">
        <v>3817</v>
      </c>
      <c r="D1642" s="3" t="s">
        <v>3618</v>
      </c>
      <c r="E1642" s="3" t="s">
        <v>3638</v>
      </c>
      <c r="F1642" s="3" t="s">
        <v>3489</v>
      </c>
      <c r="G1642" s="3" t="s">
        <v>4108</v>
      </c>
      <c r="H1642" s="6">
        <v>2.1105897102992488</v>
      </c>
      <c r="I1642" s="6">
        <v>129</v>
      </c>
      <c r="J1642" s="3" t="s">
        <v>6736</v>
      </c>
      <c r="L1642" s="1" t="s">
        <v>6135</v>
      </c>
    </row>
    <row r="1643" spans="1:12">
      <c r="A1643" s="3" t="s">
        <v>3356</v>
      </c>
      <c r="C1643" s="3" t="s">
        <v>3817</v>
      </c>
      <c r="D1643" s="3" t="s">
        <v>3618</v>
      </c>
      <c r="E1643" s="3" t="s">
        <v>3638</v>
      </c>
      <c r="F1643" s="3" t="s">
        <v>3489</v>
      </c>
      <c r="G1643" s="3" t="s">
        <v>3617</v>
      </c>
      <c r="H1643" s="6">
        <v>2.0043213737826426</v>
      </c>
      <c r="I1643" s="6">
        <v>101</v>
      </c>
      <c r="J1643" s="3" t="s">
        <v>6736</v>
      </c>
      <c r="L1643" s="1" t="s">
        <v>6135</v>
      </c>
    </row>
    <row r="1644" spans="1:12">
      <c r="A1644" s="3" t="s">
        <v>3356</v>
      </c>
      <c r="C1644" s="3" t="s">
        <v>3817</v>
      </c>
      <c r="D1644" s="3" t="s">
        <v>3618</v>
      </c>
      <c r="E1644" s="3" t="s">
        <v>3638</v>
      </c>
      <c r="F1644" s="3" t="s">
        <v>3489</v>
      </c>
      <c r="G1644" s="3" t="s">
        <v>6393</v>
      </c>
      <c r="H1644" s="6" t="s">
        <v>3356</v>
      </c>
      <c r="I1644" s="6" t="s">
        <v>3356</v>
      </c>
      <c r="J1644" s="3" t="s">
        <v>3356</v>
      </c>
      <c r="L1644" s="1" t="s">
        <v>6135</v>
      </c>
    </row>
    <row r="1645" spans="1:12">
      <c r="A1645" s="3" t="s">
        <v>3356</v>
      </c>
      <c r="C1645" s="3" t="s">
        <v>3817</v>
      </c>
      <c r="D1645" s="3" t="s">
        <v>3618</v>
      </c>
      <c r="E1645" s="3" t="s">
        <v>3638</v>
      </c>
      <c r="F1645" s="3" t="s">
        <v>3727</v>
      </c>
      <c r="G1645" s="3" t="s">
        <v>4260</v>
      </c>
      <c r="H1645" s="6" t="s">
        <v>3356</v>
      </c>
      <c r="I1645" s="6" t="s">
        <v>3356</v>
      </c>
      <c r="J1645" s="3" t="s">
        <v>3356</v>
      </c>
      <c r="L1645" s="1" t="s">
        <v>6135</v>
      </c>
    </row>
    <row r="1646" spans="1:12">
      <c r="A1646" s="3" t="s">
        <v>3356</v>
      </c>
      <c r="C1646" s="3" t="s">
        <v>3817</v>
      </c>
      <c r="D1646" s="3" t="s">
        <v>3618</v>
      </c>
      <c r="E1646" s="3" t="s">
        <v>3638</v>
      </c>
      <c r="F1646" s="3" t="s">
        <v>3727</v>
      </c>
      <c r="G1646" s="3" t="s">
        <v>4899</v>
      </c>
      <c r="H1646" s="6" t="s">
        <v>3356</v>
      </c>
      <c r="I1646" s="6" t="s">
        <v>3356</v>
      </c>
      <c r="J1646" s="3" t="s">
        <v>3356</v>
      </c>
      <c r="L1646" s="1" t="s">
        <v>6135</v>
      </c>
    </row>
    <row r="1647" spans="1:12">
      <c r="A1647" s="3" t="s">
        <v>3356</v>
      </c>
      <c r="C1647" s="3" t="s">
        <v>3817</v>
      </c>
      <c r="D1647" s="3" t="s">
        <v>3618</v>
      </c>
      <c r="E1647" s="3" t="s">
        <v>3638</v>
      </c>
      <c r="F1647" s="3" t="s">
        <v>3727</v>
      </c>
      <c r="G1647" s="3" t="s">
        <v>6392</v>
      </c>
      <c r="H1647" s="6" t="s">
        <v>3356</v>
      </c>
      <c r="I1647" s="6" t="s">
        <v>3356</v>
      </c>
      <c r="J1647" s="3" t="s">
        <v>3356</v>
      </c>
      <c r="L1647" s="1" t="s">
        <v>6135</v>
      </c>
    </row>
    <row r="1648" spans="1:12">
      <c r="A1648" s="3" t="s">
        <v>3356</v>
      </c>
      <c r="C1648" s="3" t="s">
        <v>3817</v>
      </c>
      <c r="D1648" s="3" t="s">
        <v>3618</v>
      </c>
      <c r="E1648" s="3" t="s">
        <v>3638</v>
      </c>
      <c r="F1648" s="3" t="s">
        <v>3727</v>
      </c>
      <c r="G1648" s="3" t="s">
        <v>3070</v>
      </c>
      <c r="H1648" s="6" t="s">
        <v>3356</v>
      </c>
      <c r="I1648" s="6" t="s">
        <v>3356</v>
      </c>
      <c r="J1648" s="3" t="s">
        <v>3356</v>
      </c>
      <c r="L1648" s="1" t="s">
        <v>6135</v>
      </c>
    </row>
    <row r="1649" spans="1:12">
      <c r="A1649" s="3" t="s">
        <v>3356</v>
      </c>
      <c r="C1649" s="3" t="s">
        <v>3817</v>
      </c>
      <c r="D1649" s="3" t="s">
        <v>3618</v>
      </c>
      <c r="E1649" s="3" t="s">
        <v>3638</v>
      </c>
      <c r="F1649" s="3" t="s">
        <v>3727</v>
      </c>
      <c r="G1649" s="3" t="s">
        <v>3073</v>
      </c>
      <c r="H1649" s="6" t="s">
        <v>3356</v>
      </c>
      <c r="I1649" s="6" t="s">
        <v>3356</v>
      </c>
      <c r="J1649" s="3" t="s">
        <v>3356</v>
      </c>
      <c r="L1649" s="1" t="s">
        <v>6135</v>
      </c>
    </row>
    <row r="1650" spans="1:12">
      <c r="A1650" s="3" t="s">
        <v>3356</v>
      </c>
      <c r="C1650" s="3" t="s">
        <v>3817</v>
      </c>
      <c r="D1650" s="3" t="s">
        <v>3618</v>
      </c>
      <c r="E1650" s="3" t="s">
        <v>3638</v>
      </c>
      <c r="F1650" s="3" t="s">
        <v>7407</v>
      </c>
      <c r="G1650" s="3" t="s">
        <v>5631</v>
      </c>
      <c r="H1650" s="6" t="s">
        <v>3356</v>
      </c>
      <c r="I1650" s="6" t="s">
        <v>3356</v>
      </c>
      <c r="J1650" s="3" t="s">
        <v>3356</v>
      </c>
      <c r="L1650" s="1" t="s">
        <v>6135</v>
      </c>
    </row>
    <row r="1651" spans="1:12">
      <c r="A1651" s="3" t="s">
        <v>3356</v>
      </c>
      <c r="C1651" s="3" t="s">
        <v>3817</v>
      </c>
      <c r="D1651" s="3" t="s">
        <v>3618</v>
      </c>
      <c r="E1651" s="3" t="s">
        <v>3638</v>
      </c>
      <c r="F1651" s="3" t="s">
        <v>7407</v>
      </c>
      <c r="G1651" s="3" t="s">
        <v>4700</v>
      </c>
      <c r="H1651" s="6">
        <v>2.0958664534785427</v>
      </c>
      <c r="I1651" s="6">
        <v>124.7</v>
      </c>
      <c r="J1651" s="3" t="s">
        <v>6736</v>
      </c>
      <c r="L1651" s="1" t="s">
        <v>6135</v>
      </c>
    </row>
    <row r="1652" spans="1:12">
      <c r="A1652" s="3" t="s">
        <v>3356</v>
      </c>
      <c r="C1652" s="3" t="s">
        <v>3817</v>
      </c>
      <c r="D1652" s="3" t="s">
        <v>3618</v>
      </c>
      <c r="E1652" s="3" t="s">
        <v>3638</v>
      </c>
      <c r="F1652" s="3" t="s">
        <v>7407</v>
      </c>
      <c r="G1652" s="3" t="s">
        <v>3430</v>
      </c>
      <c r="H1652" s="6" t="s">
        <v>3356</v>
      </c>
      <c r="I1652" s="6" t="s">
        <v>3356</v>
      </c>
      <c r="J1652" s="3" t="s">
        <v>3356</v>
      </c>
      <c r="L1652" s="1" t="s">
        <v>6135</v>
      </c>
    </row>
    <row r="1653" spans="1:12">
      <c r="A1653" s="3" t="s">
        <v>3356</v>
      </c>
      <c r="C1653" s="3" t="s">
        <v>3817</v>
      </c>
      <c r="D1653" s="3" t="s">
        <v>3618</v>
      </c>
      <c r="E1653" s="3" t="s">
        <v>3638</v>
      </c>
      <c r="F1653" s="3" t="s">
        <v>7409</v>
      </c>
      <c r="G1653" s="3" t="s">
        <v>3617</v>
      </c>
      <c r="H1653" s="6" t="s">
        <v>3356</v>
      </c>
      <c r="I1653" s="6" t="s">
        <v>3356</v>
      </c>
      <c r="J1653" s="3" t="s">
        <v>3356</v>
      </c>
      <c r="L1653" s="1" t="s">
        <v>6135</v>
      </c>
    </row>
    <row r="1654" spans="1:12">
      <c r="A1654" s="3" t="s">
        <v>3356</v>
      </c>
      <c r="C1654" s="3" t="s">
        <v>3817</v>
      </c>
      <c r="D1654" s="3" t="s">
        <v>3618</v>
      </c>
      <c r="E1654" s="3" t="s">
        <v>3638</v>
      </c>
      <c r="F1654" s="3" t="s">
        <v>5632</v>
      </c>
      <c r="G1654" s="3" t="s">
        <v>8283</v>
      </c>
      <c r="H1654" s="6" t="s">
        <v>3356</v>
      </c>
      <c r="I1654" s="6" t="s">
        <v>3356</v>
      </c>
      <c r="J1654" s="3" t="s">
        <v>3356</v>
      </c>
      <c r="L1654" s="1" t="s">
        <v>6135</v>
      </c>
    </row>
    <row r="1655" spans="1:12">
      <c r="A1655" s="3" t="s">
        <v>3356</v>
      </c>
      <c r="C1655" s="3" t="s">
        <v>3817</v>
      </c>
      <c r="D1655" s="3" t="s">
        <v>3618</v>
      </c>
      <c r="E1655" s="3" t="s">
        <v>3638</v>
      </c>
      <c r="F1655" s="3" t="s">
        <v>5632</v>
      </c>
      <c r="G1655" s="3" t="s">
        <v>8284</v>
      </c>
      <c r="H1655" s="6" t="s">
        <v>3356</v>
      </c>
      <c r="I1655" s="6" t="s">
        <v>3356</v>
      </c>
      <c r="J1655" s="3" t="s">
        <v>3356</v>
      </c>
      <c r="L1655" s="1" t="s">
        <v>6135</v>
      </c>
    </row>
    <row r="1656" spans="1:12">
      <c r="A1656" s="3" t="s">
        <v>3356</v>
      </c>
      <c r="C1656" s="3" t="s">
        <v>3817</v>
      </c>
      <c r="D1656" s="3" t="s">
        <v>3618</v>
      </c>
      <c r="E1656" s="3" t="s">
        <v>3638</v>
      </c>
      <c r="F1656" s="3" t="s">
        <v>6574</v>
      </c>
      <c r="G1656" s="3" t="s">
        <v>3957</v>
      </c>
      <c r="H1656" s="6" t="s">
        <v>3356</v>
      </c>
      <c r="I1656" s="6" t="s">
        <v>3356</v>
      </c>
      <c r="J1656" s="3" t="s">
        <v>3356</v>
      </c>
      <c r="L1656" s="1" t="s">
        <v>6135</v>
      </c>
    </row>
    <row r="1657" spans="1:12">
      <c r="A1657" s="3" t="s">
        <v>3356</v>
      </c>
      <c r="C1657" s="3" t="s">
        <v>3817</v>
      </c>
      <c r="D1657" s="3" t="s">
        <v>3618</v>
      </c>
      <c r="E1657" s="3" t="s">
        <v>3638</v>
      </c>
      <c r="F1657" s="3" t="s">
        <v>3448</v>
      </c>
      <c r="G1657" s="3" t="s">
        <v>4316</v>
      </c>
      <c r="H1657" s="6" t="s">
        <v>3356</v>
      </c>
      <c r="I1657" s="6" t="s">
        <v>3356</v>
      </c>
      <c r="J1657" s="3" t="s">
        <v>3356</v>
      </c>
      <c r="L1657" s="1" t="s">
        <v>6135</v>
      </c>
    </row>
    <row r="1658" spans="1:12">
      <c r="A1658" s="3" t="s">
        <v>3356</v>
      </c>
      <c r="C1658" s="3" t="s">
        <v>3817</v>
      </c>
      <c r="D1658" s="3" t="s">
        <v>3618</v>
      </c>
      <c r="E1658" s="3" t="s">
        <v>3638</v>
      </c>
      <c r="F1658" s="3" t="s">
        <v>4611</v>
      </c>
      <c r="G1658" s="3" t="s">
        <v>2002</v>
      </c>
      <c r="H1658" s="6" t="s">
        <v>3356</v>
      </c>
      <c r="I1658" s="6" t="s">
        <v>3356</v>
      </c>
      <c r="J1658" s="3" t="s">
        <v>3356</v>
      </c>
      <c r="L1658" s="1" t="s">
        <v>6135</v>
      </c>
    </row>
    <row r="1659" spans="1:12">
      <c r="A1659" s="3" t="s">
        <v>3356</v>
      </c>
      <c r="C1659" s="3" t="s">
        <v>3817</v>
      </c>
      <c r="D1659" s="3" t="s">
        <v>3618</v>
      </c>
      <c r="E1659" s="3" t="s">
        <v>3638</v>
      </c>
      <c r="F1659" s="3" t="s">
        <v>4611</v>
      </c>
      <c r="G1659" s="3" t="s">
        <v>5080</v>
      </c>
      <c r="H1659" s="6" t="s">
        <v>3356</v>
      </c>
      <c r="I1659" s="6" t="s">
        <v>3356</v>
      </c>
      <c r="J1659" s="3" t="s">
        <v>3356</v>
      </c>
      <c r="L1659" s="1" t="s">
        <v>6135</v>
      </c>
    </row>
    <row r="1660" spans="1:12">
      <c r="A1660" s="3" t="s">
        <v>3356</v>
      </c>
      <c r="C1660" s="3" t="s">
        <v>3817</v>
      </c>
      <c r="D1660" s="3" t="s">
        <v>3618</v>
      </c>
      <c r="E1660" s="3" t="s">
        <v>3638</v>
      </c>
      <c r="F1660" s="3" t="s">
        <v>4611</v>
      </c>
      <c r="G1660" s="3" t="s">
        <v>4943</v>
      </c>
      <c r="H1660" s="6" t="s">
        <v>3356</v>
      </c>
      <c r="I1660" s="6" t="s">
        <v>3356</v>
      </c>
      <c r="J1660" s="3" t="s">
        <v>3356</v>
      </c>
      <c r="L1660" s="1" t="s">
        <v>6135</v>
      </c>
    </row>
    <row r="1661" spans="1:12">
      <c r="A1661" s="3" t="s">
        <v>3356</v>
      </c>
      <c r="C1661" s="3" t="s">
        <v>3817</v>
      </c>
      <c r="D1661" s="3" t="s">
        <v>3618</v>
      </c>
      <c r="E1661" s="3" t="s">
        <v>3638</v>
      </c>
      <c r="F1661" s="3" t="s">
        <v>8074</v>
      </c>
      <c r="G1661" s="3" t="s">
        <v>8075</v>
      </c>
      <c r="H1661" s="6" t="s">
        <v>3356</v>
      </c>
      <c r="I1661" s="6" t="s">
        <v>3356</v>
      </c>
      <c r="J1661" s="3" t="s">
        <v>3356</v>
      </c>
      <c r="L1661" s="1" t="s">
        <v>6135</v>
      </c>
    </row>
    <row r="1662" spans="1:12">
      <c r="A1662" s="3" t="s">
        <v>3356</v>
      </c>
      <c r="C1662" s="3" t="s">
        <v>3817</v>
      </c>
      <c r="D1662" s="3" t="s">
        <v>3618</v>
      </c>
      <c r="E1662" s="3" t="s">
        <v>3638</v>
      </c>
      <c r="F1662" s="3" t="s">
        <v>8074</v>
      </c>
      <c r="G1662" s="3" t="s">
        <v>4485</v>
      </c>
      <c r="H1662" s="6" t="s">
        <v>3356</v>
      </c>
      <c r="I1662" s="6" t="s">
        <v>3356</v>
      </c>
      <c r="J1662" s="3" t="s">
        <v>3356</v>
      </c>
      <c r="L1662" s="1" t="s">
        <v>6135</v>
      </c>
    </row>
    <row r="1663" spans="1:12">
      <c r="A1663" s="3" t="s">
        <v>3356</v>
      </c>
      <c r="C1663" s="3" t="s">
        <v>3817</v>
      </c>
      <c r="D1663" s="3" t="s">
        <v>3618</v>
      </c>
      <c r="E1663" s="3" t="s">
        <v>3638</v>
      </c>
      <c r="F1663" s="3" t="s">
        <v>3738</v>
      </c>
      <c r="G1663" s="3" t="s">
        <v>6575</v>
      </c>
      <c r="H1663" s="6" t="s">
        <v>3356</v>
      </c>
      <c r="I1663" s="6" t="s">
        <v>3356</v>
      </c>
      <c r="J1663" s="3" t="s">
        <v>3356</v>
      </c>
      <c r="L1663" s="1" t="s">
        <v>6135</v>
      </c>
    </row>
    <row r="1664" spans="1:12">
      <c r="A1664" s="3" t="s">
        <v>3356</v>
      </c>
      <c r="C1664" s="3" t="s">
        <v>3817</v>
      </c>
      <c r="D1664" s="3" t="s">
        <v>3618</v>
      </c>
      <c r="E1664" s="3" t="s">
        <v>3638</v>
      </c>
      <c r="F1664" s="3" t="s">
        <v>3738</v>
      </c>
      <c r="G1664" s="3" t="s">
        <v>4648</v>
      </c>
      <c r="H1664" s="6" t="s">
        <v>3356</v>
      </c>
      <c r="I1664" s="6" t="s">
        <v>3356</v>
      </c>
      <c r="J1664" s="3" t="s">
        <v>3356</v>
      </c>
      <c r="L1664" s="1" t="s">
        <v>6135</v>
      </c>
    </row>
    <row r="1665" spans="1:12">
      <c r="A1665" s="3" t="s">
        <v>3356</v>
      </c>
      <c r="C1665" s="3" t="s">
        <v>3817</v>
      </c>
      <c r="D1665" s="3" t="s">
        <v>3618</v>
      </c>
      <c r="E1665" s="3" t="s">
        <v>3638</v>
      </c>
      <c r="F1665" s="3" t="s">
        <v>3738</v>
      </c>
      <c r="G1665" s="3" t="s">
        <v>6378</v>
      </c>
      <c r="H1665" s="6" t="s">
        <v>3356</v>
      </c>
      <c r="I1665" s="6" t="s">
        <v>3356</v>
      </c>
      <c r="J1665" s="3" t="s">
        <v>3356</v>
      </c>
      <c r="L1665" s="1" t="s">
        <v>6135</v>
      </c>
    </row>
    <row r="1666" spans="1:12">
      <c r="A1666" s="3" t="s">
        <v>3356</v>
      </c>
      <c r="C1666" s="3" t="s">
        <v>3817</v>
      </c>
      <c r="D1666" s="3" t="s">
        <v>3618</v>
      </c>
      <c r="E1666" s="3" t="s">
        <v>3638</v>
      </c>
      <c r="F1666" s="3" t="s">
        <v>3738</v>
      </c>
      <c r="G1666" s="3" t="s">
        <v>6379</v>
      </c>
      <c r="H1666" s="6" t="s">
        <v>3356</v>
      </c>
      <c r="I1666" s="6" t="s">
        <v>3356</v>
      </c>
      <c r="J1666" s="3" t="s">
        <v>3356</v>
      </c>
      <c r="L1666" s="1" t="s">
        <v>6135</v>
      </c>
    </row>
    <row r="1667" spans="1:12">
      <c r="A1667" s="3" t="s">
        <v>3356</v>
      </c>
      <c r="C1667" s="3" t="s">
        <v>3817</v>
      </c>
      <c r="D1667" s="3" t="s">
        <v>3618</v>
      </c>
      <c r="E1667" s="3" t="s">
        <v>3638</v>
      </c>
      <c r="F1667" s="3" t="s">
        <v>3738</v>
      </c>
      <c r="G1667" s="3" t="s">
        <v>2050</v>
      </c>
      <c r="H1667" s="6" t="s">
        <v>3356</v>
      </c>
      <c r="I1667" s="6" t="s">
        <v>3356</v>
      </c>
      <c r="J1667" s="3" t="s">
        <v>3356</v>
      </c>
      <c r="L1667" s="1" t="s">
        <v>6135</v>
      </c>
    </row>
    <row r="1668" spans="1:12">
      <c r="A1668" s="3" t="s">
        <v>3356</v>
      </c>
      <c r="C1668" s="3" t="s">
        <v>3817</v>
      </c>
      <c r="D1668" s="3" t="s">
        <v>3618</v>
      </c>
      <c r="E1668" s="3" t="s">
        <v>3638</v>
      </c>
      <c r="F1668" s="3" t="s">
        <v>5231</v>
      </c>
      <c r="G1668" s="3" t="s">
        <v>5306</v>
      </c>
      <c r="H1668" s="6" t="s">
        <v>3356</v>
      </c>
      <c r="I1668" s="6" t="s">
        <v>3356</v>
      </c>
      <c r="J1668" s="3" t="s">
        <v>3356</v>
      </c>
      <c r="L1668" s="1" t="s">
        <v>6135</v>
      </c>
    </row>
    <row r="1669" spans="1:12">
      <c r="A1669" s="3" t="s">
        <v>3356</v>
      </c>
      <c r="C1669" s="3" t="s">
        <v>3817</v>
      </c>
      <c r="D1669" s="3" t="s">
        <v>3618</v>
      </c>
      <c r="E1669" s="3" t="s">
        <v>3638</v>
      </c>
      <c r="F1669" s="3" t="s">
        <v>5231</v>
      </c>
      <c r="G1669" s="3" t="s">
        <v>5309</v>
      </c>
      <c r="H1669" s="6" t="s">
        <v>3356</v>
      </c>
      <c r="I1669" s="6" t="s">
        <v>3356</v>
      </c>
      <c r="J1669" s="3" t="s">
        <v>3356</v>
      </c>
      <c r="L1669" s="1" t="s">
        <v>6135</v>
      </c>
    </row>
    <row r="1670" spans="1:12">
      <c r="A1670" s="3" t="s">
        <v>3356</v>
      </c>
      <c r="C1670" s="3" t="s">
        <v>3817</v>
      </c>
      <c r="D1670" s="3" t="s">
        <v>3618</v>
      </c>
      <c r="E1670" s="3" t="s">
        <v>3638</v>
      </c>
      <c r="F1670" s="3" t="s">
        <v>5310</v>
      </c>
      <c r="G1670" s="3" t="s">
        <v>5521</v>
      </c>
      <c r="H1670" s="6" t="s">
        <v>3356</v>
      </c>
      <c r="I1670" s="6" t="s">
        <v>3356</v>
      </c>
      <c r="J1670" s="3" t="s">
        <v>3356</v>
      </c>
      <c r="L1670" s="1" t="s">
        <v>6135</v>
      </c>
    </row>
    <row r="1671" spans="1:12">
      <c r="A1671" s="3" t="s">
        <v>3356</v>
      </c>
      <c r="C1671" s="3" t="s">
        <v>3817</v>
      </c>
      <c r="D1671" s="3" t="s">
        <v>3618</v>
      </c>
      <c r="E1671" s="3" t="s">
        <v>3638</v>
      </c>
      <c r="F1671" s="3" t="s">
        <v>6701</v>
      </c>
      <c r="G1671" s="3" t="s">
        <v>4043</v>
      </c>
      <c r="H1671" s="6" t="s">
        <v>3356</v>
      </c>
      <c r="I1671" s="6" t="s">
        <v>3356</v>
      </c>
      <c r="J1671" s="3" t="s">
        <v>3356</v>
      </c>
      <c r="L1671" s="1" t="s">
        <v>6135</v>
      </c>
    </row>
    <row r="1672" spans="1:12">
      <c r="A1672" s="3" t="s">
        <v>3356</v>
      </c>
      <c r="C1672" s="3" t="s">
        <v>3817</v>
      </c>
      <c r="D1672" s="3" t="s">
        <v>3618</v>
      </c>
      <c r="E1672" s="3" t="s">
        <v>3638</v>
      </c>
      <c r="F1672" s="3" t="s">
        <v>6701</v>
      </c>
      <c r="G1672" s="3" t="s">
        <v>6703</v>
      </c>
      <c r="H1672" s="6" t="s">
        <v>3356</v>
      </c>
      <c r="I1672" s="6" t="s">
        <v>3356</v>
      </c>
      <c r="J1672" s="3" t="s">
        <v>3356</v>
      </c>
      <c r="L1672" s="1" t="s">
        <v>6135</v>
      </c>
    </row>
    <row r="1673" spans="1:12">
      <c r="A1673" s="3" t="s">
        <v>3356</v>
      </c>
      <c r="C1673" s="3" t="s">
        <v>3817</v>
      </c>
      <c r="D1673" s="3" t="s">
        <v>3618</v>
      </c>
      <c r="E1673" s="3" t="s">
        <v>3638</v>
      </c>
      <c r="F1673" s="3" t="s">
        <v>6701</v>
      </c>
      <c r="G1673" s="3" t="s">
        <v>6696</v>
      </c>
      <c r="H1673" s="6" t="s">
        <v>3356</v>
      </c>
      <c r="I1673" s="6" t="s">
        <v>3356</v>
      </c>
      <c r="J1673" s="3" t="s">
        <v>3356</v>
      </c>
      <c r="L1673" s="1" t="s">
        <v>6135</v>
      </c>
    </row>
    <row r="1674" spans="1:12">
      <c r="A1674" s="3" t="s">
        <v>3356</v>
      </c>
      <c r="C1674" s="3" t="s">
        <v>3817</v>
      </c>
      <c r="D1674" s="3" t="s">
        <v>3618</v>
      </c>
      <c r="E1674" s="3" t="s">
        <v>3638</v>
      </c>
      <c r="F1674" s="3" t="s">
        <v>6701</v>
      </c>
      <c r="G1674" s="3" t="s">
        <v>6697</v>
      </c>
      <c r="H1674" s="6" t="s">
        <v>3356</v>
      </c>
      <c r="I1674" s="6" t="s">
        <v>3356</v>
      </c>
      <c r="J1674" s="3" t="s">
        <v>3356</v>
      </c>
      <c r="L1674" s="1" t="s">
        <v>6135</v>
      </c>
    </row>
    <row r="1675" spans="1:12">
      <c r="A1675" s="3" t="s">
        <v>3356</v>
      </c>
      <c r="C1675" s="3" t="s">
        <v>3817</v>
      </c>
      <c r="D1675" s="3" t="s">
        <v>3618</v>
      </c>
      <c r="E1675" s="3" t="s">
        <v>3638</v>
      </c>
      <c r="F1675" s="3" t="s">
        <v>5522</v>
      </c>
      <c r="G1675" s="3" t="s">
        <v>6242</v>
      </c>
      <c r="H1675" s="6" t="s">
        <v>3356</v>
      </c>
      <c r="I1675" s="6" t="s">
        <v>3356</v>
      </c>
      <c r="J1675" s="3" t="s">
        <v>3356</v>
      </c>
      <c r="L1675" s="1" t="s">
        <v>6135</v>
      </c>
    </row>
    <row r="1676" spans="1:12">
      <c r="A1676" s="3" t="s">
        <v>3356</v>
      </c>
      <c r="C1676" s="3" t="s">
        <v>3817</v>
      </c>
      <c r="D1676" s="3" t="s">
        <v>3618</v>
      </c>
      <c r="E1676" s="3" t="s">
        <v>8036</v>
      </c>
      <c r="F1676" s="3" t="s">
        <v>5284</v>
      </c>
      <c r="G1676" s="3" t="s">
        <v>7488</v>
      </c>
      <c r="H1676" s="6" t="s">
        <v>3356</v>
      </c>
      <c r="I1676" s="6" t="s">
        <v>3356</v>
      </c>
      <c r="J1676" s="3" t="s">
        <v>3356</v>
      </c>
      <c r="L1676" s="1" t="s">
        <v>6135</v>
      </c>
    </row>
    <row r="1677" spans="1:12">
      <c r="A1677" s="3" t="s">
        <v>3356</v>
      </c>
      <c r="C1677" s="3" t="s">
        <v>3817</v>
      </c>
      <c r="D1677" s="3" t="s">
        <v>3618</v>
      </c>
      <c r="E1677" s="3" t="s">
        <v>8036</v>
      </c>
      <c r="F1677" s="3" t="s">
        <v>5284</v>
      </c>
      <c r="G1677" s="3" t="s">
        <v>5316</v>
      </c>
      <c r="H1677" s="6" t="s">
        <v>3356</v>
      </c>
      <c r="I1677" s="6" t="s">
        <v>3356</v>
      </c>
      <c r="J1677" s="3" t="s">
        <v>3356</v>
      </c>
      <c r="L1677" s="1" t="s">
        <v>6135</v>
      </c>
    </row>
    <row r="1678" spans="1:12">
      <c r="A1678" s="3" t="s">
        <v>3356</v>
      </c>
      <c r="C1678" s="3" t="s">
        <v>3817</v>
      </c>
      <c r="D1678" s="3" t="s">
        <v>3618</v>
      </c>
      <c r="E1678" s="3" t="s">
        <v>8036</v>
      </c>
      <c r="F1678" s="3" t="s">
        <v>5284</v>
      </c>
      <c r="G1678" s="3" t="s">
        <v>5317</v>
      </c>
      <c r="H1678" s="6" t="s">
        <v>3356</v>
      </c>
      <c r="I1678" s="6" t="s">
        <v>3356</v>
      </c>
      <c r="J1678" s="3" t="s">
        <v>3356</v>
      </c>
      <c r="L1678" s="1" t="s">
        <v>6135</v>
      </c>
    </row>
    <row r="1679" spans="1:12">
      <c r="A1679" s="3" t="s">
        <v>3356</v>
      </c>
      <c r="C1679" s="3" t="s">
        <v>3817</v>
      </c>
      <c r="D1679" s="3" t="s">
        <v>3618</v>
      </c>
      <c r="E1679" s="3" t="s">
        <v>8036</v>
      </c>
      <c r="F1679" s="3" t="s">
        <v>5888</v>
      </c>
      <c r="G1679" s="3" t="s">
        <v>3607</v>
      </c>
      <c r="H1679" s="6" t="s">
        <v>3356</v>
      </c>
      <c r="I1679" s="6" t="s">
        <v>3356</v>
      </c>
      <c r="J1679" s="3" t="s">
        <v>3356</v>
      </c>
      <c r="L1679" s="1" t="s">
        <v>6135</v>
      </c>
    </row>
    <row r="1680" spans="1:12">
      <c r="A1680" s="3" t="s">
        <v>3356</v>
      </c>
      <c r="C1680" s="3" t="s">
        <v>3817</v>
      </c>
      <c r="D1680" s="3" t="s">
        <v>3618</v>
      </c>
      <c r="E1680" s="3" t="s">
        <v>8036</v>
      </c>
      <c r="F1680" s="3" t="s">
        <v>5888</v>
      </c>
      <c r="G1680" s="3" t="s">
        <v>5885</v>
      </c>
      <c r="H1680" s="6">
        <v>1.9030899869919435</v>
      </c>
      <c r="I1680" s="6">
        <v>80</v>
      </c>
      <c r="J1680" s="3" t="s">
        <v>6736</v>
      </c>
      <c r="L1680" s="1" t="s">
        <v>6135</v>
      </c>
    </row>
    <row r="1681" spans="1:12">
      <c r="A1681" s="3" t="s">
        <v>3356</v>
      </c>
      <c r="C1681" s="3" t="s">
        <v>3817</v>
      </c>
      <c r="D1681" s="3" t="s">
        <v>3618</v>
      </c>
      <c r="E1681" s="3" t="s">
        <v>8036</v>
      </c>
      <c r="F1681" s="3" t="s">
        <v>5155</v>
      </c>
      <c r="G1681" s="3" t="s">
        <v>5280</v>
      </c>
      <c r="H1681" s="6" t="s">
        <v>3356</v>
      </c>
      <c r="I1681" s="6" t="s">
        <v>3356</v>
      </c>
      <c r="J1681" s="3" t="s">
        <v>3356</v>
      </c>
      <c r="L1681" s="1" t="s">
        <v>6135</v>
      </c>
    </row>
    <row r="1682" spans="1:12">
      <c r="A1682" s="3" t="s">
        <v>3356</v>
      </c>
      <c r="C1682" s="3" t="s">
        <v>3817</v>
      </c>
      <c r="D1682" s="3" t="s">
        <v>3618</v>
      </c>
      <c r="E1682" s="3" t="s">
        <v>8036</v>
      </c>
      <c r="F1682" s="3" t="s">
        <v>8042</v>
      </c>
      <c r="G1682" s="3" t="s">
        <v>5136</v>
      </c>
      <c r="H1682" s="6" t="s">
        <v>3356</v>
      </c>
      <c r="I1682" s="6" t="s">
        <v>3356</v>
      </c>
      <c r="J1682" s="3" t="s">
        <v>3356</v>
      </c>
      <c r="L1682" s="1" t="s">
        <v>6135</v>
      </c>
    </row>
    <row r="1683" spans="1:12">
      <c r="A1683" s="3" t="s">
        <v>3356</v>
      </c>
      <c r="C1683" s="3" t="s">
        <v>3817</v>
      </c>
      <c r="D1683" s="3" t="s">
        <v>3618</v>
      </c>
      <c r="E1683" s="3" t="s">
        <v>8036</v>
      </c>
      <c r="F1683" s="3" t="s">
        <v>8042</v>
      </c>
      <c r="G1683" s="3" t="s">
        <v>4214</v>
      </c>
      <c r="H1683" s="6" t="s">
        <v>3356</v>
      </c>
      <c r="I1683" s="6" t="s">
        <v>3356</v>
      </c>
      <c r="J1683" s="3" t="s">
        <v>3356</v>
      </c>
      <c r="L1683" s="1" t="s">
        <v>6135</v>
      </c>
    </row>
    <row r="1684" spans="1:12">
      <c r="A1684" s="3" t="s">
        <v>3356</v>
      </c>
      <c r="C1684" s="3" t="s">
        <v>3817</v>
      </c>
      <c r="D1684" s="3" t="s">
        <v>3618</v>
      </c>
      <c r="E1684" s="3" t="s">
        <v>8036</v>
      </c>
      <c r="F1684" s="3" t="s">
        <v>8042</v>
      </c>
      <c r="G1684" s="3" t="s">
        <v>5279</v>
      </c>
      <c r="H1684" s="6" t="s">
        <v>3356</v>
      </c>
      <c r="I1684" s="6" t="s">
        <v>3356</v>
      </c>
      <c r="J1684" s="3" t="s">
        <v>3356</v>
      </c>
      <c r="L1684" s="1" t="s">
        <v>6135</v>
      </c>
    </row>
    <row r="1685" spans="1:12">
      <c r="A1685" s="3" t="s">
        <v>3356</v>
      </c>
      <c r="C1685" s="3" t="s">
        <v>3817</v>
      </c>
      <c r="D1685" s="3" t="s">
        <v>3618</v>
      </c>
      <c r="E1685" s="3" t="s">
        <v>8036</v>
      </c>
      <c r="F1685" s="3" t="s">
        <v>8042</v>
      </c>
      <c r="G1685" s="3" t="s">
        <v>5276</v>
      </c>
      <c r="H1685" s="6" t="s">
        <v>3356</v>
      </c>
      <c r="I1685" s="6" t="s">
        <v>3356</v>
      </c>
      <c r="J1685" s="3" t="s">
        <v>3356</v>
      </c>
      <c r="L1685" s="1" t="s">
        <v>6135</v>
      </c>
    </row>
    <row r="1686" spans="1:12">
      <c r="A1686" s="3" t="s">
        <v>3356</v>
      </c>
      <c r="C1686" s="3" t="s">
        <v>3817</v>
      </c>
      <c r="D1686" s="3" t="s">
        <v>3618</v>
      </c>
      <c r="E1686" s="3" t="s">
        <v>8036</v>
      </c>
      <c r="F1686" s="3" t="s">
        <v>8042</v>
      </c>
      <c r="G1686" s="3" t="s">
        <v>2311</v>
      </c>
      <c r="H1686" s="6" t="s">
        <v>3356</v>
      </c>
      <c r="I1686" s="6" t="s">
        <v>3356</v>
      </c>
      <c r="J1686" s="3" t="s">
        <v>3356</v>
      </c>
      <c r="L1686" s="1" t="s">
        <v>6135</v>
      </c>
    </row>
    <row r="1687" spans="1:12">
      <c r="A1687" s="3" t="s">
        <v>3356</v>
      </c>
      <c r="C1687" s="3" t="s">
        <v>3817</v>
      </c>
      <c r="D1687" s="3" t="s">
        <v>3618</v>
      </c>
      <c r="E1687" s="3" t="s">
        <v>8036</v>
      </c>
      <c r="F1687" s="3" t="s">
        <v>8042</v>
      </c>
      <c r="G1687" s="3" t="s">
        <v>5277</v>
      </c>
      <c r="H1687" s="6" t="s">
        <v>3356</v>
      </c>
      <c r="I1687" s="6" t="s">
        <v>3356</v>
      </c>
      <c r="J1687" s="3" t="s">
        <v>3356</v>
      </c>
      <c r="L1687" s="1" t="s">
        <v>6135</v>
      </c>
    </row>
    <row r="1688" spans="1:12">
      <c r="A1688" s="3" t="s">
        <v>3356</v>
      </c>
      <c r="C1688" s="3" t="s">
        <v>3817</v>
      </c>
      <c r="D1688" s="3" t="s">
        <v>3618</v>
      </c>
      <c r="E1688" s="3" t="s">
        <v>8036</v>
      </c>
      <c r="F1688" s="3" t="s">
        <v>8042</v>
      </c>
      <c r="G1688" s="3" t="s">
        <v>5278</v>
      </c>
      <c r="H1688" s="6" t="s">
        <v>3356</v>
      </c>
      <c r="I1688" s="6" t="s">
        <v>3356</v>
      </c>
      <c r="J1688" s="3" t="s">
        <v>3356</v>
      </c>
      <c r="L1688" s="1" t="s">
        <v>6135</v>
      </c>
    </row>
    <row r="1689" spans="1:12">
      <c r="A1689" s="3" t="s">
        <v>3356</v>
      </c>
      <c r="C1689" s="3" t="s">
        <v>3817</v>
      </c>
      <c r="D1689" s="3" t="s">
        <v>3618</v>
      </c>
      <c r="E1689" s="3" t="s">
        <v>8036</v>
      </c>
      <c r="F1689" s="3" t="s">
        <v>8042</v>
      </c>
      <c r="G1689" s="3" t="s">
        <v>7332</v>
      </c>
      <c r="H1689" s="6" t="s">
        <v>3356</v>
      </c>
      <c r="I1689" s="6" t="s">
        <v>3356</v>
      </c>
      <c r="J1689" s="3" t="s">
        <v>3356</v>
      </c>
      <c r="L1689" s="1" t="s">
        <v>6135</v>
      </c>
    </row>
    <row r="1690" spans="1:12">
      <c r="A1690" s="3" t="s">
        <v>3356</v>
      </c>
      <c r="C1690" s="3" t="s">
        <v>3817</v>
      </c>
      <c r="D1690" s="3" t="s">
        <v>3618</v>
      </c>
      <c r="E1690" s="3" t="s">
        <v>8036</v>
      </c>
      <c r="F1690" s="3" t="s">
        <v>8042</v>
      </c>
      <c r="G1690" s="3" t="s">
        <v>5283</v>
      </c>
      <c r="H1690" s="6" t="s">
        <v>3356</v>
      </c>
      <c r="I1690" s="6" t="s">
        <v>3356</v>
      </c>
      <c r="J1690" s="3" t="s">
        <v>3356</v>
      </c>
      <c r="L1690" s="1" t="s">
        <v>6135</v>
      </c>
    </row>
    <row r="1691" spans="1:12">
      <c r="A1691" s="3" t="s">
        <v>3356</v>
      </c>
      <c r="C1691" s="3" t="s">
        <v>3817</v>
      </c>
      <c r="D1691" s="3" t="s">
        <v>3618</v>
      </c>
      <c r="E1691" s="3" t="s">
        <v>8036</v>
      </c>
      <c r="F1691" s="3" t="s">
        <v>8042</v>
      </c>
      <c r="G1691" s="3" t="s">
        <v>3857</v>
      </c>
      <c r="H1691" s="6" t="s">
        <v>3356</v>
      </c>
      <c r="I1691" s="6" t="s">
        <v>3356</v>
      </c>
      <c r="J1691" s="3" t="s">
        <v>3356</v>
      </c>
      <c r="L1691" s="1" t="s">
        <v>6135</v>
      </c>
    </row>
    <row r="1692" spans="1:12">
      <c r="A1692" s="3" t="s">
        <v>3356</v>
      </c>
      <c r="C1692" s="3" t="s">
        <v>3817</v>
      </c>
      <c r="D1692" s="3" t="s">
        <v>3618</v>
      </c>
      <c r="E1692" s="3" t="s">
        <v>8036</v>
      </c>
      <c r="F1692" s="3" t="s">
        <v>6704</v>
      </c>
      <c r="G1692" s="3" t="s">
        <v>5937</v>
      </c>
      <c r="H1692" s="6">
        <v>1.4771212547196624</v>
      </c>
      <c r="I1692" s="6">
        <v>30</v>
      </c>
      <c r="J1692" s="3" t="s">
        <v>6736</v>
      </c>
      <c r="L1692" s="1" t="s">
        <v>6135</v>
      </c>
    </row>
    <row r="1693" spans="1:12">
      <c r="A1693" s="3" t="s">
        <v>3356</v>
      </c>
      <c r="C1693" s="3" t="s">
        <v>3817</v>
      </c>
      <c r="D1693" s="3" t="s">
        <v>3618</v>
      </c>
      <c r="E1693" s="3" t="s">
        <v>8036</v>
      </c>
      <c r="F1693" s="3" t="s">
        <v>5318</v>
      </c>
      <c r="G1693" s="3" t="s">
        <v>3251</v>
      </c>
      <c r="H1693" s="6" t="s">
        <v>3356</v>
      </c>
      <c r="I1693" s="6" t="s">
        <v>3356</v>
      </c>
      <c r="J1693" s="3" t="s">
        <v>3356</v>
      </c>
      <c r="L1693" s="1" t="s">
        <v>6135</v>
      </c>
    </row>
    <row r="1694" spans="1:12">
      <c r="A1694" s="3" t="s">
        <v>3356</v>
      </c>
      <c r="C1694" s="3" t="s">
        <v>3817</v>
      </c>
      <c r="D1694" s="3" t="s">
        <v>3618</v>
      </c>
      <c r="E1694" s="3" t="s">
        <v>8036</v>
      </c>
      <c r="F1694" s="3" t="s">
        <v>5318</v>
      </c>
      <c r="G1694" s="3" t="s">
        <v>5319</v>
      </c>
      <c r="H1694" s="6" t="s">
        <v>3356</v>
      </c>
      <c r="I1694" s="6" t="s">
        <v>3356</v>
      </c>
      <c r="J1694" s="3" t="s">
        <v>3356</v>
      </c>
      <c r="L1694" s="1" t="s">
        <v>6135</v>
      </c>
    </row>
    <row r="1695" spans="1:12">
      <c r="A1695" s="3" t="s">
        <v>3356</v>
      </c>
      <c r="C1695" s="3" t="s">
        <v>3817</v>
      </c>
      <c r="D1695" s="3" t="s">
        <v>3618</v>
      </c>
      <c r="E1695" s="3" t="s">
        <v>8036</v>
      </c>
      <c r="F1695" s="3" t="s">
        <v>5318</v>
      </c>
      <c r="G1695" s="3" t="s">
        <v>3414</v>
      </c>
      <c r="H1695" s="6" t="s">
        <v>3356</v>
      </c>
      <c r="I1695" s="6" t="s">
        <v>3356</v>
      </c>
      <c r="J1695" s="3" t="s">
        <v>3356</v>
      </c>
      <c r="L1695" s="1" t="s">
        <v>6135</v>
      </c>
    </row>
    <row r="1696" spans="1:12">
      <c r="A1696" s="3" t="s">
        <v>3356</v>
      </c>
      <c r="C1696" s="3" t="s">
        <v>3817</v>
      </c>
      <c r="D1696" s="3" t="s">
        <v>3618</v>
      </c>
      <c r="E1696" s="3" t="s">
        <v>8036</v>
      </c>
      <c r="F1696" s="3" t="s">
        <v>8054</v>
      </c>
      <c r="G1696" s="3" t="s">
        <v>8055</v>
      </c>
      <c r="H1696" s="6">
        <v>2.0791812460476247</v>
      </c>
      <c r="I1696" s="6">
        <v>120</v>
      </c>
      <c r="J1696" s="3" t="s">
        <v>6736</v>
      </c>
      <c r="L1696" s="1" t="s">
        <v>6135</v>
      </c>
    </row>
    <row r="1697" spans="1:12">
      <c r="A1697" s="3" t="s">
        <v>3356</v>
      </c>
      <c r="C1697" s="3" t="s">
        <v>3817</v>
      </c>
      <c r="D1697" s="3" t="s">
        <v>3618</v>
      </c>
      <c r="E1697" s="3" t="s">
        <v>8036</v>
      </c>
      <c r="F1697" s="3" t="s">
        <v>5154</v>
      </c>
      <c r="G1697" s="3" t="s">
        <v>7633</v>
      </c>
      <c r="H1697" s="6" t="s">
        <v>3356</v>
      </c>
      <c r="I1697" s="6" t="s">
        <v>3356</v>
      </c>
      <c r="J1697" s="3" t="s">
        <v>3356</v>
      </c>
      <c r="L1697" s="1" t="s">
        <v>6135</v>
      </c>
    </row>
    <row r="1698" spans="1:12">
      <c r="A1698" s="3" t="s">
        <v>3356</v>
      </c>
      <c r="C1698" s="3" t="s">
        <v>3817</v>
      </c>
      <c r="D1698" s="3" t="s">
        <v>3618</v>
      </c>
      <c r="E1698" s="3" t="s">
        <v>3438</v>
      </c>
      <c r="F1698" s="3" t="s">
        <v>5554</v>
      </c>
      <c r="G1698" s="3" t="s">
        <v>7999</v>
      </c>
      <c r="H1698" s="6" t="s">
        <v>3356</v>
      </c>
      <c r="I1698" s="6" t="s">
        <v>3356</v>
      </c>
      <c r="J1698" s="3" t="s">
        <v>3356</v>
      </c>
      <c r="L1698" s="1" t="s">
        <v>6135</v>
      </c>
    </row>
    <row r="1699" spans="1:12">
      <c r="A1699" s="3" t="s">
        <v>3356</v>
      </c>
      <c r="C1699" s="3" t="s">
        <v>3817</v>
      </c>
      <c r="D1699" s="3" t="s">
        <v>3618</v>
      </c>
      <c r="E1699" s="3" t="s">
        <v>3438</v>
      </c>
      <c r="F1699" s="3" t="s">
        <v>8000</v>
      </c>
      <c r="G1699" s="3" t="s">
        <v>8001</v>
      </c>
      <c r="H1699" s="6" t="s">
        <v>3356</v>
      </c>
      <c r="I1699" s="6" t="s">
        <v>3356</v>
      </c>
      <c r="J1699" s="3" t="s">
        <v>3356</v>
      </c>
      <c r="L1699" s="1" t="s">
        <v>6135</v>
      </c>
    </row>
    <row r="1700" spans="1:12">
      <c r="A1700" s="3" t="s">
        <v>3356</v>
      </c>
      <c r="C1700" s="3" t="s">
        <v>3817</v>
      </c>
      <c r="D1700" s="3" t="s">
        <v>3618</v>
      </c>
      <c r="E1700" s="3" t="s">
        <v>3438</v>
      </c>
      <c r="F1700" s="3" t="s">
        <v>8000</v>
      </c>
      <c r="G1700" s="3" t="s">
        <v>4852</v>
      </c>
      <c r="H1700" s="6" t="s">
        <v>3356</v>
      </c>
      <c r="I1700" s="6" t="s">
        <v>3356</v>
      </c>
      <c r="J1700" s="3" t="s">
        <v>3356</v>
      </c>
      <c r="L1700" s="1" t="s">
        <v>6135</v>
      </c>
    </row>
    <row r="1701" spans="1:12">
      <c r="A1701" s="3" t="s">
        <v>3356</v>
      </c>
      <c r="C1701" s="3" t="s">
        <v>3817</v>
      </c>
      <c r="D1701" s="3" t="s">
        <v>3618</v>
      </c>
      <c r="E1701" s="3" t="s">
        <v>3438</v>
      </c>
      <c r="F1701" s="3" t="s">
        <v>5915</v>
      </c>
      <c r="G1701" s="3" t="s">
        <v>8271</v>
      </c>
      <c r="H1701" s="6" t="s">
        <v>3356</v>
      </c>
      <c r="I1701" s="6" t="s">
        <v>3356</v>
      </c>
      <c r="J1701" s="3" t="s">
        <v>3356</v>
      </c>
      <c r="L1701" s="1" t="s">
        <v>6135</v>
      </c>
    </row>
    <row r="1702" spans="1:12">
      <c r="A1702" s="3" t="s">
        <v>3356</v>
      </c>
      <c r="C1702" s="3" t="s">
        <v>3817</v>
      </c>
      <c r="D1702" s="3" t="s">
        <v>3618</v>
      </c>
      <c r="E1702" s="3" t="s">
        <v>3438</v>
      </c>
      <c r="F1702" s="3" t="s">
        <v>8002</v>
      </c>
      <c r="G1702" s="3" t="s">
        <v>8003</v>
      </c>
      <c r="H1702" s="6" t="s">
        <v>3356</v>
      </c>
      <c r="I1702" s="6" t="s">
        <v>3356</v>
      </c>
      <c r="J1702" s="3" t="s">
        <v>3356</v>
      </c>
      <c r="L1702" s="1" t="s">
        <v>6135</v>
      </c>
    </row>
    <row r="1703" spans="1:12">
      <c r="A1703" s="3" t="s">
        <v>3356</v>
      </c>
      <c r="C1703" s="3" t="s">
        <v>3817</v>
      </c>
      <c r="D1703" s="3" t="s">
        <v>3618</v>
      </c>
      <c r="E1703" s="3" t="s">
        <v>3438</v>
      </c>
      <c r="F1703" s="3" t="s">
        <v>8104</v>
      </c>
      <c r="G1703" s="3" t="s">
        <v>5567</v>
      </c>
      <c r="H1703" s="6" t="s">
        <v>3356</v>
      </c>
      <c r="I1703" s="6" t="s">
        <v>3356</v>
      </c>
      <c r="J1703" s="3" t="s">
        <v>3356</v>
      </c>
      <c r="L1703" s="1" t="s">
        <v>6135</v>
      </c>
    </row>
    <row r="1704" spans="1:12">
      <c r="A1704" s="3" t="s">
        <v>3356</v>
      </c>
      <c r="C1704" s="3" t="s">
        <v>3817</v>
      </c>
      <c r="D1704" s="3" t="s">
        <v>3618</v>
      </c>
      <c r="E1704" s="3" t="s">
        <v>3438</v>
      </c>
      <c r="F1704" s="3" t="s">
        <v>5936</v>
      </c>
      <c r="G1704" s="3" t="s">
        <v>6797</v>
      </c>
      <c r="H1704" s="6" t="s">
        <v>3356</v>
      </c>
      <c r="I1704" s="6" t="s">
        <v>3356</v>
      </c>
      <c r="J1704" s="3" t="s">
        <v>3356</v>
      </c>
      <c r="L1704" s="1" t="s">
        <v>6135</v>
      </c>
    </row>
    <row r="1705" spans="1:12">
      <c r="A1705" s="3" t="s">
        <v>3356</v>
      </c>
      <c r="C1705" s="3" t="s">
        <v>3817</v>
      </c>
      <c r="D1705" s="3" t="s">
        <v>3618</v>
      </c>
      <c r="E1705" s="3" t="s">
        <v>3438</v>
      </c>
      <c r="F1705" s="3" t="s">
        <v>5936</v>
      </c>
      <c r="G1705" s="3" t="s">
        <v>6520</v>
      </c>
      <c r="H1705" s="6" t="s">
        <v>3356</v>
      </c>
      <c r="I1705" s="6" t="s">
        <v>3356</v>
      </c>
      <c r="J1705" s="3" t="s">
        <v>3356</v>
      </c>
      <c r="L1705" s="1" t="s">
        <v>6135</v>
      </c>
    </row>
    <row r="1706" spans="1:12">
      <c r="A1706" s="3" t="s">
        <v>3356</v>
      </c>
      <c r="C1706" s="3" t="s">
        <v>3817</v>
      </c>
      <c r="D1706" s="3" t="s">
        <v>3618</v>
      </c>
      <c r="E1706" s="3" t="s">
        <v>3438</v>
      </c>
      <c r="F1706" s="3" t="s">
        <v>5936</v>
      </c>
      <c r="G1706" s="3" t="s">
        <v>6109</v>
      </c>
      <c r="H1706" s="6" t="s">
        <v>3356</v>
      </c>
      <c r="I1706" s="6" t="s">
        <v>3356</v>
      </c>
      <c r="J1706" s="3" t="s">
        <v>3356</v>
      </c>
      <c r="L1706" s="1" t="s">
        <v>6135</v>
      </c>
    </row>
    <row r="1707" spans="1:12">
      <c r="A1707" s="3" t="s">
        <v>3356</v>
      </c>
      <c r="C1707" s="3" t="s">
        <v>3817</v>
      </c>
      <c r="D1707" s="3" t="s">
        <v>3618</v>
      </c>
      <c r="E1707" s="3" t="s">
        <v>3438</v>
      </c>
      <c r="F1707" s="3" t="s">
        <v>5936</v>
      </c>
      <c r="G1707" s="3" t="s">
        <v>3526</v>
      </c>
      <c r="H1707" s="6">
        <v>2.4099331233312946</v>
      </c>
      <c r="I1707" s="6">
        <v>257</v>
      </c>
      <c r="J1707" s="3" t="s">
        <v>6736</v>
      </c>
      <c r="L1707" s="1" t="s">
        <v>6135</v>
      </c>
    </row>
    <row r="1708" spans="1:12">
      <c r="A1708" s="3" t="s">
        <v>3356</v>
      </c>
      <c r="C1708" s="3" t="s">
        <v>3817</v>
      </c>
      <c r="D1708" s="3" t="s">
        <v>3618</v>
      </c>
      <c r="E1708" s="3" t="s">
        <v>3438</v>
      </c>
      <c r="F1708" s="3" t="s">
        <v>5936</v>
      </c>
      <c r="G1708" s="3" t="s">
        <v>6798</v>
      </c>
      <c r="H1708" s="6" t="s">
        <v>3356</v>
      </c>
      <c r="I1708" s="6" t="s">
        <v>3356</v>
      </c>
      <c r="J1708" s="3" t="s">
        <v>3356</v>
      </c>
      <c r="L1708" s="1" t="s">
        <v>6135</v>
      </c>
    </row>
    <row r="1709" spans="1:12">
      <c r="A1709" s="3" t="s">
        <v>3356</v>
      </c>
      <c r="C1709" s="3" t="s">
        <v>3817</v>
      </c>
      <c r="D1709" s="3" t="s">
        <v>3618</v>
      </c>
      <c r="E1709" s="3" t="s">
        <v>3438</v>
      </c>
      <c r="F1709" s="3" t="s">
        <v>5936</v>
      </c>
      <c r="G1709" s="3" t="s">
        <v>6799</v>
      </c>
      <c r="H1709" s="6" t="s">
        <v>3356</v>
      </c>
      <c r="I1709" s="6" t="s">
        <v>3356</v>
      </c>
      <c r="J1709" s="3" t="s">
        <v>3356</v>
      </c>
      <c r="L1709" s="1" t="s">
        <v>6135</v>
      </c>
    </row>
    <row r="1710" spans="1:12">
      <c r="A1710" s="3" t="s">
        <v>3356</v>
      </c>
      <c r="C1710" s="3" t="s">
        <v>3817</v>
      </c>
      <c r="D1710" s="3" t="s">
        <v>3618</v>
      </c>
      <c r="E1710" s="3" t="s">
        <v>3438</v>
      </c>
      <c r="F1710" s="3" t="s">
        <v>5936</v>
      </c>
      <c r="G1710" s="3" t="s">
        <v>5411</v>
      </c>
      <c r="H1710" s="6" t="s">
        <v>3356</v>
      </c>
      <c r="I1710" s="6" t="s">
        <v>3356</v>
      </c>
      <c r="J1710" s="3" t="s">
        <v>3356</v>
      </c>
      <c r="L1710" s="1" t="s">
        <v>6135</v>
      </c>
    </row>
    <row r="1711" spans="1:12">
      <c r="A1711" s="3" t="s">
        <v>3356</v>
      </c>
      <c r="C1711" s="3" t="s">
        <v>3817</v>
      </c>
      <c r="D1711" s="3" t="s">
        <v>3618</v>
      </c>
      <c r="E1711" s="3" t="s">
        <v>3438</v>
      </c>
      <c r="F1711" s="3" t="s">
        <v>5936</v>
      </c>
      <c r="G1711" s="3" t="s">
        <v>6793</v>
      </c>
      <c r="H1711" s="6" t="s">
        <v>3356</v>
      </c>
      <c r="I1711" s="6" t="s">
        <v>3356</v>
      </c>
      <c r="J1711" s="3" t="s">
        <v>3356</v>
      </c>
      <c r="L1711" s="1" t="s">
        <v>6135</v>
      </c>
    </row>
    <row r="1712" spans="1:12">
      <c r="A1712" s="3" t="s">
        <v>3356</v>
      </c>
      <c r="C1712" s="3" t="s">
        <v>3817</v>
      </c>
      <c r="D1712" s="3" t="s">
        <v>3618</v>
      </c>
      <c r="E1712" s="3" t="s">
        <v>3438</v>
      </c>
      <c r="F1712" s="3" t="s">
        <v>5936</v>
      </c>
      <c r="G1712" s="3" t="s">
        <v>8254</v>
      </c>
      <c r="H1712" s="6">
        <v>2.2304489213782741</v>
      </c>
      <c r="I1712" s="6">
        <v>170</v>
      </c>
      <c r="J1712" s="3" t="s">
        <v>6736</v>
      </c>
      <c r="L1712" s="1" t="s">
        <v>6135</v>
      </c>
    </row>
    <row r="1713" spans="1:12">
      <c r="A1713" s="3" t="s">
        <v>3356</v>
      </c>
      <c r="C1713" s="3" t="s">
        <v>3817</v>
      </c>
      <c r="D1713" s="3" t="s">
        <v>3618</v>
      </c>
      <c r="E1713" s="3" t="s">
        <v>3438</v>
      </c>
      <c r="F1713" s="3" t="s">
        <v>5936</v>
      </c>
      <c r="G1713" s="3" t="s">
        <v>8034</v>
      </c>
      <c r="H1713" s="6">
        <v>2.3222192947339191</v>
      </c>
      <c r="I1713" s="6">
        <v>210</v>
      </c>
      <c r="J1713" s="3" t="s">
        <v>6736</v>
      </c>
      <c r="L1713" s="1" t="s">
        <v>6135</v>
      </c>
    </row>
    <row r="1714" spans="1:12">
      <c r="A1714" s="3" t="s">
        <v>3356</v>
      </c>
      <c r="C1714" s="3" t="s">
        <v>3817</v>
      </c>
      <c r="D1714" s="3" t="s">
        <v>3618</v>
      </c>
      <c r="E1714" s="3" t="s">
        <v>3438</v>
      </c>
      <c r="F1714" s="3" t="s">
        <v>5936</v>
      </c>
      <c r="G1714" s="3" t="s">
        <v>6794</v>
      </c>
      <c r="H1714" s="6" t="s">
        <v>3356</v>
      </c>
      <c r="I1714" s="6" t="s">
        <v>3356</v>
      </c>
      <c r="J1714" s="3" t="s">
        <v>3356</v>
      </c>
      <c r="L1714" s="1" t="s">
        <v>6135</v>
      </c>
    </row>
    <row r="1715" spans="1:12">
      <c r="A1715" s="3" t="s">
        <v>3356</v>
      </c>
      <c r="C1715" s="3" t="s">
        <v>3817</v>
      </c>
      <c r="D1715" s="3" t="s">
        <v>3618</v>
      </c>
      <c r="E1715" s="3" t="s">
        <v>3438</v>
      </c>
      <c r="F1715" s="3" t="s">
        <v>5936</v>
      </c>
      <c r="G1715" s="3" t="s">
        <v>6795</v>
      </c>
      <c r="H1715" s="6" t="s">
        <v>3356</v>
      </c>
      <c r="I1715" s="6" t="s">
        <v>3356</v>
      </c>
      <c r="J1715" s="3" t="s">
        <v>3356</v>
      </c>
      <c r="L1715" s="1" t="s">
        <v>6135</v>
      </c>
    </row>
    <row r="1716" spans="1:12">
      <c r="A1716" s="3" t="s">
        <v>3356</v>
      </c>
      <c r="C1716" s="3" t="s">
        <v>3817</v>
      </c>
      <c r="D1716" s="3" t="s">
        <v>3618</v>
      </c>
      <c r="E1716" s="3" t="s">
        <v>3438</v>
      </c>
      <c r="F1716" s="3" t="s">
        <v>5936</v>
      </c>
      <c r="G1716" s="3" t="s">
        <v>5780</v>
      </c>
      <c r="H1716" s="6" t="s">
        <v>3356</v>
      </c>
      <c r="I1716" s="6" t="s">
        <v>3356</v>
      </c>
      <c r="J1716" s="3" t="s">
        <v>3356</v>
      </c>
      <c r="L1716" s="1" t="s">
        <v>6135</v>
      </c>
    </row>
    <row r="1717" spans="1:12">
      <c r="A1717" s="3" t="s">
        <v>3356</v>
      </c>
      <c r="C1717" s="3" t="s">
        <v>3817</v>
      </c>
      <c r="D1717" s="3" t="s">
        <v>3618</v>
      </c>
      <c r="E1717" s="3" t="s">
        <v>3438</v>
      </c>
      <c r="F1717" s="3" t="s">
        <v>5936</v>
      </c>
      <c r="G1717" s="3" t="s">
        <v>5781</v>
      </c>
      <c r="H1717" s="6" t="s">
        <v>3356</v>
      </c>
      <c r="I1717" s="6" t="s">
        <v>3356</v>
      </c>
      <c r="J1717" s="3" t="s">
        <v>3356</v>
      </c>
      <c r="L1717" s="1" t="s">
        <v>6135</v>
      </c>
    </row>
    <row r="1718" spans="1:12">
      <c r="A1718" s="3" t="s">
        <v>3356</v>
      </c>
      <c r="C1718" s="3" t="s">
        <v>3817</v>
      </c>
      <c r="D1718" s="3" t="s">
        <v>3618</v>
      </c>
      <c r="E1718" s="3" t="s">
        <v>3438</v>
      </c>
      <c r="F1718" s="3" t="s">
        <v>5936</v>
      </c>
      <c r="G1718" s="3" t="s">
        <v>5782</v>
      </c>
      <c r="H1718" s="6" t="s">
        <v>3356</v>
      </c>
      <c r="I1718" s="6" t="s">
        <v>3356</v>
      </c>
      <c r="J1718" s="3" t="s">
        <v>3356</v>
      </c>
      <c r="L1718" s="1" t="s">
        <v>6135</v>
      </c>
    </row>
    <row r="1719" spans="1:12">
      <c r="A1719" s="3" t="s">
        <v>3356</v>
      </c>
      <c r="C1719" s="3" t="s">
        <v>3817</v>
      </c>
      <c r="D1719" s="3" t="s">
        <v>3618</v>
      </c>
      <c r="E1719" s="3" t="s">
        <v>3438</v>
      </c>
      <c r="F1719" s="3" t="s">
        <v>5783</v>
      </c>
      <c r="G1719" s="3" t="s">
        <v>4289</v>
      </c>
      <c r="H1719" s="6" t="s">
        <v>3356</v>
      </c>
      <c r="I1719" s="6" t="s">
        <v>3356</v>
      </c>
      <c r="J1719" s="3" t="s">
        <v>3356</v>
      </c>
      <c r="L1719" s="1" t="s">
        <v>6135</v>
      </c>
    </row>
    <row r="1720" spans="1:12">
      <c r="A1720" s="3" t="s">
        <v>3356</v>
      </c>
      <c r="C1720" s="3" t="s">
        <v>3817</v>
      </c>
      <c r="D1720" s="3" t="s">
        <v>3618</v>
      </c>
      <c r="E1720" s="3" t="s">
        <v>3438</v>
      </c>
      <c r="F1720" s="3" t="s">
        <v>5783</v>
      </c>
      <c r="G1720" s="3" t="s">
        <v>5362</v>
      </c>
      <c r="H1720" s="6" t="s">
        <v>3356</v>
      </c>
      <c r="I1720" s="6" t="s">
        <v>3356</v>
      </c>
      <c r="J1720" s="3" t="s">
        <v>3356</v>
      </c>
      <c r="L1720" s="1" t="s">
        <v>6135</v>
      </c>
    </row>
    <row r="1721" spans="1:12">
      <c r="A1721" s="3" t="s">
        <v>3356</v>
      </c>
      <c r="C1721" s="3" t="s">
        <v>3817</v>
      </c>
      <c r="D1721" s="3" t="s">
        <v>3618</v>
      </c>
      <c r="E1721" s="3" t="s">
        <v>3438</v>
      </c>
      <c r="F1721" s="3" t="s">
        <v>5783</v>
      </c>
      <c r="G1721" s="3" t="s">
        <v>5363</v>
      </c>
      <c r="H1721" s="6" t="s">
        <v>3356</v>
      </c>
      <c r="I1721" s="6" t="s">
        <v>3356</v>
      </c>
      <c r="J1721" s="3" t="s">
        <v>3356</v>
      </c>
      <c r="L1721" s="1" t="s">
        <v>6135</v>
      </c>
    </row>
    <row r="1722" spans="1:12">
      <c r="A1722" s="3" t="s">
        <v>3356</v>
      </c>
      <c r="C1722" s="3" t="s">
        <v>3817</v>
      </c>
      <c r="D1722" s="3" t="s">
        <v>3618</v>
      </c>
      <c r="E1722" s="3" t="s">
        <v>3438</v>
      </c>
      <c r="F1722" s="3" t="s">
        <v>5783</v>
      </c>
      <c r="G1722" s="3" t="s">
        <v>5549</v>
      </c>
      <c r="H1722" s="6" t="s">
        <v>3356</v>
      </c>
      <c r="I1722" s="6" t="s">
        <v>3356</v>
      </c>
      <c r="J1722" s="3" t="s">
        <v>3356</v>
      </c>
      <c r="L1722" s="1" t="s">
        <v>6135</v>
      </c>
    </row>
    <row r="1723" spans="1:12">
      <c r="A1723" s="3" t="s">
        <v>3356</v>
      </c>
      <c r="C1723" s="3" t="s">
        <v>3817</v>
      </c>
      <c r="D1723" s="3" t="s">
        <v>3618</v>
      </c>
      <c r="E1723" s="3" t="s">
        <v>3438</v>
      </c>
      <c r="F1723" s="3" t="s">
        <v>5783</v>
      </c>
      <c r="G1723" s="3" t="s">
        <v>5550</v>
      </c>
      <c r="H1723" s="6" t="s">
        <v>3356</v>
      </c>
      <c r="I1723" s="6" t="s">
        <v>3356</v>
      </c>
      <c r="J1723" s="3" t="s">
        <v>3356</v>
      </c>
      <c r="L1723" s="1" t="s">
        <v>6135</v>
      </c>
    </row>
    <row r="1724" spans="1:12">
      <c r="A1724" s="3" t="s">
        <v>3356</v>
      </c>
      <c r="C1724" s="3" t="s">
        <v>3817</v>
      </c>
      <c r="D1724" s="3" t="s">
        <v>3618</v>
      </c>
      <c r="E1724" s="3" t="s">
        <v>3438</v>
      </c>
      <c r="F1724" s="3" t="s">
        <v>3441</v>
      </c>
      <c r="G1724" s="3" t="s">
        <v>3185</v>
      </c>
      <c r="H1724" s="6">
        <v>2.6627578316815739</v>
      </c>
      <c r="I1724" s="6">
        <v>460</v>
      </c>
      <c r="J1724" s="3" t="s">
        <v>6736</v>
      </c>
      <c r="L1724" s="1" t="s">
        <v>6135</v>
      </c>
    </row>
    <row r="1725" spans="1:12">
      <c r="A1725" s="3" t="s">
        <v>3356</v>
      </c>
      <c r="C1725" s="3" t="s">
        <v>3817</v>
      </c>
      <c r="D1725" s="3" t="s">
        <v>3618</v>
      </c>
      <c r="E1725" s="3" t="s">
        <v>3438</v>
      </c>
      <c r="F1725" s="3" t="s">
        <v>5568</v>
      </c>
      <c r="G1725" s="3" t="s">
        <v>4485</v>
      </c>
      <c r="H1725" s="6" t="s">
        <v>3356</v>
      </c>
      <c r="I1725" s="6" t="s">
        <v>3356</v>
      </c>
      <c r="J1725" s="3" t="s">
        <v>3356</v>
      </c>
      <c r="L1725" s="1" t="s">
        <v>6135</v>
      </c>
    </row>
    <row r="1726" spans="1:12">
      <c r="A1726" s="3" t="s">
        <v>3356</v>
      </c>
      <c r="C1726" s="3" t="s">
        <v>3817</v>
      </c>
      <c r="D1726" s="3" t="s">
        <v>3618</v>
      </c>
      <c r="E1726" s="3" t="s">
        <v>3438</v>
      </c>
      <c r="F1726" s="3" t="s">
        <v>5551</v>
      </c>
      <c r="G1726" s="3" t="s">
        <v>2176</v>
      </c>
      <c r="H1726" s="6" t="s">
        <v>3356</v>
      </c>
      <c r="I1726" s="6" t="s">
        <v>3356</v>
      </c>
      <c r="J1726" s="3" t="s">
        <v>3356</v>
      </c>
      <c r="L1726" s="1" t="s">
        <v>6135</v>
      </c>
    </row>
    <row r="1727" spans="1:12">
      <c r="A1727" s="3" t="s">
        <v>3356</v>
      </c>
      <c r="C1727" s="3" t="s">
        <v>3817</v>
      </c>
      <c r="D1727" s="3" t="s">
        <v>3618</v>
      </c>
      <c r="E1727" s="3" t="s">
        <v>3438</v>
      </c>
      <c r="F1727" s="3" t="s">
        <v>5551</v>
      </c>
      <c r="G1727" s="3" t="s">
        <v>3305</v>
      </c>
      <c r="H1727" s="6" t="s">
        <v>3356</v>
      </c>
      <c r="I1727" s="6" t="s">
        <v>3356</v>
      </c>
      <c r="J1727" s="3" t="s">
        <v>3356</v>
      </c>
      <c r="L1727" s="1" t="s">
        <v>6135</v>
      </c>
    </row>
    <row r="1728" spans="1:12">
      <c r="A1728" s="3" t="s">
        <v>3356</v>
      </c>
      <c r="C1728" s="3" t="s">
        <v>3817</v>
      </c>
      <c r="D1728" s="3" t="s">
        <v>3618</v>
      </c>
      <c r="E1728" s="3" t="s">
        <v>3438</v>
      </c>
      <c r="F1728" s="3" t="s">
        <v>5551</v>
      </c>
      <c r="G1728" s="3" t="s">
        <v>5495</v>
      </c>
      <c r="H1728" s="6" t="s">
        <v>3356</v>
      </c>
      <c r="I1728" s="6" t="s">
        <v>3356</v>
      </c>
      <c r="J1728" s="3" t="s">
        <v>3356</v>
      </c>
      <c r="L1728" s="1" t="s">
        <v>6135</v>
      </c>
    </row>
    <row r="1729" spans="1:12">
      <c r="A1729" s="3" t="s">
        <v>3356</v>
      </c>
      <c r="C1729" s="3" t="s">
        <v>3817</v>
      </c>
      <c r="D1729" s="3" t="s">
        <v>3618</v>
      </c>
      <c r="E1729" s="3" t="s">
        <v>3438</v>
      </c>
      <c r="F1729" s="3" t="s">
        <v>6105</v>
      </c>
      <c r="G1729" s="3" t="s">
        <v>8272</v>
      </c>
      <c r="H1729" s="6" t="s">
        <v>3356</v>
      </c>
      <c r="I1729" s="6" t="s">
        <v>3356</v>
      </c>
      <c r="J1729" s="3" t="s">
        <v>3356</v>
      </c>
      <c r="L1729" s="1" t="s">
        <v>6135</v>
      </c>
    </row>
    <row r="1730" spans="1:12">
      <c r="A1730" s="3" t="s">
        <v>3356</v>
      </c>
      <c r="C1730" s="3" t="s">
        <v>3817</v>
      </c>
      <c r="D1730" s="3" t="s">
        <v>3618</v>
      </c>
      <c r="E1730" s="3" t="s">
        <v>3438</v>
      </c>
      <c r="F1730" s="3" t="s">
        <v>6105</v>
      </c>
      <c r="G1730" s="3" t="s">
        <v>8273</v>
      </c>
      <c r="H1730" s="6" t="s">
        <v>3356</v>
      </c>
      <c r="I1730" s="6" t="s">
        <v>3356</v>
      </c>
      <c r="J1730" s="3" t="s">
        <v>3356</v>
      </c>
      <c r="L1730" s="1" t="s">
        <v>6135</v>
      </c>
    </row>
    <row r="1731" spans="1:12">
      <c r="A1731" s="3" t="s">
        <v>3356</v>
      </c>
      <c r="C1731" s="3" t="s">
        <v>3817</v>
      </c>
      <c r="D1731" s="3" t="s">
        <v>3618</v>
      </c>
      <c r="E1731" s="3" t="s">
        <v>3438</v>
      </c>
      <c r="F1731" s="3" t="s">
        <v>6105</v>
      </c>
      <c r="G1731" s="3" t="s">
        <v>8274</v>
      </c>
      <c r="H1731" s="6" t="s">
        <v>3356</v>
      </c>
      <c r="I1731" s="6" t="s">
        <v>3356</v>
      </c>
      <c r="J1731" s="3" t="s">
        <v>3356</v>
      </c>
      <c r="L1731" s="1" t="s">
        <v>6135</v>
      </c>
    </row>
    <row r="1732" spans="1:12">
      <c r="A1732" s="3" t="s">
        <v>3356</v>
      </c>
      <c r="C1732" s="3" t="s">
        <v>3817</v>
      </c>
      <c r="D1732" s="3" t="s">
        <v>3618</v>
      </c>
      <c r="E1732" s="3" t="s">
        <v>3438</v>
      </c>
      <c r="F1732" s="3" t="s">
        <v>6105</v>
      </c>
      <c r="G1732" s="3" t="s">
        <v>3706</v>
      </c>
      <c r="H1732" s="6" t="s">
        <v>3356</v>
      </c>
      <c r="I1732" s="6" t="s">
        <v>3356</v>
      </c>
      <c r="J1732" s="3" t="s">
        <v>3356</v>
      </c>
      <c r="L1732" s="1" t="s">
        <v>6135</v>
      </c>
    </row>
    <row r="1733" spans="1:12">
      <c r="A1733" s="3" t="s">
        <v>3356</v>
      </c>
      <c r="C1733" s="3" t="s">
        <v>3817</v>
      </c>
      <c r="D1733" s="3" t="s">
        <v>3618</v>
      </c>
      <c r="E1733" s="3" t="s">
        <v>3438</v>
      </c>
      <c r="F1733" s="3" t="s">
        <v>6105</v>
      </c>
      <c r="G1733" s="3" t="s">
        <v>8275</v>
      </c>
      <c r="H1733" s="6" t="s">
        <v>3356</v>
      </c>
      <c r="I1733" s="6" t="s">
        <v>3356</v>
      </c>
      <c r="J1733" s="3" t="s">
        <v>3356</v>
      </c>
      <c r="L1733" s="1" t="s">
        <v>6135</v>
      </c>
    </row>
    <row r="1734" spans="1:12">
      <c r="A1734" s="3" t="s">
        <v>3356</v>
      </c>
      <c r="C1734" s="3" t="s">
        <v>3817</v>
      </c>
      <c r="D1734" s="3" t="s">
        <v>3618</v>
      </c>
      <c r="E1734" s="3" t="s">
        <v>3438</v>
      </c>
      <c r="F1734" s="3" t="s">
        <v>3028</v>
      </c>
      <c r="G1734" s="3" t="s">
        <v>8276</v>
      </c>
      <c r="H1734" s="6" t="s">
        <v>3356</v>
      </c>
      <c r="I1734" s="6" t="s">
        <v>3356</v>
      </c>
      <c r="J1734" s="3" t="s">
        <v>3356</v>
      </c>
      <c r="L1734" s="1" t="s">
        <v>6135</v>
      </c>
    </row>
    <row r="1735" spans="1:12">
      <c r="A1735" s="3" t="s">
        <v>3356</v>
      </c>
      <c r="C1735" s="3" t="s">
        <v>3817</v>
      </c>
      <c r="D1735" s="3" t="s">
        <v>3618</v>
      </c>
      <c r="E1735" s="3" t="s">
        <v>3438</v>
      </c>
      <c r="F1735" s="3" t="s">
        <v>8277</v>
      </c>
      <c r="G1735" s="3" t="s">
        <v>8213</v>
      </c>
      <c r="H1735" s="6" t="s">
        <v>3356</v>
      </c>
      <c r="I1735" s="6" t="s">
        <v>3356</v>
      </c>
      <c r="J1735" s="3" t="s">
        <v>3356</v>
      </c>
      <c r="L1735" s="1" t="s">
        <v>6135</v>
      </c>
    </row>
    <row r="1736" spans="1:12">
      <c r="A1736" s="3" t="s">
        <v>3356</v>
      </c>
      <c r="C1736" s="3" t="s">
        <v>3817</v>
      </c>
      <c r="D1736" s="3" t="s">
        <v>3618</v>
      </c>
      <c r="E1736" s="3" t="s">
        <v>3438</v>
      </c>
      <c r="F1736" s="3" t="s">
        <v>3037</v>
      </c>
      <c r="G1736" s="3" t="s">
        <v>8214</v>
      </c>
      <c r="H1736" s="6" t="s">
        <v>3356</v>
      </c>
      <c r="I1736" s="6" t="s">
        <v>3356</v>
      </c>
      <c r="J1736" s="3" t="s">
        <v>3356</v>
      </c>
      <c r="L1736" s="1" t="s">
        <v>6135</v>
      </c>
    </row>
    <row r="1737" spans="1:12">
      <c r="A1737" s="3" t="s">
        <v>3356</v>
      </c>
      <c r="C1737" s="3" t="s">
        <v>3817</v>
      </c>
      <c r="D1737" s="3" t="s">
        <v>3618</v>
      </c>
      <c r="E1737" s="3" t="s">
        <v>3438</v>
      </c>
      <c r="F1737" s="3" t="s">
        <v>3037</v>
      </c>
      <c r="G1737" s="3" t="s">
        <v>5518</v>
      </c>
      <c r="H1737" s="6" t="s">
        <v>3356</v>
      </c>
      <c r="I1737" s="6" t="s">
        <v>3356</v>
      </c>
      <c r="J1737" s="3" t="s">
        <v>3356</v>
      </c>
      <c r="L1737" s="1" t="s">
        <v>6135</v>
      </c>
    </row>
    <row r="1738" spans="1:12">
      <c r="A1738" s="3" t="s">
        <v>3356</v>
      </c>
      <c r="C1738" s="3" t="s">
        <v>3817</v>
      </c>
      <c r="D1738" s="3" t="s">
        <v>3618</v>
      </c>
      <c r="E1738" s="3" t="s">
        <v>3438</v>
      </c>
      <c r="F1738" s="3" t="s">
        <v>5569</v>
      </c>
      <c r="G1738" s="3" t="s">
        <v>5570</v>
      </c>
      <c r="H1738" s="6" t="s">
        <v>3356</v>
      </c>
      <c r="I1738" s="6" t="s">
        <v>3356</v>
      </c>
      <c r="J1738" s="3" t="s">
        <v>3356</v>
      </c>
      <c r="L1738" s="1" t="s">
        <v>6135</v>
      </c>
    </row>
    <row r="1739" spans="1:12">
      <c r="A1739" s="3" t="s">
        <v>3356</v>
      </c>
      <c r="C1739" s="3" t="s">
        <v>3817</v>
      </c>
      <c r="D1739" s="3" t="s">
        <v>3618</v>
      </c>
      <c r="E1739" s="3" t="s">
        <v>3438</v>
      </c>
      <c r="F1739" s="3" t="s">
        <v>5569</v>
      </c>
      <c r="G1739" s="3" t="s">
        <v>5571</v>
      </c>
      <c r="H1739" s="6" t="s">
        <v>3356</v>
      </c>
      <c r="I1739" s="6" t="s">
        <v>3356</v>
      </c>
      <c r="J1739" s="3" t="s">
        <v>3356</v>
      </c>
      <c r="L1739" s="1" t="s">
        <v>6135</v>
      </c>
    </row>
    <row r="1740" spans="1:12">
      <c r="A1740" s="3" t="s">
        <v>3356</v>
      </c>
      <c r="C1740" s="3" t="s">
        <v>3817</v>
      </c>
      <c r="D1740" s="3" t="s">
        <v>3618</v>
      </c>
      <c r="E1740" s="3" t="s">
        <v>3438</v>
      </c>
      <c r="F1740" s="3" t="s">
        <v>5569</v>
      </c>
      <c r="G1740" s="3" t="s">
        <v>5574</v>
      </c>
      <c r="H1740" s="6" t="s">
        <v>3356</v>
      </c>
      <c r="I1740" s="6" t="s">
        <v>3356</v>
      </c>
      <c r="J1740" s="3" t="s">
        <v>3356</v>
      </c>
      <c r="L1740" s="1" t="s">
        <v>6135</v>
      </c>
    </row>
    <row r="1741" spans="1:12">
      <c r="A1741" s="3" t="s">
        <v>3356</v>
      </c>
      <c r="C1741" s="3" t="s">
        <v>3817</v>
      </c>
      <c r="D1741" s="3" t="s">
        <v>3618</v>
      </c>
      <c r="E1741" s="3" t="s">
        <v>3438</v>
      </c>
      <c r="F1741" s="3" t="s">
        <v>5569</v>
      </c>
      <c r="G1741" s="3" t="s">
        <v>6430</v>
      </c>
      <c r="H1741" s="6" t="s">
        <v>3356</v>
      </c>
      <c r="I1741" s="6" t="s">
        <v>3356</v>
      </c>
      <c r="J1741" s="3" t="s">
        <v>3356</v>
      </c>
      <c r="L1741" s="1" t="s">
        <v>6135</v>
      </c>
    </row>
    <row r="1742" spans="1:12">
      <c r="A1742" s="3" t="s">
        <v>3356</v>
      </c>
      <c r="C1742" s="3" t="s">
        <v>3817</v>
      </c>
      <c r="D1742" s="3" t="s">
        <v>3618</v>
      </c>
      <c r="E1742" s="3" t="s">
        <v>3438</v>
      </c>
      <c r="F1742" s="3" t="s">
        <v>5569</v>
      </c>
      <c r="G1742" s="3" t="s">
        <v>2175</v>
      </c>
      <c r="H1742" s="6" t="s">
        <v>3356</v>
      </c>
      <c r="I1742" s="6" t="s">
        <v>3356</v>
      </c>
      <c r="J1742" s="3" t="s">
        <v>3356</v>
      </c>
      <c r="L1742" s="1" t="s">
        <v>6135</v>
      </c>
    </row>
    <row r="1743" spans="1:12">
      <c r="A1743" s="3" t="s">
        <v>3356</v>
      </c>
      <c r="C1743" s="3" t="s">
        <v>3817</v>
      </c>
      <c r="D1743" s="3" t="s">
        <v>3618</v>
      </c>
      <c r="E1743" s="3" t="s">
        <v>3438</v>
      </c>
      <c r="F1743" s="3" t="s">
        <v>5569</v>
      </c>
      <c r="G1743" s="3" t="s">
        <v>4856</v>
      </c>
      <c r="H1743" s="6" t="s">
        <v>3356</v>
      </c>
      <c r="I1743" s="6" t="s">
        <v>3356</v>
      </c>
      <c r="J1743" s="3" t="s">
        <v>3356</v>
      </c>
      <c r="L1743" s="1" t="s">
        <v>6135</v>
      </c>
    </row>
    <row r="1744" spans="1:12">
      <c r="A1744" s="3" t="s">
        <v>3356</v>
      </c>
      <c r="C1744" s="3" t="s">
        <v>3817</v>
      </c>
      <c r="D1744" s="3" t="s">
        <v>3618</v>
      </c>
      <c r="E1744" s="3" t="s">
        <v>3438</v>
      </c>
      <c r="F1744" s="3" t="s">
        <v>5569</v>
      </c>
      <c r="G1744" s="3" t="s">
        <v>6795</v>
      </c>
      <c r="H1744" s="6" t="s">
        <v>3356</v>
      </c>
      <c r="I1744" s="6" t="s">
        <v>3356</v>
      </c>
      <c r="J1744" s="3" t="s">
        <v>3356</v>
      </c>
      <c r="L1744" s="1" t="s">
        <v>6135</v>
      </c>
    </row>
    <row r="1745" spans="1:12">
      <c r="A1745" s="3" t="s">
        <v>3356</v>
      </c>
      <c r="C1745" s="3" t="s">
        <v>3817</v>
      </c>
      <c r="D1745" s="3" t="s">
        <v>3618</v>
      </c>
      <c r="E1745" s="3" t="s">
        <v>3438</v>
      </c>
      <c r="F1745" s="3" t="s">
        <v>5569</v>
      </c>
      <c r="G1745" s="3" t="s">
        <v>6438</v>
      </c>
      <c r="H1745" s="6" t="s">
        <v>3356</v>
      </c>
      <c r="I1745" s="6" t="s">
        <v>3356</v>
      </c>
      <c r="J1745" s="3" t="s">
        <v>3356</v>
      </c>
      <c r="L1745" s="1" t="s">
        <v>6135</v>
      </c>
    </row>
    <row r="1746" spans="1:12">
      <c r="A1746" s="3" t="s">
        <v>3356</v>
      </c>
      <c r="C1746" s="3" t="s">
        <v>3817</v>
      </c>
      <c r="D1746" s="3" t="s">
        <v>3618</v>
      </c>
      <c r="E1746" s="3" t="s">
        <v>3438</v>
      </c>
      <c r="F1746" s="3" t="s">
        <v>5569</v>
      </c>
      <c r="G1746" s="3" t="s">
        <v>6466</v>
      </c>
      <c r="H1746" s="6" t="s">
        <v>3356</v>
      </c>
      <c r="I1746" s="6" t="s">
        <v>3356</v>
      </c>
      <c r="J1746" s="3" t="s">
        <v>3356</v>
      </c>
      <c r="L1746" s="1" t="s">
        <v>6135</v>
      </c>
    </row>
    <row r="1747" spans="1:12">
      <c r="A1747" s="3" t="s">
        <v>3356</v>
      </c>
      <c r="C1747" s="3" t="s">
        <v>3817</v>
      </c>
      <c r="D1747" s="3" t="s">
        <v>3618</v>
      </c>
      <c r="E1747" s="3" t="s">
        <v>3438</v>
      </c>
      <c r="F1747" s="3" t="s">
        <v>5569</v>
      </c>
      <c r="G1747" s="3" t="s">
        <v>6439</v>
      </c>
      <c r="H1747" s="6" t="s">
        <v>3356</v>
      </c>
      <c r="I1747" s="6" t="s">
        <v>3356</v>
      </c>
      <c r="J1747" s="3" t="s">
        <v>3356</v>
      </c>
      <c r="L1747" s="1" t="s">
        <v>6135</v>
      </c>
    </row>
    <row r="1748" spans="1:12">
      <c r="A1748" s="3" t="s">
        <v>3356</v>
      </c>
      <c r="C1748" s="3" t="s">
        <v>3817</v>
      </c>
      <c r="D1748" s="3" t="s">
        <v>3618</v>
      </c>
      <c r="E1748" s="3" t="s">
        <v>3438</v>
      </c>
      <c r="F1748" s="3" t="s">
        <v>6565</v>
      </c>
      <c r="G1748" s="3" t="s">
        <v>6566</v>
      </c>
      <c r="H1748" s="6" t="s">
        <v>3356</v>
      </c>
      <c r="I1748" s="6" t="s">
        <v>3356</v>
      </c>
      <c r="J1748" s="3" t="s">
        <v>3356</v>
      </c>
      <c r="L1748" s="1" t="s">
        <v>6135</v>
      </c>
    </row>
    <row r="1749" spans="1:12">
      <c r="A1749" s="3" t="s">
        <v>3356</v>
      </c>
      <c r="C1749" s="3" t="s">
        <v>3817</v>
      </c>
      <c r="D1749" s="3" t="s">
        <v>3618</v>
      </c>
      <c r="E1749" s="3" t="s">
        <v>3438</v>
      </c>
      <c r="F1749" s="3" t="s">
        <v>6565</v>
      </c>
      <c r="G1749" s="3" t="s">
        <v>6567</v>
      </c>
      <c r="H1749" s="6" t="s">
        <v>3356</v>
      </c>
      <c r="I1749" s="6" t="s">
        <v>3356</v>
      </c>
      <c r="J1749" s="3" t="s">
        <v>3356</v>
      </c>
      <c r="L1749" s="1" t="s">
        <v>6135</v>
      </c>
    </row>
    <row r="1750" spans="1:12">
      <c r="A1750" s="3" t="s">
        <v>3356</v>
      </c>
      <c r="C1750" s="3" t="s">
        <v>3817</v>
      </c>
      <c r="D1750" s="3" t="s">
        <v>3618</v>
      </c>
      <c r="E1750" s="3" t="s">
        <v>3438</v>
      </c>
      <c r="F1750" s="3" t="s">
        <v>6440</v>
      </c>
      <c r="G1750" s="3" t="s">
        <v>6441</v>
      </c>
      <c r="H1750" s="6" t="s">
        <v>3356</v>
      </c>
      <c r="I1750" s="6" t="s">
        <v>3356</v>
      </c>
      <c r="J1750" s="3" t="s">
        <v>3356</v>
      </c>
      <c r="L1750" s="1" t="s">
        <v>6135</v>
      </c>
    </row>
    <row r="1751" spans="1:12">
      <c r="A1751" s="3" t="s">
        <v>3356</v>
      </c>
      <c r="C1751" s="3" t="s">
        <v>3817</v>
      </c>
      <c r="D1751" s="3" t="s">
        <v>3618</v>
      </c>
      <c r="E1751" s="3" t="s">
        <v>3438</v>
      </c>
      <c r="F1751" s="3" t="s">
        <v>6440</v>
      </c>
      <c r="G1751" s="3" t="s">
        <v>6438</v>
      </c>
      <c r="H1751" s="6" t="s">
        <v>3356</v>
      </c>
      <c r="I1751" s="6" t="s">
        <v>3356</v>
      </c>
      <c r="J1751" s="3" t="s">
        <v>3356</v>
      </c>
      <c r="L1751" s="1" t="s">
        <v>6135</v>
      </c>
    </row>
    <row r="1752" spans="1:12">
      <c r="A1752" s="3" t="s">
        <v>3356</v>
      </c>
      <c r="C1752" s="3" t="s">
        <v>3817</v>
      </c>
      <c r="D1752" s="3" t="s">
        <v>3618</v>
      </c>
      <c r="E1752" s="3" t="s">
        <v>3438</v>
      </c>
      <c r="F1752" s="3" t="s">
        <v>6538</v>
      </c>
      <c r="G1752" s="3" t="s">
        <v>5637</v>
      </c>
      <c r="H1752" s="6" t="s">
        <v>3356</v>
      </c>
      <c r="I1752" s="6" t="s">
        <v>3356</v>
      </c>
      <c r="J1752" s="3" t="s">
        <v>3356</v>
      </c>
      <c r="L1752" s="1" t="s">
        <v>6135</v>
      </c>
    </row>
    <row r="1753" spans="1:12">
      <c r="A1753" s="3" t="s">
        <v>3356</v>
      </c>
      <c r="C1753" s="3" t="s">
        <v>3817</v>
      </c>
      <c r="D1753" s="3" t="s">
        <v>3618</v>
      </c>
      <c r="E1753" s="3" t="s">
        <v>3438</v>
      </c>
      <c r="F1753" s="3" t="s">
        <v>6538</v>
      </c>
      <c r="G1753" s="3" t="s">
        <v>6460</v>
      </c>
      <c r="H1753" s="6" t="s">
        <v>3356</v>
      </c>
      <c r="I1753" s="6" t="s">
        <v>3356</v>
      </c>
      <c r="J1753" s="3" t="s">
        <v>3356</v>
      </c>
      <c r="L1753" s="1" t="s">
        <v>6135</v>
      </c>
    </row>
    <row r="1754" spans="1:12">
      <c r="A1754" s="3" t="s">
        <v>3356</v>
      </c>
      <c r="C1754" s="3" t="s">
        <v>3817</v>
      </c>
      <c r="D1754" s="3" t="s">
        <v>3618</v>
      </c>
      <c r="E1754" s="3" t="s">
        <v>3438</v>
      </c>
      <c r="F1754" s="3" t="s">
        <v>6538</v>
      </c>
      <c r="G1754" s="3" t="s">
        <v>4331</v>
      </c>
      <c r="H1754" s="6" t="s">
        <v>3356</v>
      </c>
      <c r="I1754" s="6" t="s">
        <v>3356</v>
      </c>
      <c r="J1754" s="3" t="s">
        <v>3356</v>
      </c>
      <c r="L1754" s="1" t="s">
        <v>6135</v>
      </c>
    </row>
    <row r="1755" spans="1:12">
      <c r="A1755" s="3" t="s">
        <v>3356</v>
      </c>
      <c r="C1755" s="3" t="s">
        <v>3817</v>
      </c>
      <c r="D1755" s="3" t="s">
        <v>3618</v>
      </c>
      <c r="E1755" s="3" t="s">
        <v>3438</v>
      </c>
      <c r="F1755" s="3" t="s">
        <v>6538</v>
      </c>
      <c r="G1755" s="3" t="s">
        <v>7543</v>
      </c>
      <c r="H1755" s="6" t="s">
        <v>3356</v>
      </c>
      <c r="I1755" s="6" t="s">
        <v>3356</v>
      </c>
      <c r="J1755" s="3" t="s">
        <v>3356</v>
      </c>
      <c r="L1755" s="1" t="s">
        <v>6135</v>
      </c>
    </row>
    <row r="1756" spans="1:12">
      <c r="A1756" s="3" t="s">
        <v>3356</v>
      </c>
      <c r="C1756" s="3" t="s">
        <v>3817</v>
      </c>
      <c r="D1756" s="3" t="s">
        <v>3618</v>
      </c>
      <c r="E1756" s="3" t="s">
        <v>3438</v>
      </c>
      <c r="F1756" s="3" t="s">
        <v>6825</v>
      </c>
      <c r="G1756" s="3" t="s">
        <v>6563</v>
      </c>
      <c r="H1756" s="6" t="s">
        <v>3356</v>
      </c>
      <c r="I1756" s="6" t="s">
        <v>3356</v>
      </c>
      <c r="J1756" s="3" t="s">
        <v>3356</v>
      </c>
      <c r="L1756" s="1" t="s">
        <v>6135</v>
      </c>
    </row>
    <row r="1757" spans="1:12">
      <c r="A1757" s="3" t="s">
        <v>3356</v>
      </c>
      <c r="C1757" s="3" t="s">
        <v>3817</v>
      </c>
      <c r="D1757" s="3" t="s">
        <v>3618</v>
      </c>
      <c r="E1757" s="3" t="s">
        <v>3438</v>
      </c>
      <c r="F1757" s="3" t="s">
        <v>6825</v>
      </c>
      <c r="G1757" s="3" t="s">
        <v>6121</v>
      </c>
      <c r="H1757" s="6" t="s">
        <v>3356</v>
      </c>
      <c r="I1757" s="6" t="s">
        <v>3356</v>
      </c>
      <c r="J1757" s="3" t="s">
        <v>3356</v>
      </c>
      <c r="L1757" s="1" t="s">
        <v>6135</v>
      </c>
    </row>
    <row r="1758" spans="1:12">
      <c r="A1758" s="3" t="s">
        <v>3356</v>
      </c>
      <c r="C1758" s="3" t="s">
        <v>3817</v>
      </c>
      <c r="D1758" s="3" t="s">
        <v>3618</v>
      </c>
      <c r="E1758" s="3" t="s">
        <v>3438</v>
      </c>
      <c r="F1758" s="3" t="s">
        <v>6825</v>
      </c>
      <c r="G1758" s="3" t="s">
        <v>5789</v>
      </c>
      <c r="H1758" s="6" t="s">
        <v>3356</v>
      </c>
      <c r="I1758" s="6" t="s">
        <v>3356</v>
      </c>
      <c r="J1758" s="3" t="s">
        <v>3356</v>
      </c>
      <c r="L1758" s="1" t="s">
        <v>6135</v>
      </c>
    </row>
    <row r="1759" spans="1:12">
      <c r="A1759" s="3" t="s">
        <v>3356</v>
      </c>
      <c r="C1759" s="3" t="s">
        <v>3817</v>
      </c>
      <c r="D1759" s="3" t="s">
        <v>3618</v>
      </c>
      <c r="E1759" s="3" t="s">
        <v>3438</v>
      </c>
      <c r="F1759" s="3" t="s">
        <v>6825</v>
      </c>
      <c r="G1759" s="3" t="s">
        <v>8215</v>
      </c>
      <c r="H1759" s="6" t="s">
        <v>3356</v>
      </c>
      <c r="I1759" s="6" t="s">
        <v>3356</v>
      </c>
      <c r="J1759" s="3" t="s">
        <v>3356</v>
      </c>
      <c r="L1759" s="1" t="s">
        <v>6135</v>
      </c>
    </row>
    <row r="1760" spans="1:12">
      <c r="A1760" s="3" t="s">
        <v>3356</v>
      </c>
      <c r="C1760" s="3" t="s">
        <v>3817</v>
      </c>
      <c r="D1760" s="3" t="s">
        <v>3618</v>
      </c>
      <c r="E1760" s="3" t="s">
        <v>3438</v>
      </c>
      <c r="F1760" s="3" t="s">
        <v>6825</v>
      </c>
      <c r="G1760" s="3" t="s">
        <v>8216</v>
      </c>
      <c r="H1760" s="6" t="s">
        <v>3356</v>
      </c>
      <c r="I1760" s="6" t="s">
        <v>3356</v>
      </c>
      <c r="J1760" s="3" t="s">
        <v>3356</v>
      </c>
      <c r="L1760" s="1" t="s">
        <v>6135</v>
      </c>
    </row>
    <row r="1761" spans="1:12">
      <c r="A1761" s="3" t="s">
        <v>3356</v>
      </c>
      <c r="C1761" s="3" t="s">
        <v>3817</v>
      </c>
      <c r="D1761" s="3" t="s">
        <v>3618</v>
      </c>
      <c r="E1761" s="3" t="s">
        <v>3438</v>
      </c>
      <c r="F1761" s="3" t="s">
        <v>6825</v>
      </c>
      <c r="G1761" s="3" t="s">
        <v>6115</v>
      </c>
      <c r="H1761" s="6" t="s">
        <v>3356</v>
      </c>
      <c r="I1761" s="6" t="s">
        <v>3356</v>
      </c>
      <c r="J1761" s="3" t="s">
        <v>3356</v>
      </c>
      <c r="L1761" s="1" t="s">
        <v>6135</v>
      </c>
    </row>
    <row r="1762" spans="1:12">
      <c r="A1762" s="3" t="s">
        <v>3356</v>
      </c>
      <c r="C1762" s="3" t="s">
        <v>3817</v>
      </c>
      <c r="D1762" s="3" t="s">
        <v>3618</v>
      </c>
      <c r="E1762" s="3" t="s">
        <v>3438</v>
      </c>
      <c r="F1762" s="3" t="s">
        <v>6825</v>
      </c>
      <c r="G1762" s="3" t="s">
        <v>8208</v>
      </c>
      <c r="H1762" s="6">
        <v>3.720159303405957</v>
      </c>
      <c r="I1762" s="6">
        <v>5250</v>
      </c>
      <c r="J1762" s="3" t="s">
        <v>6736</v>
      </c>
      <c r="L1762" s="1" t="s">
        <v>6135</v>
      </c>
    </row>
    <row r="1763" spans="1:12">
      <c r="A1763" s="3" t="s">
        <v>3356</v>
      </c>
      <c r="C1763" s="3" t="s">
        <v>3817</v>
      </c>
      <c r="D1763" s="3" t="s">
        <v>3618</v>
      </c>
      <c r="E1763" s="3" t="s">
        <v>3438</v>
      </c>
      <c r="F1763" s="3" t="s">
        <v>6825</v>
      </c>
      <c r="G1763" s="3" t="s">
        <v>6706</v>
      </c>
      <c r="H1763" s="6" t="s">
        <v>3356</v>
      </c>
      <c r="I1763" s="6" t="s">
        <v>3356</v>
      </c>
      <c r="J1763" s="3" t="s">
        <v>3356</v>
      </c>
      <c r="L1763" s="1" t="s">
        <v>6135</v>
      </c>
    </row>
    <row r="1764" spans="1:12">
      <c r="A1764" s="3" t="s">
        <v>3356</v>
      </c>
      <c r="C1764" s="3" t="s">
        <v>3817</v>
      </c>
      <c r="D1764" s="3" t="s">
        <v>3618</v>
      </c>
      <c r="E1764" s="3" t="s">
        <v>3438</v>
      </c>
      <c r="F1764" s="3" t="s">
        <v>6825</v>
      </c>
      <c r="G1764" s="3" t="s">
        <v>8225</v>
      </c>
      <c r="H1764" s="6" t="s">
        <v>3356</v>
      </c>
      <c r="I1764" s="6" t="s">
        <v>3356</v>
      </c>
      <c r="J1764" s="3" t="s">
        <v>3356</v>
      </c>
      <c r="L1764" s="1" t="s">
        <v>6135</v>
      </c>
    </row>
    <row r="1765" spans="1:12">
      <c r="A1765" s="3" t="s">
        <v>3356</v>
      </c>
      <c r="C1765" s="3" t="s">
        <v>3817</v>
      </c>
      <c r="D1765" s="3" t="s">
        <v>3618</v>
      </c>
      <c r="E1765" s="3" t="s">
        <v>3438</v>
      </c>
      <c r="F1765" s="3" t="s">
        <v>2932</v>
      </c>
      <c r="G1765" s="3" t="s">
        <v>6547</v>
      </c>
      <c r="H1765" s="6" t="s">
        <v>3356</v>
      </c>
      <c r="I1765" s="6" t="s">
        <v>3356</v>
      </c>
      <c r="J1765" s="3" t="s">
        <v>3356</v>
      </c>
      <c r="L1765" s="1" t="s">
        <v>6135</v>
      </c>
    </row>
    <row r="1766" spans="1:12">
      <c r="A1766" s="3" t="s">
        <v>3356</v>
      </c>
      <c r="C1766" s="3" t="s">
        <v>3817</v>
      </c>
      <c r="D1766" s="3" t="s">
        <v>3618</v>
      </c>
      <c r="E1766" s="3" t="s">
        <v>3438</v>
      </c>
      <c r="F1766" s="3" t="s">
        <v>3659</v>
      </c>
      <c r="G1766" s="3" t="s">
        <v>4633</v>
      </c>
      <c r="H1766" s="6" t="s">
        <v>3356</v>
      </c>
      <c r="I1766" s="6" t="s">
        <v>3356</v>
      </c>
      <c r="J1766" s="3" t="s">
        <v>3356</v>
      </c>
      <c r="L1766" s="1" t="s">
        <v>6135</v>
      </c>
    </row>
    <row r="1767" spans="1:12">
      <c r="A1767" s="3" t="s">
        <v>3356</v>
      </c>
      <c r="C1767" s="3" t="s">
        <v>3817</v>
      </c>
      <c r="D1767" s="3" t="s">
        <v>3618</v>
      </c>
      <c r="E1767" s="3" t="s">
        <v>3438</v>
      </c>
      <c r="F1767" s="3" t="s">
        <v>8260</v>
      </c>
      <c r="G1767" s="3" t="s">
        <v>3547</v>
      </c>
      <c r="H1767" s="6" t="s">
        <v>3356</v>
      </c>
      <c r="I1767" s="6" t="s">
        <v>3356</v>
      </c>
      <c r="J1767" s="3" t="s">
        <v>3356</v>
      </c>
      <c r="L1767" s="1" t="s">
        <v>6135</v>
      </c>
    </row>
    <row r="1768" spans="1:12">
      <c r="A1768" s="3" t="s">
        <v>3356</v>
      </c>
      <c r="C1768" s="3" t="s">
        <v>3817</v>
      </c>
      <c r="D1768" s="3" t="s">
        <v>3618</v>
      </c>
      <c r="E1768" s="3" t="s">
        <v>3438</v>
      </c>
      <c r="F1768" s="3" t="s">
        <v>8260</v>
      </c>
      <c r="G1768" s="3" t="s">
        <v>2931</v>
      </c>
      <c r="H1768" s="6" t="s">
        <v>3356</v>
      </c>
      <c r="I1768" s="6" t="s">
        <v>3356</v>
      </c>
      <c r="J1768" s="3" t="s">
        <v>3356</v>
      </c>
      <c r="L1768" s="1" t="s">
        <v>6135</v>
      </c>
    </row>
    <row r="1769" spans="1:12">
      <c r="A1769" s="3" t="s">
        <v>3356</v>
      </c>
      <c r="C1769" s="3" t="s">
        <v>3817</v>
      </c>
      <c r="D1769" s="3" t="s">
        <v>3618</v>
      </c>
      <c r="E1769" s="3" t="s">
        <v>3438</v>
      </c>
      <c r="F1769" s="3" t="s">
        <v>8260</v>
      </c>
      <c r="G1769" s="3" t="s">
        <v>4610</v>
      </c>
      <c r="H1769" s="6" t="s">
        <v>3356</v>
      </c>
      <c r="I1769" s="6" t="s">
        <v>3356</v>
      </c>
      <c r="J1769" s="3" t="s">
        <v>3356</v>
      </c>
      <c r="L1769" s="1" t="s">
        <v>6135</v>
      </c>
    </row>
    <row r="1770" spans="1:12">
      <c r="A1770" s="3" t="s">
        <v>3356</v>
      </c>
      <c r="C1770" s="3" t="s">
        <v>3817</v>
      </c>
      <c r="D1770" s="3" t="s">
        <v>3618</v>
      </c>
      <c r="E1770" s="3" t="s">
        <v>3438</v>
      </c>
      <c r="F1770" s="3" t="s">
        <v>8260</v>
      </c>
      <c r="G1770" s="3" t="s">
        <v>3880</v>
      </c>
      <c r="H1770" s="6" t="s">
        <v>3356</v>
      </c>
      <c r="I1770" s="6" t="s">
        <v>3356</v>
      </c>
      <c r="J1770" s="3" t="s">
        <v>3356</v>
      </c>
      <c r="L1770" s="1" t="s">
        <v>6135</v>
      </c>
    </row>
    <row r="1771" spans="1:12">
      <c r="A1771" s="3" t="s">
        <v>3356</v>
      </c>
      <c r="C1771" s="3" t="s">
        <v>3817</v>
      </c>
      <c r="D1771" s="3" t="s">
        <v>3618</v>
      </c>
      <c r="E1771" s="3" t="s">
        <v>3438</v>
      </c>
      <c r="F1771" s="3" t="s">
        <v>8260</v>
      </c>
      <c r="G1771" s="3" t="s">
        <v>6572</v>
      </c>
      <c r="H1771" s="6" t="s">
        <v>3356</v>
      </c>
      <c r="I1771" s="6" t="s">
        <v>3356</v>
      </c>
      <c r="J1771" s="3" t="s">
        <v>3356</v>
      </c>
      <c r="L1771" s="1" t="s">
        <v>6135</v>
      </c>
    </row>
    <row r="1772" spans="1:12">
      <c r="A1772" s="3" t="s">
        <v>3356</v>
      </c>
      <c r="C1772" s="3" t="s">
        <v>3817</v>
      </c>
      <c r="D1772" s="3" t="s">
        <v>3618</v>
      </c>
      <c r="E1772" s="3" t="s">
        <v>3438</v>
      </c>
      <c r="F1772" s="3" t="s">
        <v>8260</v>
      </c>
      <c r="G1772" s="3" t="s">
        <v>6573</v>
      </c>
      <c r="H1772" s="6" t="s">
        <v>3356</v>
      </c>
      <c r="I1772" s="6" t="s">
        <v>3356</v>
      </c>
      <c r="J1772" s="3" t="s">
        <v>3356</v>
      </c>
      <c r="L1772" s="1" t="s">
        <v>6135</v>
      </c>
    </row>
    <row r="1773" spans="1:12">
      <c r="A1773" s="3" t="s">
        <v>3356</v>
      </c>
      <c r="C1773" s="3" t="s">
        <v>3817</v>
      </c>
      <c r="D1773" s="3" t="s">
        <v>3618</v>
      </c>
      <c r="E1773" s="3" t="s">
        <v>3438</v>
      </c>
      <c r="F1773" s="3" t="s">
        <v>8260</v>
      </c>
      <c r="G1773" s="3" t="s">
        <v>3881</v>
      </c>
      <c r="H1773" s="6" t="s">
        <v>3356</v>
      </c>
      <c r="I1773" s="6" t="s">
        <v>3356</v>
      </c>
      <c r="J1773" s="3" t="s">
        <v>3356</v>
      </c>
      <c r="L1773" s="1" t="s">
        <v>6135</v>
      </c>
    </row>
    <row r="1774" spans="1:12">
      <c r="A1774" s="3" t="s">
        <v>3356</v>
      </c>
      <c r="C1774" s="3" t="s">
        <v>3817</v>
      </c>
      <c r="D1774" s="3" t="s">
        <v>3618</v>
      </c>
      <c r="E1774" s="3" t="s">
        <v>3438</v>
      </c>
      <c r="F1774" s="3" t="s">
        <v>8260</v>
      </c>
      <c r="G1774" s="3" t="s">
        <v>4097</v>
      </c>
      <c r="H1774" s="6" t="s">
        <v>3356</v>
      </c>
      <c r="I1774" s="6" t="s">
        <v>3356</v>
      </c>
      <c r="J1774" s="3" t="s">
        <v>3356</v>
      </c>
      <c r="L1774" s="1" t="s">
        <v>6135</v>
      </c>
    </row>
    <row r="1775" spans="1:12">
      <c r="A1775" s="3" t="s">
        <v>3356</v>
      </c>
      <c r="C1775" s="3" t="s">
        <v>3817</v>
      </c>
      <c r="D1775" s="3" t="s">
        <v>3618</v>
      </c>
      <c r="E1775" s="3" t="s">
        <v>3438</v>
      </c>
      <c r="F1775" s="3" t="s">
        <v>6442</v>
      </c>
      <c r="G1775" s="3" t="s">
        <v>7400</v>
      </c>
      <c r="H1775" s="6" t="s">
        <v>3356</v>
      </c>
      <c r="I1775" s="6" t="s">
        <v>3356</v>
      </c>
      <c r="J1775" s="3" t="s">
        <v>3356</v>
      </c>
      <c r="L1775" s="1" t="s">
        <v>6135</v>
      </c>
    </row>
    <row r="1776" spans="1:12">
      <c r="A1776" s="3" t="s">
        <v>3356</v>
      </c>
      <c r="C1776" s="3" t="s">
        <v>3817</v>
      </c>
      <c r="D1776" s="3" t="s">
        <v>3618</v>
      </c>
      <c r="E1776" s="3" t="s">
        <v>3438</v>
      </c>
      <c r="F1776" s="3" t="s">
        <v>6442</v>
      </c>
      <c r="G1776" s="3" t="s">
        <v>5637</v>
      </c>
      <c r="H1776" s="6" t="s">
        <v>3356</v>
      </c>
      <c r="I1776" s="6" t="s">
        <v>3356</v>
      </c>
      <c r="J1776" s="3" t="s">
        <v>3356</v>
      </c>
      <c r="L1776" s="1" t="s">
        <v>6135</v>
      </c>
    </row>
    <row r="1777" spans="1:12">
      <c r="A1777" s="3" t="s">
        <v>3356</v>
      </c>
      <c r="C1777" s="3" t="s">
        <v>3817</v>
      </c>
      <c r="D1777" s="3" t="s">
        <v>3618</v>
      </c>
      <c r="E1777" s="3" t="s">
        <v>3438</v>
      </c>
      <c r="F1777" s="3" t="s">
        <v>6442</v>
      </c>
      <c r="G1777" s="3" t="s">
        <v>3332</v>
      </c>
      <c r="H1777" s="6" t="s">
        <v>3356</v>
      </c>
      <c r="I1777" s="6" t="s">
        <v>3356</v>
      </c>
      <c r="J1777" s="3" t="s">
        <v>3356</v>
      </c>
      <c r="L1777" s="1" t="s">
        <v>6135</v>
      </c>
    </row>
    <row r="1778" spans="1:12">
      <c r="A1778" s="3" t="s">
        <v>3356</v>
      </c>
      <c r="C1778" s="3" t="s">
        <v>3817</v>
      </c>
      <c r="D1778" s="3" t="s">
        <v>3618</v>
      </c>
      <c r="E1778" s="3" t="s">
        <v>3438</v>
      </c>
      <c r="F1778" s="3" t="s">
        <v>8209</v>
      </c>
      <c r="G1778" s="3" t="s">
        <v>3333</v>
      </c>
      <c r="H1778" s="6" t="s">
        <v>3356</v>
      </c>
      <c r="I1778" s="6" t="s">
        <v>3356</v>
      </c>
      <c r="J1778" s="3" t="s">
        <v>3356</v>
      </c>
      <c r="L1778" s="1" t="s">
        <v>6135</v>
      </c>
    </row>
    <row r="1779" spans="1:12">
      <c r="A1779" s="3" t="s">
        <v>3356</v>
      </c>
      <c r="C1779" s="3" t="s">
        <v>3817</v>
      </c>
      <c r="D1779" s="3" t="s">
        <v>3618</v>
      </c>
      <c r="E1779" s="3" t="s">
        <v>3438</v>
      </c>
      <c r="F1779" s="3" t="s">
        <v>8209</v>
      </c>
      <c r="G1779" s="3" t="s">
        <v>2076</v>
      </c>
      <c r="H1779" s="6" t="s">
        <v>3356</v>
      </c>
      <c r="I1779" s="6" t="s">
        <v>3356</v>
      </c>
      <c r="J1779" s="3" t="s">
        <v>3356</v>
      </c>
      <c r="L1779" s="1" t="s">
        <v>6135</v>
      </c>
    </row>
    <row r="1780" spans="1:12">
      <c r="A1780" s="3" t="s">
        <v>3356</v>
      </c>
      <c r="C1780" s="3" t="s">
        <v>3817</v>
      </c>
      <c r="D1780" s="3" t="s">
        <v>3618</v>
      </c>
      <c r="E1780" s="3" t="s">
        <v>3438</v>
      </c>
      <c r="F1780" s="3" t="s">
        <v>8209</v>
      </c>
      <c r="G1780" s="3" t="s">
        <v>3616</v>
      </c>
      <c r="H1780" s="6" t="s">
        <v>3356</v>
      </c>
      <c r="I1780" s="6" t="s">
        <v>3356</v>
      </c>
      <c r="J1780" s="3" t="s">
        <v>3356</v>
      </c>
      <c r="L1780" s="1" t="s">
        <v>6135</v>
      </c>
    </row>
    <row r="1781" spans="1:12">
      <c r="A1781" s="3" t="s">
        <v>3356</v>
      </c>
      <c r="C1781" s="3" t="s">
        <v>3817</v>
      </c>
      <c r="D1781" s="3" t="s">
        <v>3618</v>
      </c>
      <c r="E1781" s="3" t="s">
        <v>3438</v>
      </c>
      <c r="F1781" s="3" t="s">
        <v>8209</v>
      </c>
      <c r="G1781" s="3" t="s">
        <v>3334</v>
      </c>
      <c r="H1781" s="6" t="s">
        <v>3356</v>
      </c>
      <c r="I1781" s="6" t="s">
        <v>3356</v>
      </c>
      <c r="J1781" s="3" t="s">
        <v>3356</v>
      </c>
      <c r="L1781" s="1" t="s">
        <v>6135</v>
      </c>
    </row>
    <row r="1782" spans="1:12">
      <c r="A1782" s="3" t="s">
        <v>3356</v>
      </c>
      <c r="C1782" s="3" t="s">
        <v>3817</v>
      </c>
      <c r="D1782" s="3" t="s">
        <v>3618</v>
      </c>
      <c r="E1782" s="3" t="s">
        <v>3438</v>
      </c>
      <c r="F1782" s="3" t="s">
        <v>8209</v>
      </c>
      <c r="G1782" s="3" t="s">
        <v>6607</v>
      </c>
      <c r="H1782" s="6" t="s">
        <v>3356</v>
      </c>
      <c r="I1782" s="6" t="s">
        <v>3356</v>
      </c>
      <c r="J1782" s="3" t="s">
        <v>3356</v>
      </c>
      <c r="L1782" s="1" t="s">
        <v>6135</v>
      </c>
    </row>
    <row r="1783" spans="1:12">
      <c r="A1783" s="3" t="s">
        <v>3356</v>
      </c>
      <c r="C1783" s="3" t="s">
        <v>3817</v>
      </c>
      <c r="D1783" s="3" t="s">
        <v>3618</v>
      </c>
      <c r="E1783" s="3" t="s">
        <v>3438</v>
      </c>
      <c r="F1783" s="3" t="s">
        <v>8209</v>
      </c>
      <c r="G1783" s="3" t="s">
        <v>6343</v>
      </c>
      <c r="H1783" s="6" t="s">
        <v>3356</v>
      </c>
      <c r="I1783" s="6" t="s">
        <v>3356</v>
      </c>
      <c r="J1783" s="3" t="s">
        <v>3356</v>
      </c>
      <c r="L1783" s="1" t="s">
        <v>6135</v>
      </c>
    </row>
    <row r="1784" spans="1:12">
      <c r="A1784" s="3" t="s">
        <v>3356</v>
      </c>
      <c r="C1784" s="3" t="s">
        <v>3817</v>
      </c>
      <c r="D1784" s="3" t="s">
        <v>3618</v>
      </c>
      <c r="E1784" s="3" t="s">
        <v>3438</v>
      </c>
      <c r="F1784" s="3" t="s">
        <v>8209</v>
      </c>
      <c r="G1784" s="3" t="s">
        <v>5927</v>
      </c>
      <c r="H1784" s="6">
        <v>3.2304489213782741</v>
      </c>
      <c r="I1784" s="6">
        <v>1700</v>
      </c>
      <c r="J1784" s="3" t="s">
        <v>6736</v>
      </c>
      <c r="L1784" s="1" t="s">
        <v>6135</v>
      </c>
    </row>
    <row r="1785" spans="1:12">
      <c r="A1785" s="3" t="s">
        <v>3356</v>
      </c>
      <c r="C1785" s="3" t="s">
        <v>3817</v>
      </c>
      <c r="D1785" s="3" t="s">
        <v>3618</v>
      </c>
      <c r="E1785" s="3" t="s">
        <v>3438</v>
      </c>
      <c r="F1785" s="3" t="s">
        <v>8209</v>
      </c>
      <c r="G1785" s="3" t="s">
        <v>6610</v>
      </c>
      <c r="H1785" s="6" t="s">
        <v>3356</v>
      </c>
      <c r="I1785" s="6" t="s">
        <v>3356</v>
      </c>
      <c r="J1785" s="3" t="s">
        <v>3356</v>
      </c>
      <c r="L1785" s="1" t="s">
        <v>6135</v>
      </c>
    </row>
    <row r="1786" spans="1:12">
      <c r="A1786" s="3" t="s">
        <v>3356</v>
      </c>
      <c r="C1786" s="3" t="s">
        <v>3817</v>
      </c>
      <c r="D1786" s="3" t="s">
        <v>3618</v>
      </c>
      <c r="E1786" s="3" t="s">
        <v>3438</v>
      </c>
      <c r="F1786" s="3" t="s">
        <v>5928</v>
      </c>
      <c r="G1786" s="3" t="s">
        <v>3835</v>
      </c>
      <c r="H1786" s="6" t="s">
        <v>3356</v>
      </c>
      <c r="I1786" s="6" t="s">
        <v>3356</v>
      </c>
      <c r="J1786" s="3" t="s">
        <v>3356</v>
      </c>
      <c r="L1786" s="1" t="s">
        <v>6135</v>
      </c>
    </row>
    <row r="1787" spans="1:12">
      <c r="A1787" s="3" t="s">
        <v>3356</v>
      </c>
      <c r="C1787" s="3" t="s">
        <v>3817</v>
      </c>
      <c r="D1787" s="3" t="s">
        <v>3618</v>
      </c>
      <c r="E1787" s="3" t="s">
        <v>3438</v>
      </c>
      <c r="F1787" s="3" t="s">
        <v>5928</v>
      </c>
      <c r="G1787" s="3" t="s">
        <v>6611</v>
      </c>
      <c r="H1787" s="6" t="s">
        <v>3356</v>
      </c>
      <c r="I1787" s="6" t="s">
        <v>3356</v>
      </c>
      <c r="J1787" s="3" t="s">
        <v>3356</v>
      </c>
      <c r="L1787" s="1" t="s">
        <v>6135</v>
      </c>
    </row>
    <row r="1788" spans="1:12">
      <c r="A1788" s="3" t="s">
        <v>3356</v>
      </c>
      <c r="C1788" s="3" t="s">
        <v>3817</v>
      </c>
      <c r="D1788" s="3" t="s">
        <v>3618</v>
      </c>
      <c r="E1788" s="3" t="s">
        <v>3438</v>
      </c>
      <c r="F1788" s="3" t="s">
        <v>5928</v>
      </c>
      <c r="G1788" s="3" t="s">
        <v>5929</v>
      </c>
      <c r="H1788" s="6">
        <v>2.0413926851582249</v>
      </c>
      <c r="I1788" s="6">
        <v>110</v>
      </c>
      <c r="J1788" s="3" t="s">
        <v>6736</v>
      </c>
      <c r="L1788" s="1" t="s">
        <v>6135</v>
      </c>
    </row>
    <row r="1789" spans="1:12">
      <c r="A1789" s="3" t="s">
        <v>3356</v>
      </c>
      <c r="C1789" s="3" t="s">
        <v>3817</v>
      </c>
      <c r="D1789" s="3" t="s">
        <v>3618</v>
      </c>
      <c r="E1789" s="3" t="s">
        <v>3438</v>
      </c>
      <c r="F1789" s="3" t="s">
        <v>5928</v>
      </c>
      <c r="G1789" s="3" t="s">
        <v>6612</v>
      </c>
      <c r="H1789" s="6" t="s">
        <v>3356</v>
      </c>
      <c r="I1789" s="6" t="s">
        <v>3356</v>
      </c>
      <c r="J1789" s="3" t="s">
        <v>3356</v>
      </c>
      <c r="L1789" s="1" t="s">
        <v>6135</v>
      </c>
    </row>
    <row r="1790" spans="1:12">
      <c r="A1790" s="3" t="s">
        <v>3356</v>
      </c>
      <c r="C1790" s="3" t="s">
        <v>3817</v>
      </c>
      <c r="D1790" s="3" t="s">
        <v>3618</v>
      </c>
      <c r="E1790" s="3" t="s">
        <v>3438</v>
      </c>
      <c r="F1790" s="3" t="s">
        <v>5928</v>
      </c>
      <c r="G1790" s="3" t="s">
        <v>7213</v>
      </c>
      <c r="H1790" s="6" t="s">
        <v>3356</v>
      </c>
      <c r="I1790" s="6" t="s">
        <v>3356</v>
      </c>
      <c r="J1790" s="3" t="s">
        <v>3356</v>
      </c>
      <c r="L1790" s="1" t="s">
        <v>6135</v>
      </c>
    </row>
    <row r="1791" spans="1:12">
      <c r="A1791" s="3" t="s">
        <v>3356</v>
      </c>
      <c r="C1791" s="3" t="s">
        <v>3817</v>
      </c>
      <c r="D1791" s="3" t="s">
        <v>3618</v>
      </c>
      <c r="E1791" s="3" t="s">
        <v>3438</v>
      </c>
      <c r="F1791" s="3" t="s">
        <v>5928</v>
      </c>
      <c r="G1791" s="3" t="s">
        <v>5253</v>
      </c>
      <c r="H1791" s="6" t="s">
        <v>3356</v>
      </c>
      <c r="I1791" s="6" t="s">
        <v>3356</v>
      </c>
      <c r="J1791" s="3" t="s">
        <v>3356</v>
      </c>
      <c r="L1791" s="1" t="s">
        <v>6135</v>
      </c>
    </row>
    <row r="1792" spans="1:12">
      <c r="A1792" s="3" t="s">
        <v>3356</v>
      </c>
      <c r="C1792" s="3" t="s">
        <v>3817</v>
      </c>
      <c r="D1792" s="3" t="s">
        <v>3618</v>
      </c>
      <c r="E1792" s="3" t="s">
        <v>3438</v>
      </c>
      <c r="F1792" s="3" t="s">
        <v>5928</v>
      </c>
      <c r="G1792" s="3" t="s">
        <v>4813</v>
      </c>
      <c r="H1792" s="6" t="s">
        <v>3356</v>
      </c>
      <c r="I1792" s="6" t="s">
        <v>3356</v>
      </c>
      <c r="J1792" s="3" t="s">
        <v>3356</v>
      </c>
      <c r="L1792" s="1" t="s">
        <v>6135</v>
      </c>
    </row>
    <row r="1793" spans="1:12">
      <c r="A1793" s="3" t="s">
        <v>3356</v>
      </c>
      <c r="C1793" s="3" t="s">
        <v>3817</v>
      </c>
      <c r="D1793" s="3" t="s">
        <v>3618</v>
      </c>
      <c r="E1793" s="3" t="s">
        <v>3438</v>
      </c>
      <c r="F1793" s="3" t="s">
        <v>5928</v>
      </c>
      <c r="G1793" s="3" t="s">
        <v>6613</v>
      </c>
      <c r="H1793" s="6" t="s">
        <v>3356</v>
      </c>
      <c r="I1793" s="6" t="s">
        <v>3356</v>
      </c>
      <c r="J1793" s="3" t="s">
        <v>3356</v>
      </c>
      <c r="L1793" s="1" t="s">
        <v>6135</v>
      </c>
    </row>
    <row r="1794" spans="1:12">
      <c r="A1794" s="3" t="s">
        <v>3356</v>
      </c>
      <c r="C1794" s="3" t="s">
        <v>3817</v>
      </c>
      <c r="D1794" s="3" t="s">
        <v>3618</v>
      </c>
      <c r="E1794" s="3" t="s">
        <v>3438</v>
      </c>
      <c r="F1794" s="3" t="s">
        <v>6240</v>
      </c>
      <c r="G1794" s="3" t="s">
        <v>6550</v>
      </c>
      <c r="H1794" s="6" t="s">
        <v>3356</v>
      </c>
      <c r="I1794" s="6" t="s">
        <v>3356</v>
      </c>
      <c r="J1794" s="3" t="s">
        <v>3356</v>
      </c>
      <c r="L1794" s="1" t="s">
        <v>6135</v>
      </c>
    </row>
    <row r="1795" spans="1:12">
      <c r="A1795" s="3" t="s">
        <v>3356</v>
      </c>
      <c r="C1795" s="3" t="s">
        <v>3817</v>
      </c>
      <c r="D1795" s="3" t="s">
        <v>3618</v>
      </c>
      <c r="E1795" s="3" t="s">
        <v>3438</v>
      </c>
      <c r="F1795" s="3" t="s">
        <v>6240</v>
      </c>
      <c r="G1795" s="3" t="s">
        <v>6385</v>
      </c>
      <c r="H1795" s="6" t="s">
        <v>3356</v>
      </c>
      <c r="I1795" s="6" t="s">
        <v>3356</v>
      </c>
      <c r="J1795" s="3" t="s">
        <v>3356</v>
      </c>
      <c r="L1795" s="1" t="s">
        <v>6135</v>
      </c>
    </row>
    <row r="1796" spans="1:12">
      <c r="A1796" s="3" t="s">
        <v>3356</v>
      </c>
      <c r="C1796" s="3" t="s">
        <v>3817</v>
      </c>
      <c r="D1796" s="3" t="s">
        <v>3618</v>
      </c>
      <c r="E1796" s="3" t="s">
        <v>3438</v>
      </c>
      <c r="F1796" s="3" t="s">
        <v>6240</v>
      </c>
      <c r="G1796" s="3" t="s">
        <v>4557</v>
      </c>
      <c r="H1796" s="6" t="s">
        <v>3356</v>
      </c>
      <c r="I1796" s="6" t="s">
        <v>3356</v>
      </c>
      <c r="J1796" s="3" t="s">
        <v>3356</v>
      </c>
      <c r="L1796" s="1" t="s">
        <v>6135</v>
      </c>
    </row>
    <row r="1797" spans="1:12">
      <c r="A1797" s="3" t="s">
        <v>3356</v>
      </c>
      <c r="C1797" s="3" t="s">
        <v>3817</v>
      </c>
      <c r="D1797" s="3" t="s">
        <v>3618</v>
      </c>
      <c r="E1797" s="3" t="s">
        <v>3438</v>
      </c>
      <c r="F1797" s="3" t="s">
        <v>6240</v>
      </c>
      <c r="G1797" s="3" t="s">
        <v>4100</v>
      </c>
      <c r="H1797" s="6" t="s">
        <v>3356</v>
      </c>
      <c r="I1797" s="6" t="s">
        <v>3356</v>
      </c>
      <c r="J1797" s="3" t="s">
        <v>3356</v>
      </c>
      <c r="L1797" s="1" t="s">
        <v>6135</v>
      </c>
    </row>
    <row r="1798" spans="1:12">
      <c r="A1798" s="3" t="s">
        <v>3356</v>
      </c>
      <c r="C1798" s="3" t="s">
        <v>3817</v>
      </c>
      <c r="D1798" s="3" t="s">
        <v>3618</v>
      </c>
      <c r="E1798" s="3" t="s">
        <v>3438</v>
      </c>
      <c r="F1798" s="3" t="s">
        <v>6614</v>
      </c>
      <c r="G1798" s="3" t="s">
        <v>3292</v>
      </c>
      <c r="H1798" s="6" t="s">
        <v>3356</v>
      </c>
      <c r="I1798" s="6" t="s">
        <v>3356</v>
      </c>
      <c r="J1798" s="3" t="s">
        <v>3356</v>
      </c>
      <c r="L1798" s="1" t="s">
        <v>6135</v>
      </c>
    </row>
    <row r="1799" spans="1:12">
      <c r="A1799" s="3" t="s">
        <v>3356</v>
      </c>
      <c r="C1799" s="3" t="s">
        <v>3817</v>
      </c>
      <c r="D1799" s="3" t="s">
        <v>3618</v>
      </c>
      <c r="E1799" s="3" t="s">
        <v>3438</v>
      </c>
      <c r="F1799" s="3" t="s">
        <v>6614</v>
      </c>
      <c r="G1799" s="3" t="s">
        <v>4449</v>
      </c>
      <c r="H1799" s="6" t="s">
        <v>3356</v>
      </c>
      <c r="I1799" s="6" t="s">
        <v>3356</v>
      </c>
      <c r="J1799" s="3" t="s">
        <v>3356</v>
      </c>
      <c r="L1799" s="1" t="s">
        <v>6135</v>
      </c>
    </row>
    <row r="1800" spans="1:12">
      <c r="A1800" s="3" t="s">
        <v>3356</v>
      </c>
      <c r="C1800" s="3" t="s">
        <v>3817</v>
      </c>
      <c r="D1800" s="3" t="s">
        <v>3618</v>
      </c>
      <c r="E1800" s="3" t="s">
        <v>3438</v>
      </c>
      <c r="F1800" s="3" t="s">
        <v>3293</v>
      </c>
      <c r="G1800" s="3" t="s">
        <v>3294</v>
      </c>
      <c r="H1800" s="6" t="s">
        <v>3356</v>
      </c>
      <c r="I1800" s="6" t="s">
        <v>3356</v>
      </c>
      <c r="J1800" s="3" t="s">
        <v>3356</v>
      </c>
      <c r="L1800" s="1" t="s">
        <v>6135</v>
      </c>
    </row>
    <row r="1801" spans="1:12">
      <c r="A1801" s="3" t="s">
        <v>3356</v>
      </c>
      <c r="C1801" s="3" t="s">
        <v>3817</v>
      </c>
      <c r="D1801" s="3" t="s">
        <v>3618</v>
      </c>
      <c r="E1801" s="3" t="s">
        <v>3438</v>
      </c>
      <c r="F1801" s="3" t="s">
        <v>5930</v>
      </c>
      <c r="G1801" s="3" t="s">
        <v>7453</v>
      </c>
      <c r="H1801" s="6">
        <v>3.019116290447073</v>
      </c>
      <c r="I1801" s="6">
        <v>1045</v>
      </c>
      <c r="J1801" s="3" t="s">
        <v>6736</v>
      </c>
      <c r="L1801" s="1" t="s">
        <v>6135</v>
      </c>
    </row>
    <row r="1802" spans="1:12">
      <c r="A1802" s="3" t="s">
        <v>3356</v>
      </c>
      <c r="C1802" s="3" t="s">
        <v>3817</v>
      </c>
      <c r="D1802" s="3" t="s">
        <v>3618</v>
      </c>
      <c r="E1802" s="3" t="s">
        <v>3438</v>
      </c>
      <c r="F1802" s="3" t="s">
        <v>5930</v>
      </c>
      <c r="G1802" s="3" t="s">
        <v>4010</v>
      </c>
      <c r="H1802" s="6">
        <v>3.2430380486862944</v>
      </c>
      <c r="I1802" s="6">
        <v>1750</v>
      </c>
      <c r="J1802" s="3" t="s">
        <v>6736</v>
      </c>
      <c r="L1802" s="1" t="s">
        <v>6135</v>
      </c>
    </row>
    <row r="1803" spans="1:12">
      <c r="A1803" s="3" t="s">
        <v>3356</v>
      </c>
      <c r="C1803" s="3" t="s">
        <v>3817</v>
      </c>
      <c r="D1803" s="3" t="s">
        <v>3618</v>
      </c>
      <c r="E1803" s="3" t="s">
        <v>3438</v>
      </c>
      <c r="F1803" s="3" t="s">
        <v>5930</v>
      </c>
      <c r="G1803" s="3" t="s">
        <v>4108</v>
      </c>
      <c r="H1803" s="6">
        <v>3.2430380486862944</v>
      </c>
      <c r="I1803" s="6">
        <v>1750</v>
      </c>
      <c r="J1803" s="3" t="s">
        <v>6736</v>
      </c>
      <c r="L1803" s="1" t="s">
        <v>6135</v>
      </c>
    </row>
    <row r="1804" spans="1:12">
      <c r="A1804" s="3" t="s">
        <v>3356</v>
      </c>
      <c r="C1804" s="3" t="s">
        <v>3817</v>
      </c>
      <c r="D1804" s="3" t="s">
        <v>3618</v>
      </c>
      <c r="E1804" s="3" t="s">
        <v>3438</v>
      </c>
      <c r="F1804" s="3" t="s">
        <v>5930</v>
      </c>
      <c r="G1804" s="3" t="s">
        <v>3833</v>
      </c>
      <c r="H1804" s="6">
        <v>3.2430380486862944</v>
      </c>
      <c r="I1804" s="6">
        <v>1750</v>
      </c>
      <c r="J1804" s="3" t="s">
        <v>6736</v>
      </c>
      <c r="L1804" s="1" t="s">
        <v>6135</v>
      </c>
    </row>
    <row r="1805" spans="1:12">
      <c r="A1805" s="3" t="s">
        <v>3356</v>
      </c>
      <c r="C1805" s="3" t="s">
        <v>3817</v>
      </c>
      <c r="D1805" s="3" t="s">
        <v>3618</v>
      </c>
      <c r="E1805" s="3" t="s">
        <v>3438</v>
      </c>
      <c r="F1805" s="3" t="s">
        <v>3882</v>
      </c>
      <c r="G1805" s="3" t="s">
        <v>4141</v>
      </c>
      <c r="H1805" s="6" t="s">
        <v>3356</v>
      </c>
      <c r="I1805" s="6" t="s">
        <v>3356</v>
      </c>
      <c r="J1805" s="3" t="s">
        <v>3356</v>
      </c>
      <c r="L1805" s="1" t="s">
        <v>6135</v>
      </c>
    </row>
    <row r="1806" spans="1:12">
      <c r="A1806" s="3" t="s">
        <v>3356</v>
      </c>
      <c r="C1806" s="3" t="s">
        <v>3817</v>
      </c>
      <c r="D1806" s="3" t="s">
        <v>3618</v>
      </c>
      <c r="E1806" s="3" t="s">
        <v>3438</v>
      </c>
      <c r="F1806" s="3" t="s">
        <v>5931</v>
      </c>
      <c r="G1806" s="3" t="s">
        <v>5515</v>
      </c>
      <c r="H1806" s="6">
        <v>2.403120521175818</v>
      </c>
      <c r="I1806" s="6">
        <v>253</v>
      </c>
      <c r="J1806" s="3" t="s">
        <v>6736</v>
      </c>
      <c r="L1806" s="1" t="s">
        <v>6135</v>
      </c>
    </row>
    <row r="1807" spans="1:12">
      <c r="A1807" s="3" t="s">
        <v>3356</v>
      </c>
      <c r="C1807" s="3" t="s">
        <v>3817</v>
      </c>
      <c r="D1807" s="3" t="s">
        <v>3618</v>
      </c>
      <c r="E1807" s="3" t="s">
        <v>3438</v>
      </c>
      <c r="F1807" s="3" t="s">
        <v>3243</v>
      </c>
      <c r="G1807" s="3" t="s">
        <v>5647</v>
      </c>
      <c r="H1807" s="6" t="s">
        <v>3356</v>
      </c>
      <c r="I1807" s="6" t="s">
        <v>3356</v>
      </c>
      <c r="J1807" s="3" t="s">
        <v>3356</v>
      </c>
      <c r="L1807" s="1" t="s">
        <v>6135</v>
      </c>
    </row>
    <row r="1808" spans="1:12">
      <c r="A1808" s="3" t="s">
        <v>3356</v>
      </c>
      <c r="C1808" s="3" t="s">
        <v>3817</v>
      </c>
      <c r="D1808" s="3" t="s">
        <v>3618</v>
      </c>
      <c r="E1808" s="3" t="s">
        <v>3438</v>
      </c>
      <c r="F1808" s="3" t="s">
        <v>3669</v>
      </c>
      <c r="G1808" s="3" t="s">
        <v>5097</v>
      </c>
      <c r="H1808" s="6" t="s">
        <v>3356</v>
      </c>
      <c r="I1808" s="6" t="s">
        <v>3356</v>
      </c>
      <c r="J1808" s="3" t="s">
        <v>3356</v>
      </c>
      <c r="L1808" s="1" t="s">
        <v>6135</v>
      </c>
    </row>
    <row r="1809" spans="1:12">
      <c r="A1809" s="3" t="s">
        <v>3356</v>
      </c>
      <c r="C1809" s="3" t="s">
        <v>3817</v>
      </c>
      <c r="D1809" s="3" t="s">
        <v>3618</v>
      </c>
      <c r="E1809" s="3" t="s">
        <v>3438</v>
      </c>
      <c r="F1809" s="3" t="s">
        <v>3669</v>
      </c>
      <c r="G1809" s="3" t="s">
        <v>7360</v>
      </c>
      <c r="H1809" s="6" t="s">
        <v>3356</v>
      </c>
      <c r="I1809" s="6" t="s">
        <v>3356</v>
      </c>
      <c r="J1809" s="3" t="s">
        <v>3356</v>
      </c>
      <c r="L1809" s="1" t="s">
        <v>6135</v>
      </c>
    </row>
    <row r="1810" spans="1:12">
      <c r="A1810" s="3" t="s">
        <v>3356</v>
      </c>
      <c r="C1810" s="3" t="s">
        <v>3817</v>
      </c>
      <c r="D1810" s="3" t="s">
        <v>3618</v>
      </c>
      <c r="E1810" s="3" t="s">
        <v>3438</v>
      </c>
      <c r="F1810" s="3" t="s">
        <v>3468</v>
      </c>
      <c r="G1810" s="3" t="s">
        <v>3175</v>
      </c>
      <c r="H1810" s="6" t="s">
        <v>3356</v>
      </c>
      <c r="I1810" s="6" t="s">
        <v>3356</v>
      </c>
      <c r="J1810" s="3" t="s">
        <v>3356</v>
      </c>
      <c r="L1810" s="1" t="s">
        <v>6135</v>
      </c>
    </row>
    <row r="1811" spans="1:12">
      <c r="A1811" s="3" t="s">
        <v>3356</v>
      </c>
      <c r="C1811" s="3" t="s">
        <v>3817</v>
      </c>
      <c r="D1811" s="3" t="s">
        <v>3618</v>
      </c>
      <c r="E1811" s="3" t="s">
        <v>3438</v>
      </c>
      <c r="F1811" s="3" t="s">
        <v>3468</v>
      </c>
      <c r="G1811" s="3" t="s">
        <v>3072</v>
      </c>
      <c r="H1811" s="6" t="s">
        <v>3356</v>
      </c>
      <c r="I1811" s="6" t="s">
        <v>3356</v>
      </c>
      <c r="J1811" s="3" t="s">
        <v>3356</v>
      </c>
      <c r="L1811" s="1" t="s">
        <v>6135</v>
      </c>
    </row>
    <row r="1812" spans="1:12">
      <c r="A1812" s="3" t="s">
        <v>3356</v>
      </c>
      <c r="C1812" s="3" t="s">
        <v>3817</v>
      </c>
      <c r="D1812" s="3" t="s">
        <v>3618</v>
      </c>
      <c r="E1812" s="3" t="s">
        <v>3438</v>
      </c>
      <c r="F1812" s="3" t="s">
        <v>3468</v>
      </c>
      <c r="G1812" s="3" t="s">
        <v>6243</v>
      </c>
      <c r="H1812" s="6" t="s">
        <v>3356</v>
      </c>
      <c r="I1812" s="6" t="s">
        <v>3356</v>
      </c>
      <c r="J1812" s="3" t="s">
        <v>3356</v>
      </c>
      <c r="L1812" s="1" t="s">
        <v>6135</v>
      </c>
    </row>
    <row r="1813" spans="1:12">
      <c r="A1813" s="3" t="s">
        <v>3356</v>
      </c>
      <c r="C1813" s="3" t="s">
        <v>3817</v>
      </c>
      <c r="D1813" s="3" t="s">
        <v>3618</v>
      </c>
      <c r="E1813" s="3" t="s">
        <v>3438</v>
      </c>
      <c r="F1813" s="3" t="s">
        <v>3468</v>
      </c>
      <c r="G1813" s="3" t="s">
        <v>5516</v>
      </c>
      <c r="H1813" s="6">
        <v>2.4771212547196626</v>
      </c>
      <c r="I1813" s="6">
        <v>300</v>
      </c>
      <c r="J1813" s="3" t="s">
        <v>6736</v>
      </c>
      <c r="L1813" s="1" t="s">
        <v>6135</v>
      </c>
    </row>
    <row r="1814" spans="1:12">
      <c r="A1814" s="3" t="s">
        <v>3356</v>
      </c>
      <c r="C1814" s="3" t="s">
        <v>3817</v>
      </c>
      <c r="D1814" s="3" t="s">
        <v>3618</v>
      </c>
      <c r="E1814" s="3" t="s">
        <v>3438</v>
      </c>
      <c r="F1814" s="3" t="s">
        <v>6244</v>
      </c>
      <c r="G1814" s="3" t="s">
        <v>6245</v>
      </c>
      <c r="H1814" s="6" t="s">
        <v>3356</v>
      </c>
      <c r="I1814" s="6" t="s">
        <v>3356</v>
      </c>
      <c r="J1814" s="3" t="s">
        <v>3356</v>
      </c>
      <c r="L1814" s="1" t="s">
        <v>6135</v>
      </c>
    </row>
    <row r="1815" spans="1:12">
      <c r="A1815" s="3" t="s">
        <v>3356</v>
      </c>
      <c r="C1815" s="3" t="s">
        <v>3817</v>
      </c>
      <c r="D1815" s="3" t="s">
        <v>3618</v>
      </c>
      <c r="E1815" s="3" t="s">
        <v>3438</v>
      </c>
      <c r="F1815" s="3" t="s">
        <v>2933</v>
      </c>
      <c r="G1815" s="3" t="s">
        <v>6246</v>
      </c>
      <c r="H1815" s="6" t="s">
        <v>3356</v>
      </c>
      <c r="I1815" s="6" t="s">
        <v>3356</v>
      </c>
      <c r="J1815" s="3" t="s">
        <v>3356</v>
      </c>
      <c r="L1815" s="1" t="s">
        <v>6135</v>
      </c>
    </row>
    <row r="1816" spans="1:12">
      <c r="A1816" s="3" t="s">
        <v>3356</v>
      </c>
      <c r="C1816" s="3" t="s">
        <v>3817</v>
      </c>
      <c r="D1816" s="3" t="s">
        <v>3618</v>
      </c>
      <c r="E1816" s="3" t="s">
        <v>3438</v>
      </c>
      <c r="F1816" s="3" t="s">
        <v>2933</v>
      </c>
      <c r="G1816" s="3" t="s">
        <v>6247</v>
      </c>
      <c r="H1816" s="6" t="s">
        <v>3356</v>
      </c>
      <c r="I1816" s="6" t="s">
        <v>3356</v>
      </c>
      <c r="J1816" s="3" t="s">
        <v>3356</v>
      </c>
      <c r="L1816" s="1" t="s">
        <v>6135</v>
      </c>
    </row>
    <row r="1817" spans="1:12">
      <c r="A1817" s="3" t="s">
        <v>3356</v>
      </c>
      <c r="C1817" s="3" t="s">
        <v>3817</v>
      </c>
      <c r="D1817" s="3" t="s">
        <v>3618</v>
      </c>
      <c r="E1817" s="3" t="s">
        <v>3438</v>
      </c>
      <c r="F1817" s="3" t="s">
        <v>2933</v>
      </c>
      <c r="G1817" s="3" t="s">
        <v>6402</v>
      </c>
      <c r="H1817" s="6" t="s">
        <v>3356</v>
      </c>
      <c r="I1817" s="6" t="s">
        <v>3356</v>
      </c>
      <c r="J1817" s="3" t="s">
        <v>3356</v>
      </c>
      <c r="L1817" s="1" t="s">
        <v>6135</v>
      </c>
    </row>
    <row r="1818" spans="1:12">
      <c r="A1818" s="3" t="s">
        <v>3356</v>
      </c>
      <c r="C1818" s="3" t="s">
        <v>3817</v>
      </c>
      <c r="D1818" s="3" t="s">
        <v>3618</v>
      </c>
      <c r="E1818" s="3" t="s">
        <v>3438</v>
      </c>
      <c r="F1818" s="3" t="s">
        <v>2933</v>
      </c>
      <c r="G1818" s="3" t="s">
        <v>7923</v>
      </c>
      <c r="H1818" s="6" t="s">
        <v>3356</v>
      </c>
      <c r="I1818" s="6" t="s">
        <v>3356</v>
      </c>
      <c r="J1818" s="3" t="s">
        <v>3356</v>
      </c>
      <c r="L1818" s="1" t="s">
        <v>6135</v>
      </c>
    </row>
    <row r="1819" spans="1:12">
      <c r="A1819" s="3" t="s">
        <v>3356</v>
      </c>
      <c r="C1819" s="3" t="s">
        <v>3817</v>
      </c>
      <c r="D1819" s="3" t="s">
        <v>3618</v>
      </c>
      <c r="E1819" s="3" t="s">
        <v>3438</v>
      </c>
      <c r="F1819" s="3" t="s">
        <v>2933</v>
      </c>
      <c r="G1819" s="3" t="s">
        <v>2076</v>
      </c>
      <c r="H1819" s="6">
        <v>2.6566730458848502</v>
      </c>
      <c r="I1819" s="6">
        <v>453.6</v>
      </c>
      <c r="J1819" s="3" t="s">
        <v>6736</v>
      </c>
      <c r="L1819" s="1" t="s">
        <v>6135</v>
      </c>
    </row>
    <row r="1820" spans="1:12">
      <c r="A1820" s="3" t="s">
        <v>3356</v>
      </c>
      <c r="C1820" s="3" t="s">
        <v>3817</v>
      </c>
      <c r="D1820" s="3" t="s">
        <v>3618</v>
      </c>
      <c r="E1820" s="3" t="s">
        <v>3438</v>
      </c>
      <c r="F1820" s="3" t="s">
        <v>2933</v>
      </c>
      <c r="G1820" s="3" t="s">
        <v>7924</v>
      </c>
      <c r="H1820" s="6" t="s">
        <v>3356</v>
      </c>
      <c r="I1820" s="6" t="s">
        <v>3356</v>
      </c>
      <c r="J1820" s="3" t="s">
        <v>3356</v>
      </c>
      <c r="L1820" s="1" t="s">
        <v>6135</v>
      </c>
    </row>
    <row r="1821" spans="1:12">
      <c r="A1821" s="3" t="s">
        <v>3356</v>
      </c>
      <c r="C1821" s="3" t="s">
        <v>3817</v>
      </c>
      <c r="D1821" s="3" t="s">
        <v>3618</v>
      </c>
      <c r="E1821" s="3" t="s">
        <v>3438</v>
      </c>
      <c r="F1821" s="3" t="s">
        <v>2933</v>
      </c>
      <c r="G1821" s="3" t="s">
        <v>6528</v>
      </c>
      <c r="H1821" s="6">
        <v>3.0086001717619175</v>
      </c>
      <c r="I1821" s="6">
        <v>1020</v>
      </c>
      <c r="J1821" s="3" t="s">
        <v>6736</v>
      </c>
      <c r="L1821" s="1" t="s">
        <v>6135</v>
      </c>
    </row>
    <row r="1822" spans="1:12">
      <c r="A1822" s="3" t="s">
        <v>3356</v>
      </c>
      <c r="C1822" s="3" t="s">
        <v>3817</v>
      </c>
      <c r="D1822" s="3" t="s">
        <v>3618</v>
      </c>
      <c r="E1822" s="3" t="s">
        <v>3438</v>
      </c>
      <c r="F1822" s="3" t="s">
        <v>2933</v>
      </c>
      <c r="G1822" s="3" t="s">
        <v>5838</v>
      </c>
      <c r="H1822" s="6" t="s">
        <v>3356</v>
      </c>
      <c r="I1822" s="6" t="s">
        <v>3356</v>
      </c>
      <c r="J1822" s="3" t="s">
        <v>3356</v>
      </c>
      <c r="L1822" s="1" t="s">
        <v>6135</v>
      </c>
    </row>
    <row r="1823" spans="1:12">
      <c r="A1823" s="3" t="s">
        <v>3356</v>
      </c>
      <c r="C1823" s="3" t="s">
        <v>3817</v>
      </c>
      <c r="D1823" s="3" t="s">
        <v>3618</v>
      </c>
      <c r="E1823" s="3" t="s">
        <v>3438</v>
      </c>
      <c r="F1823" s="3" t="s">
        <v>2933</v>
      </c>
      <c r="G1823" s="3" t="s">
        <v>5517</v>
      </c>
      <c r="H1823" s="6">
        <v>2.3802112417116059</v>
      </c>
      <c r="I1823" s="6">
        <v>240</v>
      </c>
      <c r="J1823" s="3" t="s">
        <v>6736</v>
      </c>
      <c r="L1823" s="1" t="s">
        <v>6135</v>
      </c>
    </row>
    <row r="1824" spans="1:12">
      <c r="A1824" s="3" t="s">
        <v>3356</v>
      </c>
      <c r="C1824" s="3" t="s">
        <v>3817</v>
      </c>
      <c r="D1824" s="3" t="s">
        <v>3618</v>
      </c>
      <c r="E1824" s="3" t="s">
        <v>3438</v>
      </c>
      <c r="F1824" s="3" t="s">
        <v>2933</v>
      </c>
      <c r="G1824" s="3" t="s">
        <v>6675</v>
      </c>
      <c r="H1824" s="6">
        <v>2.2185355052165279</v>
      </c>
      <c r="I1824" s="6">
        <v>165.4</v>
      </c>
      <c r="J1824" s="3" t="s">
        <v>6736</v>
      </c>
      <c r="L1824" s="1" t="s">
        <v>6135</v>
      </c>
    </row>
    <row r="1825" spans="1:12">
      <c r="A1825" s="3" t="s">
        <v>3356</v>
      </c>
      <c r="C1825" s="3" t="s">
        <v>3817</v>
      </c>
      <c r="D1825" s="3" t="s">
        <v>3618</v>
      </c>
      <c r="E1825" s="3" t="s">
        <v>3438</v>
      </c>
      <c r="F1825" s="3" t="s">
        <v>2933</v>
      </c>
      <c r="G1825" s="3" t="s">
        <v>7925</v>
      </c>
      <c r="H1825" s="6" t="s">
        <v>3356</v>
      </c>
      <c r="I1825" s="6" t="s">
        <v>3356</v>
      </c>
      <c r="J1825" s="3" t="s">
        <v>3356</v>
      </c>
      <c r="L1825" s="1" t="s">
        <v>6135</v>
      </c>
    </row>
    <row r="1826" spans="1:12">
      <c r="A1826" s="3" t="s">
        <v>3356</v>
      </c>
      <c r="C1826" s="3" t="s">
        <v>3817</v>
      </c>
      <c r="D1826" s="3" t="s">
        <v>3618</v>
      </c>
      <c r="E1826" s="3" t="s">
        <v>3438</v>
      </c>
      <c r="F1826" s="3" t="s">
        <v>2933</v>
      </c>
      <c r="G1826" s="3" t="s">
        <v>7234</v>
      </c>
      <c r="H1826" s="6">
        <v>2.3463529744506388</v>
      </c>
      <c r="I1826" s="6">
        <v>222</v>
      </c>
      <c r="J1826" s="3" t="s">
        <v>6736</v>
      </c>
      <c r="L1826" s="1" t="s">
        <v>6135</v>
      </c>
    </row>
    <row r="1827" spans="1:12">
      <c r="A1827" s="3" t="s">
        <v>3356</v>
      </c>
      <c r="C1827" s="3" t="s">
        <v>3817</v>
      </c>
      <c r="D1827" s="3" t="s">
        <v>3618</v>
      </c>
      <c r="E1827" s="3" t="s">
        <v>3438</v>
      </c>
      <c r="F1827" s="3" t="s">
        <v>2933</v>
      </c>
      <c r="G1827" s="3" t="s">
        <v>7926</v>
      </c>
      <c r="H1827" s="6" t="s">
        <v>3356</v>
      </c>
      <c r="I1827" s="6" t="s">
        <v>3356</v>
      </c>
      <c r="J1827" s="3" t="s">
        <v>3356</v>
      </c>
      <c r="L1827" s="1" t="s">
        <v>6135</v>
      </c>
    </row>
    <row r="1828" spans="1:12">
      <c r="A1828" s="3" t="s">
        <v>3356</v>
      </c>
      <c r="C1828" s="3" t="s">
        <v>3817</v>
      </c>
      <c r="D1828" s="3" t="s">
        <v>3618</v>
      </c>
      <c r="E1828" s="3" t="s">
        <v>3438</v>
      </c>
      <c r="F1828" s="3" t="s">
        <v>2933</v>
      </c>
      <c r="G1828" s="3" t="s">
        <v>7927</v>
      </c>
      <c r="H1828" s="6" t="s">
        <v>3356</v>
      </c>
      <c r="I1828" s="6" t="s">
        <v>3356</v>
      </c>
      <c r="J1828" s="3" t="s">
        <v>3356</v>
      </c>
      <c r="L1828" s="1" t="s">
        <v>6135</v>
      </c>
    </row>
    <row r="1829" spans="1:12">
      <c r="A1829" s="3" t="s">
        <v>3356</v>
      </c>
      <c r="C1829" s="3" t="s">
        <v>3817</v>
      </c>
      <c r="D1829" s="3" t="s">
        <v>3618</v>
      </c>
      <c r="E1829" s="3" t="s">
        <v>3438</v>
      </c>
      <c r="F1829" s="3" t="s">
        <v>2933</v>
      </c>
      <c r="G1829" s="3" t="s">
        <v>5518</v>
      </c>
      <c r="H1829" s="6">
        <v>2.9047155452786808</v>
      </c>
      <c r="I1829" s="6">
        <v>803</v>
      </c>
      <c r="J1829" s="3" t="s">
        <v>6736</v>
      </c>
      <c r="L1829" s="1" t="s">
        <v>6135</v>
      </c>
    </row>
    <row r="1830" spans="1:12">
      <c r="A1830" s="3" t="s">
        <v>3356</v>
      </c>
      <c r="C1830" s="3" t="s">
        <v>3817</v>
      </c>
      <c r="D1830" s="3" t="s">
        <v>3618</v>
      </c>
      <c r="E1830" s="3" t="s">
        <v>3438</v>
      </c>
      <c r="F1830" s="3" t="s">
        <v>2933</v>
      </c>
      <c r="G1830" s="3" t="s">
        <v>6081</v>
      </c>
      <c r="H1830" s="6" t="s">
        <v>3356</v>
      </c>
      <c r="I1830" s="6" t="s">
        <v>3356</v>
      </c>
      <c r="J1830" s="3" t="s">
        <v>3356</v>
      </c>
      <c r="L1830" s="1" t="s">
        <v>6135</v>
      </c>
    </row>
    <row r="1831" spans="1:12">
      <c r="A1831" s="3" t="s">
        <v>3356</v>
      </c>
      <c r="C1831" s="3" t="s">
        <v>3817</v>
      </c>
      <c r="D1831" s="3" t="s">
        <v>3618</v>
      </c>
      <c r="E1831" s="3" t="s">
        <v>3438</v>
      </c>
      <c r="F1831" s="3" t="s">
        <v>5535</v>
      </c>
      <c r="G1831" s="3" t="s">
        <v>7922</v>
      </c>
      <c r="H1831" s="6" t="s">
        <v>3356</v>
      </c>
      <c r="I1831" s="6" t="s">
        <v>3356</v>
      </c>
      <c r="J1831" s="3" t="s">
        <v>3356</v>
      </c>
      <c r="L1831" s="1" t="s">
        <v>6135</v>
      </c>
    </row>
    <row r="1832" spans="1:12">
      <c r="A1832" s="3" t="s">
        <v>3356</v>
      </c>
      <c r="C1832" s="3" t="s">
        <v>3817</v>
      </c>
      <c r="D1832" s="3" t="s">
        <v>3618</v>
      </c>
      <c r="E1832" s="3" t="s">
        <v>3438</v>
      </c>
      <c r="F1832" s="3" t="s">
        <v>5535</v>
      </c>
      <c r="G1832" s="3" t="s">
        <v>5340</v>
      </c>
      <c r="H1832" s="6" t="s">
        <v>3356</v>
      </c>
      <c r="I1832" s="6" t="s">
        <v>3356</v>
      </c>
      <c r="J1832" s="3" t="s">
        <v>3356</v>
      </c>
      <c r="L1832" s="1" t="s">
        <v>6135</v>
      </c>
    </row>
    <row r="1833" spans="1:12">
      <c r="A1833" s="3" t="s">
        <v>3356</v>
      </c>
      <c r="C1833" s="3" t="s">
        <v>3817</v>
      </c>
      <c r="D1833" s="3" t="s">
        <v>3618</v>
      </c>
      <c r="E1833" s="3" t="s">
        <v>3438</v>
      </c>
      <c r="F1833" s="3" t="s">
        <v>5535</v>
      </c>
      <c r="G1833" s="3" t="s">
        <v>5341</v>
      </c>
      <c r="H1833" s="6" t="s">
        <v>3356</v>
      </c>
      <c r="I1833" s="6" t="s">
        <v>3356</v>
      </c>
      <c r="J1833" s="3" t="s">
        <v>3356</v>
      </c>
      <c r="L1833" s="1" t="s">
        <v>6135</v>
      </c>
    </row>
    <row r="1834" spans="1:12">
      <c r="A1834" s="3" t="s">
        <v>3356</v>
      </c>
      <c r="C1834" s="3" t="s">
        <v>3817</v>
      </c>
      <c r="D1834" s="3" t="s">
        <v>3618</v>
      </c>
      <c r="E1834" s="3" t="s">
        <v>3438</v>
      </c>
      <c r="F1834" s="3" t="s">
        <v>5535</v>
      </c>
      <c r="G1834" s="3" t="s">
        <v>5536</v>
      </c>
      <c r="H1834" s="6">
        <v>2.5065050324048719</v>
      </c>
      <c r="I1834" s="6">
        <v>321</v>
      </c>
      <c r="J1834" s="3" t="s">
        <v>6736</v>
      </c>
      <c r="L1834" s="1" t="s">
        <v>6135</v>
      </c>
    </row>
    <row r="1835" spans="1:12">
      <c r="A1835" s="3" t="s">
        <v>3356</v>
      </c>
      <c r="C1835" s="3" t="s">
        <v>3817</v>
      </c>
      <c r="D1835" s="3" t="s">
        <v>3618</v>
      </c>
      <c r="E1835" s="3" t="s">
        <v>3438</v>
      </c>
      <c r="F1835" s="3" t="s">
        <v>5535</v>
      </c>
      <c r="G1835" s="3" t="s">
        <v>5342</v>
      </c>
      <c r="H1835" s="6" t="s">
        <v>3356</v>
      </c>
      <c r="I1835" s="6" t="s">
        <v>3356</v>
      </c>
      <c r="J1835" s="3" t="s">
        <v>3356</v>
      </c>
      <c r="L1835" s="1" t="s">
        <v>6135</v>
      </c>
    </row>
    <row r="1836" spans="1:12">
      <c r="A1836" s="3" t="s">
        <v>3356</v>
      </c>
      <c r="C1836" s="3" t="s">
        <v>3817</v>
      </c>
      <c r="D1836" s="3" t="s">
        <v>3618</v>
      </c>
      <c r="E1836" s="3" t="s">
        <v>3438</v>
      </c>
      <c r="F1836" s="3" t="s">
        <v>5535</v>
      </c>
      <c r="G1836" s="3" t="s">
        <v>4044</v>
      </c>
      <c r="H1836" s="6" t="s">
        <v>3356</v>
      </c>
      <c r="I1836" s="6" t="s">
        <v>3356</v>
      </c>
      <c r="J1836" s="3" t="s">
        <v>3356</v>
      </c>
      <c r="L1836" s="1" t="s">
        <v>6135</v>
      </c>
    </row>
    <row r="1837" spans="1:12">
      <c r="A1837" s="3" t="s">
        <v>3356</v>
      </c>
      <c r="C1837" s="3" t="s">
        <v>3817</v>
      </c>
      <c r="D1837" s="3" t="s">
        <v>3618</v>
      </c>
      <c r="E1837" s="3" t="s">
        <v>3438</v>
      </c>
      <c r="F1837" s="3" t="s">
        <v>5535</v>
      </c>
      <c r="G1837" s="3" t="s">
        <v>8086</v>
      </c>
      <c r="H1837" s="6" t="s">
        <v>3356</v>
      </c>
      <c r="I1837" s="6" t="s">
        <v>3356</v>
      </c>
      <c r="J1837" s="3" t="s">
        <v>3356</v>
      </c>
      <c r="L1837" s="1" t="s">
        <v>6135</v>
      </c>
    </row>
    <row r="1838" spans="1:12">
      <c r="A1838" s="3" t="s">
        <v>3356</v>
      </c>
      <c r="C1838" s="3" t="s">
        <v>3817</v>
      </c>
      <c r="D1838" s="3" t="s">
        <v>3618</v>
      </c>
      <c r="E1838" s="3" t="s">
        <v>3438</v>
      </c>
      <c r="F1838" s="3" t="s">
        <v>5535</v>
      </c>
      <c r="G1838" s="3" t="s">
        <v>5246</v>
      </c>
      <c r="H1838" s="6" t="s">
        <v>3356</v>
      </c>
      <c r="I1838" s="6" t="s">
        <v>3356</v>
      </c>
      <c r="J1838" s="3" t="s">
        <v>3356</v>
      </c>
      <c r="L1838" s="1" t="s">
        <v>6135</v>
      </c>
    </row>
    <row r="1839" spans="1:12">
      <c r="A1839" s="3" t="s">
        <v>3356</v>
      </c>
      <c r="C1839" s="3" t="s">
        <v>3817</v>
      </c>
      <c r="D1839" s="3" t="s">
        <v>3618</v>
      </c>
      <c r="E1839" s="3" t="s">
        <v>3438</v>
      </c>
      <c r="F1839" s="3" t="s">
        <v>5535</v>
      </c>
      <c r="G1839" s="3" t="s">
        <v>8087</v>
      </c>
      <c r="H1839" s="6" t="s">
        <v>3356</v>
      </c>
      <c r="I1839" s="6" t="s">
        <v>3356</v>
      </c>
      <c r="J1839" s="3" t="s">
        <v>3356</v>
      </c>
      <c r="L1839" s="1" t="s">
        <v>6135</v>
      </c>
    </row>
    <row r="1840" spans="1:12">
      <c r="A1840" s="3" t="s">
        <v>3356</v>
      </c>
      <c r="C1840" s="3" t="s">
        <v>3817</v>
      </c>
      <c r="D1840" s="3" t="s">
        <v>3618</v>
      </c>
      <c r="E1840" s="3" t="s">
        <v>3438</v>
      </c>
      <c r="F1840" s="3" t="s">
        <v>5535</v>
      </c>
      <c r="G1840" s="3" t="s">
        <v>8088</v>
      </c>
      <c r="H1840" s="6" t="s">
        <v>3356</v>
      </c>
      <c r="I1840" s="6" t="s">
        <v>3356</v>
      </c>
      <c r="J1840" s="3" t="s">
        <v>3356</v>
      </c>
      <c r="L1840" s="1" t="s">
        <v>6135</v>
      </c>
    </row>
    <row r="1841" spans="1:12">
      <c r="A1841" s="3" t="s">
        <v>3356</v>
      </c>
      <c r="C1841" s="3" t="s">
        <v>3817</v>
      </c>
      <c r="D1841" s="3" t="s">
        <v>3618</v>
      </c>
      <c r="E1841" s="3" t="s">
        <v>3438</v>
      </c>
      <c r="F1841" s="3" t="s">
        <v>5535</v>
      </c>
      <c r="G1841" s="3" t="s">
        <v>6253</v>
      </c>
      <c r="H1841" s="6" t="s">
        <v>3356</v>
      </c>
      <c r="I1841" s="6" t="s">
        <v>3356</v>
      </c>
      <c r="J1841" s="3" t="s">
        <v>3356</v>
      </c>
      <c r="L1841" s="1" t="s">
        <v>6135</v>
      </c>
    </row>
    <row r="1842" spans="1:12">
      <c r="A1842" s="3" t="s">
        <v>3356</v>
      </c>
      <c r="C1842" s="3" t="s">
        <v>3817</v>
      </c>
      <c r="D1842" s="3" t="s">
        <v>3618</v>
      </c>
      <c r="E1842" s="3" t="s">
        <v>3438</v>
      </c>
      <c r="F1842" s="3" t="s">
        <v>5535</v>
      </c>
      <c r="G1842" s="3" t="s">
        <v>6254</v>
      </c>
      <c r="H1842" s="6" t="s">
        <v>3356</v>
      </c>
      <c r="I1842" s="6" t="s">
        <v>3356</v>
      </c>
      <c r="J1842" s="3" t="s">
        <v>3356</v>
      </c>
      <c r="L1842" s="1" t="s">
        <v>6135</v>
      </c>
    </row>
    <row r="1843" spans="1:12">
      <c r="A1843" s="3" t="s">
        <v>3356</v>
      </c>
      <c r="C1843" s="3" t="s">
        <v>3817</v>
      </c>
      <c r="D1843" s="3" t="s">
        <v>3618</v>
      </c>
      <c r="E1843" s="3" t="s">
        <v>3438</v>
      </c>
      <c r="F1843" s="3" t="s">
        <v>5535</v>
      </c>
      <c r="G1843" s="3" t="s">
        <v>5350</v>
      </c>
      <c r="H1843" s="6" t="s">
        <v>3356</v>
      </c>
      <c r="I1843" s="6" t="s">
        <v>3356</v>
      </c>
      <c r="J1843" s="3" t="s">
        <v>3356</v>
      </c>
      <c r="L1843" s="1" t="s">
        <v>6135</v>
      </c>
    </row>
    <row r="1844" spans="1:12">
      <c r="A1844" s="3" t="s">
        <v>3356</v>
      </c>
      <c r="C1844" s="3" t="s">
        <v>3817</v>
      </c>
      <c r="D1844" s="3" t="s">
        <v>3618</v>
      </c>
      <c r="E1844" s="3" t="s">
        <v>3438</v>
      </c>
      <c r="F1844" s="3" t="s">
        <v>5535</v>
      </c>
      <c r="G1844" s="3" t="s">
        <v>5799</v>
      </c>
      <c r="H1844" s="6" t="s">
        <v>3356</v>
      </c>
      <c r="I1844" s="6" t="s">
        <v>3356</v>
      </c>
      <c r="J1844" s="3" t="s">
        <v>3356</v>
      </c>
      <c r="L1844" s="1" t="s">
        <v>6135</v>
      </c>
    </row>
    <row r="1845" spans="1:12">
      <c r="A1845" s="3" t="s">
        <v>3356</v>
      </c>
      <c r="C1845" s="3" t="s">
        <v>3817</v>
      </c>
      <c r="D1845" s="3" t="s">
        <v>3618</v>
      </c>
      <c r="E1845" s="3" t="s">
        <v>3438</v>
      </c>
      <c r="F1845" s="3" t="s">
        <v>5535</v>
      </c>
      <c r="G1845" s="3" t="s">
        <v>5266</v>
      </c>
      <c r="H1845" s="6">
        <v>2</v>
      </c>
      <c r="I1845" s="6">
        <v>100</v>
      </c>
      <c r="J1845" s="3" t="s">
        <v>6736</v>
      </c>
      <c r="L1845" s="1" t="s">
        <v>6135</v>
      </c>
    </row>
    <row r="1846" spans="1:12">
      <c r="A1846" s="3" t="s">
        <v>3356</v>
      </c>
      <c r="C1846" s="3" t="s">
        <v>3817</v>
      </c>
      <c r="D1846" s="3" t="s">
        <v>3618</v>
      </c>
      <c r="E1846" s="3" t="s">
        <v>3438</v>
      </c>
      <c r="F1846" s="3" t="s">
        <v>5588</v>
      </c>
      <c r="G1846" s="3" t="s">
        <v>5589</v>
      </c>
      <c r="H1846" s="6" t="s">
        <v>3356</v>
      </c>
      <c r="I1846" s="6" t="s">
        <v>3356</v>
      </c>
      <c r="J1846" s="3" t="s">
        <v>3356</v>
      </c>
      <c r="L1846" s="1" t="s">
        <v>6135</v>
      </c>
    </row>
    <row r="1847" spans="1:12">
      <c r="A1847" s="3" t="s">
        <v>3356</v>
      </c>
      <c r="C1847" s="3" t="s">
        <v>3817</v>
      </c>
      <c r="D1847" s="3" t="s">
        <v>3618</v>
      </c>
      <c r="E1847" s="3" t="s">
        <v>3438</v>
      </c>
      <c r="F1847" s="3" t="s">
        <v>3091</v>
      </c>
      <c r="G1847" s="3" t="s">
        <v>5590</v>
      </c>
      <c r="H1847" s="6" t="s">
        <v>3356</v>
      </c>
      <c r="I1847" s="6" t="s">
        <v>3356</v>
      </c>
      <c r="J1847" s="3" t="s">
        <v>3356</v>
      </c>
      <c r="L1847" s="1" t="s">
        <v>6135</v>
      </c>
    </row>
    <row r="1848" spans="1:12">
      <c r="A1848" s="3" t="s">
        <v>3356</v>
      </c>
      <c r="C1848" s="3" t="s">
        <v>3817</v>
      </c>
      <c r="D1848" s="3" t="s">
        <v>3618</v>
      </c>
      <c r="E1848" s="3" t="s">
        <v>3438</v>
      </c>
      <c r="F1848" s="3" t="s">
        <v>3091</v>
      </c>
      <c r="G1848" s="3" t="s">
        <v>2329</v>
      </c>
      <c r="H1848" s="6" t="s">
        <v>3356</v>
      </c>
      <c r="I1848" s="6" t="s">
        <v>3356</v>
      </c>
      <c r="J1848" s="3" t="s">
        <v>3356</v>
      </c>
      <c r="L1848" s="1" t="s">
        <v>6135</v>
      </c>
    </row>
    <row r="1849" spans="1:12">
      <c r="A1849" s="3" t="s">
        <v>3356</v>
      </c>
      <c r="C1849" s="3" t="s">
        <v>3817</v>
      </c>
      <c r="D1849" s="3" t="s">
        <v>3618</v>
      </c>
      <c r="E1849" s="3" t="s">
        <v>3438</v>
      </c>
      <c r="F1849" s="3" t="s">
        <v>3091</v>
      </c>
      <c r="G1849" s="3" t="s">
        <v>7094</v>
      </c>
      <c r="H1849" s="6">
        <v>1.9294189257142926</v>
      </c>
      <c r="I1849" s="6">
        <v>85</v>
      </c>
      <c r="J1849" s="3" t="s">
        <v>6736</v>
      </c>
      <c r="L1849" s="1" t="s">
        <v>6135</v>
      </c>
    </row>
    <row r="1850" spans="1:12">
      <c r="A1850" s="3" t="s">
        <v>3356</v>
      </c>
      <c r="C1850" s="3" t="s">
        <v>3817</v>
      </c>
      <c r="D1850" s="3" t="s">
        <v>3618</v>
      </c>
      <c r="E1850" s="3" t="s">
        <v>3438</v>
      </c>
      <c r="F1850" s="3" t="s">
        <v>7986</v>
      </c>
      <c r="G1850" s="3" t="s">
        <v>3310</v>
      </c>
      <c r="H1850" s="6" t="s">
        <v>3356</v>
      </c>
      <c r="I1850" s="6" t="s">
        <v>3356</v>
      </c>
      <c r="J1850" s="3" t="s">
        <v>3356</v>
      </c>
      <c r="L1850" s="1" t="s">
        <v>6135</v>
      </c>
    </row>
    <row r="1851" spans="1:12">
      <c r="A1851" s="3" t="s">
        <v>3356</v>
      </c>
      <c r="C1851" s="3" t="s">
        <v>3817</v>
      </c>
      <c r="D1851" s="3" t="s">
        <v>3618</v>
      </c>
      <c r="E1851" s="3" t="s">
        <v>3438</v>
      </c>
      <c r="F1851" s="3" t="s">
        <v>5591</v>
      </c>
      <c r="G1851" s="3" t="s">
        <v>5592</v>
      </c>
      <c r="H1851" s="6" t="s">
        <v>3356</v>
      </c>
      <c r="I1851" s="6" t="s">
        <v>3356</v>
      </c>
      <c r="J1851" s="3" t="s">
        <v>3356</v>
      </c>
      <c r="L1851" s="1" t="s">
        <v>6135</v>
      </c>
    </row>
    <row r="1852" spans="1:12">
      <c r="A1852" s="3" t="s">
        <v>3356</v>
      </c>
      <c r="C1852" s="3" t="s">
        <v>3817</v>
      </c>
      <c r="D1852" s="3" t="s">
        <v>3618</v>
      </c>
      <c r="E1852" s="3" t="s">
        <v>3438</v>
      </c>
      <c r="F1852" s="3" t="s">
        <v>5591</v>
      </c>
      <c r="G1852" s="3" t="s">
        <v>7437</v>
      </c>
      <c r="H1852" s="6" t="s">
        <v>3356</v>
      </c>
      <c r="I1852" s="6" t="s">
        <v>3356</v>
      </c>
      <c r="J1852" s="3" t="s">
        <v>3356</v>
      </c>
      <c r="L1852" s="1" t="s">
        <v>6135</v>
      </c>
    </row>
    <row r="1853" spans="1:12">
      <c r="A1853" s="3" t="s">
        <v>3356</v>
      </c>
      <c r="C1853" s="3" t="s">
        <v>3817</v>
      </c>
      <c r="D1853" s="3" t="s">
        <v>3618</v>
      </c>
      <c r="E1853" s="3" t="s">
        <v>3438</v>
      </c>
      <c r="F1853" s="3" t="s">
        <v>5591</v>
      </c>
      <c r="G1853" s="3" t="s">
        <v>5593</v>
      </c>
      <c r="H1853" s="6" t="s">
        <v>3356</v>
      </c>
      <c r="I1853" s="6" t="s">
        <v>3356</v>
      </c>
      <c r="J1853" s="3" t="s">
        <v>3356</v>
      </c>
      <c r="L1853" s="1" t="s">
        <v>6135</v>
      </c>
    </row>
    <row r="1854" spans="1:12">
      <c r="A1854" s="3" t="s">
        <v>3356</v>
      </c>
      <c r="C1854" s="3" t="s">
        <v>3817</v>
      </c>
      <c r="D1854" s="3" t="s">
        <v>3618</v>
      </c>
      <c r="E1854" s="3" t="s">
        <v>3438</v>
      </c>
      <c r="F1854" s="3" t="s">
        <v>5591</v>
      </c>
      <c r="G1854" s="3" t="s">
        <v>5772</v>
      </c>
      <c r="H1854" s="6" t="s">
        <v>3356</v>
      </c>
      <c r="I1854" s="6" t="s">
        <v>3356</v>
      </c>
      <c r="J1854" s="3" t="s">
        <v>3356</v>
      </c>
      <c r="L1854" s="1" t="s">
        <v>6135</v>
      </c>
    </row>
    <row r="1855" spans="1:12">
      <c r="A1855" s="3" t="s">
        <v>3356</v>
      </c>
      <c r="C1855" s="3" t="s">
        <v>3817</v>
      </c>
      <c r="D1855" s="3" t="s">
        <v>3618</v>
      </c>
      <c r="E1855" s="3" t="s">
        <v>3438</v>
      </c>
      <c r="F1855" s="3" t="s">
        <v>3296</v>
      </c>
      <c r="G1855" s="3" t="s">
        <v>3297</v>
      </c>
      <c r="H1855" s="6" t="s">
        <v>3356</v>
      </c>
      <c r="I1855" s="6" t="s">
        <v>3356</v>
      </c>
      <c r="J1855" s="3" t="s">
        <v>3356</v>
      </c>
      <c r="L1855" s="1" t="s">
        <v>6135</v>
      </c>
    </row>
    <row r="1856" spans="1:12">
      <c r="A1856" s="3" t="s">
        <v>3356</v>
      </c>
      <c r="C1856" s="3" t="s">
        <v>3817</v>
      </c>
      <c r="D1856" s="3" t="s">
        <v>4192</v>
      </c>
      <c r="E1856" s="3" t="s">
        <v>3998</v>
      </c>
      <c r="F1856" s="3" t="s">
        <v>5737</v>
      </c>
      <c r="G1856" s="3" t="s">
        <v>6011</v>
      </c>
      <c r="H1856" s="6" t="s">
        <v>3356</v>
      </c>
      <c r="I1856" s="6" t="s">
        <v>3356</v>
      </c>
      <c r="J1856" s="3" t="s">
        <v>3356</v>
      </c>
      <c r="L1856" s="1" t="s">
        <v>6135</v>
      </c>
    </row>
    <row r="1857" spans="1:12">
      <c r="A1857" s="3" t="s">
        <v>3356</v>
      </c>
      <c r="C1857" s="3" t="s">
        <v>3817</v>
      </c>
      <c r="D1857" s="3" t="s">
        <v>4192</v>
      </c>
      <c r="E1857" s="3" t="s">
        <v>3998</v>
      </c>
      <c r="F1857" s="3" t="s">
        <v>5731</v>
      </c>
      <c r="G1857" s="3" t="s">
        <v>5869</v>
      </c>
      <c r="H1857" s="6" t="s">
        <v>3356</v>
      </c>
      <c r="I1857" s="6" t="s">
        <v>3356</v>
      </c>
      <c r="J1857" s="3" t="s">
        <v>3356</v>
      </c>
      <c r="L1857" s="1" t="s">
        <v>6135</v>
      </c>
    </row>
    <row r="1858" spans="1:12">
      <c r="A1858" s="3" t="s">
        <v>3356</v>
      </c>
      <c r="C1858" s="3" t="s">
        <v>3817</v>
      </c>
      <c r="D1858" s="3" t="s">
        <v>4192</v>
      </c>
      <c r="E1858" s="3" t="s">
        <v>3998</v>
      </c>
      <c r="F1858" s="3" t="s">
        <v>5731</v>
      </c>
      <c r="G1858" s="3" t="s">
        <v>4306</v>
      </c>
      <c r="H1858" s="6" t="s">
        <v>3356</v>
      </c>
      <c r="I1858" s="6" t="s">
        <v>3356</v>
      </c>
      <c r="J1858" s="3" t="s">
        <v>3356</v>
      </c>
      <c r="L1858" s="1" t="s">
        <v>6135</v>
      </c>
    </row>
    <row r="1859" spans="1:12">
      <c r="A1859" s="3" t="s">
        <v>3356</v>
      </c>
      <c r="C1859" s="3" t="s">
        <v>3817</v>
      </c>
      <c r="D1859" s="3" t="s">
        <v>4192</v>
      </c>
      <c r="E1859" s="3" t="s">
        <v>3998</v>
      </c>
      <c r="F1859" s="3" t="s">
        <v>5852</v>
      </c>
      <c r="G1859" s="3" t="s">
        <v>5246</v>
      </c>
      <c r="H1859" s="6">
        <v>1.6020599913279623</v>
      </c>
      <c r="I1859" s="6">
        <v>40</v>
      </c>
      <c r="J1859" s="3" t="s">
        <v>6736</v>
      </c>
      <c r="L1859" s="1" t="s">
        <v>6135</v>
      </c>
    </row>
    <row r="1860" spans="1:12">
      <c r="A1860" s="3" t="s">
        <v>3356</v>
      </c>
      <c r="C1860" s="3" t="s">
        <v>3817</v>
      </c>
      <c r="D1860" s="3" t="s">
        <v>4192</v>
      </c>
      <c r="E1860" s="3" t="s">
        <v>3998</v>
      </c>
      <c r="F1860" s="3" t="s">
        <v>5247</v>
      </c>
      <c r="G1860" s="3" t="s">
        <v>5450</v>
      </c>
      <c r="H1860" s="6" t="s">
        <v>3356</v>
      </c>
      <c r="I1860" s="6" t="s">
        <v>3356</v>
      </c>
      <c r="J1860" s="3" t="s">
        <v>3356</v>
      </c>
      <c r="L1860" s="1" t="s">
        <v>6135</v>
      </c>
    </row>
    <row r="1861" spans="1:12">
      <c r="A1861" s="3" t="s">
        <v>3356</v>
      </c>
      <c r="C1861" s="3" t="s">
        <v>3817</v>
      </c>
      <c r="D1861" s="3" t="s">
        <v>4192</v>
      </c>
      <c r="E1861" s="3" t="s">
        <v>3998</v>
      </c>
      <c r="F1861" s="3" t="s">
        <v>5247</v>
      </c>
      <c r="G1861" s="3" t="s">
        <v>4276</v>
      </c>
      <c r="H1861" s="6" t="s">
        <v>3356</v>
      </c>
      <c r="I1861" s="6" t="s">
        <v>3356</v>
      </c>
      <c r="J1861" s="3" t="s">
        <v>3356</v>
      </c>
      <c r="L1861" s="1" t="s">
        <v>6135</v>
      </c>
    </row>
    <row r="1862" spans="1:12">
      <c r="A1862" s="3" t="s">
        <v>3356</v>
      </c>
      <c r="C1862" s="3" t="s">
        <v>3817</v>
      </c>
      <c r="D1862" s="3" t="s">
        <v>4192</v>
      </c>
      <c r="E1862" s="3" t="s">
        <v>3998</v>
      </c>
      <c r="F1862" s="3" t="s">
        <v>5247</v>
      </c>
      <c r="G1862" s="3" t="s">
        <v>3630</v>
      </c>
      <c r="H1862" s="6" t="s">
        <v>3356</v>
      </c>
      <c r="I1862" s="6" t="s">
        <v>3356</v>
      </c>
      <c r="J1862" s="3" t="s">
        <v>3356</v>
      </c>
      <c r="L1862" s="1" t="s">
        <v>6135</v>
      </c>
    </row>
    <row r="1863" spans="1:12">
      <c r="A1863" s="3" t="s">
        <v>3356</v>
      </c>
      <c r="C1863" s="3" t="s">
        <v>3817</v>
      </c>
      <c r="D1863" s="3" t="s">
        <v>4192</v>
      </c>
      <c r="E1863" s="3" t="s">
        <v>3998</v>
      </c>
      <c r="F1863" s="3" t="s">
        <v>5247</v>
      </c>
      <c r="G1863" s="3" t="s">
        <v>8055</v>
      </c>
      <c r="H1863" s="6">
        <v>2.1760912590556813</v>
      </c>
      <c r="I1863" s="6">
        <v>150</v>
      </c>
      <c r="J1863" s="3" t="s">
        <v>6736</v>
      </c>
      <c r="L1863" s="1" t="s">
        <v>6135</v>
      </c>
    </row>
    <row r="1864" spans="1:12">
      <c r="A1864" s="3" t="s">
        <v>3356</v>
      </c>
      <c r="C1864" s="3" t="s">
        <v>3817</v>
      </c>
      <c r="D1864" s="3" t="s">
        <v>4192</v>
      </c>
      <c r="E1864" s="3" t="s">
        <v>3998</v>
      </c>
      <c r="F1864" s="3" t="s">
        <v>5247</v>
      </c>
      <c r="G1864" s="3" t="s">
        <v>3786</v>
      </c>
      <c r="H1864" s="6" t="s">
        <v>3356</v>
      </c>
      <c r="I1864" s="6" t="s">
        <v>3356</v>
      </c>
      <c r="J1864" s="3" t="s">
        <v>3356</v>
      </c>
      <c r="L1864" s="1" t="s">
        <v>6135</v>
      </c>
    </row>
    <row r="1865" spans="1:12">
      <c r="A1865" s="3" t="s">
        <v>3356</v>
      </c>
      <c r="C1865" s="3" t="s">
        <v>3817</v>
      </c>
      <c r="D1865" s="3" t="s">
        <v>4192</v>
      </c>
      <c r="E1865" s="3" t="s">
        <v>3998</v>
      </c>
      <c r="F1865" s="3" t="s">
        <v>5247</v>
      </c>
      <c r="G1865" s="3" t="s">
        <v>5614</v>
      </c>
      <c r="H1865" s="6" t="s">
        <v>3356</v>
      </c>
      <c r="I1865" s="6" t="s">
        <v>3356</v>
      </c>
      <c r="J1865" s="3" t="s">
        <v>3356</v>
      </c>
      <c r="L1865" s="1" t="s">
        <v>6135</v>
      </c>
    </row>
    <row r="1866" spans="1:12">
      <c r="A1866" s="3" t="s">
        <v>3356</v>
      </c>
      <c r="C1866" s="3" t="s">
        <v>3817</v>
      </c>
      <c r="D1866" s="3" t="s">
        <v>4192</v>
      </c>
      <c r="E1866" s="3" t="s">
        <v>3998</v>
      </c>
      <c r="F1866" s="3" t="s">
        <v>5247</v>
      </c>
      <c r="G1866" s="3" t="s">
        <v>3808</v>
      </c>
      <c r="H1866" s="6" t="s">
        <v>3356</v>
      </c>
      <c r="I1866" s="6" t="s">
        <v>3356</v>
      </c>
      <c r="J1866" s="3" t="s">
        <v>3356</v>
      </c>
      <c r="L1866" s="1" t="s">
        <v>6135</v>
      </c>
    </row>
    <row r="1867" spans="1:12">
      <c r="A1867" s="3" t="s">
        <v>3356</v>
      </c>
      <c r="C1867" s="3" t="s">
        <v>3817</v>
      </c>
      <c r="D1867" s="3" t="s">
        <v>4192</v>
      </c>
      <c r="E1867" s="3" t="s">
        <v>3998</v>
      </c>
      <c r="F1867" s="3" t="s">
        <v>5247</v>
      </c>
      <c r="G1867" s="3" t="s">
        <v>3078</v>
      </c>
      <c r="H1867" s="6" t="s">
        <v>3356</v>
      </c>
      <c r="I1867" s="6" t="s">
        <v>3356</v>
      </c>
      <c r="J1867" s="3" t="s">
        <v>3356</v>
      </c>
      <c r="L1867" s="1" t="s">
        <v>6135</v>
      </c>
    </row>
    <row r="1868" spans="1:12">
      <c r="A1868" s="3" t="s">
        <v>3356</v>
      </c>
      <c r="C1868" s="3" t="s">
        <v>3817</v>
      </c>
      <c r="D1868" s="3" t="s">
        <v>4192</v>
      </c>
      <c r="E1868" s="3" t="s">
        <v>3998</v>
      </c>
      <c r="F1868" s="3" t="s">
        <v>5247</v>
      </c>
      <c r="G1868" s="3" t="s">
        <v>5853</v>
      </c>
      <c r="H1868" s="6">
        <v>2.1760912590556813</v>
      </c>
      <c r="I1868" s="6">
        <v>150</v>
      </c>
      <c r="J1868" s="3" t="s">
        <v>6736</v>
      </c>
      <c r="L1868" s="1" t="s">
        <v>6135</v>
      </c>
    </row>
    <row r="1869" spans="1:12">
      <c r="A1869" s="3" t="s">
        <v>3356</v>
      </c>
      <c r="C1869" s="3" t="s">
        <v>3817</v>
      </c>
      <c r="D1869" s="3" t="s">
        <v>4192</v>
      </c>
      <c r="E1869" s="3" t="s">
        <v>3998</v>
      </c>
      <c r="F1869" s="3" t="s">
        <v>5247</v>
      </c>
      <c r="G1869" s="3" t="s">
        <v>5428</v>
      </c>
      <c r="H1869" s="6" t="s">
        <v>3356</v>
      </c>
      <c r="I1869" s="6" t="s">
        <v>3356</v>
      </c>
      <c r="J1869" s="3" t="s">
        <v>3356</v>
      </c>
      <c r="L1869" s="1" t="s">
        <v>6135</v>
      </c>
    </row>
    <row r="1870" spans="1:12">
      <c r="A1870" s="3" t="s">
        <v>3356</v>
      </c>
      <c r="C1870" s="3" t="s">
        <v>3817</v>
      </c>
      <c r="D1870" s="3" t="s">
        <v>4192</v>
      </c>
      <c r="E1870" s="3" t="s">
        <v>3998</v>
      </c>
      <c r="F1870" s="3" t="s">
        <v>5247</v>
      </c>
      <c r="G1870" s="3" t="s">
        <v>4819</v>
      </c>
      <c r="H1870" s="6" t="s">
        <v>3356</v>
      </c>
      <c r="I1870" s="6" t="s">
        <v>3356</v>
      </c>
      <c r="J1870" s="3" t="s">
        <v>3356</v>
      </c>
      <c r="L1870" s="1" t="s">
        <v>6135</v>
      </c>
    </row>
    <row r="1871" spans="1:12">
      <c r="A1871" s="3" t="s">
        <v>3356</v>
      </c>
      <c r="C1871" s="3" t="s">
        <v>3817</v>
      </c>
      <c r="D1871" s="3" t="s">
        <v>4192</v>
      </c>
      <c r="E1871" s="3" t="s">
        <v>3998</v>
      </c>
      <c r="F1871" s="3" t="s">
        <v>5247</v>
      </c>
      <c r="G1871" s="3" t="s">
        <v>5451</v>
      </c>
      <c r="H1871" s="6" t="s">
        <v>3356</v>
      </c>
      <c r="I1871" s="6" t="s">
        <v>3356</v>
      </c>
      <c r="J1871" s="3" t="s">
        <v>3356</v>
      </c>
      <c r="L1871" s="1" t="s">
        <v>6135</v>
      </c>
    </row>
    <row r="1872" spans="1:12">
      <c r="A1872" s="3" t="s">
        <v>3356</v>
      </c>
      <c r="C1872" s="3" t="s">
        <v>3817</v>
      </c>
      <c r="D1872" s="3" t="s">
        <v>4192</v>
      </c>
      <c r="E1872" s="3" t="s">
        <v>3998</v>
      </c>
      <c r="F1872" s="3" t="s">
        <v>5247</v>
      </c>
      <c r="G1872" s="3" t="s">
        <v>7755</v>
      </c>
      <c r="H1872" s="6" t="s">
        <v>3356</v>
      </c>
      <c r="I1872" s="6" t="s">
        <v>3356</v>
      </c>
      <c r="J1872" s="3" t="s">
        <v>3356</v>
      </c>
      <c r="L1872" s="1" t="s">
        <v>6135</v>
      </c>
    </row>
    <row r="1873" spans="1:12">
      <c r="A1873" s="3" t="s">
        <v>3356</v>
      </c>
      <c r="C1873" s="3" t="s">
        <v>3817</v>
      </c>
      <c r="D1873" s="3" t="s">
        <v>4192</v>
      </c>
      <c r="E1873" s="3" t="s">
        <v>3998</v>
      </c>
      <c r="F1873" s="3" t="s">
        <v>5247</v>
      </c>
      <c r="G1873" s="3" t="s">
        <v>7756</v>
      </c>
      <c r="H1873" s="6" t="s">
        <v>3356</v>
      </c>
      <c r="I1873" s="6" t="s">
        <v>3356</v>
      </c>
      <c r="J1873" s="3" t="s">
        <v>3356</v>
      </c>
      <c r="L1873" s="1" t="s">
        <v>6135</v>
      </c>
    </row>
    <row r="1874" spans="1:12">
      <c r="A1874" s="3" t="s">
        <v>3356</v>
      </c>
      <c r="C1874" s="3" t="s">
        <v>3817</v>
      </c>
      <c r="D1874" s="3" t="s">
        <v>4192</v>
      </c>
      <c r="E1874" s="3" t="s">
        <v>3998</v>
      </c>
      <c r="F1874" s="3" t="s">
        <v>6488</v>
      </c>
      <c r="G1874" s="3" t="s">
        <v>4289</v>
      </c>
      <c r="H1874" s="6">
        <v>2.5440680443502757</v>
      </c>
      <c r="I1874" s="6">
        <v>350</v>
      </c>
      <c r="J1874" s="3" t="s">
        <v>6736</v>
      </c>
      <c r="L1874" s="1" t="s">
        <v>6135</v>
      </c>
    </row>
    <row r="1875" spans="1:12">
      <c r="A1875" s="3" t="s">
        <v>3356</v>
      </c>
      <c r="C1875" s="3" t="s">
        <v>3817</v>
      </c>
      <c r="D1875" s="3" t="s">
        <v>7361</v>
      </c>
      <c r="E1875" s="3" t="s">
        <v>7993</v>
      </c>
      <c r="F1875" s="3" t="s">
        <v>5468</v>
      </c>
      <c r="G1875" s="3" t="s">
        <v>7405</v>
      </c>
      <c r="H1875" s="6" t="s">
        <v>3356</v>
      </c>
      <c r="I1875" s="6" t="s">
        <v>3356</v>
      </c>
      <c r="J1875" s="3" t="s">
        <v>3356</v>
      </c>
      <c r="L1875" s="1" t="s">
        <v>6135</v>
      </c>
    </row>
    <row r="1876" spans="1:12">
      <c r="A1876" s="3" t="s">
        <v>3356</v>
      </c>
      <c r="C1876" s="3" t="s">
        <v>3817</v>
      </c>
      <c r="D1876" s="3" t="s">
        <v>7361</v>
      </c>
      <c r="E1876" s="3" t="s">
        <v>3584</v>
      </c>
      <c r="F1876" s="3" t="s">
        <v>3556</v>
      </c>
      <c r="G1876" s="3" t="s">
        <v>4290</v>
      </c>
      <c r="H1876" s="6">
        <v>5.6020599913279625</v>
      </c>
      <c r="I1876" s="6">
        <v>400000</v>
      </c>
      <c r="J1876" s="3" t="s">
        <v>6736</v>
      </c>
      <c r="L1876" s="1" t="s">
        <v>6135</v>
      </c>
    </row>
    <row r="1877" spans="1:12">
      <c r="A1877" s="3" t="s">
        <v>3356</v>
      </c>
      <c r="C1877" s="3" t="s">
        <v>3817</v>
      </c>
      <c r="D1877" s="3" t="s">
        <v>7361</v>
      </c>
      <c r="E1877" s="3" t="s">
        <v>3584</v>
      </c>
      <c r="F1877" s="3" t="s">
        <v>3556</v>
      </c>
      <c r="G1877" s="3" t="s">
        <v>3996</v>
      </c>
      <c r="H1877" s="6">
        <v>5.3979400086720375</v>
      </c>
      <c r="I1877" s="6">
        <v>250000</v>
      </c>
      <c r="J1877" s="3" t="s">
        <v>6736</v>
      </c>
      <c r="L1877" s="1" t="s">
        <v>6135</v>
      </c>
    </row>
    <row r="1878" spans="1:12">
      <c r="A1878" s="3" t="s">
        <v>3356</v>
      </c>
      <c r="C1878" s="3" t="s">
        <v>3817</v>
      </c>
      <c r="D1878" s="3" t="s">
        <v>7361</v>
      </c>
      <c r="E1878" s="3" t="s">
        <v>3584</v>
      </c>
      <c r="F1878" s="3" t="s">
        <v>3556</v>
      </c>
      <c r="G1878" s="3" t="s">
        <v>6318</v>
      </c>
      <c r="H1878" s="6" t="s">
        <v>3356</v>
      </c>
      <c r="I1878" s="6" t="s">
        <v>3356</v>
      </c>
      <c r="J1878" s="3" t="s">
        <v>3356</v>
      </c>
      <c r="L1878" s="1" t="s">
        <v>6135</v>
      </c>
    </row>
    <row r="1879" spans="1:12">
      <c r="A1879" s="3" t="s">
        <v>3357</v>
      </c>
      <c r="C1879" s="3" t="s">
        <v>3817</v>
      </c>
      <c r="D1879" s="3" t="s">
        <v>3001</v>
      </c>
      <c r="E1879" s="3" t="s">
        <v>3358</v>
      </c>
      <c r="F1879" s="3" t="s">
        <v>3359</v>
      </c>
      <c r="G1879" s="3" t="s">
        <v>3360</v>
      </c>
      <c r="H1879" s="6">
        <v>4.8451000000000004</v>
      </c>
      <c r="I1879" s="6">
        <v>70000.315913089813</v>
      </c>
      <c r="J1879" s="3" t="s">
        <v>3356</v>
      </c>
      <c r="K1879" s="14" t="s">
        <v>6136</v>
      </c>
      <c r="L1879" s="1" t="s">
        <v>6135</v>
      </c>
    </row>
    <row r="1880" spans="1:12">
      <c r="A1880" s="3" t="s">
        <v>3357</v>
      </c>
      <c r="C1880" s="3" t="s">
        <v>3817</v>
      </c>
      <c r="D1880" s="3" t="s">
        <v>3001</v>
      </c>
      <c r="E1880" s="3" t="s">
        <v>3358</v>
      </c>
      <c r="F1880" s="3" t="s">
        <v>3361</v>
      </c>
      <c r="G1880" s="3" t="s">
        <v>3362</v>
      </c>
      <c r="H1880" s="6">
        <v>4.7201599999999999</v>
      </c>
      <c r="I1880" s="6">
        <v>52500.084208338223</v>
      </c>
      <c r="J1880" s="3" t="s">
        <v>3356</v>
      </c>
      <c r="K1880" s="14" t="s">
        <v>2440</v>
      </c>
      <c r="L1880" s="1" t="s">
        <v>6135</v>
      </c>
    </row>
    <row r="1881" spans="1:12">
      <c r="A1881" s="3" t="s">
        <v>3357</v>
      </c>
      <c r="C1881" s="3" t="s">
        <v>3817</v>
      </c>
      <c r="D1881" s="3" t="s">
        <v>3001</v>
      </c>
      <c r="E1881" s="3" t="s">
        <v>3358</v>
      </c>
      <c r="F1881" s="3" t="s">
        <v>3631</v>
      </c>
      <c r="G1881" s="3" t="s">
        <v>4041</v>
      </c>
      <c r="H1881" s="6">
        <v>5.2329999999999997</v>
      </c>
      <c r="I1881" s="6">
        <v>171001.53150902878</v>
      </c>
      <c r="J1881" s="3" t="s">
        <v>3356</v>
      </c>
      <c r="K1881" s="14" t="s">
        <v>2440</v>
      </c>
      <c r="L1881" s="1" t="s">
        <v>6135</v>
      </c>
    </row>
    <row r="1882" spans="1:12">
      <c r="A1882" s="3" t="s">
        <v>3357</v>
      </c>
      <c r="C1882" s="3" t="s">
        <v>3817</v>
      </c>
      <c r="D1882" s="3" t="s">
        <v>3001</v>
      </c>
      <c r="E1882" s="3" t="s">
        <v>3358</v>
      </c>
      <c r="F1882" s="3" t="s">
        <v>4042</v>
      </c>
      <c r="G1882" s="3" t="s">
        <v>4043</v>
      </c>
      <c r="H1882" s="6">
        <v>4.4479300000000004</v>
      </c>
      <c r="I1882" s="6">
        <v>28049.814919141725</v>
      </c>
      <c r="J1882" s="3" t="s">
        <v>3356</v>
      </c>
      <c r="K1882" s="14" t="s">
        <v>6136</v>
      </c>
      <c r="L1882" s="1" t="s">
        <v>6135</v>
      </c>
    </row>
    <row r="1883" spans="1:12">
      <c r="A1883" s="3" t="s">
        <v>3357</v>
      </c>
      <c r="C1883" s="3" t="s">
        <v>3817</v>
      </c>
      <c r="D1883" s="3" t="s">
        <v>3001</v>
      </c>
      <c r="E1883" s="3" t="s">
        <v>3358</v>
      </c>
      <c r="F1883" s="3" t="s">
        <v>3635</v>
      </c>
      <c r="G1883" s="3" t="s">
        <v>3371</v>
      </c>
      <c r="H1883" s="6">
        <v>4.9229799999999999</v>
      </c>
      <c r="I1883" s="6">
        <v>83749.071336616951</v>
      </c>
      <c r="J1883" s="3" t="s">
        <v>3356</v>
      </c>
      <c r="K1883" s="14" t="s">
        <v>2389</v>
      </c>
      <c r="L1883" s="1" t="s">
        <v>6135</v>
      </c>
    </row>
    <row r="1884" spans="1:12">
      <c r="A1884" s="3" t="s">
        <v>3357</v>
      </c>
      <c r="C1884" s="3" t="s">
        <v>3817</v>
      </c>
      <c r="D1884" s="3" t="s">
        <v>3001</v>
      </c>
      <c r="E1884" s="3" t="s">
        <v>3358</v>
      </c>
      <c r="F1884" s="3" t="s">
        <v>3372</v>
      </c>
      <c r="G1884" s="3" t="s">
        <v>3170</v>
      </c>
      <c r="H1884" s="6">
        <v>4.5916199999999998</v>
      </c>
      <c r="I1884" s="6">
        <v>39049.906648176882</v>
      </c>
      <c r="J1884" s="3" t="s">
        <v>3356</v>
      </c>
      <c r="K1884" s="14" t="s">
        <v>6136</v>
      </c>
      <c r="L1884" s="1" t="s">
        <v>6135</v>
      </c>
    </row>
    <row r="1885" spans="1:12">
      <c r="A1885" s="3" t="s">
        <v>3357</v>
      </c>
      <c r="C1885" s="3" t="s">
        <v>3817</v>
      </c>
      <c r="D1885" s="3" t="s">
        <v>3001</v>
      </c>
      <c r="E1885" s="3" t="s">
        <v>3358</v>
      </c>
      <c r="F1885" s="3" t="s">
        <v>3171</v>
      </c>
      <c r="G1885" s="3" t="s">
        <v>3172</v>
      </c>
      <c r="H1885" s="6">
        <v>5.0043199999999999</v>
      </c>
      <c r="I1885" s="6">
        <v>100999.68051211064</v>
      </c>
      <c r="J1885" s="3" t="s">
        <v>3356</v>
      </c>
      <c r="K1885" s="14" t="s">
        <v>2389</v>
      </c>
      <c r="L1885" s="1" t="s">
        <v>6135</v>
      </c>
    </row>
    <row r="1886" spans="1:12">
      <c r="A1886" s="3" t="s">
        <v>3357</v>
      </c>
      <c r="C1886" s="3" t="s">
        <v>3817</v>
      </c>
      <c r="D1886" s="3" t="s">
        <v>3001</v>
      </c>
      <c r="E1886" s="3" t="s">
        <v>3358</v>
      </c>
      <c r="F1886" s="3" t="s">
        <v>3173</v>
      </c>
      <c r="G1886" s="3" t="s">
        <v>3174</v>
      </c>
      <c r="H1886" s="6">
        <v>3.9661400000000002</v>
      </c>
      <c r="I1886" s="6">
        <v>9249.9630946172765</v>
      </c>
      <c r="J1886" s="3" t="s">
        <v>3356</v>
      </c>
      <c r="K1886" s="14" t="s">
        <v>2440</v>
      </c>
      <c r="L1886" s="1" t="s">
        <v>6135</v>
      </c>
    </row>
    <row r="1887" spans="1:12">
      <c r="A1887" s="3" t="s">
        <v>3357</v>
      </c>
      <c r="C1887" s="3" t="s">
        <v>3817</v>
      </c>
      <c r="D1887" s="3" t="s">
        <v>3001</v>
      </c>
      <c r="E1887" s="3" t="s">
        <v>3358</v>
      </c>
      <c r="F1887" s="3" t="s">
        <v>3173</v>
      </c>
      <c r="G1887" s="3" t="s">
        <v>3629</v>
      </c>
      <c r="H1887" s="6">
        <v>4.26126</v>
      </c>
      <c r="I1887" s="6">
        <v>18249.879447489526</v>
      </c>
      <c r="J1887" s="3" t="s">
        <v>3356</v>
      </c>
      <c r="K1887" s="14" t="s">
        <v>2440</v>
      </c>
      <c r="L1887" s="1" t="s">
        <v>6135</v>
      </c>
    </row>
    <row r="1888" spans="1:12">
      <c r="A1888" s="3" t="s">
        <v>3357</v>
      </c>
      <c r="C1888" s="3" t="s">
        <v>3817</v>
      </c>
      <c r="D1888" s="3" t="s">
        <v>3001</v>
      </c>
      <c r="E1888" s="3" t="s">
        <v>3358</v>
      </c>
      <c r="F1888" s="3" t="s">
        <v>3173</v>
      </c>
      <c r="G1888" s="3" t="s">
        <v>3630</v>
      </c>
      <c r="H1888" s="6">
        <v>4.3010299999999999</v>
      </c>
      <c r="I1888" s="6">
        <v>20000.000199681075</v>
      </c>
      <c r="J1888" s="3" t="s">
        <v>3356</v>
      </c>
      <c r="K1888" s="14" t="s">
        <v>6136</v>
      </c>
      <c r="L1888" s="1" t="s">
        <v>6135</v>
      </c>
    </row>
    <row r="1889" spans="1:12">
      <c r="A1889" s="3" t="s">
        <v>3357</v>
      </c>
      <c r="C1889" s="3" t="s">
        <v>3817</v>
      </c>
      <c r="D1889" s="3" t="s">
        <v>3001</v>
      </c>
      <c r="E1889" s="3" t="s">
        <v>3358</v>
      </c>
      <c r="F1889" s="3" t="s">
        <v>3173</v>
      </c>
      <c r="G1889" s="3" t="s">
        <v>4299</v>
      </c>
      <c r="H1889" s="6">
        <v>4.1613699999999998</v>
      </c>
      <c r="I1889" s="6">
        <v>14500.066700500938</v>
      </c>
      <c r="J1889" s="3" t="s">
        <v>3356</v>
      </c>
      <c r="K1889" s="14" t="s">
        <v>2440</v>
      </c>
      <c r="L1889" s="1" t="s">
        <v>6135</v>
      </c>
    </row>
    <row r="1890" spans="1:12">
      <c r="A1890" s="3" t="s">
        <v>3357</v>
      </c>
      <c r="C1890" s="3" t="s">
        <v>3817</v>
      </c>
      <c r="D1890" s="3" t="s">
        <v>3001</v>
      </c>
      <c r="E1890" s="3" t="s">
        <v>3358</v>
      </c>
      <c r="F1890" s="3" t="s">
        <v>3173</v>
      </c>
      <c r="G1890" s="3" t="s">
        <v>4044</v>
      </c>
      <c r="H1890" s="6">
        <v>4.8451000000000004</v>
      </c>
      <c r="I1890" s="6">
        <v>70000.315913089813</v>
      </c>
      <c r="J1890" s="3" t="s">
        <v>3356</v>
      </c>
      <c r="K1890" s="14" t="s">
        <v>2389</v>
      </c>
      <c r="L1890" s="1" t="s">
        <v>6135</v>
      </c>
    </row>
    <row r="1891" spans="1:12">
      <c r="A1891" s="3" t="s">
        <v>3357</v>
      </c>
      <c r="C1891" s="3" t="s">
        <v>3817</v>
      </c>
      <c r="D1891" s="3" t="s">
        <v>3001</v>
      </c>
      <c r="E1891" s="3" t="s">
        <v>3358</v>
      </c>
      <c r="F1891" s="3" t="s">
        <v>3173</v>
      </c>
      <c r="G1891" s="3" t="s">
        <v>4045</v>
      </c>
      <c r="H1891" s="6">
        <v>4.1037999999999997</v>
      </c>
      <c r="I1891" s="6">
        <v>12699.891189181128</v>
      </c>
      <c r="J1891" s="3" t="s">
        <v>3356</v>
      </c>
      <c r="K1891" s="14" t="s">
        <v>6136</v>
      </c>
      <c r="L1891" s="1" t="s">
        <v>6135</v>
      </c>
    </row>
    <row r="1892" spans="1:12">
      <c r="A1892" s="3" t="s">
        <v>3357</v>
      </c>
      <c r="C1892" s="3" t="s">
        <v>3817</v>
      </c>
      <c r="D1892" s="3" t="s">
        <v>3001</v>
      </c>
      <c r="E1892" s="3" t="s">
        <v>3358</v>
      </c>
      <c r="F1892" s="3" t="s">
        <v>3173</v>
      </c>
      <c r="G1892" s="3" t="s">
        <v>4046</v>
      </c>
      <c r="H1892" s="6">
        <v>4.07918</v>
      </c>
      <c r="I1892" s="6">
        <v>11999.965570481174</v>
      </c>
      <c r="J1892" s="3" t="s">
        <v>3356</v>
      </c>
      <c r="K1892" s="14" t="s">
        <v>2440</v>
      </c>
      <c r="L1892" s="1" t="s">
        <v>6135</v>
      </c>
    </row>
    <row r="1893" spans="1:12">
      <c r="A1893" s="3" t="s">
        <v>3357</v>
      </c>
      <c r="C1893" s="3" t="s">
        <v>3817</v>
      </c>
      <c r="D1893" s="3" t="s">
        <v>3001</v>
      </c>
      <c r="E1893" s="3" t="s">
        <v>3358</v>
      </c>
      <c r="F1893" s="3" t="s">
        <v>3173</v>
      </c>
      <c r="G1893" s="3" t="s">
        <v>4047</v>
      </c>
      <c r="H1893" s="6">
        <v>3.7958799999999999</v>
      </c>
      <c r="I1893" s="6">
        <v>6249.9997503986979</v>
      </c>
      <c r="J1893" s="3" t="s">
        <v>3356</v>
      </c>
      <c r="K1893" s="14" t="s">
        <v>6136</v>
      </c>
      <c r="L1893" s="1" t="s">
        <v>6135</v>
      </c>
    </row>
    <row r="1894" spans="1:12">
      <c r="A1894" s="3" t="s">
        <v>3357</v>
      </c>
      <c r="C1894" s="3" t="s">
        <v>3817</v>
      </c>
      <c r="D1894" s="3" t="s">
        <v>3001</v>
      </c>
      <c r="E1894" s="3" t="s">
        <v>3358</v>
      </c>
      <c r="F1894" s="3" t="s">
        <v>3173</v>
      </c>
      <c r="G1894" s="3" t="s">
        <v>3636</v>
      </c>
      <c r="H1894" s="6">
        <v>4.07918</v>
      </c>
      <c r="I1894" s="6">
        <v>11999.965570481174</v>
      </c>
      <c r="J1894" s="3" t="s">
        <v>3356</v>
      </c>
      <c r="K1894" s="14" t="s">
        <v>6136</v>
      </c>
      <c r="L1894" s="1" t="s">
        <v>6135</v>
      </c>
    </row>
    <row r="1895" spans="1:12">
      <c r="A1895" s="3" t="s">
        <v>3357</v>
      </c>
      <c r="C1895" s="3" t="s">
        <v>3817</v>
      </c>
      <c r="D1895" s="3" t="s">
        <v>3001</v>
      </c>
      <c r="E1895" s="3" t="s">
        <v>3358</v>
      </c>
      <c r="F1895" s="3" t="s">
        <v>3173</v>
      </c>
      <c r="G1895" s="3" t="s">
        <v>3837</v>
      </c>
      <c r="H1895" s="6">
        <v>4.3096300000000003</v>
      </c>
      <c r="I1895" s="6">
        <v>20399.992135549033</v>
      </c>
      <c r="J1895" s="3" t="s">
        <v>3356</v>
      </c>
      <c r="K1895" s="14" t="s">
        <v>6136</v>
      </c>
      <c r="L1895" s="1" t="s">
        <v>6135</v>
      </c>
    </row>
    <row r="1896" spans="1:12">
      <c r="A1896" s="3" t="s">
        <v>3357</v>
      </c>
      <c r="C1896" s="3" t="s">
        <v>3817</v>
      </c>
      <c r="D1896" s="3" t="s">
        <v>3001</v>
      </c>
      <c r="E1896" s="3" t="s">
        <v>3358</v>
      </c>
      <c r="F1896" s="3" t="s">
        <v>3173</v>
      </c>
      <c r="G1896" s="3" t="s">
        <v>3838</v>
      </c>
      <c r="H1896" s="6">
        <v>4.1430100000000003</v>
      </c>
      <c r="I1896" s="6">
        <v>13899.846364239125</v>
      </c>
      <c r="J1896" s="3" t="s">
        <v>3356</v>
      </c>
      <c r="K1896" s="14" t="s">
        <v>6136</v>
      </c>
      <c r="L1896" s="1" t="s">
        <v>6135</v>
      </c>
    </row>
    <row r="1897" spans="1:12">
      <c r="A1897" s="3" t="s">
        <v>3357</v>
      </c>
      <c r="C1897" s="3" t="s">
        <v>3817</v>
      </c>
      <c r="D1897" s="3" t="s">
        <v>3001</v>
      </c>
      <c r="E1897" s="3" t="s">
        <v>3358</v>
      </c>
      <c r="F1897" s="3" t="s">
        <v>3173</v>
      </c>
      <c r="G1897" s="3" t="s">
        <v>3839</v>
      </c>
      <c r="H1897" s="6">
        <v>4.3010299999999999</v>
      </c>
      <c r="I1897" s="6">
        <v>20000.000199681075</v>
      </c>
      <c r="J1897" s="3" t="s">
        <v>3356</v>
      </c>
      <c r="K1897" s="14" t="s">
        <v>2440</v>
      </c>
      <c r="L1897" s="1" t="s">
        <v>6135</v>
      </c>
    </row>
    <row r="1898" spans="1:12">
      <c r="A1898" s="3" t="s">
        <v>3357</v>
      </c>
      <c r="C1898" s="3" t="s">
        <v>3817</v>
      </c>
      <c r="D1898" s="3" t="s">
        <v>3001</v>
      </c>
      <c r="E1898" s="3" t="s">
        <v>3358</v>
      </c>
      <c r="F1898" s="3" t="s">
        <v>3173</v>
      </c>
      <c r="G1898" s="3" t="s">
        <v>3601</v>
      </c>
      <c r="H1898" s="6">
        <v>4.1760900000000003</v>
      </c>
      <c r="I1898" s="6">
        <v>14999.956513820405</v>
      </c>
      <c r="J1898" s="3" t="s">
        <v>3356</v>
      </c>
      <c r="K1898" s="14" t="s">
        <v>6136</v>
      </c>
      <c r="L1898" s="1" t="s">
        <v>6135</v>
      </c>
    </row>
    <row r="1899" spans="1:12">
      <c r="A1899" s="3" t="s">
        <v>3357</v>
      </c>
      <c r="C1899" s="3" t="s">
        <v>3817</v>
      </c>
      <c r="D1899" s="3" t="s">
        <v>3001</v>
      </c>
      <c r="E1899" s="3" t="s">
        <v>3358</v>
      </c>
      <c r="F1899" s="3" t="s">
        <v>3173</v>
      </c>
      <c r="G1899" s="3" t="s">
        <v>4076</v>
      </c>
      <c r="H1899" s="6">
        <v>4.07918</v>
      </c>
      <c r="I1899" s="6">
        <v>11999.965570481174</v>
      </c>
      <c r="J1899" s="3" t="s">
        <v>3356</v>
      </c>
      <c r="K1899" s="14" t="s">
        <v>2440</v>
      </c>
      <c r="L1899" s="1" t="s">
        <v>6135</v>
      </c>
    </row>
    <row r="1900" spans="1:12">
      <c r="A1900" s="3" t="s">
        <v>3357</v>
      </c>
      <c r="C1900" s="3" t="s">
        <v>3817</v>
      </c>
      <c r="D1900" s="3" t="s">
        <v>3001</v>
      </c>
      <c r="E1900" s="3" t="s">
        <v>3358</v>
      </c>
      <c r="F1900" s="3" t="s">
        <v>3173</v>
      </c>
      <c r="G1900" s="3" t="s">
        <v>4077</v>
      </c>
      <c r="H1900" s="6">
        <v>4.8603399999999999</v>
      </c>
      <c r="I1900" s="6">
        <v>72500.332778657481</v>
      </c>
      <c r="J1900" s="3" t="s">
        <v>3356</v>
      </c>
      <c r="K1900" s="14" t="s">
        <v>6136</v>
      </c>
      <c r="L1900" s="1" t="s">
        <v>6135</v>
      </c>
    </row>
    <row r="1901" spans="1:12">
      <c r="A1901" s="3" t="s">
        <v>3357</v>
      </c>
      <c r="C1901" s="3" t="s">
        <v>3817</v>
      </c>
      <c r="D1901" s="3" t="s">
        <v>3001</v>
      </c>
      <c r="E1901" s="3" t="s">
        <v>3358</v>
      </c>
      <c r="F1901" s="3" t="s">
        <v>3173</v>
      </c>
      <c r="G1901" s="3" t="s">
        <v>4078</v>
      </c>
      <c r="H1901" s="6">
        <v>4.7481900000000001</v>
      </c>
      <c r="I1901" s="6">
        <v>56000.254407800254</v>
      </c>
      <c r="J1901" s="3" t="s">
        <v>3356</v>
      </c>
      <c r="K1901" s="14" t="s">
        <v>2440</v>
      </c>
      <c r="L1901" s="1" t="s">
        <v>6135</v>
      </c>
    </row>
    <row r="1902" spans="1:12">
      <c r="A1902" s="3" t="s">
        <v>3357</v>
      </c>
      <c r="C1902" s="3" t="s">
        <v>3817</v>
      </c>
      <c r="D1902" s="3" t="s">
        <v>3001</v>
      </c>
      <c r="E1902" s="3" t="s">
        <v>3358</v>
      </c>
      <c r="F1902" s="3" t="s">
        <v>3173</v>
      </c>
      <c r="G1902" s="3" t="s">
        <v>4079</v>
      </c>
      <c r="H1902" s="6">
        <v>4.2430399999999997</v>
      </c>
      <c r="I1902" s="6">
        <v>17500.078628829033</v>
      </c>
      <c r="J1902" s="3" t="s">
        <v>3356</v>
      </c>
      <c r="K1902" s="14" t="s">
        <v>2389</v>
      </c>
      <c r="L1902" s="1" t="s">
        <v>6135</v>
      </c>
    </row>
    <row r="1903" spans="1:12">
      <c r="A1903" s="3" t="s">
        <v>3357</v>
      </c>
      <c r="C1903" s="3" t="s">
        <v>3817</v>
      </c>
      <c r="D1903" s="3" t="s">
        <v>3001</v>
      </c>
      <c r="E1903" s="3" t="s">
        <v>3358</v>
      </c>
      <c r="F1903" s="3" t="s">
        <v>4616</v>
      </c>
      <c r="G1903" s="3" t="s">
        <v>7219</v>
      </c>
      <c r="H1903" s="6">
        <v>5.2552700000000003</v>
      </c>
      <c r="I1903" s="6">
        <v>179998.96172455972</v>
      </c>
      <c r="J1903" s="3" t="s">
        <v>3356</v>
      </c>
      <c r="K1903" s="14" t="s">
        <v>6136</v>
      </c>
      <c r="L1903" s="1" t="s">
        <v>6135</v>
      </c>
    </row>
    <row r="1904" spans="1:12">
      <c r="A1904" s="3" t="s">
        <v>3357</v>
      </c>
      <c r="C1904" s="3" t="s">
        <v>3817</v>
      </c>
      <c r="D1904" s="3" t="s">
        <v>3001</v>
      </c>
      <c r="E1904" s="3" t="s">
        <v>3358</v>
      </c>
      <c r="F1904" s="3" t="s">
        <v>4616</v>
      </c>
      <c r="G1904" s="3" t="s">
        <v>7220</v>
      </c>
      <c r="H1904" s="6">
        <v>5.2552700000000003</v>
      </c>
      <c r="I1904" s="6">
        <v>179998.96172455972</v>
      </c>
      <c r="J1904" s="3" t="s">
        <v>3356</v>
      </c>
      <c r="K1904" s="14" t="s">
        <v>2440</v>
      </c>
      <c r="L1904" s="1" t="s">
        <v>6135</v>
      </c>
    </row>
    <row r="1905" spans="1:12">
      <c r="A1905" s="3" t="s">
        <v>3357</v>
      </c>
      <c r="C1905" s="3" t="s">
        <v>3817</v>
      </c>
      <c r="D1905" s="3" t="s">
        <v>3001</v>
      </c>
      <c r="E1905" s="3" t="s">
        <v>3358</v>
      </c>
      <c r="F1905" s="3" t="s">
        <v>7231</v>
      </c>
      <c r="G1905" s="3" t="s">
        <v>7232</v>
      </c>
      <c r="H1905" s="6">
        <v>4.9030899999999997</v>
      </c>
      <c r="I1905" s="6">
        <v>80000.00239617264</v>
      </c>
      <c r="J1905" s="3" t="s">
        <v>3356</v>
      </c>
      <c r="K1905" s="14" t="s">
        <v>2440</v>
      </c>
      <c r="L1905" s="1" t="s">
        <v>6135</v>
      </c>
    </row>
    <row r="1906" spans="1:12">
      <c r="A1906" s="3" t="s">
        <v>3357</v>
      </c>
      <c r="C1906" s="3" t="s">
        <v>3817</v>
      </c>
      <c r="D1906" s="3" t="s">
        <v>3001</v>
      </c>
      <c r="E1906" s="3" t="s">
        <v>3358</v>
      </c>
      <c r="F1906" s="3" t="s">
        <v>7231</v>
      </c>
      <c r="G1906" s="3" t="s">
        <v>4620</v>
      </c>
      <c r="H1906" s="6">
        <v>5.13354</v>
      </c>
      <c r="I1906" s="6">
        <v>136000.34184601295</v>
      </c>
      <c r="J1906" s="3" t="s">
        <v>3356</v>
      </c>
      <c r="K1906" s="14" t="s">
        <v>2440</v>
      </c>
      <c r="L1906" s="1" t="s">
        <v>6135</v>
      </c>
    </row>
    <row r="1907" spans="1:12">
      <c r="A1907" s="3" t="s">
        <v>3357</v>
      </c>
      <c r="C1907" s="3" t="s">
        <v>3817</v>
      </c>
      <c r="D1907" s="3" t="s">
        <v>3001</v>
      </c>
      <c r="E1907" s="3" t="s">
        <v>3358</v>
      </c>
      <c r="F1907" s="3" t="s">
        <v>7231</v>
      </c>
      <c r="G1907" s="3" t="s">
        <v>1998</v>
      </c>
      <c r="H1907" s="6">
        <v>4.7853300000000001</v>
      </c>
      <c r="I1907" s="6">
        <v>61000.023174011149</v>
      </c>
      <c r="J1907" s="3" t="s">
        <v>3356</v>
      </c>
      <c r="L1907" s="1" t="s">
        <v>6135</v>
      </c>
    </row>
    <row r="1908" spans="1:12">
      <c r="A1908" s="3" t="s">
        <v>3357</v>
      </c>
      <c r="C1908" s="3" t="s">
        <v>3817</v>
      </c>
      <c r="D1908" s="3" t="s">
        <v>3001</v>
      </c>
      <c r="E1908" s="3" t="s">
        <v>3358</v>
      </c>
      <c r="F1908" s="3" t="s">
        <v>1999</v>
      </c>
      <c r="G1908" s="3" t="s">
        <v>2000</v>
      </c>
      <c r="H1908" s="6">
        <v>4.0107200000000001</v>
      </c>
      <c r="I1908" s="6">
        <v>10249.908771372877</v>
      </c>
      <c r="J1908" s="3" t="s">
        <v>3356</v>
      </c>
      <c r="K1908" s="14" t="s">
        <v>2389</v>
      </c>
      <c r="L1908" s="1" t="s">
        <v>6135</v>
      </c>
    </row>
    <row r="1909" spans="1:12">
      <c r="A1909" s="3" t="s">
        <v>3357</v>
      </c>
      <c r="C1909" s="3" t="s">
        <v>3817</v>
      </c>
      <c r="D1909" s="3" t="s">
        <v>3001</v>
      </c>
      <c r="E1909" s="3" t="s">
        <v>3358</v>
      </c>
      <c r="F1909" s="3" t="s">
        <v>2001</v>
      </c>
      <c r="G1909" s="3" t="s">
        <v>4743</v>
      </c>
      <c r="H1909" s="6">
        <v>4.3979400086720375</v>
      </c>
      <c r="I1909" s="6">
        <v>25000</v>
      </c>
      <c r="J1909" s="3" t="s">
        <v>3356</v>
      </c>
      <c r="L1909" s="1" t="s">
        <v>6135</v>
      </c>
    </row>
    <row r="1910" spans="1:12">
      <c r="A1910" s="3" t="s">
        <v>3357</v>
      </c>
      <c r="C1910" s="3" t="s">
        <v>3817</v>
      </c>
      <c r="D1910" s="3" t="s">
        <v>3001</v>
      </c>
      <c r="E1910" s="3" t="s">
        <v>3358</v>
      </c>
      <c r="F1910" s="3" t="s">
        <v>2001</v>
      </c>
      <c r="G1910" s="3" t="s">
        <v>4891</v>
      </c>
      <c r="H1910" s="6">
        <v>4.8633199999999999</v>
      </c>
      <c r="I1910" s="6">
        <v>72999.519247620075</v>
      </c>
      <c r="J1910" s="3" t="s">
        <v>3356</v>
      </c>
      <c r="K1910" s="14" t="s">
        <v>6136</v>
      </c>
      <c r="L1910" s="1" t="s">
        <v>6135</v>
      </c>
    </row>
    <row r="1911" spans="1:12">
      <c r="A1911" s="3" t="s">
        <v>3357</v>
      </c>
      <c r="C1911" s="3" t="s">
        <v>3817</v>
      </c>
      <c r="D1911" s="3" t="s">
        <v>3001</v>
      </c>
      <c r="E1911" s="3" t="s">
        <v>3358</v>
      </c>
      <c r="F1911" s="3" t="s">
        <v>2001</v>
      </c>
      <c r="G1911" s="3" t="s">
        <v>1994</v>
      </c>
      <c r="H1911" s="6">
        <v>4.3617299999999997</v>
      </c>
      <c r="I1911" s="6">
        <v>23000.114603619051</v>
      </c>
      <c r="J1911" s="3" t="s">
        <v>3356</v>
      </c>
      <c r="K1911" s="14" t="s">
        <v>2389</v>
      </c>
      <c r="L1911" s="1" t="s">
        <v>6135</v>
      </c>
    </row>
    <row r="1912" spans="1:12">
      <c r="A1912" s="3" t="s">
        <v>3357</v>
      </c>
      <c r="C1912" s="3" t="s">
        <v>3817</v>
      </c>
      <c r="D1912" s="3" t="s">
        <v>3001</v>
      </c>
      <c r="E1912" s="3" t="s">
        <v>3358</v>
      </c>
      <c r="F1912" s="3" t="s">
        <v>2001</v>
      </c>
      <c r="G1912" s="3" t="s">
        <v>7280</v>
      </c>
      <c r="H1912" s="6">
        <v>4.3521799999999997</v>
      </c>
      <c r="I1912" s="6">
        <v>22499.869541650296</v>
      </c>
      <c r="J1912" s="3" t="s">
        <v>3356</v>
      </c>
      <c r="K1912" s="14" t="s">
        <v>2389</v>
      </c>
      <c r="L1912" s="1" t="s">
        <v>6135</v>
      </c>
    </row>
    <row r="1913" spans="1:12">
      <c r="A1913" s="3" t="s">
        <v>3357</v>
      </c>
      <c r="C1913" s="3" t="s">
        <v>3817</v>
      </c>
      <c r="D1913" s="3" t="s">
        <v>3001</v>
      </c>
      <c r="E1913" s="3" t="s">
        <v>3358</v>
      </c>
      <c r="F1913" s="3" t="s">
        <v>2001</v>
      </c>
      <c r="G1913" s="3" t="s">
        <v>7281</v>
      </c>
      <c r="H1913" s="6">
        <v>4.7403599999999999</v>
      </c>
      <c r="I1913" s="6">
        <v>54999.659397640258</v>
      </c>
      <c r="J1913" s="3" t="s">
        <v>3356</v>
      </c>
      <c r="K1913" s="14" t="s">
        <v>2440</v>
      </c>
      <c r="L1913" s="1" t="s">
        <v>6135</v>
      </c>
    </row>
    <row r="1914" spans="1:12">
      <c r="A1914" s="3" t="s">
        <v>3357</v>
      </c>
      <c r="C1914" s="3" t="s">
        <v>3817</v>
      </c>
      <c r="D1914" s="3" t="s">
        <v>3001</v>
      </c>
      <c r="E1914" s="3" t="s">
        <v>3358</v>
      </c>
      <c r="F1914" s="3" t="s">
        <v>2001</v>
      </c>
      <c r="G1914" s="3" t="s">
        <v>2005</v>
      </c>
      <c r="H1914" s="6">
        <v>4.4313599999999997</v>
      </c>
      <c r="I1914" s="6">
        <v>26999.76598401209</v>
      </c>
      <c r="J1914" s="3" t="s">
        <v>3356</v>
      </c>
      <c r="K1914" s="14" t="s">
        <v>6136</v>
      </c>
      <c r="L1914" s="1" t="s">
        <v>6135</v>
      </c>
    </row>
    <row r="1915" spans="1:12">
      <c r="A1915" s="3" t="s">
        <v>3357</v>
      </c>
      <c r="C1915" s="3" t="s">
        <v>3817</v>
      </c>
      <c r="D1915" s="3" t="s">
        <v>3001</v>
      </c>
      <c r="E1915" s="3" t="s">
        <v>3358</v>
      </c>
      <c r="F1915" s="3" t="s">
        <v>2001</v>
      </c>
      <c r="G1915" s="3" t="s">
        <v>4740</v>
      </c>
      <c r="H1915" s="6">
        <v>4.6020599999999998</v>
      </c>
      <c r="I1915" s="6">
        <v>40000.000798724192</v>
      </c>
      <c r="J1915" s="3" t="s">
        <v>3356</v>
      </c>
      <c r="K1915" s="14" t="s">
        <v>2440</v>
      </c>
      <c r="L1915" s="1" t="s">
        <v>6135</v>
      </c>
    </row>
    <row r="1916" spans="1:12">
      <c r="A1916" s="3" t="s">
        <v>3357</v>
      </c>
      <c r="C1916" s="3" t="s">
        <v>3817</v>
      </c>
      <c r="D1916" s="3" t="s">
        <v>3001</v>
      </c>
      <c r="E1916" s="3" t="s">
        <v>3358</v>
      </c>
      <c r="F1916" s="3" t="s">
        <v>2001</v>
      </c>
      <c r="G1916" s="3" t="s">
        <v>4741</v>
      </c>
      <c r="H1916" s="6">
        <v>4.3010299999999999</v>
      </c>
      <c r="I1916" s="6">
        <v>20000.000199681075</v>
      </c>
      <c r="J1916" s="3" t="s">
        <v>3356</v>
      </c>
      <c r="K1916" s="14" t="s">
        <v>2389</v>
      </c>
      <c r="L1916" s="1" t="s">
        <v>6135</v>
      </c>
    </row>
    <row r="1917" spans="1:12">
      <c r="A1917" s="3" t="s">
        <v>3357</v>
      </c>
      <c r="C1917" s="3" t="s">
        <v>3817</v>
      </c>
      <c r="D1917" s="3" t="s">
        <v>3001</v>
      </c>
      <c r="E1917" s="3" t="s">
        <v>3358</v>
      </c>
      <c r="F1917" s="3" t="s">
        <v>2001</v>
      </c>
      <c r="G1917" s="3" t="s">
        <v>4742</v>
      </c>
      <c r="H1917" s="6">
        <v>4.31175</v>
      </c>
      <c r="I1917" s="6">
        <v>20499.817747416979</v>
      </c>
      <c r="J1917" s="3" t="s">
        <v>3356</v>
      </c>
      <c r="K1917" s="14" t="s">
        <v>2440</v>
      </c>
      <c r="L1917" s="1" t="s">
        <v>6135</v>
      </c>
    </row>
    <row r="1918" spans="1:12">
      <c r="A1918" s="3" t="s">
        <v>3357</v>
      </c>
      <c r="C1918" s="3" t="s">
        <v>3817</v>
      </c>
      <c r="D1918" s="3" t="s">
        <v>3001</v>
      </c>
      <c r="E1918" s="3" t="s">
        <v>3358</v>
      </c>
      <c r="F1918" s="3" t="s">
        <v>4744</v>
      </c>
      <c r="G1918" s="3" t="s">
        <v>2235</v>
      </c>
      <c r="H1918" s="6">
        <v>5.4313599999999997</v>
      </c>
      <c r="I1918" s="6">
        <v>269997.65984012122</v>
      </c>
      <c r="J1918" s="3" t="s">
        <v>3356</v>
      </c>
      <c r="K1918" s="14" t="s">
        <v>2440</v>
      </c>
      <c r="L1918" s="1" t="s">
        <v>6135</v>
      </c>
    </row>
    <row r="1919" spans="1:12">
      <c r="A1919" s="3" t="s">
        <v>3357</v>
      </c>
      <c r="C1919" s="3" t="s">
        <v>3817</v>
      </c>
      <c r="D1919" s="3" t="s">
        <v>3001</v>
      </c>
      <c r="E1919" s="3" t="s">
        <v>3358</v>
      </c>
      <c r="F1919" s="3" t="s">
        <v>4744</v>
      </c>
      <c r="G1919" s="3" t="s">
        <v>3837</v>
      </c>
      <c r="H1919" s="6">
        <v>5.3569800000000001</v>
      </c>
      <c r="I1919" s="6">
        <v>227499.26610759203</v>
      </c>
      <c r="J1919" s="3" t="s">
        <v>3356</v>
      </c>
      <c r="K1919" s="14" t="s">
        <v>2440</v>
      </c>
      <c r="L1919" s="1" t="s">
        <v>6135</v>
      </c>
    </row>
    <row r="1920" spans="1:12">
      <c r="A1920" s="3" t="s">
        <v>3357</v>
      </c>
      <c r="C1920" s="3" t="s">
        <v>3817</v>
      </c>
      <c r="D1920" s="3" t="s">
        <v>3001</v>
      </c>
      <c r="E1920" s="3" t="s">
        <v>3358</v>
      </c>
      <c r="F1920" s="3" t="s">
        <v>2236</v>
      </c>
      <c r="G1920" s="3" t="s">
        <v>7248</v>
      </c>
      <c r="H1920" s="6">
        <v>5.3222199999999997</v>
      </c>
      <c r="I1920" s="6">
        <v>210000.34102666145</v>
      </c>
      <c r="J1920" s="3" t="s">
        <v>3356</v>
      </c>
      <c r="K1920" s="14" t="s">
        <v>2440</v>
      </c>
      <c r="L1920" s="1" t="s">
        <v>6135</v>
      </c>
    </row>
    <row r="1921" spans="1:12">
      <c r="A1921" s="3" t="s">
        <v>3357</v>
      </c>
      <c r="C1921" s="3" t="s">
        <v>3817</v>
      </c>
      <c r="D1921" s="3" t="s">
        <v>3001</v>
      </c>
      <c r="E1921" s="3" t="s">
        <v>3358</v>
      </c>
      <c r="F1921" s="3" t="s">
        <v>2236</v>
      </c>
      <c r="G1921" s="3" t="s">
        <v>7249</v>
      </c>
      <c r="H1921" s="6">
        <v>4.8948700000000001</v>
      </c>
      <c r="I1921" s="6">
        <v>78500.062044325954</v>
      </c>
      <c r="J1921" s="3" t="s">
        <v>3356</v>
      </c>
      <c r="K1921" s="14" t="s">
        <v>2440</v>
      </c>
      <c r="L1921" s="1" t="s">
        <v>6135</v>
      </c>
    </row>
    <row r="1922" spans="1:12">
      <c r="A1922" s="3" t="s">
        <v>3357</v>
      </c>
      <c r="C1922" s="3" t="s">
        <v>3817</v>
      </c>
      <c r="D1922" s="3" t="s">
        <v>3001</v>
      </c>
      <c r="E1922" s="3" t="s">
        <v>3358</v>
      </c>
      <c r="F1922" s="3" t="s">
        <v>2236</v>
      </c>
      <c r="G1922" s="3" t="s">
        <v>4901</v>
      </c>
      <c r="H1922" s="6">
        <v>5.04434</v>
      </c>
      <c r="I1922" s="6">
        <v>110749.04756364247</v>
      </c>
      <c r="J1922" s="3" t="s">
        <v>3356</v>
      </c>
      <c r="K1922" s="14" t="s">
        <v>6136</v>
      </c>
      <c r="L1922" s="1" t="s">
        <v>6135</v>
      </c>
    </row>
    <row r="1923" spans="1:12">
      <c r="A1923" s="3" t="s">
        <v>3357</v>
      </c>
      <c r="C1923" s="3" t="s">
        <v>3817</v>
      </c>
      <c r="D1923" s="3" t="s">
        <v>3001</v>
      </c>
      <c r="E1923" s="3" t="s">
        <v>3358</v>
      </c>
      <c r="F1923" s="3" t="s">
        <v>2236</v>
      </c>
      <c r="G1923" s="3" t="s">
        <v>4902</v>
      </c>
      <c r="H1923" s="6">
        <v>4.9420099999999998</v>
      </c>
      <c r="I1923" s="6">
        <v>87500.392270536715</v>
      </c>
      <c r="J1923" s="3" t="s">
        <v>3356</v>
      </c>
      <c r="K1923" s="14" t="s">
        <v>2389</v>
      </c>
      <c r="L1923" s="1" t="s">
        <v>6135</v>
      </c>
    </row>
    <row r="1924" spans="1:12">
      <c r="A1924" s="3" t="s">
        <v>3357</v>
      </c>
      <c r="C1924" s="3" t="s">
        <v>3817</v>
      </c>
      <c r="D1924" s="3" t="s">
        <v>3001</v>
      </c>
      <c r="E1924" s="3" t="s">
        <v>3358</v>
      </c>
      <c r="F1924" s="3" t="s">
        <v>2236</v>
      </c>
      <c r="G1924" s="3" t="s">
        <v>4903</v>
      </c>
      <c r="H1924" s="6">
        <v>4.8543099999999999</v>
      </c>
      <c r="I1924" s="6">
        <v>71500.651660392279</v>
      </c>
      <c r="J1924" s="3" t="s">
        <v>3356</v>
      </c>
      <c r="K1924" s="14" t="s">
        <v>2440</v>
      </c>
      <c r="L1924" s="1" t="s">
        <v>6135</v>
      </c>
    </row>
    <row r="1925" spans="1:12">
      <c r="A1925" s="3" t="s">
        <v>3357</v>
      </c>
      <c r="C1925" s="3" t="s">
        <v>3817</v>
      </c>
      <c r="D1925" s="3" t="s">
        <v>3001</v>
      </c>
      <c r="E1925" s="3" t="s">
        <v>3358</v>
      </c>
      <c r="F1925" s="3" t="s">
        <v>4904</v>
      </c>
      <c r="G1925" s="3" t="s">
        <v>3891</v>
      </c>
      <c r="H1925" s="6">
        <v>4.5797800000000004</v>
      </c>
      <c r="I1925" s="6">
        <v>37999.685303685583</v>
      </c>
      <c r="J1925" s="3" t="s">
        <v>3356</v>
      </c>
      <c r="K1925" s="14" t="s">
        <v>2440</v>
      </c>
      <c r="L1925" s="1" t="s">
        <v>6135</v>
      </c>
    </row>
    <row r="1926" spans="1:12">
      <c r="A1926" s="3" t="s">
        <v>3357</v>
      </c>
      <c r="C1926" s="3" t="s">
        <v>3817</v>
      </c>
      <c r="D1926" s="3" t="s">
        <v>3001</v>
      </c>
      <c r="E1926" s="3" t="s">
        <v>3358</v>
      </c>
      <c r="F1926" s="3" t="s">
        <v>3892</v>
      </c>
      <c r="G1926" s="3" t="s">
        <v>3895</v>
      </c>
      <c r="H1926" s="6">
        <v>3.8750599999999999</v>
      </c>
      <c r="I1926" s="6">
        <v>7499.9781820300241</v>
      </c>
      <c r="J1926" s="3" t="s">
        <v>3356</v>
      </c>
      <c r="K1926" s="14" t="s">
        <v>2440</v>
      </c>
      <c r="L1926" s="1" t="s">
        <v>6135</v>
      </c>
    </row>
    <row r="1927" spans="1:12">
      <c r="A1927" s="3" t="s">
        <v>3357</v>
      </c>
      <c r="C1927" s="3" t="s">
        <v>3817</v>
      </c>
      <c r="D1927" s="3" t="s">
        <v>3001</v>
      </c>
      <c r="E1927" s="3" t="s">
        <v>3358</v>
      </c>
      <c r="F1927" s="3" t="s">
        <v>3892</v>
      </c>
      <c r="G1927" s="3" t="s">
        <v>3896</v>
      </c>
      <c r="H1927" s="6">
        <v>3.7242799999999998</v>
      </c>
      <c r="I1927" s="6">
        <v>5300.0504063966555</v>
      </c>
      <c r="J1927" s="3" t="s">
        <v>3356</v>
      </c>
      <c r="K1927" s="14" t="s">
        <v>2440</v>
      </c>
      <c r="L1927" s="1" t="s">
        <v>6135</v>
      </c>
    </row>
    <row r="1928" spans="1:12">
      <c r="A1928" s="3" t="s">
        <v>3357</v>
      </c>
      <c r="C1928" s="3" t="s">
        <v>3817</v>
      </c>
      <c r="D1928" s="3" t="s">
        <v>3001</v>
      </c>
      <c r="E1928" s="3" t="s">
        <v>3358</v>
      </c>
      <c r="F1928" s="3" t="s">
        <v>3892</v>
      </c>
      <c r="G1928" s="3" t="s">
        <v>3843</v>
      </c>
      <c r="H1928" s="6">
        <v>3.5118800000000001</v>
      </c>
      <c r="I1928" s="6">
        <v>3249.9748485428022</v>
      </c>
      <c r="J1928" s="3" t="s">
        <v>3356</v>
      </c>
      <c r="K1928" s="14" t="s">
        <v>2389</v>
      </c>
      <c r="L1928" s="1" t="s">
        <v>6135</v>
      </c>
    </row>
    <row r="1929" spans="1:12">
      <c r="A1929" s="3" t="s">
        <v>3357</v>
      </c>
      <c r="C1929" s="3" t="s">
        <v>3817</v>
      </c>
      <c r="D1929" s="3" t="s">
        <v>3001</v>
      </c>
      <c r="E1929" s="3" t="s">
        <v>3358</v>
      </c>
      <c r="F1929" s="3" t="s">
        <v>4774</v>
      </c>
      <c r="G1929" s="3" t="s">
        <v>7222</v>
      </c>
      <c r="H1929" s="6">
        <v>3.4771200000000002</v>
      </c>
      <c r="I1929" s="6">
        <v>2999.9913327161544</v>
      </c>
      <c r="J1929" s="3" t="s">
        <v>3356</v>
      </c>
      <c r="K1929" s="14" t="s">
        <v>6136</v>
      </c>
      <c r="L1929" s="1" t="s">
        <v>6135</v>
      </c>
    </row>
    <row r="1930" spans="1:12">
      <c r="A1930" s="3" t="s">
        <v>3357</v>
      </c>
      <c r="C1930" s="3" t="s">
        <v>3817</v>
      </c>
      <c r="D1930" s="3" t="s">
        <v>3001</v>
      </c>
      <c r="E1930" s="3" t="s">
        <v>3358</v>
      </c>
      <c r="F1930" s="3" t="s">
        <v>4774</v>
      </c>
      <c r="G1930" s="3" t="s">
        <v>7233</v>
      </c>
      <c r="H1930" s="6">
        <v>3.81291</v>
      </c>
      <c r="I1930" s="6">
        <v>6499.9497619814347</v>
      </c>
      <c r="J1930" s="3" t="s">
        <v>3356</v>
      </c>
      <c r="K1930" s="14" t="s">
        <v>2440</v>
      </c>
      <c r="L1930" s="1" t="s">
        <v>6135</v>
      </c>
    </row>
    <row r="1931" spans="1:12">
      <c r="A1931" s="3" t="s">
        <v>3357</v>
      </c>
      <c r="C1931" s="3" t="s">
        <v>3817</v>
      </c>
      <c r="D1931" s="3" t="s">
        <v>3001</v>
      </c>
      <c r="E1931" s="3" t="s">
        <v>3358</v>
      </c>
      <c r="F1931" s="3" t="s">
        <v>4774</v>
      </c>
      <c r="G1931" s="3" t="s">
        <v>7234</v>
      </c>
      <c r="H1931" s="6">
        <v>3.6020599999999998</v>
      </c>
      <c r="I1931" s="6">
        <v>4000.0000798724222</v>
      </c>
      <c r="J1931" s="3" t="s">
        <v>3356</v>
      </c>
      <c r="K1931" s="14" t="s">
        <v>6136</v>
      </c>
      <c r="L1931" s="1" t="s">
        <v>6135</v>
      </c>
    </row>
    <row r="1932" spans="1:12">
      <c r="A1932" s="3" t="s">
        <v>3357</v>
      </c>
      <c r="C1932" s="3" t="s">
        <v>3817</v>
      </c>
      <c r="D1932" s="3" t="s">
        <v>3001</v>
      </c>
      <c r="E1932" s="3" t="s">
        <v>3358</v>
      </c>
      <c r="F1932" s="3" t="s">
        <v>7223</v>
      </c>
      <c r="G1932" s="3" t="s">
        <v>7438</v>
      </c>
      <c r="H1932" s="6">
        <v>4.1139400000000004</v>
      </c>
      <c r="I1932" s="6">
        <v>12999.899653754575</v>
      </c>
      <c r="J1932" s="3" t="s">
        <v>3356</v>
      </c>
      <c r="K1932" s="14" t="s">
        <v>2440</v>
      </c>
      <c r="L1932" s="1" t="s">
        <v>6135</v>
      </c>
    </row>
    <row r="1933" spans="1:12">
      <c r="A1933" s="3" t="s">
        <v>3357</v>
      </c>
      <c r="C1933" s="3" t="s">
        <v>3817</v>
      </c>
      <c r="D1933" s="3" t="s">
        <v>3001</v>
      </c>
      <c r="E1933" s="3" t="s">
        <v>3358</v>
      </c>
      <c r="F1933" s="3" t="s">
        <v>7439</v>
      </c>
      <c r="G1933" s="3" t="s">
        <v>7440</v>
      </c>
      <c r="H1933" s="6">
        <v>5.3010299999999999</v>
      </c>
      <c r="I1933" s="6">
        <v>200000.00199681061</v>
      </c>
      <c r="J1933" s="3" t="s">
        <v>3356</v>
      </c>
      <c r="K1933" s="14" t="s">
        <v>6136</v>
      </c>
      <c r="L1933" s="1" t="s">
        <v>6135</v>
      </c>
    </row>
    <row r="1934" spans="1:12">
      <c r="A1934" s="3" t="s">
        <v>3357</v>
      </c>
      <c r="C1934" s="3" t="s">
        <v>3817</v>
      </c>
      <c r="D1934" s="3" t="s">
        <v>3001</v>
      </c>
      <c r="E1934" s="3" t="s">
        <v>3358</v>
      </c>
      <c r="F1934" s="3" t="s">
        <v>7439</v>
      </c>
      <c r="G1934" s="3" t="s">
        <v>7280</v>
      </c>
      <c r="H1934" s="6">
        <v>5.2278900000000004</v>
      </c>
      <c r="I1934" s="6">
        <v>169001.2823612215</v>
      </c>
      <c r="J1934" s="3" t="s">
        <v>3356</v>
      </c>
      <c r="K1934" s="14" t="s">
        <v>2440</v>
      </c>
      <c r="L1934" s="1" t="s">
        <v>6135</v>
      </c>
    </row>
    <row r="1935" spans="1:12">
      <c r="A1935" s="3" t="s">
        <v>3357</v>
      </c>
      <c r="C1935" s="3" t="s">
        <v>3817</v>
      </c>
      <c r="D1935" s="3" t="s">
        <v>3001</v>
      </c>
      <c r="E1935" s="3" t="s">
        <v>3358</v>
      </c>
      <c r="F1935" s="3" t="s">
        <v>7441</v>
      </c>
      <c r="G1935" s="3" t="s">
        <v>7442</v>
      </c>
      <c r="H1935" s="6">
        <v>4.2367900000000001</v>
      </c>
      <c r="I1935" s="6">
        <v>17250.035771133316</v>
      </c>
      <c r="J1935" s="3" t="s">
        <v>3356</v>
      </c>
      <c r="K1935" s="14" t="s">
        <v>2440</v>
      </c>
      <c r="L1935" s="1" t="s">
        <v>6135</v>
      </c>
    </row>
    <row r="1936" spans="1:12">
      <c r="A1936" s="3" t="s">
        <v>3357</v>
      </c>
      <c r="C1936" s="3" t="s">
        <v>3817</v>
      </c>
      <c r="D1936" s="3" t="s">
        <v>3001</v>
      </c>
      <c r="E1936" s="3" t="s">
        <v>3358</v>
      </c>
      <c r="F1936" s="3" t="s">
        <v>7443</v>
      </c>
      <c r="G1936" s="3" t="s">
        <v>7224</v>
      </c>
      <c r="H1936" s="6">
        <v>4.3010299999999999</v>
      </c>
      <c r="I1936" s="6">
        <v>20000.000199681075</v>
      </c>
      <c r="J1936" s="3" t="s">
        <v>3356</v>
      </c>
      <c r="K1936" s="14" t="s">
        <v>6136</v>
      </c>
      <c r="L1936" s="1" t="s">
        <v>6135</v>
      </c>
    </row>
    <row r="1937" spans="1:12">
      <c r="A1937" s="3" t="s">
        <v>3357</v>
      </c>
      <c r="C1937" s="3" t="s">
        <v>3817</v>
      </c>
      <c r="D1937" s="3" t="s">
        <v>3001</v>
      </c>
      <c r="E1937" s="3" t="s">
        <v>3358</v>
      </c>
      <c r="F1937" s="3" t="s">
        <v>7235</v>
      </c>
      <c r="G1937" s="3" t="s">
        <v>3628</v>
      </c>
      <c r="H1937" s="6">
        <v>4.0211899999999998</v>
      </c>
      <c r="I1937" s="6">
        <v>10500.016946500356</v>
      </c>
      <c r="J1937" s="3" t="s">
        <v>3356</v>
      </c>
      <c r="K1937" s="14" t="s">
        <v>2440</v>
      </c>
      <c r="L1937" s="1" t="s">
        <v>6135</v>
      </c>
    </row>
    <row r="1938" spans="1:12">
      <c r="A1938" s="3" t="s">
        <v>3357</v>
      </c>
      <c r="C1938" s="3" t="s">
        <v>3817</v>
      </c>
      <c r="D1938" s="3" t="s">
        <v>3001</v>
      </c>
      <c r="E1938" s="3" t="s">
        <v>3358</v>
      </c>
      <c r="F1938" s="3" t="s">
        <v>7235</v>
      </c>
      <c r="G1938" s="3" t="s">
        <v>4633</v>
      </c>
      <c r="H1938" s="6">
        <v>4.0107200000000001</v>
      </c>
      <c r="I1938" s="6">
        <v>10249.908771372877</v>
      </c>
      <c r="J1938" s="3" t="s">
        <v>3356</v>
      </c>
      <c r="K1938" s="14" t="s">
        <v>6136</v>
      </c>
      <c r="L1938" s="1" t="s">
        <v>6135</v>
      </c>
    </row>
    <row r="1939" spans="1:12">
      <c r="A1939" s="3" t="s">
        <v>3357</v>
      </c>
      <c r="C1939" s="3" t="s">
        <v>3817</v>
      </c>
      <c r="D1939" s="3" t="s">
        <v>3001</v>
      </c>
      <c r="E1939" s="3" t="s">
        <v>3358</v>
      </c>
      <c r="F1939" s="3" t="s">
        <v>7235</v>
      </c>
      <c r="G1939" s="3" t="s">
        <v>7225</v>
      </c>
      <c r="H1939" s="6">
        <v>3.9777200000000001</v>
      </c>
      <c r="I1939" s="6">
        <v>9499.9211362259666</v>
      </c>
      <c r="J1939" s="3" t="s">
        <v>3356</v>
      </c>
      <c r="K1939" s="14" t="s">
        <v>2440</v>
      </c>
      <c r="L1939" s="1" t="s">
        <v>6135</v>
      </c>
    </row>
    <row r="1940" spans="1:12">
      <c r="A1940" s="3" t="s">
        <v>3357</v>
      </c>
      <c r="C1940" s="3" t="s">
        <v>3817</v>
      </c>
      <c r="D1940" s="3" t="s">
        <v>3001</v>
      </c>
      <c r="E1940" s="3" t="s">
        <v>3358</v>
      </c>
      <c r="F1940" s="3" t="s">
        <v>7227</v>
      </c>
      <c r="G1940" s="3" t="s">
        <v>7451</v>
      </c>
      <c r="H1940" s="6">
        <v>4.7634299999999996</v>
      </c>
      <c r="I1940" s="6">
        <v>58000.267960159108</v>
      </c>
      <c r="J1940" s="3" t="s">
        <v>3356</v>
      </c>
      <c r="K1940" s="14" t="s">
        <v>2440</v>
      </c>
      <c r="L1940" s="1" t="s">
        <v>6135</v>
      </c>
    </row>
    <row r="1941" spans="1:12">
      <c r="A1941" s="3" t="s">
        <v>3357</v>
      </c>
      <c r="C1941" s="3" t="s">
        <v>3817</v>
      </c>
      <c r="D1941" s="3" t="s">
        <v>3001</v>
      </c>
      <c r="E1941" s="3" t="s">
        <v>3358</v>
      </c>
      <c r="F1941" s="3" t="s">
        <v>7227</v>
      </c>
      <c r="G1941" s="3" t="s">
        <v>2280</v>
      </c>
      <c r="H1941" s="6">
        <v>4.4698200000000003</v>
      </c>
      <c r="I1941" s="6">
        <v>29499.863062460532</v>
      </c>
      <c r="J1941" s="3" t="s">
        <v>3356</v>
      </c>
      <c r="K1941" s="14" t="s">
        <v>2440</v>
      </c>
      <c r="L1941" s="1" t="s">
        <v>6135</v>
      </c>
    </row>
    <row r="1942" spans="1:12">
      <c r="A1942" s="3" t="s">
        <v>3357</v>
      </c>
      <c r="C1942" s="3" t="s">
        <v>3817</v>
      </c>
      <c r="D1942" s="3" t="s">
        <v>3001</v>
      </c>
      <c r="E1942" s="3" t="s">
        <v>3358</v>
      </c>
      <c r="F1942" s="3" t="s">
        <v>7227</v>
      </c>
      <c r="G1942" s="3" t="s">
        <v>7454</v>
      </c>
      <c r="H1942" s="6">
        <v>4.6439500000000002</v>
      </c>
      <c r="I1942" s="6">
        <v>44050.414567309555</v>
      </c>
      <c r="J1942" s="3" t="s">
        <v>3356</v>
      </c>
      <c r="K1942" s="14" t="s">
        <v>2440</v>
      </c>
      <c r="L1942" s="1" t="s">
        <v>6135</v>
      </c>
    </row>
    <row r="1943" spans="1:12">
      <c r="A1943" s="3" t="s">
        <v>3357</v>
      </c>
      <c r="C1943" s="3" t="s">
        <v>3817</v>
      </c>
      <c r="D1943" s="3" t="s">
        <v>3001</v>
      </c>
      <c r="E1943" s="3" t="s">
        <v>3358</v>
      </c>
      <c r="F1943" s="3" t="s">
        <v>7683</v>
      </c>
      <c r="G1943" s="3" t="s">
        <v>4785</v>
      </c>
      <c r="H1943" s="6">
        <v>5.2342599999999999</v>
      </c>
      <c r="I1943" s="6">
        <v>171498.37131800401</v>
      </c>
      <c r="J1943" s="3" t="s">
        <v>3356</v>
      </c>
      <c r="K1943" s="14" t="s">
        <v>6136</v>
      </c>
      <c r="L1943" s="1" t="s">
        <v>6135</v>
      </c>
    </row>
    <row r="1944" spans="1:12">
      <c r="A1944" s="3" t="s">
        <v>3357</v>
      </c>
      <c r="C1944" s="3" t="s">
        <v>3817</v>
      </c>
      <c r="D1944" s="3" t="s">
        <v>3001</v>
      </c>
      <c r="E1944" s="3" t="s">
        <v>3358</v>
      </c>
      <c r="F1944" s="3" t="s">
        <v>3888</v>
      </c>
      <c r="G1944" s="3" t="s">
        <v>3889</v>
      </c>
      <c r="H1944" s="6">
        <v>4.2900299999999998</v>
      </c>
      <c r="I1944" s="6">
        <v>19499.792949034705</v>
      </c>
      <c r="J1944" s="3" t="s">
        <v>3356</v>
      </c>
      <c r="K1944" s="14" t="s">
        <v>2440</v>
      </c>
      <c r="L1944" s="1" t="s">
        <v>6135</v>
      </c>
    </row>
    <row r="1945" spans="1:12">
      <c r="A1945" s="3" t="s">
        <v>3357</v>
      </c>
      <c r="C1945" s="3" t="s">
        <v>3817</v>
      </c>
      <c r="D1945" s="3" t="s">
        <v>3001</v>
      </c>
      <c r="E1945" s="3" t="s">
        <v>3358</v>
      </c>
      <c r="F1945" s="3" t="s">
        <v>4301</v>
      </c>
      <c r="G1945" s="3" t="s">
        <v>6514</v>
      </c>
      <c r="H1945" s="6">
        <v>5.7634299999999996</v>
      </c>
      <c r="I1945" s="6">
        <v>580002.67960159073</v>
      </c>
      <c r="J1945" s="3" t="s">
        <v>3356</v>
      </c>
      <c r="K1945" s="14" t="s">
        <v>2440</v>
      </c>
      <c r="L1945" s="1" t="s">
        <v>6135</v>
      </c>
    </row>
    <row r="1946" spans="1:12">
      <c r="A1946" s="3" t="s">
        <v>3357</v>
      </c>
      <c r="C1946" s="3" t="s">
        <v>3817</v>
      </c>
      <c r="D1946" s="3" t="s">
        <v>3001</v>
      </c>
      <c r="E1946" s="3" t="s">
        <v>3358</v>
      </c>
      <c r="F1946" s="3" t="s">
        <v>3415</v>
      </c>
      <c r="G1946" s="3" t="s">
        <v>3899</v>
      </c>
      <c r="H1946" s="6">
        <v>5.7558699999999998</v>
      </c>
      <c r="I1946" s="6">
        <v>569993.62709414319</v>
      </c>
      <c r="J1946" s="3" t="s">
        <v>3356</v>
      </c>
      <c r="K1946" s="14" t="s">
        <v>2440</v>
      </c>
      <c r="L1946" s="1" t="s">
        <v>6135</v>
      </c>
    </row>
    <row r="1947" spans="1:12">
      <c r="A1947" s="3" t="s">
        <v>3357</v>
      </c>
      <c r="C1947" s="3" t="s">
        <v>3817</v>
      </c>
      <c r="D1947" s="3" t="s">
        <v>3001</v>
      </c>
      <c r="E1947" s="3" t="s">
        <v>3358</v>
      </c>
      <c r="F1947" s="3" t="s">
        <v>3900</v>
      </c>
      <c r="G1947" s="3" t="s">
        <v>3901</v>
      </c>
      <c r="H1947" s="6">
        <v>4.9375200000000001</v>
      </c>
      <c r="I1947" s="6">
        <v>86600.420340917175</v>
      </c>
      <c r="J1947" s="3" t="s">
        <v>3356</v>
      </c>
      <c r="K1947" s="14" t="s">
        <v>6136</v>
      </c>
      <c r="L1947" s="1" t="s">
        <v>6135</v>
      </c>
    </row>
    <row r="1948" spans="1:12">
      <c r="A1948" s="3" t="s">
        <v>3357</v>
      </c>
      <c r="C1948" s="3" t="s">
        <v>3817</v>
      </c>
      <c r="D1948" s="3" t="s">
        <v>3001</v>
      </c>
      <c r="E1948" s="3" t="s">
        <v>3358</v>
      </c>
      <c r="F1948" s="3" t="s">
        <v>3900</v>
      </c>
      <c r="G1948" s="3" t="s">
        <v>3883</v>
      </c>
      <c r="H1948" s="6">
        <v>5.3324400000000001</v>
      </c>
      <c r="I1948" s="6">
        <v>215000.76242905634</v>
      </c>
      <c r="J1948" s="3" t="s">
        <v>3356</v>
      </c>
      <c r="K1948" s="14" t="s">
        <v>2389</v>
      </c>
      <c r="L1948" s="1" t="s">
        <v>6135</v>
      </c>
    </row>
    <row r="1949" spans="1:12">
      <c r="A1949" s="3" t="s">
        <v>3357</v>
      </c>
      <c r="C1949" s="3" t="s">
        <v>3817</v>
      </c>
      <c r="D1949" s="3" t="s">
        <v>3001</v>
      </c>
      <c r="E1949" s="3" t="s">
        <v>3358</v>
      </c>
      <c r="F1949" s="3" t="s">
        <v>3900</v>
      </c>
      <c r="G1949" s="3" t="s">
        <v>3416</v>
      </c>
      <c r="H1949" s="6">
        <v>5.5171999999999999</v>
      </c>
      <c r="I1949" s="6">
        <v>329003.10752470582</v>
      </c>
      <c r="J1949" s="3" t="s">
        <v>3356</v>
      </c>
      <c r="K1949" s="14" t="s">
        <v>6136</v>
      </c>
      <c r="L1949" s="1" t="s">
        <v>6135</v>
      </c>
    </row>
    <row r="1950" spans="1:12">
      <c r="A1950" s="3" t="s">
        <v>3357</v>
      </c>
      <c r="C1950" s="3" t="s">
        <v>3817</v>
      </c>
      <c r="D1950" s="3" t="s">
        <v>3001</v>
      </c>
      <c r="E1950" s="3" t="s">
        <v>3358</v>
      </c>
      <c r="F1950" s="3" t="s">
        <v>3900</v>
      </c>
      <c r="G1950" s="3" t="s">
        <v>3417</v>
      </c>
      <c r="H1950" s="6">
        <v>4.9115599999999997</v>
      </c>
      <c r="I1950" s="6">
        <v>81575.548013253661</v>
      </c>
      <c r="J1950" s="3" t="s">
        <v>3356</v>
      </c>
      <c r="K1950" s="14" t="s">
        <v>2440</v>
      </c>
      <c r="L1950" s="1" t="s">
        <v>6135</v>
      </c>
    </row>
    <row r="1951" spans="1:12">
      <c r="A1951" s="3" t="s">
        <v>3357</v>
      </c>
      <c r="C1951" s="3" t="s">
        <v>3817</v>
      </c>
      <c r="D1951" s="3" t="s">
        <v>3001</v>
      </c>
      <c r="E1951" s="3" t="s">
        <v>3358</v>
      </c>
      <c r="F1951" s="3" t="s">
        <v>3900</v>
      </c>
      <c r="G1951" s="3" t="s">
        <v>4497</v>
      </c>
      <c r="H1951" s="6">
        <v>4.6359899999999996</v>
      </c>
      <c r="I1951" s="6">
        <v>43250.387215066643</v>
      </c>
      <c r="J1951" s="3" t="s">
        <v>3356</v>
      </c>
      <c r="K1951" s="14" t="s">
        <v>2440</v>
      </c>
      <c r="L1951" s="1" t="s">
        <v>6135</v>
      </c>
    </row>
    <row r="1952" spans="1:12">
      <c r="A1952" s="3" t="s">
        <v>3357</v>
      </c>
      <c r="C1952" s="3" t="s">
        <v>3817</v>
      </c>
      <c r="D1952" s="3" t="s">
        <v>3001</v>
      </c>
      <c r="E1952" s="3" t="s">
        <v>3358</v>
      </c>
      <c r="F1952" s="3" t="s">
        <v>3900</v>
      </c>
      <c r="G1952" s="3" t="s">
        <v>4063</v>
      </c>
      <c r="H1952" s="6">
        <v>4.8920899999999996</v>
      </c>
      <c r="I1952" s="6">
        <v>77999.173353634396</v>
      </c>
      <c r="J1952" s="3" t="s">
        <v>3356</v>
      </c>
      <c r="K1952" s="14" t="s">
        <v>2440</v>
      </c>
      <c r="L1952" s="1" t="s">
        <v>6135</v>
      </c>
    </row>
    <row r="1953" spans="1:12">
      <c r="A1953" s="3" t="s">
        <v>3357</v>
      </c>
      <c r="C1953" s="3" t="s">
        <v>3817</v>
      </c>
      <c r="D1953" s="3" t="s">
        <v>3001</v>
      </c>
      <c r="E1953" s="3" t="s">
        <v>3358</v>
      </c>
      <c r="F1953" s="3" t="s">
        <v>3900</v>
      </c>
      <c r="G1953" s="3" t="s">
        <v>4064</v>
      </c>
      <c r="H1953" s="6">
        <v>5.3293999999999997</v>
      </c>
      <c r="I1953" s="6">
        <v>213501.04251272275</v>
      </c>
      <c r="J1953" s="3" t="s">
        <v>3356</v>
      </c>
      <c r="K1953" s="14" t="s">
        <v>2440</v>
      </c>
      <c r="L1953" s="1" t="s">
        <v>6135</v>
      </c>
    </row>
    <row r="1954" spans="1:12">
      <c r="A1954" s="3" t="s">
        <v>3357</v>
      </c>
      <c r="C1954" s="3" t="s">
        <v>3817</v>
      </c>
      <c r="D1954" s="3" t="s">
        <v>3001</v>
      </c>
      <c r="E1954" s="3" t="s">
        <v>3905</v>
      </c>
      <c r="F1954" s="3" t="s">
        <v>3906</v>
      </c>
      <c r="G1954" s="3" t="s">
        <v>3863</v>
      </c>
      <c r="H1954" s="6">
        <v>5.1938199999999997</v>
      </c>
      <c r="I1954" s="6">
        <v>156249.99063995146</v>
      </c>
      <c r="J1954" s="3" t="s">
        <v>3356</v>
      </c>
      <c r="K1954" s="14" t="s">
        <v>2389</v>
      </c>
      <c r="L1954" s="1" t="s">
        <v>6135</v>
      </c>
    </row>
    <row r="1955" spans="1:12">
      <c r="A1955" s="3" t="s">
        <v>3357</v>
      </c>
      <c r="C1955" s="3" t="s">
        <v>3817</v>
      </c>
      <c r="D1955" s="3" t="s">
        <v>3001</v>
      </c>
      <c r="E1955" s="3" t="s">
        <v>3724</v>
      </c>
      <c r="F1955" s="3" t="s">
        <v>3725</v>
      </c>
      <c r="G1955" s="3" t="s">
        <v>3726</v>
      </c>
      <c r="H1955" s="6">
        <v>5.9542400000000004</v>
      </c>
      <c r="I1955" s="6">
        <v>899994.79963720392</v>
      </c>
      <c r="J1955" s="3" t="s">
        <v>3356</v>
      </c>
      <c r="K1955" s="14" t="s">
        <v>2440</v>
      </c>
      <c r="L1955" s="1" t="s">
        <v>6135</v>
      </c>
    </row>
    <row r="1956" spans="1:12">
      <c r="A1956" s="3" t="s">
        <v>3357</v>
      </c>
      <c r="C1956" s="3" t="s">
        <v>3817</v>
      </c>
      <c r="D1956" s="3" t="s">
        <v>3001</v>
      </c>
      <c r="E1956" s="3" t="s">
        <v>3724</v>
      </c>
      <c r="F1956" s="3" t="s">
        <v>3476</v>
      </c>
      <c r="G1956" s="3" t="s">
        <v>3718</v>
      </c>
      <c r="H1956" s="6">
        <v>5.3617299999999997</v>
      </c>
      <c r="I1956" s="6">
        <v>230001.14603619074</v>
      </c>
      <c r="J1956" s="3" t="s">
        <v>3356</v>
      </c>
      <c r="K1956" s="14" t="s">
        <v>2440</v>
      </c>
      <c r="L1956" s="1" t="s">
        <v>6135</v>
      </c>
    </row>
    <row r="1957" spans="1:12">
      <c r="A1957" s="3" t="s">
        <v>3357</v>
      </c>
      <c r="C1957" s="3" t="s">
        <v>3817</v>
      </c>
      <c r="D1957" s="3" t="s">
        <v>3001</v>
      </c>
      <c r="E1957" s="3" t="s">
        <v>3719</v>
      </c>
      <c r="F1957" s="3" t="s">
        <v>3720</v>
      </c>
      <c r="G1957" s="3" t="s">
        <v>3721</v>
      </c>
      <c r="H1957" s="6">
        <v>5.3710699999999996</v>
      </c>
      <c r="I1957" s="6">
        <v>235001.15674363667</v>
      </c>
      <c r="J1957" s="3" t="s">
        <v>3356</v>
      </c>
      <c r="K1957" s="14" t="s">
        <v>6136</v>
      </c>
      <c r="L1957" s="1" t="s">
        <v>6135</v>
      </c>
    </row>
    <row r="1958" spans="1:12">
      <c r="A1958" s="3" t="s">
        <v>3357</v>
      </c>
      <c r="C1958" s="3" t="s">
        <v>3817</v>
      </c>
      <c r="D1958" s="3" t="s">
        <v>3001</v>
      </c>
      <c r="E1958" s="3" t="s">
        <v>3719</v>
      </c>
      <c r="F1958" s="3" t="s">
        <v>3722</v>
      </c>
      <c r="G1958" s="3" t="s">
        <v>3723</v>
      </c>
      <c r="H1958" s="6">
        <v>6.1515199999999997</v>
      </c>
      <c r="I1958" s="6">
        <v>1417489.987766061</v>
      </c>
      <c r="J1958" s="3" t="s">
        <v>3356</v>
      </c>
      <c r="K1958" s="14" t="s">
        <v>2440</v>
      </c>
      <c r="L1958" s="1" t="s">
        <v>6135</v>
      </c>
    </row>
    <row r="1959" spans="1:12">
      <c r="A1959" s="3" t="s">
        <v>3357</v>
      </c>
      <c r="C1959" s="3" t="s">
        <v>3817</v>
      </c>
      <c r="D1959" s="3" t="s">
        <v>3001</v>
      </c>
      <c r="E1959" s="3" t="s">
        <v>3267</v>
      </c>
      <c r="F1959" s="3" t="s">
        <v>3064</v>
      </c>
      <c r="G1959" s="3" t="s">
        <v>3479</v>
      </c>
      <c r="H1959" s="6">
        <v>5.1461300000000003</v>
      </c>
      <c r="I1959" s="6">
        <v>140000.63322395334</v>
      </c>
      <c r="J1959" s="3" t="s">
        <v>3356</v>
      </c>
      <c r="K1959" s="14" t="s">
        <v>6136</v>
      </c>
      <c r="L1959" s="1" t="s">
        <v>6135</v>
      </c>
    </row>
    <row r="1960" spans="1:12">
      <c r="A1960" s="3" t="s">
        <v>3357</v>
      </c>
      <c r="C1960" s="3" t="s">
        <v>3817</v>
      </c>
      <c r="D1960" s="3" t="s">
        <v>3001</v>
      </c>
      <c r="E1960" s="3" t="s">
        <v>3267</v>
      </c>
      <c r="F1960" s="3" t="s">
        <v>3480</v>
      </c>
      <c r="G1960" s="3" t="s">
        <v>3481</v>
      </c>
      <c r="H1960" s="6">
        <v>4.8512599999999999</v>
      </c>
      <c r="I1960" s="6">
        <v>71000.269957767028</v>
      </c>
      <c r="J1960" s="3" t="s">
        <v>3356</v>
      </c>
      <c r="K1960" s="14" t="s">
        <v>2440</v>
      </c>
      <c r="L1960" s="1" t="s">
        <v>6135</v>
      </c>
    </row>
    <row r="1961" spans="1:12">
      <c r="A1961" s="3" t="s">
        <v>3357</v>
      </c>
      <c r="C1961" s="3" t="s">
        <v>3817</v>
      </c>
      <c r="D1961" s="3" t="s">
        <v>3001</v>
      </c>
      <c r="E1961" s="3" t="s">
        <v>3267</v>
      </c>
      <c r="F1961" s="3" t="s">
        <v>3482</v>
      </c>
      <c r="G1961" s="3" t="s">
        <v>3483</v>
      </c>
      <c r="H1961" s="6">
        <v>4.8451000000000004</v>
      </c>
      <c r="I1961" s="6">
        <v>70000.315913089813</v>
      </c>
      <c r="J1961" s="3" t="s">
        <v>3356</v>
      </c>
      <c r="K1961" s="14" t="s">
        <v>2440</v>
      </c>
      <c r="L1961" s="1" t="s">
        <v>6135</v>
      </c>
    </row>
    <row r="1962" spans="1:12">
      <c r="A1962" s="3" t="s">
        <v>3357</v>
      </c>
      <c r="C1962" s="3" t="s">
        <v>3817</v>
      </c>
      <c r="D1962" s="3" t="s">
        <v>3001</v>
      </c>
      <c r="E1962" s="3" t="s">
        <v>3951</v>
      </c>
      <c r="F1962" s="3" t="s">
        <v>3952</v>
      </c>
      <c r="G1962" s="3" t="s">
        <v>3953</v>
      </c>
      <c r="H1962" s="6">
        <v>4.0354299999999999</v>
      </c>
      <c r="I1962" s="6">
        <v>10850.006540950035</v>
      </c>
      <c r="J1962" s="3" t="s">
        <v>3356</v>
      </c>
      <c r="K1962" s="14" t="s">
        <v>6136</v>
      </c>
      <c r="L1962" s="1" t="s">
        <v>6135</v>
      </c>
    </row>
    <row r="1963" spans="1:12">
      <c r="A1963" s="3" t="s">
        <v>3357</v>
      </c>
      <c r="C1963" s="3" t="s">
        <v>3817</v>
      </c>
      <c r="D1963" s="3" t="s">
        <v>3954</v>
      </c>
      <c r="E1963" s="3" t="s">
        <v>3955</v>
      </c>
      <c r="F1963" s="3" t="s">
        <v>3956</v>
      </c>
      <c r="G1963" s="3" t="s">
        <v>3957</v>
      </c>
      <c r="H1963" s="6">
        <v>4.0107200000000001</v>
      </c>
      <c r="I1963" s="6">
        <v>10249.908771372877</v>
      </c>
      <c r="J1963" s="3" t="s">
        <v>3356</v>
      </c>
      <c r="K1963" s="14" t="s">
        <v>2440</v>
      </c>
      <c r="L1963" s="1" t="s">
        <v>6135</v>
      </c>
    </row>
    <row r="1964" spans="1:12">
      <c r="A1964" s="3" t="s">
        <v>3357</v>
      </c>
      <c r="C1964" s="3" t="s">
        <v>3817</v>
      </c>
      <c r="D1964" s="3" t="s">
        <v>3954</v>
      </c>
      <c r="E1964" s="3" t="s">
        <v>3955</v>
      </c>
      <c r="F1964" s="3" t="s">
        <v>3956</v>
      </c>
      <c r="G1964" s="3" t="s">
        <v>7364</v>
      </c>
      <c r="H1964" s="6">
        <v>4.0413899999999998</v>
      </c>
      <c r="I1964" s="6">
        <v>10999.931989351941</v>
      </c>
      <c r="J1964" s="3" t="s">
        <v>3356</v>
      </c>
      <c r="K1964" s="14" t="s">
        <v>2440</v>
      </c>
      <c r="L1964" s="1" t="s">
        <v>6135</v>
      </c>
    </row>
    <row r="1965" spans="1:12">
      <c r="A1965" s="3" t="s">
        <v>3357</v>
      </c>
      <c r="C1965" s="3" t="s">
        <v>3817</v>
      </c>
      <c r="D1965" s="3" t="s">
        <v>3954</v>
      </c>
      <c r="E1965" s="3" t="s">
        <v>3955</v>
      </c>
      <c r="F1965" s="3" t="s">
        <v>3956</v>
      </c>
      <c r="G1965" s="3" t="s">
        <v>7365</v>
      </c>
      <c r="H1965" s="6">
        <v>3.9294199999999999</v>
      </c>
      <c r="I1965" s="6">
        <v>8500.0210259171836</v>
      </c>
      <c r="J1965" s="3" t="s">
        <v>3356</v>
      </c>
      <c r="K1965" s="14" t="s">
        <v>2440</v>
      </c>
      <c r="L1965" s="1" t="s">
        <v>6135</v>
      </c>
    </row>
    <row r="1966" spans="1:12">
      <c r="A1966" s="3" t="s">
        <v>3357</v>
      </c>
      <c r="C1966" s="3" t="s">
        <v>3817</v>
      </c>
      <c r="D1966" s="3" t="s">
        <v>3954</v>
      </c>
      <c r="E1966" s="3" t="s">
        <v>3955</v>
      </c>
      <c r="F1966" s="3" t="s">
        <v>3956</v>
      </c>
      <c r="G1966" s="3" t="s">
        <v>7127</v>
      </c>
      <c r="H1966" s="6">
        <v>4</v>
      </c>
      <c r="I1966" s="6">
        <v>10000</v>
      </c>
      <c r="J1966" s="3" t="s">
        <v>3356</v>
      </c>
      <c r="K1966" s="14" t="s">
        <v>2389</v>
      </c>
      <c r="L1966" s="1" t="s">
        <v>6135</v>
      </c>
    </row>
    <row r="1967" spans="1:12">
      <c r="A1967" s="3" t="s">
        <v>3357</v>
      </c>
      <c r="C1967" s="3" t="s">
        <v>3817</v>
      </c>
      <c r="D1967" s="3" t="s">
        <v>3954</v>
      </c>
      <c r="E1967" s="3" t="s">
        <v>3955</v>
      </c>
      <c r="F1967" s="3" t="s">
        <v>7128</v>
      </c>
      <c r="G1967" s="3" t="s">
        <v>7639</v>
      </c>
      <c r="H1967" s="6">
        <v>4.3434100000000004</v>
      </c>
      <c r="I1967" s="6">
        <v>22050.071395508028</v>
      </c>
      <c r="J1967" s="3" t="s">
        <v>3356</v>
      </c>
      <c r="K1967" s="14" t="s">
        <v>6136</v>
      </c>
      <c r="L1967" s="1" t="s">
        <v>6135</v>
      </c>
    </row>
    <row r="1968" spans="1:12">
      <c r="A1968" s="3" t="s">
        <v>3357</v>
      </c>
      <c r="C1968" s="3" t="s">
        <v>3817</v>
      </c>
      <c r="D1968" s="3" t="s">
        <v>3954</v>
      </c>
      <c r="E1968" s="3" t="s">
        <v>3955</v>
      </c>
      <c r="F1968" s="3" t="s">
        <v>7640</v>
      </c>
      <c r="G1968" s="3" t="s">
        <v>2000</v>
      </c>
      <c r="H1968" s="6">
        <v>3.6180500000000002</v>
      </c>
      <c r="I1968" s="6">
        <v>4150.0181873416614</v>
      </c>
      <c r="J1968" s="3" t="s">
        <v>3356</v>
      </c>
      <c r="K1968" s="14" t="s">
        <v>2440</v>
      </c>
      <c r="L1968" s="1" t="s">
        <v>6135</v>
      </c>
    </row>
    <row r="1969" spans="1:12">
      <c r="A1969" s="3" t="s">
        <v>3357</v>
      </c>
      <c r="C1969" s="3" t="s">
        <v>3817</v>
      </c>
      <c r="D1969" s="3" t="s">
        <v>3954</v>
      </c>
      <c r="E1969" s="3" t="s">
        <v>3955</v>
      </c>
      <c r="F1969" s="3" t="s">
        <v>4544</v>
      </c>
      <c r="G1969" s="3" t="s">
        <v>4545</v>
      </c>
      <c r="H1969" s="6">
        <v>3.4705599999999999</v>
      </c>
      <c r="I1969" s="6">
        <v>2955.0171109806356</v>
      </c>
      <c r="J1969" s="3" t="s">
        <v>3356</v>
      </c>
      <c r="K1969" s="14" t="s">
        <v>6136</v>
      </c>
      <c r="L1969" s="1" t="s">
        <v>6135</v>
      </c>
    </row>
    <row r="1970" spans="1:12">
      <c r="A1970" s="3" t="s">
        <v>3357</v>
      </c>
      <c r="C1970" s="3" t="s">
        <v>3817</v>
      </c>
      <c r="D1970" s="3" t="s">
        <v>3954</v>
      </c>
      <c r="E1970" s="3" t="s">
        <v>3955</v>
      </c>
      <c r="F1970" s="3" t="s">
        <v>4544</v>
      </c>
      <c r="G1970" s="3" t="s">
        <v>4546</v>
      </c>
      <c r="H1970" s="6">
        <v>3.4471599999999998</v>
      </c>
      <c r="I1970" s="6">
        <v>2800.012692434535</v>
      </c>
      <c r="J1970" s="3" t="s">
        <v>3356</v>
      </c>
      <c r="K1970" s="14" t="s">
        <v>2389</v>
      </c>
      <c r="L1970" s="1" t="s">
        <v>6135</v>
      </c>
    </row>
    <row r="1971" spans="1:12">
      <c r="A1971" s="3" t="s">
        <v>3357</v>
      </c>
      <c r="C1971" s="3" t="s">
        <v>3817</v>
      </c>
      <c r="D1971" s="3" t="s">
        <v>3954</v>
      </c>
      <c r="E1971" s="3" t="s">
        <v>3955</v>
      </c>
      <c r="F1971" s="3" t="s">
        <v>4544</v>
      </c>
      <c r="G1971" s="3" t="s">
        <v>4675</v>
      </c>
      <c r="H1971" s="6">
        <v>3.5118800000000001</v>
      </c>
      <c r="I1971" s="6">
        <v>3249.9748485428022</v>
      </c>
      <c r="J1971" s="3" t="s">
        <v>3356</v>
      </c>
      <c r="K1971" s="14" t="s">
        <v>2389</v>
      </c>
      <c r="L1971" s="1" t="s">
        <v>6135</v>
      </c>
    </row>
    <row r="1972" spans="1:12">
      <c r="A1972" s="3" t="s">
        <v>3357</v>
      </c>
      <c r="C1972" s="3" t="s">
        <v>3817</v>
      </c>
      <c r="D1972" s="3" t="s">
        <v>3954</v>
      </c>
      <c r="E1972" s="3" t="s">
        <v>3955</v>
      </c>
      <c r="F1972" s="3" t="s">
        <v>4544</v>
      </c>
      <c r="G1972" s="3" t="s">
        <v>4676</v>
      </c>
      <c r="H1972" s="6">
        <v>3.7781500000000001</v>
      </c>
      <c r="I1972" s="6">
        <v>5999.9827253364419</v>
      </c>
      <c r="J1972" s="3" t="s">
        <v>3356</v>
      </c>
      <c r="K1972" s="14" t="s">
        <v>2389</v>
      </c>
      <c r="L1972" s="1" t="s">
        <v>6135</v>
      </c>
    </row>
    <row r="1973" spans="1:12">
      <c r="A1973" s="3" t="s">
        <v>3357</v>
      </c>
      <c r="C1973" s="3" t="s">
        <v>3817</v>
      </c>
      <c r="D1973" s="3" t="s">
        <v>3954</v>
      </c>
      <c r="E1973" s="3" t="s">
        <v>3955</v>
      </c>
      <c r="F1973" s="3" t="s">
        <v>4544</v>
      </c>
      <c r="G1973" s="3" t="s">
        <v>4677</v>
      </c>
      <c r="H1973" s="6">
        <v>3</v>
      </c>
      <c r="I1973" s="6">
        <v>1000</v>
      </c>
      <c r="J1973" s="3" t="s">
        <v>3356</v>
      </c>
      <c r="L1973" s="1" t="s">
        <v>6135</v>
      </c>
    </row>
    <row r="1974" spans="1:12">
      <c r="A1974" s="3" t="s">
        <v>3357</v>
      </c>
      <c r="C1974" s="3" t="s">
        <v>3817</v>
      </c>
      <c r="D1974" s="3" t="s">
        <v>3954</v>
      </c>
      <c r="E1974" s="3" t="s">
        <v>7321</v>
      </c>
      <c r="F1974" s="3" t="s">
        <v>4684</v>
      </c>
      <c r="G1974" s="3" t="s">
        <v>4836</v>
      </c>
      <c r="H1974" s="6">
        <v>4.6989700000000001</v>
      </c>
      <c r="I1974" s="6">
        <v>49999.999500797465</v>
      </c>
      <c r="J1974" s="3" t="s">
        <v>3356</v>
      </c>
      <c r="K1974" s="14" t="s">
        <v>2440</v>
      </c>
      <c r="L1974" s="1" t="s">
        <v>6135</v>
      </c>
    </row>
    <row r="1975" spans="1:12">
      <c r="A1975" s="3" t="s">
        <v>3357</v>
      </c>
      <c r="C1975" s="3" t="s">
        <v>3817</v>
      </c>
      <c r="D1975" s="3" t="s">
        <v>3954</v>
      </c>
      <c r="E1975" s="3" t="s">
        <v>7321</v>
      </c>
      <c r="F1975" s="3" t="s">
        <v>4837</v>
      </c>
      <c r="G1975" s="3" t="s">
        <v>4838</v>
      </c>
      <c r="H1975" s="6">
        <v>4.1383000000000001</v>
      </c>
      <c r="I1975" s="6">
        <v>13749.91457485034</v>
      </c>
      <c r="J1975" s="3" t="s">
        <v>3356</v>
      </c>
      <c r="K1975" s="14" t="s">
        <v>2440</v>
      </c>
      <c r="L1975" s="1" t="s">
        <v>6135</v>
      </c>
    </row>
    <row r="1976" spans="1:12">
      <c r="A1976" s="3" t="s">
        <v>3357</v>
      </c>
      <c r="C1976" s="3" t="s">
        <v>3817</v>
      </c>
      <c r="D1976" s="3" t="s">
        <v>3954</v>
      </c>
      <c r="E1976" s="3" t="s">
        <v>7321</v>
      </c>
      <c r="F1976" s="3" t="s">
        <v>4839</v>
      </c>
      <c r="G1976" s="3" t="s">
        <v>4840</v>
      </c>
      <c r="H1976" s="6">
        <v>3.8292999999999999</v>
      </c>
      <c r="I1976" s="6">
        <v>6749.9413612194912</v>
      </c>
      <c r="J1976" s="3" t="s">
        <v>3356</v>
      </c>
      <c r="K1976" s="14" t="s">
        <v>2389</v>
      </c>
      <c r="L1976" s="1" t="s">
        <v>6135</v>
      </c>
    </row>
    <row r="1977" spans="1:12">
      <c r="A1977" s="3" t="s">
        <v>3357</v>
      </c>
      <c r="C1977" s="3" t="s">
        <v>3817</v>
      </c>
      <c r="D1977" s="3" t="s">
        <v>3954</v>
      </c>
      <c r="E1977" s="3" t="s">
        <v>7321</v>
      </c>
      <c r="F1977" s="3" t="s">
        <v>4839</v>
      </c>
      <c r="G1977" s="3" t="s">
        <v>4855</v>
      </c>
      <c r="H1977" s="6">
        <v>3.4022600000000001</v>
      </c>
      <c r="I1977" s="6">
        <v>2524.9919623834612</v>
      </c>
      <c r="J1977" s="3" t="s">
        <v>3356</v>
      </c>
      <c r="K1977" s="14" t="s">
        <v>2389</v>
      </c>
      <c r="L1977" s="1" t="s">
        <v>6135</v>
      </c>
    </row>
    <row r="1978" spans="1:12">
      <c r="A1978" s="3" t="s">
        <v>3357</v>
      </c>
      <c r="C1978" s="3" t="s">
        <v>3817</v>
      </c>
      <c r="D1978" s="3" t="s">
        <v>3954</v>
      </c>
      <c r="E1978" s="3" t="s">
        <v>7321</v>
      </c>
      <c r="F1978" s="3" t="s">
        <v>4839</v>
      </c>
      <c r="G1978" s="3" t="s">
        <v>4856</v>
      </c>
      <c r="H1978" s="6">
        <v>3.1139399999999999</v>
      </c>
      <c r="I1978" s="6">
        <v>1299.9899653754551</v>
      </c>
      <c r="J1978" s="3" t="s">
        <v>3356</v>
      </c>
      <c r="K1978" s="14" t="s">
        <v>6136</v>
      </c>
      <c r="L1978" s="1" t="s">
        <v>6135</v>
      </c>
    </row>
    <row r="1979" spans="1:12">
      <c r="A1979" s="3" t="s">
        <v>3357</v>
      </c>
      <c r="C1979" s="3" t="s">
        <v>3817</v>
      </c>
      <c r="D1979" s="3" t="s">
        <v>3954</v>
      </c>
      <c r="E1979" s="3" t="s">
        <v>7321</v>
      </c>
      <c r="F1979" s="3" t="s">
        <v>4839</v>
      </c>
      <c r="G1979" s="3" t="s">
        <v>4857</v>
      </c>
      <c r="H1979" s="6">
        <v>3.6674500000000001</v>
      </c>
      <c r="I1979" s="6">
        <v>4649.9683834536818</v>
      </c>
      <c r="J1979" s="3" t="s">
        <v>3356</v>
      </c>
      <c r="K1979" s="14" t="s">
        <v>2440</v>
      </c>
      <c r="L1979" s="1" t="s">
        <v>6135</v>
      </c>
    </row>
    <row r="1980" spans="1:12">
      <c r="A1980" s="3" t="s">
        <v>3357</v>
      </c>
      <c r="C1980" s="3" t="s">
        <v>3817</v>
      </c>
      <c r="D1980" s="3" t="s">
        <v>3954</v>
      </c>
      <c r="E1980" s="3" t="s">
        <v>7321</v>
      </c>
      <c r="F1980" s="3" t="s">
        <v>4858</v>
      </c>
      <c r="G1980" s="3" t="s">
        <v>4859</v>
      </c>
      <c r="H1980" s="6">
        <v>4.07918</v>
      </c>
      <c r="I1980" s="6">
        <v>11999.965570481174</v>
      </c>
      <c r="J1980" s="3" t="s">
        <v>3356</v>
      </c>
      <c r="K1980" s="14" t="s">
        <v>2440</v>
      </c>
      <c r="L1980" s="1" t="s">
        <v>6135</v>
      </c>
    </row>
    <row r="1981" spans="1:12">
      <c r="A1981" s="3" t="s">
        <v>3357</v>
      </c>
      <c r="C1981" s="3" t="s">
        <v>3817</v>
      </c>
      <c r="D1981" s="3" t="s">
        <v>3954</v>
      </c>
      <c r="E1981" s="3" t="s">
        <v>7321</v>
      </c>
      <c r="F1981" s="3" t="s">
        <v>4860</v>
      </c>
      <c r="G1981" s="3" t="s">
        <v>4861</v>
      </c>
      <c r="H1981" s="6">
        <v>5.20817</v>
      </c>
      <c r="I1981" s="6">
        <v>161499.06041736645</v>
      </c>
      <c r="J1981" s="3" t="s">
        <v>3356</v>
      </c>
      <c r="K1981" s="14" t="s">
        <v>2440</v>
      </c>
      <c r="L1981" s="1" t="s">
        <v>6135</v>
      </c>
    </row>
    <row r="1982" spans="1:12">
      <c r="A1982" s="3" t="s">
        <v>3357</v>
      </c>
      <c r="C1982" s="3" t="s">
        <v>3817</v>
      </c>
      <c r="D1982" s="3" t="s">
        <v>3954</v>
      </c>
      <c r="E1982" s="3" t="s">
        <v>7321</v>
      </c>
      <c r="F1982" s="3" t="s">
        <v>4860</v>
      </c>
      <c r="G1982" s="3" t="s">
        <v>2184</v>
      </c>
      <c r="H1982" s="6">
        <v>4.7403599999999999</v>
      </c>
      <c r="I1982" s="6">
        <v>54999.659397640258</v>
      </c>
      <c r="J1982" s="3" t="s">
        <v>3356</v>
      </c>
      <c r="K1982" s="14" t="s">
        <v>2440</v>
      </c>
      <c r="L1982" s="1" t="s">
        <v>6135</v>
      </c>
    </row>
    <row r="1983" spans="1:12">
      <c r="A1983" s="3" t="s">
        <v>3357</v>
      </c>
      <c r="C1983" s="3" t="s">
        <v>3817</v>
      </c>
      <c r="D1983" s="3" t="s">
        <v>3954</v>
      </c>
      <c r="E1983" s="3" t="s">
        <v>7321</v>
      </c>
      <c r="F1983" s="3" t="s">
        <v>3749</v>
      </c>
      <c r="G1983" s="3" t="s">
        <v>4862</v>
      </c>
      <c r="H1983" s="6">
        <v>4.0273500000000002</v>
      </c>
      <c r="I1983" s="6">
        <v>10650.009618360145</v>
      </c>
      <c r="J1983" s="3" t="s">
        <v>3356</v>
      </c>
      <c r="K1983" s="14" t="s">
        <v>2440</v>
      </c>
      <c r="L1983" s="1" t="s">
        <v>6135</v>
      </c>
    </row>
    <row r="1984" spans="1:12">
      <c r="A1984" s="3" t="s">
        <v>3357</v>
      </c>
      <c r="C1984" s="3" t="s">
        <v>3817</v>
      </c>
      <c r="D1984" s="3" t="s">
        <v>3954</v>
      </c>
      <c r="E1984" s="3" t="s">
        <v>4180</v>
      </c>
      <c r="F1984" s="3" t="s">
        <v>4181</v>
      </c>
      <c r="G1984" s="3" t="s">
        <v>4182</v>
      </c>
      <c r="H1984" s="6">
        <v>3.51851</v>
      </c>
      <c r="I1984" s="6">
        <v>3299.9700628522901</v>
      </c>
      <c r="J1984" s="3" t="s">
        <v>3356</v>
      </c>
      <c r="K1984" s="14" t="s">
        <v>2440</v>
      </c>
      <c r="L1984" s="1" t="s">
        <v>6135</v>
      </c>
    </row>
    <row r="1985" spans="1:12">
      <c r="A1985" s="3" t="s">
        <v>3357</v>
      </c>
      <c r="C1985" s="3" t="s">
        <v>3817</v>
      </c>
      <c r="D1985" s="3" t="s">
        <v>3954</v>
      </c>
      <c r="E1985" s="3" t="s">
        <v>4180</v>
      </c>
      <c r="F1985" s="3" t="s">
        <v>4183</v>
      </c>
      <c r="G1985" s="3" t="s">
        <v>4184</v>
      </c>
      <c r="H1985" s="6">
        <v>3.1903299999999999</v>
      </c>
      <c r="I1985" s="6">
        <v>1549.9939392303729</v>
      </c>
      <c r="J1985" s="3" t="s">
        <v>3356</v>
      </c>
      <c r="K1985" s="14" t="s">
        <v>2440</v>
      </c>
      <c r="L1985" s="1" t="s">
        <v>6135</v>
      </c>
    </row>
    <row r="1986" spans="1:12">
      <c r="A1986" s="3" t="s">
        <v>3357</v>
      </c>
      <c r="C1986" s="3" t="s">
        <v>3817</v>
      </c>
      <c r="D1986" s="3" t="s">
        <v>3954</v>
      </c>
      <c r="E1986" s="3" t="s">
        <v>4180</v>
      </c>
      <c r="F1986" s="3" t="s">
        <v>4183</v>
      </c>
      <c r="G1986" s="3" t="s">
        <v>4856</v>
      </c>
      <c r="H1986" s="6">
        <v>3.3979400000000002</v>
      </c>
      <c r="I1986" s="6">
        <v>2499.9999500797412</v>
      </c>
      <c r="J1986" s="3" t="s">
        <v>3356</v>
      </c>
      <c r="K1986" s="14" t="s">
        <v>2440</v>
      </c>
      <c r="L1986" s="1" t="s">
        <v>6135</v>
      </c>
    </row>
    <row r="1987" spans="1:12">
      <c r="A1987" s="3" t="s">
        <v>3357</v>
      </c>
      <c r="C1987" s="3" t="s">
        <v>3817</v>
      </c>
      <c r="D1987" s="3" t="s">
        <v>3954</v>
      </c>
      <c r="E1987" s="3" t="s">
        <v>4180</v>
      </c>
      <c r="F1987" s="3" t="s">
        <v>7092</v>
      </c>
      <c r="G1987" s="3" t="s">
        <v>7543</v>
      </c>
      <c r="H1987" s="6">
        <v>3.0969099999999998</v>
      </c>
      <c r="I1987" s="6">
        <v>1249.9999625598048</v>
      </c>
      <c r="J1987" s="3" t="s">
        <v>3356</v>
      </c>
      <c r="K1987" s="14" t="s">
        <v>6136</v>
      </c>
      <c r="L1987" s="1" t="s">
        <v>6135</v>
      </c>
    </row>
    <row r="1988" spans="1:12">
      <c r="A1988" s="3" t="s">
        <v>3357</v>
      </c>
      <c r="C1988" s="3" t="s">
        <v>3817</v>
      </c>
      <c r="D1988" s="3" t="s">
        <v>3954</v>
      </c>
      <c r="E1988" s="3" t="s">
        <v>4180</v>
      </c>
      <c r="F1988" s="3" t="s">
        <v>4226</v>
      </c>
      <c r="G1988" s="3" t="s">
        <v>7098</v>
      </c>
      <c r="H1988" s="6">
        <v>2.9222100000000002</v>
      </c>
      <c r="I1988" s="6">
        <v>836.00716581593815</v>
      </c>
      <c r="J1988" s="3" t="s">
        <v>3356</v>
      </c>
      <c r="K1988" s="14" t="s">
        <v>6136</v>
      </c>
      <c r="L1988" s="1" t="s">
        <v>6135</v>
      </c>
    </row>
    <row r="1989" spans="1:12">
      <c r="A1989" s="3" t="s">
        <v>3357</v>
      </c>
      <c r="C1989" s="3" t="s">
        <v>3817</v>
      </c>
      <c r="D1989" s="3" t="s">
        <v>3954</v>
      </c>
      <c r="E1989" s="3" t="s">
        <v>4180</v>
      </c>
      <c r="F1989" s="3" t="s">
        <v>3756</v>
      </c>
      <c r="G1989" s="3" t="s">
        <v>4412</v>
      </c>
      <c r="H1989" s="6">
        <v>2.5440700000000001</v>
      </c>
      <c r="I1989" s="6">
        <v>350.00157607101471</v>
      </c>
      <c r="J1989" s="3" t="s">
        <v>3356</v>
      </c>
      <c r="K1989" s="14" t="s">
        <v>2440</v>
      </c>
      <c r="L1989" s="1" t="s">
        <v>6135</v>
      </c>
    </row>
    <row r="1990" spans="1:12">
      <c r="A1990" s="3" t="s">
        <v>3357</v>
      </c>
      <c r="C1990" s="3" t="s">
        <v>3817</v>
      </c>
      <c r="D1990" s="3" t="s">
        <v>3954</v>
      </c>
      <c r="E1990" s="3" t="s">
        <v>4180</v>
      </c>
      <c r="F1990" s="3" t="s">
        <v>7537</v>
      </c>
      <c r="G1990" s="3" t="s">
        <v>7538</v>
      </c>
      <c r="H1990" s="6">
        <v>2.9014600000000002</v>
      </c>
      <c r="I1990" s="6">
        <v>797.00308051320008</v>
      </c>
      <c r="J1990" s="3" t="s">
        <v>3356</v>
      </c>
      <c r="K1990" s="14" t="s">
        <v>6136</v>
      </c>
      <c r="L1990" s="1" t="s">
        <v>6135</v>
      </c>
    </row>
    <row r="1991" spans="1:12">
      <c r="A1991" s="3" t="s">
        <v>3357</v>
      </c>
      <c r="C1991" s="3" t="s">
        <v>3817</v>
      </c>
      <c r="D1991" s="3" t="s">
        <v>3954</v>
      </c>
      <c r="E1991" s="3" t="s">
        <v>4180</v>
      </c>
      <c r="F1991" s="3" t="s">
        <v>7537</v>
      </c>
      <c r="G1991" s="3" t="s">
        <v>7428</v>
      </c>
      <c r="H1991" s="6">
        <v>2.7403599999999999</v>
      </c>
      <c r="I1991" s="6">
        <v>549.99659397640232</v>
      </c>
      <c r="J1991" s="3" t="s">
        <v>3356</v>
      </c>
      <c r="K1991" s="14" t="s">
        <v>2440</v>
      </c>
      <c r="L1991" s="1" t="s">
        <v>6135</v>
      </c>
    </row>
    <row r="1992" spans="1:12">
      <c r="A1992" s="3" t="s">
        <v>3357</v>
      </c>
      <c r="C1992" s="3" t="s">
        <v>3817</v>
      </c>
      <c r="D1992" s="3" t="s">
        <v>3954</v>
      </c>
      <c r="E1992" s="3" t="s">
        <v>4180</v>
      </c>
      <c r="F1992" s="3" t="s">
        <v>7429</v>
      </c>
      <c r="G1992" s="3" t="s">
        <v>7430</v>
      </c>
      <c r="H1992" s="6">
        <v>2.4609000000000001</v>
      </c>
      <c r="I1992" s="6">
        <v>289.00143553494735</v>
      </c>
      <c r="J1992" s="3" t="s">
        <v>3356</v>
      </c>
      <c r="K1992" s="14" t="s">
        <v>6136</v>
      </c>
      <c r="L1992" s="1" t="s">
        <v>6135</v>
      </c>
    </row>
    <row r="1993" spans="1:12">
      <c r="A1993" s="3" t="s">
        <v>3357</v>
      </c>
      <c r="C1993" s="3" t="s">
        <v>3817</v>
      </c>
      <c r="D1993" s="3" t="s">
        <v>3954</v>
      </c>
      <c r="E1993" s="3" t="s">
        <v>4180</v>
      </c>
      <c r="F1993" s="3" t="s">
        <v>7429</v>
      </c>
      <c r="G1993" s="3" t="s">
        <v>7431</v>
      </c>
      <c r="H1993" s="6">
        <v>2.4771200000000002</v>
      </c>
      <c r="I1993" s="6">
        <v>299.99913327161516</v>
      </c>
      <c r="J1993" s="3" t="s">
        <v>3356</v>
      </c>
      <c r="K1993" s="14" t="s">
        <v>6136</v>
      </c>
      <c r="L1993" s="1" t="s">
        <v>6135</v>
      </c>
    </row>
    <row r="1994" spans="1:12">
      <c r="A1994" s="3" t="s">
        <v>3357</v>
      </c>
      <c r="C1994" s="3" t="s">
        <v>3817</v>
      </c>
      <c r="D1994" s="3" t="s">
        <v>3954</v>
      </c>
      <c r="E1994" s="3" t="s">
        <v>4180</v>
      </c>
      <c r="F1994" s="3" t="s">
        <v>7086</v>
      </c>
      <c r="G1994" s="3" t="s">
        <v>7087</v>
      </c>
      <c r="H1994" s="6">
        <v>3.4548399999999999</v>
      </c>
      <c r="I1994" s="6">
        <v>2849.9681070164825</v>
      </c>
      <c r="J1994" s="3" t="s">
        <v>3356</v>
      </c>
      <c r="K1994" s="14" t="s">
        <v>2440</v>
      </c>
      <c r="L1994" s="1" t="s">
        <v>6135</v>
      </c>
    </row>
    <row r="1995" spans="1:12">
      <c r="A1995" s="3" t="s">
        <v>3357</v>
      </c>
      <c r="C1995" s="3" t="s">
        <v>3817</v>
      </c>
      <c r="D1995" s="3" t="s">
        <v>3954</v>
      </c>
      <c r="E1995" s="3" t="s">
        <v>4180</v>
      </c>
      <c r="F1995" s="3" t="s">
        <v>7086</v>
      </c>
      <c r="G1995" s="3" t="s">
        <v>7088</v>
      </c>
      <c r="H1995" s="6">
        <v>3.4771200000000002</v>
      </c>
      <c r="I1995" s="6">
        <v>2999.9913327161544</v>
      </c>
      <c r="J1995" s="3" t="s">
        <v>3356</v>
      </c>
      <c r="K1995" s="14" t="s">
        <v>6136</v>
      </c>
      <c r="L1995" s="1" t="s">
        <v>6135</v>
      </c>
    </row>
    <row r="1996" spans="1:12">
      <c r="A1996" s="3" t="s">
        <v>3357</v>
      </c>
      <c r="C1996" s="3" t="s">
        <v>3817</v>
      </c>
      <c r="D1996" s="3" t="s">
        <v>3954</v>
      </c>
      <c r="E1996" s="3" t="s">
        <v>4180</v>
      </c>
      <c r="F1996" s="3" t="s">
        <v>4253</v>
      </c>
      <c r="G1996" s="3" t="s">
        <v>7096</v>
      </c>
      <c r="H1996" s="6">
        <v>3.5440700000000001</v>
      </c>
      <c r="I1996" s="6">
        <v>3500.0157607101446</v>
      </c>
      <c r="J1996" s="3" t="s">
        <v>3356</v>
      </c>
      <c r="K1996" s="14" t="s">
        <v>2440</v>
      </c>
      <c r="L1996" s="1" t="s">
        <v>6135</v>
      </c>
    </row>
    <row r="1997" spans="1:12">
      <c r="A1997" s="3" t="s">
        <v>3357</v>
      </c>
      <c r="C1997" s="3" t="s">
        <v>3817</v>
      </c>
      <c r="D1997" s="3" t="s">
        <v>3954</v>
      </c>
      <c r="E1997" s="3" t="s">
        <v>4180</v>
      </c>
      <c r="F1997" s="3" t="s">
        <v>3983</v>
      </c>
      <c r="G1997" s="3" t="s">
        <v>3984</v>
      </c>
      <c r="H1997" s="6">
        <v>3.3324400000000001</v>
      </c>
      <c r="I1997" s="6">
        <v>2150.0076242905643</v>
      </c>
      <c r="J1997" s="3" t="s">
        <v>3356</v>
      </c>
      <c r="K1997" s="14" t="s">
        <v>2440</v>
      </c>
      <c r="L1997" s="1" t="s">
        <v>6135</v>
      </c>
    </row>
    <row r="1998" spans="1:12">
      <c r="A1998" s="3" t="s">
        <v>3357</v>
      </c>
      <c r="C1998" s="3" t="s">
        <v>3817</v>
      </c>
      <c r="D1998" s="3" t="s">
        <v>3954</v>
      </c>
      <c r="E1998" s="3" t="s">
        <v>4180</v>
      </c>
      <c r="F1998" s="3" t="s">
        <v>3973</v>
      </c>
      <c r="G1998" s="3" t="s">
        <v>4279</v>
      </c>
      <c r="H1998" s="6">
        <v>3.28443</v>
      </c>
      <c r="I1998" s="6">
        <v>1924.9967472543051</v>
      </c>
      <c r="J1998" s="3" t="s">
        <v>3356</v>
      </c>
      <c r="K1998" s="14" t="s">
        <v>2440</v>
      </c>
      <c r="L1998" s="1" t="s">
        <v>6135</v>
      </c>
    </row>
    <row r="1999" spans="1:12">
      <c r="A1999" s="3" t="s">
        <v>3357</v>
      </c>
      <c r="C1999" s="3" t="s">
        <v>3817</v>
      </c>
      <c r="D1999" s="3" t="s">
        <v>3954</v>
      </c>
      <c r="E1999" s="3" t="s">
        <v>4180</v>
      </c>
      <c r="F1999" s="3" t="s">
        <v>4280</v>
      </c>
      <c r="G1999" s="3" t="s">
        <v>4281</v>
      </c>
      <c r="H1999" s="6">
        <v>3.2148400000000001</v>
      </c>
      <c r="I1999" s="6">
        <v>1639.9854689144613</v>
      </c>
      <c r="J1999" s="3" t="s">
        <v>3356</v>
      </c>
      <c r="K1999" s="14" t="s">
        <v>6136</v>
      </c>
      <c r="L1999" s="1" t="s">
        <v>6135</v>
      </c>
    </row>
    <row r="2000" spans="1:12">
      <c r="A2000" s="3" t="s">
        <v>3357</v>
      </c>
      <c r="C2000" s="3" t="s">
        <v>3817</v>
      </c>
      <c r="D2000" s="3" t="s">
        <v>3954</v>
      </c>
      <c r="E2000" s="3" t="s">
        <v>4180</v>
      </c>
      <c r="F2000" s="3" t="s">
        <v>3986</v>
      </c>
      <c r="G2000" s="3" t="s">
        <v>3987</v>
      </c>
      <c r="H2000" s="6">
        <v>3.3979400000000002</v>
      </c>
      <c r="I2000" s="6">
        <v>2499.9999500797412</v>
      </c>
      <c r="J2000" s="3" t="s">
        <v>3356</v>
      </c>
      <c r="K2000" s="14" t="s">
        <v>2440</v>
      </c>
      <c r="L2000" s="1" t="s">
        <v>6135</v>
      </c>
    </row>
    <row r="2001" spans="1:12">
      <c r="A2001" s="3" t="s">
        <v>3357</v>
      </c>
      <c r="C2001" s="3" t="s">
        <v>3817</v>
      </c>
      <c r="D2001" s="3" t="s">
        <v>3954</v>
      </c>
      <c r="E2001" s="3" t="s">
        <v>4180</v>
      </c>
      <c r="F2001" s="3" t="s">
        <v>4188</v>
      </c>
      <c r="G2001" s="3" t="s">
        <v>4189</v>
      </c>
      <c r="H2001" s="6">
        <v>2.8606400000000001</v>
      </c>
      <c r="I2001" s="6">
        <v>725.50431535811094</v>
      </c>
      <c r="J2001" s="3" t="s">
        <v>3356</v>
      </c>
      <c r="K2001" s="14" t="s">
        <v>6136</v>
      </c>
      <c r="L2001" s="1" t="s">
        <v>6135</v>
      </c>
    </row>
    <row r="2002" spans="1:12">
      <c r="A2002" s="3" t="s">
        <v>3357</v>
      </c>
      <c r="C2002" s="3" t="s">
        <v>3817</v>
      </c>
      <c r="D2002" s="3" t="s">
        <v>3954</v>
      </c>
      <c r="E2002" s="3" t="s">
        <v>7097</v>
      </c>
      <c r="F2002" s="3" t="s">
        <v>4190</v>
      </c>
      <c r="G2002" s="3" t="s">
        <v>4011</v>
      </c>
      <c r="H2002" s="6">
        <v>4.7993399999999999</v>
      </c>
      <c r="I2002" s="6">
        <v>62999.920294742056</v>
      </c>
      <c r="J2002" s="3" t="s">
        <v>3356</v>
      </c>
      <c r="K2002" s="14" t="s">
        <v>2440</v>
      </c>
      <c r="L2002" s="1" t="s">
        <v>6135</v>
      </c>
    </row>
    <row r="2003" spans="1:12">
      <c r="A2003" s="3" t="s">
        <v>3357</v>
      </c>
      <c r="C2003" s="3" t="s">
        <v>3817</v>
      </c>
      <c r="D2003" s="3" t="s">
        <v>3954</v>
      </c>
      <c r="E2003" s="3" t="s">
        <v>7097</v>
      </c>
      <c r="F2003" s="3" t="s">
        <v>4012</v>
      </c>
      <c r="G2003" s="3" t="s">
        <v>4013</v>
      </c>
      <c r="H2003" s="6">
        <v>4.6627599999999996</v>
      </c>
      <c r="I2003" s="6">
        <v>46000.229666506813</v>
      </c>
      <c r="J2003" s="3" t="s">
        <v>3356</v>
      </c>
      <c r="K2003" s="14" t="s">
        <v>2440</v>
      </c>
      <c r="L2003" s="1" t="s">
        <v>6135</v>
      </c>
    </row>
    <row r="2004" spans="1:12">
      <c r="A2004" s="3" t="s">
        <v>3357</v>
      </c>
      <c r="C2004" s="3" t="s">
        <v>3817</v>
      </c>
      <c r="D2004" s="3" t="s">
        <v>3954</v>
      </c>
      <c r="E2004" s="3" t="s">
        <v>7097</v>
      </c>
      <c r="F2004" s="3" t="s">
        <v>4201</v>
      </c>
      <c r="G2004" s="3" t="s">
        <v>4202</v>
      </c>
      <c r="H2004" s="6">
        <v>4.50786</v>
      </c>
      <c r="I2004" s="6">
        <v>32200.306087301626</v>
      </c>
      <c r="J2004" s="3" t="s">
        <v>3356</v>
      </c>
      <c r="K2004" s="14" t="s">
        <v>6136</v>
      </c>
      <c r="L2004" s="1" t="s">
        <v>6135</v>
      </c>
    </row>
    <row r="2005" spans="1:12">
      <c r="A2005" s="3" t="s">
        <v>3357</v>
      </c>
      <c r="C2005" s="3" t="s">
        <v>3817</v>
      </c>
      <c r="D2005" s="3" t="s">
        <v>3954</v>
      </c>
      <c r="E2005" s="3" t="s">
        <v>7097</v>
      </c>
      <c r="F2005" s="3" t="s">
        <v>4203</v>
      </c>
      <c r="G2005" s="3" t="s">
        <v>3792</v>
      </c>
      <c r="H2005" s="6">
        <v>4</v>
      </c>
      <c r="I2005" s="6">
        <v>10000</v>
      </c>
      <c r="J2005" s="3" t="s">
        <v>3356</v>
      </c>
      <c r="K2005" s="14" t="s">
        <v>2440</v>
      </c>
      <c r="L2005" s="1" t="s">
        <v>6135</v>
      </c>
    </row>
    <row r="2006" spans="1:12">
      <c r="A2006" s="3" t="s">
        <v>3357</v>
      </c>
      <c r="C2006" s="3" t="s">
        <v>3817</v>
      </c>
      <c r="D2006" s="3" t="s">
        <v>3954</v>
      </c>
      <c r="E2006" s="3" t="s">
        <v>4257</v>
      </c>
      <c r="F2006" s="3" t="s">
        <v>4258</v>
      </c>
      <c r="G2006" s="3" t="s">
        <v>4259</v>
      </c>
      <c r="H2006" s="6">
        <v>4.2787499999999996</v>
      </c>
      <c r="I2006" s="6">
        <v>18999.842462147328</v>
      </c>
      <c r="J2006" s="3" t="s">
        <v>3356</v>
      </c>
      <c r="K2006" s="14" t="s">
        <v>2440</v>
      </c>
      <c r="L2006" s="1" t="s">
        <v>6135</v>
      </c>
    </row>
    <row r="2007" spans="1:12">
      <c r="A2007" s="3" t="s">
        <v>3357</v>
      </c>
      <c r="C2007" s="3" t="s">
        <v>3817</v>
      </c>
      <c r="D2007" s="3" t="s">
        <v>3954</v>
      </c>
      <c r="E2007" s="3" t="s">
        <v>4257</v>
      </c>
      <c r="F2007" s="3" t="s">
        <v>4258</v>
      </c>
      <c r="G2007" s="3" t="s">
        <v>4260</v>
      </c>
      <c r="H2007" s="6">
        <v>4.3765799999999997</v>
      </c>
      <c r="I2007" s="6">
        <v>23800.166758528496</v>
      </c>
      <c r="J2007" s="3" t="s">
        <v>3356</v>
      </c>
      <c r="K2007" s="14" t="s">
        <v>2440</v>
      </c>
      <c r="L2007" s="1" t="s">
        <v>6135</v>
      </c>
    </row>
    <row r="2008" spans="1:12">
      <c r="A2008" s="3" t="s">
        <v>3357</v>
      </c>
      <c r="C2008" s="3" t="s">
        <v>3817</v>
      </c>
      <c r="D2008" s="3" t="s">
        <v>3954</v>
      </c>
      <c r="E2008" s="3" t="s">
        <v>4257</v>
      </c>
      <c r="F2008" s="3" t="s">
        <v>3783</v>
      </c>
      <c r="G2008" s="3" t="s">
        <v>3589</v>
      </c>
      <c r="H2008" s="6">
        <v>2.7958799999999999</v>
      </c>
      <c r="I2008" s="6">
        <v>624.99997503987015</v>
      </c>
      <c r="J2008" s="3" t="s">
        <v>3356</v>
      </c>
      <c r="K2008" s="14" t="s">
        <v>2389</v>
      </c>
      <c r="L2008" s="1" t="s">
        <v>6135</v>
      </c>
    </row>
    <row r="2009" spans="1:12">
      <c r="A2009" s="3" t="s">
        <v>3357</v>
      </c>
      <c r="C2009" s="3" t="s">
        <v>3817</v>
      </c>
      <c r="D2009" s="3" t="s">
        <v>3954</v>
      </c>
      <c r="E2009" s="3" t="s">
        <v>4257</v>
      </c>
      <c r="F2009" s="3" t="s">
        <v>3783</v>
      </c>
      <c r="G2009" s="3" t="s">
        <v>3807</v>
      </c>
      <c r="H2009" s="6">
        <v>3.1139399999999999</v>
      </c>
      <c r="I2009" s="6">
        <v>1299.9899653754551</v>
      </c>
      <c r="J2009" s="3" t="s">
        <v>3356</v>
      </c>
      <c r="K2009" s="14" t="s">
        <v>2440</v>
      </c>
      <c r="L2009" s="1" t="s">
        <v>6135</v>
      </c>
    </row>
    <row r="2010" spans="1:12">
      <c r="A2010" s="3" t="s">
        <v>3357</v>
      </c>
      <c r="C2010" s="3" t="s">
        <v>3817</v>
      </c>
      <c r="D2010" s="3" t="s">
        <v>3954</v>
      </c>
      <c r="E2010" s="3" t="s">
        <v>4257</v>
      </c>
      <c r="F2010" s="3" t="s">
        <v>4480</v>
      </c>
      <c r="G2010" s="3" t="s">
        <v>3795</v>
      </c>
      <c r="H2010" s="6">
        <v>4.0413899999999998</v>
      </c>
      <c r="I2010" s="6">
        <v>10999.931989351941</v>
      </c>
      <c r="J2010" s="3" t="s">
        <v>3356</v>
      </c>
      <c r="K2010" s="14" t="s">
        <v>2389</v>
      </c>
      <c r="L2010" s="1" t="s">
        <v>6135</v>
      </c>
    </row>
    <row r="2011" spans="1:12">
      <c r="A2011" s="3" t="s">
        <v>3357</v>
      </c>
      <c r="C2011" s="3" t="s">
        <v>3817</v>
      </c>
      <c r="D2011" s="3" t="s">
        <v>3954</v>
      </c>
      <c r="E2011" s="3" t="s">
        <v>4257</v>
      </c>
      <c r="F2011" s="3" t="s">
        <v>4480</v>
      </c>
      <c r="G2011" s="3" t="s">
        <v>3818</v>
      </c>
      <c r="H2011" s="6">
        <v>3.6020599999999998</v>
      </c>
      <c r="I2011" s="6">
        <v>4000.0000798724222</v>
      </c>
      <c r="J2011" s="3" t="s">
        <v>3356</v>
      </c>
      <c r="K2011" s="14" t="s">
        <v>6136</v>
      </c>
      <c r="L2011" s="1" t="s">
        <v>6135</v>
      </c>
    </row>
    <row r="2012" spans="1:12">
      <c r="A2012" s="3" t="s">
        <v>3357</v>
      </c>
      <c r="C2012" s="3" t="s">
        <v>3817</v>
      </c>
      <c r="D2012" s="3" t="s">
        <v>3954</v>
      </c>
      <c r="E2012" s="3" t="s">
        <v>4257</v>
      </c>
      <c r="F2012" s="3" t="s">
        <v>3354</v>
      </c>
      <c r="G2012" s="3" t="s">
        <v>4259</v>
      </c>
      <c r="H2012" s="6">
        <v>3.9030900000000002</v>
      </c>
      <c r="I2012" s="6">
        <v>8000.0002396172686</v>
      </c>
      <c r="J2012" s="3" t="s">
        <v>3356</v>
      </c>
      <c r="K2012" s="14" t="s">
        <v>2440</v>
      </c>
      <c r="L2012" s="1" t="s">
        <v>6135</v>
      </c>
    </row>
    <row r="2013" spans="1:12">
      <c r="A2013" s="3" t="s">
        <v>3357</v>
      </c>
      <c r="C2013" s="3" t="s">
        <v>3817</v>
      </c>
      <c r="D2013" s="3" t="s">
        <v>3954</v>
      </c>
      <c r="E2013" s="3" t="s">
        <v>4257</v>
      </c>
      <c r="F2013" s="3" t="s">
        <v>4479</v>
      </c>
      <c r="G2013" s="3" t="s">
        <v>3806</v>
      </c>
      <c r="H2013" s="6">
        <v>2.2730000000000001</v>
      </c>
      <c r="I2013" s="6">
        <v>187.49945080674203</v>
      </c>
      <c r="J2013" s="3" t="s">
        <v>3356</v>
      </c>
      <c r="K2013" s="14" t="s">
        <v>2389</v>
      </c>
      <c r="L2013" s="1" t="s">
        <v>6135</v>
      </c>
    </row>
    <row r="2014" spans="1:12">
      <c r="A2014" s="3" t="s">
        <v>3357</v>
      </c>
      <c r="C2014" s="3" t="s">
        <v>3817</v>
      </c>
      <c r="D2014" s="3" t="s">
        <v>3954</v>
      </c>
      <c r="E2014" s="3" t="s">
        <v>4257</v>
      </c>
      <c r="F2014" s="3" t="s">
        <v>4479</v>
      </c>
      <c r="G2014" s="3" t="s">
        <v>3597</v>
      </c>
      <c r="H2014" s="6">
        <v>3.0413899999999998</v>
      </c>
      <c r="I2014" s="6">
        <v>1099.9931989351937</v>
      </c>
      <c r="J2014" s="3" t="s">
        <v>3356</v>
      </c>
      <c r="K2014" s="14" t="s">
        <v>2389</v>
      </c>
      <c r="L2014" s="1" t="s">
        <v>6135</v>
      </c>
    </row>
    <row r="2015" spans="1:12">
      <c r="A2015" s="3" t="s">
        <v>3357</v>
      </c>
      <c r="C2015" s="3" t="s">
        <v>3817</v>
      </c>
      <c r="D2015" s="3" t="s">
        <v>3954</v>
      </c>
      <c r="E2015" s="3" t="s">
        <v>4257</v>
      </c>
      <c r="F2015" s="3" t="s">
        <v>3598</v>
      </c>
      <c r="G2015" s="3" t="s">
        <v>2988</v>
      </c>
      <c r="H2015" s="6">
        <v>2.5314800000000002</v>
      </c>
      <c r="I2015" s="6">
        <v>340.00084782585969</v>
      </c>
      <c r="J2015" s="3" t="s">
        <v>3356</v>
      </c>
      <c r="K2015" s="14" t="s">
        <v>2440</v>
      </c>
      <c r="L2015" s="1" t="s">
        <v>6135</v>
      </c>
    </row>
    <row r="2016" spans="1:12">
      <c r="A2016" s="3" t="s">
        <v>3357</v>
      </c>
      <c r="C2016" s="3" t="s">
        <v>3817</v>
      </c>
      <c r="D2016" s="3" t="s">
        <v>3954</v>
      </c>
      <c r="E2016" s="3" t="s">
        <v>4908</v>
      </c>
      <c r="F2016" s="3" t="s">
        <v>4909</v>
      </c>
      <c r="G2016" s="3" t="s">
        <v>4910</v>
      </c>
      <c r="H2016" s="6">
        <v>4.07918</v>
      </c>
      <c r="I2016" s="6">
        <v>11999.965570481174</v>
      </c>
      <c r="J2016" s="3" t="s">
        <v>3356</v>
      </c>
      <c r="K2016" s="14" t="s">
        <v>2440</v>
      </c>
      <c r="L2016" s="1" t="s">
        <v>6135</v>
      </c>
    </row>
    <row r="2017" spans="1:12">
      <c r="A2017" s="3" t="s">
        <v>3357</v>
      </c>
      <c r="C2017" s="3" t="s">
        <v>3817</v>
      </c>
      <c r="D2017" s="3" t="s">
        <v>3954</v>
      </c>
      <c r="E2017" s="3" t="s">
        <v>4908</v>
      </c>
      <c r="F2017" s="3" t="s">
        <v>2120</v>
      </c>
      <c r="G2017" s="3" t="s">
        <v>7236</v>
      </c>
      <c r="H2017" s="6">
        <v>3.2174800000000001</v>
      </c>
      <c r="I2017" s="6">
        <v>1649.9850149526105</v>
      </c>
      <c r="J2017" s="3" t="s">
        <v>3356</v>
      </c>
      <c r="K2017" s="14" t="s">
        <v>2389</v>
      </c>
      <c r="L2017" s="1" t="s">
        <v>6135</v>
      </c>
    </row>
    <row r="2018" spans="1:12">
      <c r="A2018" s="3" t="s">
        <v>3357</v>
      </c>
      <c r="C2018" s="3" t="s">
        <v>3817</v>
      </c>
      <c r="D2018" s="3" t="s">
        <v>3954</v>
      </c>
      <c r="E2018" s="3" t="s">
        <v>4908</v>
      </c>
      <c r="F2018" s="3" t="s">
        <v>2120</v>
      </c>
      <c r="G2018" s="3" t="s">
        <v>4911</v>
      </c>
      <c r="H2018" s="6">
        <v>3.2174800000000001</v>
      </c>
      <c r="I2018" s="6">
        <v>1649.9850149526105</v>
      </c>
      <c r="J2018" s="3" t="s">
        <v>3356</v>
      </c>
      <c r="K2018" s="14" t="s">
        <v>2389</v>
      </c>
      <c r="L2018" s="1" t="s">
        <v>6135</v>
      </c>
    </row>
    <row r="2019" spans="1:12">
      <c r="A2019" s="3" t="s">
        <v>3357</v>
      </c>
      <c r="C2019" s="3" t="s">
        <v>3817</v>
      </c>
      <c r="D2019" s="3" t="s">
        <v>3954</v>
      </c>
      <c r="E2019" s="3" t="s">
        <v>4908</v>
      </c>
      <c r="F2019" s="3" t="s">
        <v>2120</v>
      </c>
      <c r="G2019" s="3" t="s">
        <v>4912</v>
      </c>
      <c r="H2019" s="6">
        <v>3.3010299999999999</v>
      </c>
      <c r="I2019" s="6">
        <v>2000.0000199681051</v>
      </c>
      <c r="J2019" s="3" t="s">
        <v>3356</v>
      </c>
      <c r="K2019" s="14" t="s">
        <v>2440</v>
      </c>
      <c r="L2019" s="1" t="s">
        <v>6135</v>
      </c>
    </row>
    <row r="2020" spans="1:12">
      <c r="A2020" s="3" t="s">
        <v>3357</v>
      </c>
      <c r="C2020" s="3" t="s">
        <v>3817</v>
      </c>
      <c r="D2020" s="3" t="s">
        <v>3954</v>
      </c>
      <c r="E2020" s="3" t="s">
        <v>4908</v>
      </c>
      <c r="F2020" s="3" t="s">
        <v>2120</v>
      </c>
      <c r="G2020" s="3" t="s">
        <v>3718</v>
      </c>
      <c r="H2020" s="6">
        <v>3.3473299999999999</v>
      </c>
      <c r="I2020" s="6">
        <v>2224.9999215274088</v>
      </c>
      <c r="J2020" s="3" t="s">
        <v>3356</v>
      </c>
      <c r="K2020" s="14" t="s">
        <v>2389</v>
      </c>
      <c r="L2020" s="1" t="s">
        <v>6135</v>
      </c>
    </row>
    <row r="2021" spans="1:12">
      <c r="A2021" s="3" t="s">
        <v>3357</v>
      </c>
      <c r="C2021" s="3" t="s">
        <v>3817</v>
      </c>
      <c r="D2021" s="3" t="s">
        <v>3954</v>
      </c>
      <c r="E2021" s="3" t="s">
        <v>4908</v>
      </c>
      <c r="F2021" s="3" t="s">
        <v>2120</v>
      </c>
      <c r="G2021" s="3" t="s">
        <v>4913</v>
      </c>
      <c r="H2021" s="6">
        <v>3.3473299999999999</v>
      </c>
      <c r="I2021" s="6">
        <v>2224.9999215274088</v>
      </c>
      <c r="J2021" s="3" t="s">
        <v>3356</v>
      </c>
      <c r="L2021" s="1" t="s">
        <v>6135</v>
      </c>
    </row>
    <row r="2022" spans="1:12">
      <c r="A2022" s="3" t="s">
        <v>3357</v>
      </c>
      <c r="C2022" s="3" t="s">
        <v>3817</v>
      </c>
      <c r="D2022" s="3" t="s">
        <v>3954</v>
      </c>
      <c r="E2022" s="3" t="s">
        <v>4908</v>
      </c>
      <c r="F2022" s="3" t="s">
        <v>2120</v>
      </c>
      <c r="G2022" s="3" t="s">
        <v>4915</v>
      </c>
      <c r="H2022" s="6">
        <v>3.02325</v>
      </c>
      <c r="I2022" s="6">
        <v>1054.994025007627</v>
      </c>
      <c r="J2022" s="3" t="s">
        <v>3356</v>
      </c>
      <c r="K2022" s="14" t="s">
        <v>2440</v>
      </c>
      <c r="L2022" s="1" t="s">
        <v>6135</v>
      </c>
    </row>
    <row r="2023" spans="1:12">
      <c r="A2023" s="3" t="s">
        <v>3357</v>
      </c>
      <c r="C2023" s="3" t="s">
        <v>3817</v>
      </c>
      <c r="D2023" s="3" t="s">
        <v>3954</v>
      </c>
      <c r="E2023" s="3" t="s">
        <v>4908</v>
      </c>
      <c r="F2023" s="3" t="s">
        <v>2120</v>
      </c>
      <c r="G2023" s="3" t="s">
        <v>4916</v>
      </c>
      <c r="H2023" s="6">
        <v>3.1461299999999999</v>
      </c>
      <c r="I2023" s="6">
        <v>1400.0063322395304</v>
      </c>
      <c r="J2023" s="3" t="s">
        <v>3356</v>
      </c>
      <c r="K2023" s="14" t="s">
        <v>2389</v>
      </c>
      <c r="L2023" s="1" t="s">
        <v>6135</v>
      </c>
    </row>
    <row r="2024" spans="1:12">
      <c r="A2024" s="3" t="s">
        <v>3357</v>
      </c>
      <c r="C2024" s="3" t="s">
        <v>3817</v>
      </c>
      <c r="D2024" s="3" t="s">
        <v>3954</v>
      </c>
      <c r="E2024" s="3" t="s">
        <v>4908</v>
      </c>
      <c r="F2024" s="3" t="s">
        <v>2120</v>
      </c>
      <c r="G2024" s="3" t="s">
        <v>4917</v>
      </c>
      <c r="H2024" s="6">
        <v>3.3473299999999999</v>
      </c>
      <c r="I2024" s="6">
        <v>2224.9999215274088</v>
      </c>
      <c r="J2024" s="3" t="s">
        <v>3356</v>
      </c>
      <c r="K2024" s="14" t="s">
        <v>2440</v>
      </c>
      <c r="L2024" s="1" t="s">
        <v>6135</v>
      </c>
    </row>
    <row r="2025" spans="1:12">
      <c r="A2025" s="3" t="s">
        <v>3357</v>
      </c>
      <c r="C2025" s="3" t="s">
        <v>3817</v>
      </c>
      <c r="D2025" s="3" t="s">
        <v>3954</v>
      </c>
      <c r="E2025" s="3" t="s">
        <v>4908</v>
      </c>
      <c r="F2025" s="3" t="s">
        <v>2120</v>
      </c>
      <c r="G2025" s="3" t="s">
        <v>4918</v>
      </c>
      <c r="H2025" s="6">
        <v>3.4771200000000002</v>
      </c>
      <c r="I2025" s="6">
        <v>2999.9913327161544</v>
      </c>
      <c r="J2025" s="3" t="s">
        <v>3356</v>
      </c>
      <c r="K2025" s="14" t="s">
        <v>2440</v>
      </c>
      <c r="L2025" s="1" t="s">
        <v>6135</v>
      </c>
    </row>
    <row r="2026" spans="1:12">
      <c r="A2026" s="3" t="s">
        <v>3357</v>
      </c>
      <c r="C2026" s="3" t="s">
        <v>3817</v>
      </c>
      <c r="D2026" s="3" t="s">
        <v>3954</v>
      </c>
      <c r="E2026" s="3" t="s">
        <v>4908</v>
      </c>
      <c r="F2026" s="3" t="s">
        <v>7444</v>
      </c>
      <c r="G2026" s="3" t="s">
        <v>7445</v>
      </c>
      <c r="H2026" s="6">
        <v>3.3010299999999999</v>
      </c>
      <c r="I2026" s="6">
        <v>2000.0000199681051</v>
      </c>
      <c r="J2026" s="3" t="s">
        <v>3356</v>
      </c>
      <c r="K2026" s="14" t="s">
        <v>2440</v>
      </c>
      <c r="L2026" s="1" t="s">
        <v>6135</v>
      </c>
    </row>
    <row r="2027" spans="1:12">
      <c r="A2027" s="3" t="s">
        <v>3357</v>
      </c>
      <c r="C2027" s="3" t="s">
        <v>3817</v>
      </c>
      <c r="D2027" s="3" t="s">
        <v>3954</v>
      </c>
      <c r="E2027" s="3" t="s">
        <v>4908</v>
      </c>
      <c r="F2027" s="3" t="s">
        <v>7446</v>
      </c>
      <c r="G2027" s="3" t="s">
        <v>7447</v>
      </c>
      <c r="H2027" s="6">
        <v>3.4771200000000002</v>
      </c>
      <c r="I2027" s="6">
        <v>2999.9913327161544</v>
      </c>
      <c r="J2027" s="3" t="s">
        <v>3356</v>
      </c>
      <c r="K2027" s="14" t="s">
        <v>2389</v>
      </c>
      <c r="L2027" s="1" t="s">
        <v>6135</v>
      </c>
    </row>
    <row r="2028" spans="1:12">
      <c r="A2028" s="3" t="s">
        <v>3357</v>
      </c>
      <c r="C2028" s="3" t="s">
        <v>3817</v>
      </c>
      <c r="D2028" s="3" t="s">
        <v>3954</v>
      </c>
      <c r="E2028" s="3" t="s">
        <v>4908</v>
      </c>
      <c r="F2028" s="3" t="s">
        <v>3890</v>
      </c>
      <c r="G2028" s="3" t="s">
        <v>3422</v>
      </c>
      <c r="H2028" s="6">
        <v>2.6989700000000001</v>
      </c>
      <c r="I2028" s="6">
        <v>499.99999500797441</v>
      </c>
      <c r="J2028" s="3" t="s">
        <v>3356</v>
      </c>
      <c r="K2028" s="14" t="s">
        <v>6136</v>
      </c>
      <c r="L2028" s="1" t="s">
        <v>6135</v>
      </c>
    </row>
    <row r="2029" spans="1:12">
      <c r="A2029" s="3" t="s">
        <v>3357</v>
      </c>
      <c r="C2029" s="3" t="s">
        <v>3817</v>
      </c>
      <c r="D2029" s="3" t="s">
        <v>4471</v>
      </c>
      <c r="E2029" s="3" t="s">
        <v>4472</v>
      </c>
      <c r="F2029" s="3" t="s">
        <v>7230</v>
      </c>
      <c r="G2029" s="3" t="s">
        <v>7274</v>
      </c>
      <c r="H2029" s="6">
        <v>3.4698199999999999</v>
      </c>
      <c r="I2029" s="6">
        <v>2949.9863062460499</v>
      </c>
      <c r="J2029" s="3" t="s">
        <v>3356</v>
      </c>
      <c r="K2029" s="14" t="s">
        <v>2389</v>
      </c>
      <c r="L2029" s="1" t="s">
        <v>6135</v>
      </c>
    </row>
    <row r="2030" spans="1:12">
      <c r="A2030" s="3" t="s">
        <v>3357</v>
      </c>
      <c r="C2030" s="3" t="s">
        <v>3817</v>
      </c>
      <c r="D2030" s="3" t="s">
        <v>4471</v>
      </c>
      <c r="E2030" s="3" t="s">
        <v>4472</v>
      </c>
      <c r="F2030" s="3" t="s">
        <v>7275</v>
      </c>
      <c r="G2030" s="3" t="s">
        <v>7276</v>
      </c>
      <c r="H2030" s="6">
        <v>3.41913</v>
      </c>
      <c r="I2030" s="6">
        <v>2625.0041842087303</v>
      </c>
      <c r="J2030" s="3" t="s">
        <v>3356</v>
      </c>
      <c r="K2030" s="14" t="s">
        <v>2389</v>
      </c>
      <c r="L2030" s="1" t="s">
        <v>6135</v>
      </c>
    </row>
    <row r="2031" spans="1:12">
      <c r="A2031" s="3" t="s">
        <v>3357</v>
      </c>
      <c r="C2031" s="3" t="s">
        <v>3817</v>
      </c>
      <c r="D2031" s="3" t="s">
        <v>4471</v>
      </c>
      <c r="E2031" s="3" t="s">
        <v>4472</v>
      </c>
      <c r="F2031" s="3" t="s">
        <v>7277</v>
      </c>
      <c r="G2031" s="3" t="s">
        <v>4259</v>
      </c>
      <c r="H2031" s="6">
        <v>3.4814400000000001</v>
      </c>
      <c r="I2031" s="6">
        <v>3029.9816614343204</v>
      </c>
      <c r="J2031" s="3" t="s">
        <v>3356</v>
      </c>
      <c r="K2031" s="14" t="s">
        <v>6136</v>
      </c>
      <c r="L2031" s="1" t="s">
        <v>6135</v>
      </c>
    </row>
    <row r="2032" spans="1:12">
      <c r="A2032" s="3" t="s">
        <v>3357</v>
      </c>
      <c r="C2032" s="3" t="s">
        <v>3817</v>
      </c>
      <c r="D2032" s="3" t="s">
        <v>7278</v>
      </c>
      <c r="E2032" s="3" t="s">
        <v>2351</v>
      </c>
      <c r="F2032" s="3" t="s">
        <v>2352</v>
      </c>
      <c r="G2032" s="3" t="s">
        <v>2597</v>
      </c>
      <c r="H2032" s="6">
        <v>1.8318700000000001</v>
      </c>
      <c r="I2032" s="6">
        <v>67.900035290243324</v>
      </c>
      <c r="J2032" s="3" t="s">
        <v>3356</v>
      </c>
      <c r="K2032" s="14" t="s">
        <v>6136</v>
      </c>
      <c r="L2032" s="1" t="s">
        <v>6135</v>
      </c>
    </row>
    <row r="2033" spans="1:12">
      <c r="A2033" s="3" t="s">
        <v>3357</v>
      </c>
      <c r="C2033" s="3" t="s">
        <v>3817</v>
      </c>
      <c r="D2033" s="3" t="s">
        <v>7278</v>
      </c>
      <c r="E2033" s="3" t="s">
        <v>2351</v>
      </c>
      <c r="F2033" s="3" t="s">
        <v>2352</v>
      </c>
      <c r="G2033" s="3" t="s">
        <v>2598</v>
      </c>
      <c r="H2033" s="6">
        <v>1.6434500000000001</v>
      </c>
      <c r="I2033" s="6">
        <v>43.999728835998937</v>
      </c>
      <c r="J2033" s="3" t="s">
        <v>3356</v>
      </c>
      <c r="K2033" s="14" t="s">
        <v>6136</v>
      </c>
      <c r="L2033" s="1" t="s">
        <v>6135</v>
      </c>
    </row>
    <row r="2034" spans="1:12">
      <c r="A2034" s="3" t="s">
        <v>3357</v>
      </c>
      <c r="C2034" s="3" t="s">
        <v>3817</v>
      </c>
      <c r="D2034" s="3" t="s">
        <v>7278</v>
      </c>
      <c r="E2034" s="3" t="s">
        <v>2351</v>
      </c>
      <c r="F2034" s="3" t="s">
        <v>2352</v>
      </c>
      <c r="G2034" s="3" t="s">
        <v>2358</v>
      </c>
      <c r="H2034" s="6">
        <v>1.3424199999999999</v>
      </c>
      <c r="I2034" s="6">
        <v>21.999864198351659</v>
      </c>
      <c r="J2034" s="3" t="s">
        <v>3356</v>
      </c>
      <c r="K2034" s="14" t="s">
        <v>6136</v>
      </c>
      <c r="L2034" s="1" t="s">
        <v>6135</v>
      </c>
    </row>
    <row r="2035" spans="1:12">
      <c r="A2035" s="3" t="s">
        <v>3357</v>
      </c>
      <c r="C2035" s="3" t="s">
        <v>3817</v>
      </c>
      <c r="D2035" s="3" t="s">
        <v>7278</v>
      </c>
      <c r="E2035" s="3" t="s">
        <v>2351</v>
      </c>
      <c r="F2035" s="3" t="s">
        <v>2514</v>
      </c>
      <c r="G2035" s="3" t="s">
        <v>2353</v>
      </c>
      <c r="H2035" s="6">
        <v>1.3811199999999999</v>
      </c>
      <c r="I2035" s="6">
        <v>24.050272417917043</v>
      </c>
      <c r="J2035" s="3" t="s">
        <v>3356</v>
      </c>
      <c r="K2035" s="14" t="s">
        <v>6136</v>
      </c>
      <c r="L2035" s="1" t="s">
        <v>6135</v>
      </c>
    </row>
    <row r="2036" spans="1:12">
      <c r="A2036" s="3" t="s">
        <v>3357</v>
      </c>
      <c r="C2036" s="3" t="s">
        <v>3817</v>
      </c>
      <c r="D2036" s="3" t="s">
        <v>7278</v>
      </c>
      <c r="E2036" s="3" t="s">
        <v>2351</v>
      </c>
      <c r="F2036" s="3" t="s">
        <v>2354</v>
      </c>
      <c r="G2036" s="3" t="s">
        <v>2355</v>
      </c>
      <c r="H2036" s="6">
        <v>1.71892</v>
      </c>
      <c r="I2036" s="6">
        <v>52.350399470385142</v>
      </c>
      <c r="J2036" s="3" t="s">
        <v>3356</v>
      </c>
      <c r="K2036" s="14" t="s">
        <v>6136</v>
      </c>
      <c r="L2036" s="1" t="s">
        <v>6135</v>
      </c>
    </row>
    <row r="2037" spans="1:12">
      <c r="A2037" s="3" t="s">
        <v>3357</v>
      </c>
      <c r="C2037" s="3" t="s">
        <v>3817</v>
      </c>
      <c r="D2037" s="3" t="s">
        <v>7278</v>
      </c>
      <c r="E2037" s="3" t="s">
        <v>2351</v>
      </c>
      <c r="F2037" s="3" t="s">
        <v>2130</v>
      </c>
      <c r="G2037" s="3" t="s">
        <v>2131</v>
      </c>
      <c r="H2037" s="6">
        <v>1.6901999999999999</v>
      </c>
      <c r="I2037" s="6">
        <v>49.000442279323579</v>
      </c>
      <c r="J2037" s="3" t="s">
        <v>3356</v>
      </c>
      <c r="K2037" s="14" t="s">
        <v>6136</v>
      </c>
      <c r="L2037" s="1" t="s">
        <v>6135</v>
      </c>
    </row>
    <row r="2038" spans="1:12">
      <c r="A2038" s="3" t="s">
        <v>3357</v>
      </c>
      <c r="C2038" s="3" t="s">
        <v>3817</v>
      </c>
      <c r="D2038" s="3" t="s">
        <v>7278</v>
      </c>
      <c r="E2038" s="3" t="s">
        <v>2351</v>
      </c>
      <c r="F2038" s="3" t="s">
        <v>2130</v>
      </c>
      <c r="G2038" s="3" t="s">
        <v>2519</v>
      </c>
      <c r="H2038" s="6">
        <v>1.59988</v>
      </c>
      <c r="I2038" s="6">
        <v>39.799718467294838</v>
      </c>
      <c r="J2038" s="3" t="s">
        <v>3356</v>
      </c>
      <c r="K2038" s="14" t="s">
        <v>6136</v>
      </c>
      <c r="L2038" s="1" t="s">
        <v>6135</v>
      </c>
    </row>
    <row r="2039" spans="1:12">
      <c r="A2039" s="3" t="s">
        <v>3357</v>
      </c>
      <c r="C2039" s="3" t="s">
        <v>3817</v>
      </c>
      <c r="D2039" s="3" t="s">
        <v>7278</v>
      </c>
      <c r="E2039" s="3" t="s">
        <v>2351</v>
      </c>
      <c r="F2039" s="3" t="s">
        <v>4919</v>
      </c>
      <c r="G2039" s="3" t="s">
        <v>5046</v>
      </c>
      <c r="H2039" s="6">
        <v>2.6299199999999998</v>
      </c>
      <c r="I2039" s="6">
        <v>426.50094718725063</v>
      </c>
      <c r="J2039" s="3" t="s">
        <v>3356</v>
      </c>
      <c r="K2039" s="14" t="s">
        <v>6136</v>
      </c>
      <c r="L2039" s="1" t="s">
        <v>6135</v>
      </c>
    </row>
    <row r="2040" spans="1:12">
      <c r="A2040" s="3" t="s">
        <v>3357</v>
      </c>
      <c r="C2040" s="3" t="s">
        <v>3817</v>
      </c>
      <c r="D2040" s="3" t="s">
        <v>7278</v>
      </c>
      <c r="E2040" s="3" t="s">
        <v>2351</v>
      </c>
      <c r="F2040" s="3" t="s">
        <v>4919</v>
      </c>
      <c r="G2040" s="3" t="s">
        <v>4748</v>
      </c>
      <c r="H2040" s="6">
        <v>2.01912</v>
      </c>
      <c r="I2040" s="6">
        <v>104.50089259696503</v>
      </c>
      <c r="J2040" s="3" t="s">
        <v>3356</v>
      </c>
      <c r="K2040" s="14" t="s">
        <v>6136</v>
      </c>
      <c r="L2040" s="1" t="s">
        <v>6135</v>
      </c>
    </row>
    <row r="2041" spans="1:12">
      <c r="A2041" s="3" t="s">
        <v>3357</v>
      </c>
      <c r="C2041" s="3" t="s">
        <v>3817</v>
      </c>
      <c r="D2041" s="3" t="s">
        <v>7278</v>
      </c>
      <c r="E2041" s="3" t="s">
        <v>2351</v>
      </c>
      <c r="F2041" s="3" t="s">
        <v>4628</v>
      </c>
      <c r="G2041" s="3" t="s">
        <v>7281</v>
      </c>
      <c r="H2041" s="6">
        <v>1.4166399999999999</v>
      </c>
      <c r="I2041" s="6">
        <v>26.09996951027022</v>
      </c>
      <c r="J2041" s="3" t="s">
        <v>3356</v>
      </c>
      <c r="K2041" s="14" t="s">
        <v>6136</v>
      </c>
      <c r="L2041" s="1" t="s">
        <v>6135</v>
      </c>
    </row>
    <row r="2042" spans="1:12">
      <c r="A2042" s="3" t="s">
        <v>3357</v>
      </c>
      <c r="C2042" s="3" t="s">
        <v>3817</v>
      </c>
      <c r="D2042" s="3" t="s">
        <v>7278</v>
      </c>
      <c r="E2042" s="3" t="s">
        <v>7252</v>
      </c>
      <c r="F2042" s="3" t="s">
        <v>7686</v>
      </c>
      <c r="G2042" s="3" t="s">
        <v>4379</v>
      </c>
      <c r="H2042" s="6">
        <v>2.7781500000000001</v>
      </c>
      <c r="I2042" s="6">
        <v>599.99827253364413</v>
      </c>
      <c r="J2042" s="3" t="s">
        <v>3356</v>
      </c>
      <c r="K2042" s="14" t="s">
        <v>2389</v>
      </c>
      <c r="L2042" s="1" t="s">
        <v>6135</v>
      </c>
    </row>
    <row r="2043" spans="1:12">
      <c r="A2043" s="3" t="s">
        <v>3357</v>
      </c>
      <c r="C2043" s="3" t="s">
        <v>3817</v>
      </c>
      <c r="D2043" s="3" t="s">
        <v>7278</v>
      </c>
      <c r="E2043" s="3" t="s">
        <v>7252</v>
      </c>
      <c r="F2043" s="3" t="s">
        <v>7686</v>
      </c>
      <c r="G2043" s="3" t="s">
        <v>7687</v>
      </c>
      <c r="H2043" s="6">
        <v>3.0969099999999998</v>
      </c>
      <c r="I2043" s="6">
        <v>1249.9999625598048</v>
      </c>
      <c r="J2043" s="3" t="s">
        <v>3356</v>
      </c>
      <c r="K2043" s="14" t="s">
        <v>2389</v>
      </c>
      <c r="L2043" s="1" t="s">
        <v>6135</v>
      </c>
    </row>
    <row r="2044" spans="1:12">
      <c r="A2044" s="3" t="s">
        <v>3357</v>
      </c>
      <c r="C2044" s="3" t="s">
        <v>3817</v>
      </c>
      <c r="D2044" s="3" t="s">
        <v>7278</v>
      </c>
      <c r="E2044" s="3" t="s">
        <v>7252</v>
      </c>
      <c r="F2044" s="3" t="s">
        <v>7686</v>
      </c>
      <c r="G2044" s="3" t="s">
        <v>7688</v>
      </c>
      <c r="H2044" s="6">
        <v>2.4906600000000001</v>
      </c>
      <c r="I2044" s="6">
        <v>309.49953438604319</v>
      </c>
      <c r="J2044" s="3" t="s">
        <v>3356</v>
      </c>
      <c r="K2044" s="14" t="s">
        <v>6136</v>
      </c>
      <c r="L2044" s="1" t="s">
        <v>6135</v>
      </c>
    </row>
    <row r="2045" spans="1:12">
      <c r="A2045" s="3" t="s">
        <v>3357</v>
      </c>
      <c r="C2045" s="3" t="s">
        <v>3817</v>
      </c>
      <c r="D2045" s="3" t="s">
        <v>7278</v>
      </c>
      <c r="E2045" s="3" t="s">
        <v>7252</v>
      </c>
      <c r="F2045" s="3" t="s">
        <v>2114</v>
      </c>
      <c r="G2045" s="3" t="s">
        <v>3481</v>
      </c>
      <c r="H2045" s="6">
        <v>2.2741600000000002</v>
      </c>
      <c r="I2045" s="6">
        <v>188.00093102594275</v>
      </c>
      <c r="J2045" s="3" t="s">
        <v>3356</v>
      </c>
      <c r="K2045" s="14" t="s">
        <v>6136</v>
      </c>
      <c r="L2045" s="1" t="s">
        <v>6135</v>
      </c>
    </row>
    <row r="2046" spans="1:12">
      <c r="A2046" s="3" t="s">
        <v>3357</v>
      </c>
      <c r="C2046" s="3" t="s">
        <v>3817</v>
      </c>
      <c r="D2046" s="3" t="s">
        <v>7278</v>
      </c>
      <c r="E2046" s="3" t="s">
        <v>7252</v>
      </c>
      <c r="F2046" s="3" t="s">
        <v>2114</v>
      </c>
      <c r="G2046" s="3" t="s">
        <v>2115</v>
      </c>
      <c r="H2046" s="6">
        <v>2.3283800000000001</v>
      </c>
      <c r="I2046" s="6">
        <v>213.00019449380778</v>
      </c>
      <c r="J2046" s="3" t="s">
        <v>3356</v>
      </c>
      <c r="K2046" s="14" t="s">
        <v>6136</v>
      </c>
      <c r="L2046" s="1" t="s">
        <v>6135</v>
      </c>
    </row>
    <row r="2047" spans="1:12">
      <c r="A2047" s="3" t="s">
        <v>3357</v>
      </c>
      <c r="C2047" s="3" t="s">
        <v>3817</v>
      </c>
      <c r="D2047" s="3" t="s">
        <v>7278</v>
      </c>
      <c r="E2047" s="3" t="s">
        <v>4905</v>
      </c>
      <c r="F2047" s="3" t="s">
        <v>5050</v>
      </c>
      <c r="G2047" s="3" t="s">
        <v>7581</v>
      </c>
      <c r="H2047" s="6">
        <v>1.16673</v>
      </c>
      <c r="I2047" s="6">
        <v>14.680133329688054</v>
      </c>
      <c r="J2047" s="3" t="s">
        <v>3356</v>
      </c>
      <c r="K2047" s="14" t="s">
        <v>2245</v>
      </c>
      <c r="L2047" s="1" t="s">
        <v>6135</v>
      </c>
    </row>
    <row r="2048" spans="1:12">
      <c r="A2048" s="3" t="s">
        <v>3357</v>
      </c>
      <c r="C2048" s="3" t="s">
        <v>3817</v>
      </c>
      <c r="D2048" s="3" t="s">
        <v>7278</v>
      </c>
      <c r="E2048" s="3" t="s">
        <v>4905</v>
      </c>
      <c r="F2048" s="3" t="s">
        <v>5050</v>
      </c>
      <c r="G2048" s="3" t="s">
        <v>2259</v>
      </c>
      <c r="H2048" s="6">
        <v>1.16673</v>
      </c>
      <c r="I2048" s="6">
        <v>14.680133329688054</v>
      </c>
      <c r="J2048" s="3" t="s">
        <v>3356</v>
      </c>
      <c r="K2048" s="14" t="s">
        <v>2245</v>
      </c>
      <c r="L2048" s="1" t="s">
        <v>6135</v>
      </c>
    </row>
    <row r="2049" spans="1:12">
      <c r="A2049" s="3" t="s">
        <v>3357</v>
      </c>
      <c r="C2049" s="3" t="s">
        <v>3817</v>
      </c>
      <c r="D2049" s="3" t="s">
        <v>7278</v>
      </c>
      <c r="E2049" s="3" t="s">
        <v>4905</v>
      </c>
      <c r="F2049" s="3" t="s">
        <v>5050</v>
      </c>
      <c r="G2049" s="3" t="s">
        <v>2118</v>
      </c>
      <c r="H2049" s="6">
        <v>1.16673</v>
      </c>
      <c r="I2049" s="6">
        <v>14.680133329688054</v>
      </c>
      <c r="J2049" s="3" t="s">
        <v>3356</v>
      </c>
      <c r="K2049" s="14" t="s">
        <v>2245</v>
      </c>
      <c r="L2049" s="1" t="s">
        <v>6135</v>
      </c>
    </row>
    <row r="2050" spans="1:12">
      <c r="A2050" s="3" t="s">
        <v>3357</v>
      </c>
      <c r="C2050" s="3" t="s">
        <v>3817</v>
      </c>
      <c r="D2050" s="3" t="s">
        <v>7278</v>
      </c>
      <c r="E2050" s="3" t="s">
        <v>4905</v>
      </c>
      <c r="F2050" s="3" t="s">
        <v>5050</v>
      </c>
      <c r="G2050" s="3" t="s">
        <v>2119</v>
      </c>
      <c r="H2050" s="6">
        <v>1.16673</v>
      </c>
      <c r="I2050" s="6">
        <v>14.680133329688054</v>
      </c>
      <c r="J2050" s="3" t="s">
        <v>3356</v>
      </c>
      <c r="K2050" s="14" t="s">
        <v>2245</v>
      </c>
      <c r="L2050" s="1" t="s">
        <v>6135</v>
      </c>
    </row>
    <row r="2051" spans="1:12">
      <c r="A2051" s="3" t="s">
        <v>3357</v>
      </c>
      <c r="C2051" s="3" t="s">
        <v>3817</v>
      </c>
      <c r="D2051" s="3" t="s">
        <v>7278</v>
      </c>
      <c r="E2051" s="3" t="s">
        <v>4905</v>
      </c>
      <c r="F2051" s="3" t="s">
        <v>5050</v>
      </c>
      <c r="G2051" s="3" t="s">
        <v>2260</v>
      </c>
      <c r="H2051" s="6">
        <v>1.16673</v>
      </c>
      <c r="I2051" s="6">
        <v>14.680133329688054</v>
      </c>
      <c r="J2051" s="3" t="s">
        <v>3356</v>
      </c>
      <c r="K2051" s="14" t="s">
        <v>2245</v>
      </c>
      <c r="L2051" s="1" t="s">
        <v>6135</v>
      </c>
    </row>
    <row r="2052" spans="1:12">
      <c r="A2052" s="3" t="s">
        <v>3357</v>
      </c>
      <c r="C2052" s="3" t="s">
        <v>3817</v>
      </c>
      <c r="D2052" s="3" t="s">
        <v>7278</v>
      </c>
      <c r="E2052" s="3" t="s">
        <v>4905</v>
      </c>
      <c r="F2052" s="3" t="s">
        <v>5050</v>
      </c>
      <c r="G2052" s="3" t="s">
        <v>2261</v>
      </c>
      <c r="H2052" s="6">
        <v>0.54407000000000005</v>
      </c>
      <c r="I2052" s="6">
        <v>3.5000157607101445</v>
      </c>
      <c r="J2052" s="3" t="s">
        <v>3356</v>
      </c>
      <c r="K2052" s="14" t="s">
        <v>6136</v>
      </c>
      <c r="L2052" s="1" t="s">
        <v>6135</v>
      </c>
    </row>
    <row r="2053" spans="1:12">
      <c r="A2053" s="3" t="s">
        <v>3357</v>
      </c>
      <c r="C2053" s="3" t="s">
        <v>3817</v>
      </c>
      <c r="D2053" s="3" t="s">
        <v>7278</v>
      </c>
      <c r="E2053" s="3" t="s">
        <v>4905</v>
      </c>
      <c r="F2053" s="3" t="s">
        <v>5050</v>
      </c>
      <c r="G2053" s="3" t="s">
        <v>2121</v>
      </c>
      <c r="H2053" s="6">
        <v>1.16673</v>
      </c>
      <c r="I2053" s="6">
        <v>14.680133329688054</v>
      </c>
      <c r="J2053" s="3" t="s">
        <v>3356</v>
      </c>
      <c r="K2053" s="14" t="s">
        <v>2245</v>
      </c>
      <c r="L2053" s="1" t="s">
        <v>6135</v>
      </c>
    </row>
    <row r="2054" spans="1:12">
      <c r="A2054" s="3" t="s">
        <v>3357</v>
      </c>
      <c r="C2054" s="3" t="s">
        <v>3817</v>
      </c>
      <c r="D2054" s="3" t="s">
        <v>7278</v>
      </c>
      <c r="E2054" s="3" t="s">
        <v>4905</v>
      </c>
      <c r="F2054" s="3" t="s">
        <v>5050</v>
      </c>
      <c r="G2054" s="3" t="s">
        <v>2122</v>
      </c>
      <c r="H2054" s="6">
        <v>1.16673</v>
      </c>
      <c r="I2054" s="6">
        <v>14.680133329688054</v>
      </c>
      <c r="J2054" s="3" t="s">
        <v>3356</v>
      </c>
      <c r="K2054" s="14" t="s">
        <v>2245</v>
      </c>
      <c r="L2054" s="1" t="s">
        <v>6135</v>
      </c>
    </row>
    <row r="2055" spans="1:12">
      <c r="A2055" s="3" t="s">
        <v>3357</v>
      </c>
      <c r="C2055" s="3" t="s">
        <v>3817</v>
      </c>
      <c r="D2055" s="3" t="s">
        <v>7278</v>
      </c>
      <c r="E2055" s="3" t="s">
        <v>4905</v>
      </c>
      <c r="F2055" s="3" t="s">
        <v>5050</v>
      </c>
      <c r="G2055" s="3" t="s">
        <v>2123</v>
      </c>
      <c r="H2055" s="6">
        <v>1.16673</v>
      </c>
      <c r="I2055" s="6">
        <v>14.680133329688054</v>
      </c>
      <c r="J2055" s="3" t="s">
        <v>3356</v>
      </c>
      <c r="K2055" s="14" t="s">
        <v>2245</v>
      </c>
      <c r="L2055" s="1" t="s">
        <v>6135</v>
      </c>
    </row>
    <row r="2056" spans="1:12">
      <c r="A2056" s="3" t="s">
        <v>3357</v>
      </c>
      <c r="C2056" s="3" t="s">
        <v>3817</v>
      </c>
      <c r="D2056" s="3" t="s">
        <v>7278</v>
      </c>
      <c r="E2056" s="3" t="s">
        <v>4905</v>
      </c>
      <c r="F2056" s="3" t="s">
        <v>5050</v>
      </c>
      <c r="G2056" s="3" t="s">
        <v>4914</v>
      </c>
      <c r="H2056" s="6">
        <v>1.16673</v>
      </c>
      <c r="I2056" s="6">
        <v>14.680133329688054</v>
      </c>
      <c r="J2056" s="3" t="s">
        <v>3356</v>
      </c>
      <c r="K2056" s="14" t="s">
        <v>2245</v>
      </c>
      <c r="L2056" s="1" t="s">
        <v>6135</v>
      </c>
    </row>
    <row r="2057" spans="1:12">
      <c r="A2057" s="3" t="s">
        <v>3357</v>
      </c>
      <c r="C2057" s="3" t="s">
        <v>3817</v>
      </c>
      <c r="D2057" s="3" t="s">
        <v>7278</v>
      </c>
      <c r="E2057" s="3" t="s">
        <v>4905</v>
      </c>
      <c r="F2057" s="3" t="s">
        <v>5050</v>
      </c>
      <c r="G2057" s="3" t="s">
        <v>2607</v>
      </c>
      <c r="H2057" s="6">
        <v>1.16673</v>
      </c>
      <c r="I2057" s="6">
        <v>14.680133329688054</v>
      </c>
      <c r="J2057" s="3" t="s">
        <v>3356</v>
      </c>
      <c r="K2057" s="14" t="s">
        <v>2245</v>
      </c>
      <c r="L2057" s="1" t="s">
        <v>6135</v>
      </c>
    </row>
    <row r="2058" spans="1:12">
      <c r="A2058" s="3" t="s">
        <v>3357</v>
      </c>
      <c r="C2058" s="3" t="s">
        <v>3817</v>
      </c>
      <c r="D2058" s="3" t="s">
        <v>7278</v>
      </c>
      <c r="E2058" s="3" t="s">
        <v>4905</v>
      </c>
      <c r="F2058" s="3" t="s">
        <v>5050</v>
      </c>
      <c r="G2058" s="3" t="s">
        <v>2124</v>
      </c>
      <c r="H2058" s="6">
        <v>0.90308999999999995</v>
      </c>
      <c r="I2058" s="6">
        <v>8.0000002396172594</v>
      </c>
      <c r="J2058" s="3" t="s">
        <v>3356</v>
      </c>
      <c r="K2058" s="14" t="s">
        <v>6136</v>
      </c>
      <c r="L2058" s="1" t="s">
        <v>6135</v>
      </c>
    </row>
    <row r="2059" spans="1:12">
      <c r="A2059" s="3" t="s">
        <v>3357</v>
      </c>
      <c r="C2059" s="3" t="s">
        <v>3817</v>
      </c>
      <c r="D2059" s="3" t="s">
        <v>7278</v>
      </c>
      <c r="E2059" s="3" t="s">
        <v>4905</v>
      </c>
      <c r="F2059" s="3" t="s">
        <v>5050</v>
      </c>
      <c r="G2059" s="3" t="s">
        <v>2125</v>
      </c>
      <c r="H2059" s="6">
        <v>0.95904</v>
      </c>
      <c r="I2059" s="6">
        <v>9.0999708260128358</v>
      </c>
      <c r="J2059" s="3" t="s">
        <v>3356</v>
      </c>
      <c r="K2059" s="14" t="s">
        <v>6136</v>
      </c>
      <c r="L2059" s="1" t="s">
        <v>6135</v>
      </c>
    </row>
    <row r="2060" spans="1:12">
      <c r="A2060" s="3" t="s">
        <v>3357</v>
      </c>
      <c r="C2060" s="3" t="s">
        <v>3817</v>
      </c>
      <c r="D2060" s="3" t="s">
        <v>7278</v>
      </c>
      <c r="E2060" s="3" t="s">
        <v>4905</v>
      </c>
      <c r="F2060" s="3" t="s">
        <v>5050</v>
      </c>
      <c r="G2060" s="3" t="s">
        <v>2126</v>
      </c>
      <c r="H2060" s="6">
        <v>1.16673</v>
      </c>
      <c r="I2060" s="6">
        <v>14.680133329688054</v>
      </c>
      <c r="J2060" s="3" t="s">
        <v>3356</v>
      </c>
      <c r="K2060" s="14" t="s">
        <v>2245</v>
      </c>
      <c r="L2060" s="1" t="s">
        <v>6135</v>
      </c>
    </row>
    <row r="2061" spans="1:12">
      <c r="A2061" s="3" t="s">
        <v>3357</v>
      </c>
      <c r="C2061" s="3" t="s">
        <v>3817</v>
      </c>
      <c r="D2061" s="3" t="s">
        <v>7278</v>
      </c>
      <c r="E2061" s="3" t="s">
        <v>4905</v>
      </c>
      <c r="F2061" s="3" t="s">
        <v>5050</v>
      </c>
      <c r="G2061" s="3" t="s">
        <v>4055</v>
      </c>
      <c r="H2061" s="6">
        <v>0.74036000000000002</v>
      </c>
      <c r="I2061" s="6">
        <v>5.4999659397640208</v>
      </c>
      <c r="J2061" s="3" t="s">
        <v>3356</v>
      </c>
      <c r="K2061" s="14" t="s">
        <v>6136</v>
      </c>
      <c r="L2061" s="1" t="s">
        <v>6135</v>
      </c>
    </row>
    <row r="2062" spans="1:12">
      <c r="A2062" s="3" t="s">
        <v>3357</v>
      </c>
      <c r="C2062" s="3" t="s">
        <v>3817</v>
      </c>
      <c r="D2062" s="3" t="s">
        <v>7278</v>
      </c>
      <c r="E2062" s="3" t="s">
        <v>4905</v>
      </c>
      <c r="F2062" s="3" t="s">
        <v>5050</v>
      </c>
      <c r="G2062" s="3" t="s">
        <v>7449</v>
      </c>
      <c r="H2062" s="6">
        <v>0.63346999999999998</v>
      </c>
      <c r="I2062" s="6">
        <v>4.3000152915127021</v>
      </c>
      <c r="J2062" s="3" t="s">
        <v>3356</v>
      </c>
      <c r="K2062" s="14" t="s">
        <v>6136</v>
      </c>
      <c r="L2062" s="1" t="s">
        <v>6135</v>
      </c>
    </row>
    <row r="2063" spans="1:12">
      <c r="A2063" s="3" t="s">
        <v>3357</v>
      </c>
      <c r="C2063" s="3" t="s">
        <v>3817</v>
      </c>
      <c r="D2063" s="3" t="s">
        <v>7278</v>
      </c>
      <c r="E2063" s="3" t="s">
        <v>4905</v>
      </c>
      <c r="F2063" s="3" t="s">
        <v>5050</v>
      </c>
      <c r="G2063" s="3" t="s">
        <v>7450</v>
      </c>
      <c r="H2063" s="6">
        <v>1.16673</v>
      </c>
      <c r="I2063" s="6">
        <v>14.680133329688054</v>
      </c>
      <c r="J2063" s="3" t="s">
        <v>3356</v>
      </c>
      <c r="K2063" s="14" t="s">
        <v>2245</v>
      </c>
      <c r="L2063" s="1" t="s">
        <v>6135</v>
      </c>
    </row>
    <row r="2064" spans="1:12">
      <c r="A2064" s="3" t="s">
        <v>3357</v>
      </c>
      <c r="C2064" s="3" t="s">
        <v>3817</v>
      </c>
      <c r="D2064" s="3" t="s">
        <v>7278</v>
      </c>
      <c r="E2064" s="3" t="s">
        <v>4905</v>
      </c>
      <c r="F2064" s="3" t="s">
        <v>5050</v>
      </c>
      <c r="G2064" s="3" t="s">
        <v>2266</v>
      </c>
      <c r="H2064" s="6">
        <v>1.16673</v>
      </c>
      <c r="I2064" s="6">
        <v>14.680133329688054</v>
      </c>
      <c r="J2064" s="3" t="s">
        <v>3356</v>
      </c>
      <c r="K2064" s="14" t="s">
        <v>2245</v>
      </c>
      <c r="L2064" s="1" t="s">
        <v>6135</v>
      </c>
    </row>
    <row r="2065" spans="1:12">
      <c r="A2065" s="3" t="s">
        <v>3357</v>
      </c>
      <c r="C2065" s="3" t="s">
        <v>3817</v>
      </c>
      <c r="D2065" s="3" t="s">
        <v>7278</v>
      </c>
      <c r="E2065" s="3" t="s">
        <v>4905</v>
      </c>
      <c r="F2065" s="3" t="s">
        <v>5050</v>
      </c>
      <c r="G2065" s="3" t="s">
        <v>2267</v>
      </c>
      <c r="H2065" s="6">
        <v>1.16673</v>
      </c>
      <c r="I2065" s="6">
        <v>14.680133329688054</v>
      </c>
      <c r="J2065" s="3" t="s">
        <v>3356</v>
      </c>
      <c r="K2065" s="14" t="s">
        <v>2245</v>
      </c>
      <c r="L2065" s="1" t="s">
        <v>6135</v>
      </c>
    </row>
    <row r="2066" spans="1:12">
      <c r="A2066" s="3" t="s">
        <v>3357</v>
      </c>
      <c r="C2066" s="3" t="s">
        <v>3817</v>
      </c>
      <c r="D2066" s="3" t="s">
        <v>7278</v>
      </c>
      <c r="E2066" s="3" t="s">
        <v>4905</v>
      </c>
      <c r="F2066" s="3" t="s">
        <v>5050</v>
      </c>
      <c r="G2066" s="3" t="s">
        <v>2268</v>
      </c>
      <c r="H2066" s="6">
        <v>1.16673</v>
      </c>
      <c r="I2066" s="6">
        <v>14.680133329688054</v>
      </c>
      <c r="J2066" s="3" t="s">
        <v>3356</v>
      </c>
      <c r="K2066" s="14" t="s">
        <v>2245</v>
      </c>
      <c r="L2066" s="1" t="s">
        <v>6135</v>
      </c>
    </row>
    <row r="2067" spans="1:12">
      <c r="A2067" s="3" t="s">
        <v>3357</v>
      </c>
      <c r="C2067" s="3" t="s">
        <v>3817</v>
      </c>
      <c r="D2067" s="3" t="s">
        <v>7278</v>
      </c>
      <c r="E2067" s="3" t="s">
        <v>4905</v>
      </c>
      <c r="F2067" s="3" t="s">
        <v>5050</v>
      </c>
      <c r="G2067" s="3" t="s">
        <v>7584</v>
      </c>
      <c r="H2067" s="6">
        <v>1.3865000000000001</v>
      </c>
      <c r="I2067" s="6">
        <v>24.350057999520249</v>
      </c>
      <c r="J2067" s="3" t="s">
        <v>3356</v>
      </c>
      <c r="K2067" s="14" t="s">
        <v>6136</v>
      </c>
      <c r="L2067" s="1" t="s">
        <v>6135</v>
      </c>
    </row>
    <row r="2068" spans="1:12">
      <c r="A2068" s="3" t="s">
        <v>3357</v>
      </c>
      <c r="C2068" s="3" t="s">
        <v>3817</v>
      </c>
      <c r="D2068" s="3" t="s">
        <v>7278</v>
      </c>
      <c r="E2068" s="3" t="s">
        <v>4905</v>
      </c>
      <c r="F2068" s="3" t="s">
        <v>5050</v>
      </c>
      <c r="G2068" s="3" t="s">
        <v>7448</v>
      </c>
      <c r="H2068" s="6">
        <v>1.16673</v>
      </c>
      <c r="I2068" s="6">
        <v>14.680133329688054</v>
      </c>
      <c r="J2068" s="3" t="s">
        <v>3356</v>
      </c>
      <c r="K2068" s="14" t="s">
        <v>2245</v>
      </c>
      <c r="L2068" s="1" t="s">
        <v>6135</v>
      </c>
    </row>
    <row r="2069" spans="1:12">
      <c r="A2069" s="3" t="s">
        <v>3357</v>
      </c>
      <c r="C2069" s="3" t="s">
        <v>3817</v>
      </c>
      <c r="D2069" s="3" t="s">
        <v>7278</v>
      </c>
      <c r="E2069" s="3" t="s">
        <v>4905</v>
      </c>
      <c r="F2069" s="3" t="s">
        <v>5050</v>
      </c>
      <c r="G2069" s="3" t="s">
        <v>7244</v>
      </c>
      <c r="H2069" s="6">
        <v>1.32222</v>
      </c>
      <c r="I2069" s="6">
        <v>21.000034102666138</v>
      </c>
      <c r="J2069" s="3" t="s">
        <v>3356</v>
      </c>
      <c r="K2069" s="14" t="s">
        <v>6136</v>
      </c>
      <c r="L2069" s="1" t="s">
        <v>6135</v>
      </c>
    </row>
    <row r="2070" spans="1:12">
      <c r="A2070" s="3" t="s">
        <v>3357</v>
      </c>
      <c r="C2070" s="3" t="s">
        <v>3817</v>
      </c>
      <c r="D2070" s="3" t="s">
        <v>7278</v>
      </c>
      <c r="E2070" s="3" t="s">
        <v>4905</v>
      </c>
      <c r="F2070" s="3" t="s">
        <v>5050</v>
      </c>
      <c r="G2070" s="3" t="s">
        <v>4492</v>
      </c>
      <c r="H2070" s="6">
        <v>1</v>
      </c>
      <c r="I2070" s="6">
        <v>10</v>
      </c>
      <c r="J2070" s="3" t="s">
        <v>3356</v>
      </c>
      <c r="K2070" s="14" t="s">
        <v>6136</v>
      </c>
      <c r="L2070" s="1" t="s">
        <v>6135</v>
      </c>
    </row>
    <row r="2071" spans="1:12">
      <c r="A2071" s="3" t="s">
        <v>3357</v>
      </c>
      <c r="C2071" s="3" t="s">
        <v>3817</v>
      </c>
      <c r="D2071" s="3" t="s">
        <v>7278</v>
      </c>
      <c r="E2071" s="3" t="s">
        <v>4905</v>
      </c>
      <c r="F2071" s="3" t="s">
        <v>5050</v>
      </c>
      <c r="G2071" s="3" t="s">
        <v>3845</v>
      </c>
      <c r="H2071" s="6">
        <v>1.16673</v>
      </c>
      <c r="I2071" s="6">
        <v>14.680133329688054</v>
      </c>
      <c r="J2071" s="3" t="s">
        <v>3356</v>
      </c>
      <c r="K2071" s="14" t="s">
        <v>2245</v>
      </c>
      <c r="L2071" s="1" t="s">
        <v>6135</v>
      </c>
    </row>
    <row r="2072" spans="1:12">
      <c r="A2072" s="3" t="s">
        <v>3357</v>
      </c>
      <c r="C2072" s="3" t="s">
        <v>3817</v>
      </c>
      <c r="D2072" s="3" t="s">
        <v>7278</v>
      </c>
      <c r="E2072" s="3" t="s">
        <v>4905</v>
      </c>
      <c r="F2072" s="3" t="s">
        <v>5050</v>
      </c>
      <c r="G2072" s="3" t="s">
        <v>3846</v>
      </c>
      <c r="H2072" s="6">
        <v>0.75966999999999996</v>
      </c>
      <c r="I2072" s="6">
        <v>5.7500285360875933</v>
      </c>
      <c r="J2072" s="3" t="s">
        <v>3356</v>
      </c>
      <c r="K2072" s="14" t="s">
        <v>6136</v>
      </c>
      <c r="L2072" s="1" t="s">
        <v>6135</v>
      </c>
    </row>
    <row r="2073" spans="1:12">
      <c r="A2073" s="3" t="s">
        <v>3357</v>
      </c>
      <c r="C2073" s="3" t="s">
        <v>3817</v>
      </c>
      <c r="D2073" s="3" t="s">
        <v>7278</v>
      </c>
      <c r="E2073" s="3" t="s">
        <v>4905</v>
      </c>
      <c r="F2073" s="3" t="s">
        <v>5050</v>
      </c>
      <c r="G2073" s="3" t="s">
        <v>3847</v>
      </c>
      <c r="H2073" s="6">
        <v>1.16673</v>
      </c>
      <c r="I2073" s="6">
        <v>14.680133329688054</v>
      </c>
      <c r="J2073" s="3" t="s">
        <v>3356</v>
      </c>
      <c r="K2073" s="14" t="s">
        <v>2245</v>
      </c>
      <c r="L2073" s="1" t="s">
        <v>6135</v>
      </c>
    </row>
    <row r="2074" spans="1:12">
      <c r="A2074" s="3" t="s">
        <v>3357</v>
      </c>
      <c r="C2074" s="3" t="s">
        <v>3817</v>
      </c>
      <c r="D2074" s="3" t="s">
        <v>7278</v>
      </c>
      <c r="E2074" s="3" t="s">
        <v>4905</v>
      </c>
      <c r="F2074" s="3" t="s">
        <v>5050</v>
      </c>
      <c r="G2074" s="3" t="s">
        <v>3848</v>
      </c>
      <c r="H2074" s="6">
        <v>0.82606999999999997</v>
      </c>
      <c r="I2074" s="6">
        <v>6.6999259076065778</v>
      </c>
      <c r="J2074" s="3" t="s">
        <v>3356</v>
      </c>
      <c r="K2074" s="14" t="s">
        <v>6136</v>
      </c>
      <c r="L2074" s="1" t="s">
        <v>6135</v>
      </c>
    </row>
    <row r="2075" spans="1:12">
      <c r="A2075" s="3" t="s">
        <v>3357</v>
      </c>
      <c r="C2075" s="3" t="s">
        <v>3817</v>
      </c>
      <c r="D2075" s="3" t="s">
        <v>7278</v>
      </c>
      <c r="E2075" s="3" t="s">
        <v>4905</v>
      </c>
      <c r="F2075" s="3" t="s">
        <v>5050</v>
      </c>
      <c r="G2075" s="3" t="s">
        <v>3849</v>
      </c>
      <c r="H2075" s="6">
        <v>1.3617300000000001</v>
      </c>
      <c r="I2075" s="6">
        <v>23.000114603619075</v>
      </c>
      <c r="J2075" s="3" t="s">
        <v>3356</v>
      </c>
      <c r="K2075" s="14" t="s">
        <v>6136</v>
      </c>
      <c r="L2075" s="1" t="s">
        <v>6135</v>
      </c>
    </row>
    <row r="2076" spans="1:12">
      <c r="A2076" s="3" t="s">
        <v>3357</v>
      </c>
      <c r="C2076" s="3" t="s">
        <v>3817</v>
      </c>
      <c r="D2076" s="3" t="s">
        <v>7278</v>
      </c>
      <c r="E2076" s="3" t="s">
        <v>4905</v>
      </c>
      <c r="F2076" s="3" t="s">
        <v>5050</v>
      </c>
      <c r="G2076" s="3" t="s">
        <v>3887</v>
      </c>
      <c r="H2076" s="6">
        <v>1.16673</v>
      </c>
      <c r="I2076" s="6">
        <v>14.680133329688054</v>
      </c>
      <c r="J2076" s="3" t="s">
        <v>3356</v>
      </c>
      <c r="K2076" s="14" t="s">
        <v>2245</v>
      </c>
      <c r="L2076" s="1" t="s">
        <v>6135</v>
      </c>
    </row>
    <row r="2077" spans="1:12">
      <c r="A2077" s="3" t="s">
        <v>3357</v>
      </c>
      <c r="C2077" s="3" t="s">
        <v>3817</v>
      </c>
      <c r="D2077" s="3" t="s">
        <v>7278</v>
      </c>
      <c r="E2077" s="3" t="s">
        <v>4905</v>
      </c>
      <c r="F2077" s="3" t="s">
        <v>5050</v>
      </c>
      <c r="G2077" s="3" t="s">
        <v>6682</v>
      </c>
      <c r="H2077" s="6">
        <v>1.16673</v>
      </c>
      <c r="I2077" s="6">
        <v>14.680133329688054</v>
      </c>
      <c r="J2077" s="3" t="s">
        <v>3356</v>
      </c>
      <c r="K2077" s="14" t="s">
        <v>2245</v>
      </c>
      <c r="L2077" s="1" t="s">
        <v>6135</v>
      </c>
    </row>
    <row r="2078" spans="1:12">
      <c r="A2078" s="3" t="s">
        <v>3357</v>
      </c>
      <c r="C2078" s="3" t="s">
        <v>3817</v>
      </c>
      <c r="D2078" s="3" t="s">
        <v>7278</v>
      </c>
      <c r="E2078" s="3" t="s">
        <v>4905</v>
      </c>
      <c r="F2078" s="3" t="s">
        <v>5050</v>
      </c>
      <c r="G2078" s="3" t="s">
        <v>6683</v>
      </c>
      <c r="H2078" s="6">
        <v>0.97772000000000003</v>
      </c>
      <c r="I2078" s="6">
        <v>9.4999211362259555</v>
      </c>
      <c r="J2078" s="3" t="s">
        <v>3356</v>
      </c>
      <c r="K2078" s="14" t="s">
        <v>2440</v>
      </c>
      <c r="L2078" s="1" t="s">
        <v>6135</v>
      </c>
    </row>
    <row r="2079" spans="1:12">
      <c r="A2079" s="3" t="s">
        <v>3357</v>
      </c>
      <c r="C2079" s="3" t="s">
        <v>3817</v>
      </c>
      <c r="D2079" s="3" t="s">
        <v>7278</v>
      </c>
      <c r="E2079" s="3" t="s">
        <v>4905</v>
      </c>
      <c r="F2079" s="3" t="s">
        <v>5050</v>
      </c>
      <c r="G2079" s="3" t="s">
        <v>6684</v>
      </c>
      <c r="H2079" s="6">
        <v>1.2041200000000001</v>
      </c>
      <c r="I2079" s="6">
        <v>16.000000638979362</v>
      </c>
      <c r="J2079" s="3" t="s">
        <v>3356</v>
      </c>
      <c r="K2079" s="14" t="s">
        <v>6136</v>
      </c>
      <c r="L2079" s="1" t="s">
        <v>6135</v>
      </c>
    </row>
    <row r="2080" spans="1:12">
      <c r="A2080" s="3" t="s">
        <v>3357</v>
      </c>
      <c r="C2080" s="3" t="s">
        <v>3817</v>
      </c>
      <c r="D2080" s="3" t="s">
        <v>7278</v>
      </c>
      <c r="E2080" s="3" t="s">
        <v>4905</v>
      </c>
      <c r="F2080" s="3" t="s">
        <v>5050</v>
      </c>
      <c r="G2080" s="3" t="s">
        <v>4056</v>
      </c>
      <c r="H2080" s="6">
        <v>1.16673</v>
      </c>
      <c r="I2080" s="6">
        <v>14.680133329688054</v>
      </c>
      <c r="J2080" s="3" t="s">
        <v>3356</v>
      </c>
      <c r="K2080" s="14" t="s">
        <v>2245</v>
      </c>
      <c r="L2080" s="1" t="s">
        <v>6135</v>
      </c>
    </row>
    <row r="2081" spans="1:12">
      <c r="A2081" s="3" t="s">
        <v>3357</v>
      </c>
      <c r="C2081" s="3" t="s">
        <v>3817</v>
      </c>
      <c r="D2081" s="3" t="s">
        <v>7278</v>
      </c>
      <c r="E2081" s="3" t="s">
        <v>4905</v>
      </c>
      <c r="F2081" s="3" t="s">
        <v>5050</v>
      </c>
      <c r="G2081" s="3" t="s">
        <v>3850</v>
      </c>
      <c r="H2081" s="6">
        <v>1.16673</v>
      </c>
      <c r="I2081" s="6">
        <v>14.680133329688054</v>
      </c>
      <c r="J2081" s="3" t="s">
        <v>3356</v>
      </c>
      <c r="K2081" s="14" t="s">
        <v>2245</v>
      </c>
      <c r="L2081" s="1" t="s">
        <v>6135</v>
      </c>
    </row>
    <row r="2082" spans="1:12">
      <c r="A2082" s="3" t="s">
        <v>3357</v>
      </c>
      <c r="C2082" s="3" t="s">
        <v>3817</v>
      </c>
      <c r="D2082" s="3" t="s">
        <v>7278</v>
      </c>
      <c r="E2082" s="3" t="s">
        <v>4905</v>
      </c>
      <c r="F2082" s="3" t="s">
        <v>5050</v>
      </c>
      <c r="G2082" s="3" t="s">
        <v>4305</v>
      </c>
      <c r="H2082" s="6">
        <v>1.16673</v>
      </c>
      <c r="I2082" s="6">
        <v>14.680133329688054</v>
      </c>
      <c r="J2082" s="3" t="s">
        <v>3356</v>
      </c>
      <c r="K2082" s="14" t="s">
        <v>2245</v>
      </c>
      <c r="L2082" s="1" t="s">
        <v>6135</v>
      </c>
    </row>
    <row r="2083" spans="1:12">
      <c r="A2083" s="3" t="s">
        <v>3357</v>
      </c>
      <c r="C2083" s="3" t="s">
        <v>3817</v>
      </c>
      <c r="D2083" s="3" t="s">
        <v>7278</v>
      </c>
      <c r="E2083" s="3" t="s">
        <v>4905</v>
      </c>
      <c r="F2083" s="3" t="s">
        <v>5050</v>
      </c>
      <c r="G2083" s="3" t="s">
        <v>4053</v>
      </c>
      <c r="H2083" s="6">
        <v>1.16673</v>
      </c>
      <c r="I2083" s="6">
        <v>14.680133329688054</v>
      </c>
      <c r="J2083" s="3" t="s">
        <v>3356</v>
      </c>
      <c r="K2083" s="14" t="s">
        <v>2245</v>
      </c>
      <c r="L2083" s="1" t="s">
        <v>6135</v>
      </c>
    </row>
    <row r="2084" spans="1:12">
      <c r="A2084" s="3" t="s">
        <v>3357</v>
      </c>
      <c r="C2084" s="3" t="s">
        <v>3817</v>
      </c>
      <c r="D2084" s="3" t="s">
        <v>7278</v>
      </c>
      <c r="E2084" s="3" t="s">
        <v>4905</v>
      </c>
      <c r="F2084" s="3" t="s">
        <v>5050</v>
      </c>
      <c r="G2084" s="3" t="s">
        <v>4054</v>
      </c>
      <c r="H2084" s="6">
        <v>1.16673</v>
      </c>
      <c r="I2084" s="6">
        <v>14.680133329688054</v>
      </c>
      <c r="J2084" s="3" t="s">
        <v>3356</v>
      </c>
      <c r="K2084" s="14" t="s">
        <v>2245</v>
      </c>
      <c r="L2084" s="1" t="s">
        <v>6135</v>
      </c>
    </row>
    <row r="2085" spans="1:12">
      <c r="A2085" s="3" t="s">
        <v>3357</v>
      </c>
      <c r="C2085" s="3" t="s">
        <v>3817</v>
      </c>
      <c r="D2085" s="3" t="s">
        <v>7278</v>
      </c>
      <c r="E2085" s="3" t="s">
        <v>4905</v>
      </c>
      <c r="F2085" s="3" t="s">
        <v>5050</v>
      </c>
      <c r="G2085" s="3" t="s">
        <v>3808</v>
      </c>
      <c r="H2085" s="6">
        <v>1.28556</v>
      </c>
      <c r="I2085" s="6">
        <v>19.300119587775207</v>
      </c>
      <c r="J2085" s="3" t="s">
        <v>3356</v>
      </c>
      <c r="K2085" s="14" t="s">
        <v>6136</v>
      </c>
      <c r="L2085" s="1" t="s">
        <v>6135</v>
      </c>
    </row>
    <row r="2086" spans="1:12">
      <c r="A2086" s="3" t="s">
        <v>3357</v>
      </c>
      <c r="C2086" s="3" t="s">
        <v>3817</v>
      </c>
      <c r="D2086" s="3" t="s">
        <v>7278</v>
      </c>
      <c r="E2086" s="3" t="s">
        <v>4905</v>
      </c>
      <c r="F2086" s="3" t="s">
        <v>5050</v>
      </c>
      <c r="G2086" s="3" t="s">
        <v>4502</v>
      </c>
      <c r="H2086" s="6">
        <v>1.16673</v>
      </c>
      <c r="I2086" s="6">
        <v>14.680133329688054</v>
      </c>
      <c r="J2086" s="3" t="s">
        <v>3356</v>
      </c>
      <c r="K2086" s="14" t="s">
        <v>2245</v>
      </c>
      <c r="L2086" s="1" t="s">
        <v>6135</v>
      </c>
    </row>
    <row r="2087" spans="1:12">
      <c r="A2087" s="3" t="s">
        <v>3357</v>
      </c>
      <c r="C2087" s="3" t="s">
        <v>3817</v>
      </c>
      <c r="D2087" s="3" t="s">
        <v>7278</v>
      </c>
      <c r="E2087" s="3" t="s">
        <v>4905</v>
      </c>
      <c r="F2087" s="3" t="s">
        <v>5050</v>
      </c>
      <c r="G2087" s="3" t="s">
        <v>7049</v>
      </c>
      <c r="H2087" s="6">
        <v>1.16673</v>
      </c>
      <c r="I2087" s="6">
        <v>14.680133329688054</v>
      </c>
      <c r="J2087" s="3" t="s">
        <v>3356</v>
      </c>
      <c r="K2087" s="14" t="s">
        <v>2245</v>
      </c>
      <c r="L2087" s="1" t="s">
        <v>6135</v>
      </c>
    </row>
    <row r="2088" spans="1:12">
      <c r="A2088" s="3" t="s">
        <v>3357</v>
      </c>
      <c r="C2088" s="3" t="s">
        <v>3817</v>
      </c>
      <c r="D2088" s="3" t="s">
        <v>7278</v>
      </c>
      <c r="E2088" s="3" t="s">
        <v>4905</v>
      </c>
      <c r="F2088" s="3" t="s">
        <v>5050</v>
      </c>
      <c r="G2088" s="3" t="s">
        <v>7050</v>
      </c>
      <c r="H2088" s="6">
        <v>0.30103000000000002</v>
      </c>
      <c r="I2088" s="6">
        <v>2.0000000199681049</v>
      </c>
      <c r="J2088" s="3" t="s">
        <v>3356</v>
      </c>
      <c r="K2088" s="14" t="s">
        <v>6136</v>
      </c>
      <c r="L2088" s="1" t="s">
        <v>6135</v>
      </c>
    </row>
    <row r="2089" spans="1:12">
      <c r="A2089" s="3" t="s">
        <v>3357</v>
      </c>
      <c r="C2089" s="3" t="s">
        <v>3817</v>
      </c>
      <c r="D2089" s="3" t="s">
        <v>7278</v>
      </c>
      <c r="E2089" s="3" t="s">
        <v>4905</v>
      </c>
      <c r="F2089" s="3" t="s">
        <v>5050</v>
      </c>
      <c r="G2089" s="3" t="s">
        <v>7051</v>
      </c>
      <c r="H2089" s="6">
        <v>1.16673</v>
      </c>
      <c r="I2089" s="6">
        <v>14.680133329688054</v>
      </c>
      <c r="J2089" s="3" t="s">
        <v>3356</v>
      </c>
      <c r="K2089" s="14" t="s">
        <v>2245</v>
      </c>
      <c r="L2089" s="1" t="s">
        <v>6135</v>
      </c>
    </row>
    <row r="2090" spans="1:12">
      <c r="A2090" s="3" t="s">
        <v>3357</v>
      </c>
      <c r="C2090" s="3" t="s">
        <v>3817</v>
      </c>
      <c r="D2090" s="3" t="s">
        <v>7278</v>
      </c>
      <c r="E2090" s="3" t="s">
        <v>4905</v>
      </c>
      <c r="F2090" s="3" t="s">
        <v>5050</v>
      </c>
      <c r="G2090" s="3" t="s">
        <v>7052</v>
      </c>
      <c r="H2090" s="6">
        <v>1.16673</v>
      </c>
      <c r="I2090" s="6">
        <v>14.680133329688054</v>
      </c>
      <c r="J2090" s="3" t="s">
        <v>3356</v>
      </c>
      <c r="K2090" s="14" t="s">
        <v>2245</v>
      </c>
      <c r="L2090" s="1" t="s">
        <v>6135</v>
      </c>
    </row>
    <row r="2091" spans="1:12">
      <c r="A2091" s="3" t="s">
        <v>3357</v>
      </c>
      <c r="C2091" s="3" t="s">
        <v>3817</v>
      </c>
      <c r="D2091" s="3" t="s">
        <v>7278</v>
      </c>
      <c r="E2091" s="3" t="s">
        <v>4905</v>
      </c>
      <c r="F2091" s="3" t="s">
        <v>5050</v>
      </c>
      <c r="G2091" s="3" t="s">
        <v>7053</v>
      </c>
      <c r="H2091" s="6">
        <v>1.16673</v>
      </c>
      <c r="I2091" s="6">
        <v>14.680133329688054</v>
      </c>
      <c r="J2091" s="3" t="s">
        <v>3356</v>
      </c>
      <c r="K2091" s="14" t="s">
        <v>2245</v>
      </c>
      <c r="L2091" s="1" t="s">
        <v>6135</v>
      </c>
    </row>
    <row r="2092" spans="1:12">
      <c r="A2092" s="3" t="s">
        <v>3357</v>
      </c>
      <c r="C2092" s="3" t="s">
        <v>3817</v>
      </c>
      <c r="D2092" s="3" t="s">
        <v>7278</v>
      </c>
      <c r="E2092" s="3" t="s">
        <v>4905</v>
      </c>
      <c r="F2092" s="3" t="s">
        <v>5050</v>
      </c>
      <c r="G2092" s="3" t="s">
        <v>7054</v>
      </c>
      <c r="H2092" s="6">
        <v>1.16673</v>
      </c>
      <c r="I2092" s="6">
        <v>14.680133329688054</v>
      </c>
      <c r="J2092" s="3" t="s">
        <v>3356</v>
      </c>
      <c r="L2092" s="1" t="s">
        <v>6135</v>
      </c>
    </row>
    <row r="2093" spans="1:12">
      <c r="A2093" s="3" t="s">
        <v>3357</v>
      </c>
      <c r="C2093" s="3" t="s">
        <v>3817</v>
      </c>
      <c r="D2093" s="3" t="s">
        <v>7278</v>
      </c>
      <c r="E2093" s="3" t="s">
        <v>4905</v>
      </c>
      <c r="F2093" s="3" t="s">
        <v>5050</v>
      </c>
      <c r="G2093" s="3" t="s">
        <v>5053</v>
      </c>
      <c r="H2093" s="6">
        <v>1.16673</v>
      </c>
      <c r="I2093" s="6">
        <v>14.680133329688054</v>
      </c>
      <c r="J2093" s="3" t="s">
        <v>3356</v>
      </c>
      <c r="K2093" s="14" t="s">
        <v>2245</v>
      </c>
      <c r="L2093" s="1" t="s">
        <v>6135</v>
      </c>
    </row>
    <row r="2094" spans="1:12">
      <c r="A2094" s="3" t="s">
        <v>3357</v>
      </c>
      <c r="C2094" s="3" t="s">
        <v>3817</v>
      </c>
      <c r="D2094" s="3" t="s">
        <v>7278</v>
      </c>
      <c r="E2094" s="3" t="s">
        <v>4905</v>
      </c>
      <c r="F2094" s="3" t="s">
        <v>5050</v>
      </c>
      <c r="G2094" s="3" t="s">
        <v>7463</v>
      </c>
      <c r="H2094" s="6">
        <v>1.16673</v>
      </c>
      <c r="I2094" s="6">
        <v>14.680133329688054</v>
      </c>
      <c r="J2094" s="3" t="s">
        <v>3356</v>
      </c>
      <c r="K2094" s="14" t="s">
        <v>2245</v>
      </c>
      <c r="L2094" s="1" t="s">
        <v>6135</v>
      </c>
    </row>
    <row r="2095" spans="1:12">
      <c r="A2095" s="3" t="s">
        <v>3357</v>
      </c>
      <c r="C2095" s="3" t="s">
        <v>3817</v>
      </c>
      <c r="D2095" s="3" t="s">
        <v>7278</v>
      </c>
      <c r="E2095" s="3" t="s">
        <v>4905</v>
      </c>
      <c r="F2095" s="3" t="s">
        <v>5050</v>
      </c>
      <c r="G2095" s="3" t="s">
        <v>7485</v>
      </c>
      <c r="H2095" s="6">
        <v>1.01494</v>
      </c>
      <c r="I2095" s="6">
        <v>10.349991663823545</v>
      </c>
      <c r="J2095" s="3" t="s">
        <v>3356</v>
      </c>
      <c r="K2095" s="14" t="s">
        <v>6136</v>
      </c>
      <c r="L2095" s="1" t="s">
        <v>6135</v>
      </c>
    </row>
    <row r="2096" spans="1:12">
      <c r="A2096" s="3" t="s">
        <v>3357</v>
      </c>
      <c r="C2096" s="3" t="s">
        <v>3817</v>
      </c>
      <c r="D2096" s="3" t="s">
        <v>7278</v>
      </c>
      <c r="E2096" s="3" t="s">
        <v>4905</v>
      </c>
      <c r="F2096" s="3" t="s">
        <v>5050</v>
      </c>
      <c r="G2096" s="3" t="s">
        <v>7478</v>
      </c>
      <c r="H2096" s="6">
        <v>1.1461300000000001</v>
      </c>
      <c r="I2096" s="6">
        <v>14.000063322395309</v>
      </c>
      <c r="J2096" s="3" t="s">
        <v>3356</v>
      </c>
      <c r="K2096" s="14" t="s">
        <v>2440</v>
      </c>
      <c r="L2096" s="1" t="s">
        <v>6135</v>
      </c>
    </row>
    <row r="2097" spans="1:12">
      <c r="A2097" s="3" t="s">
        <v>3357</v>
      </c>
      <c r="C2097" s="3" t="s">
        <v>3817</v>
      </c>
      <c r="D2097" s="3" t="s">
        <v>7278</v>
      </c>
      <c r="E2097" s="3" t="s">
        <v>4905</v>
      </c>
      <c r="F2097" s="3" t="s">
        <v>5050</v>
      </c>
      <c r="G2097" s="3" t="s">
        <v>7479</v>
      </c>
      <c r="H2097" s="6">
        <v>1.16673</v>
      </c>
      <c r="I2097" s="6">
        <v>14.680133329688054</v>
      </c>
      <c r="J2097" s="3" t="s">
        <v>3356</v>
      </c>
      <c r="K2097" s="14" t="s">
        <v>2245</v>
      </c>
      <c r="L2097" s="1" t="s">
        <v>6135</v>
      </c>
    </row>
    <row r="2098" spans="1:12">
      <c r="A2098" s="3" t="s">
        <v>3357</v>
      </c>
      <c r="C2098" s="3" t="s">
        <v>3817</v>
      </c>
      <c r="D2098" s="3" t="s">
        <v>7278</v>
      </c>
      <c r="E2098" s="3" t="s">
        <v>4905</v>
      </c>
      <c r="F2098" s="3" t="s">
        <v>5050</v>
      </c>
      <c r="G2098" s="3" t="s">
        <v>7480</v>
      </c>
      <c r="H2098" s="6">
        <v>1.16673</v>
      </c>
      <c r="I2098" s="6">
        <v>14.680133329688054</v>
      </c>
      <c r="J2098" s="3" t="s">
        <v>3356</v>
      </c>
      <c r="K2098" s="14" t="s">
        <v>2245</v>
      </c>
      <c r="L2098" s="1" t="s">
        <v>6135</v>
      </c>
    </row>
    <row r="2099" spans="1:12">
      <c r="A2099" s="3" t="s">
        <v>3357</v>
      </c>
      <c r="C2099" s="3" t="s">
        <v>3817</v>
      </c>
      <c r="D2099" s="3" t="s">
        <v>7278</v>
      </c>
      <c r="E2099" s="3" t="s">
        <v>4905</v>
      </c>
      <c r="F2099" s="3" t="s">
        <v>5050</v>
      </c>
      <c r="G2099" s="3" t="s">
        <v>4313</v>
      </c>
      <c r="H2099" s="6">
        <v>1.16673</v>
      </c>
      <c r="I2099" s="6">
        <v>14.680133329688054</v>
      </c>
      <c r="J2099" s="3" t="s">
        <v>3356</v>
      </c>
      <c r="K2099" s="14" t="s">
        <v>2245</v>
      </c>
      <c r="L2099" s="1" t="s">
        <v>6135</v>
      </c>
    </row>
    <row r="2100" spans="1:12">
      <c r="A2100" s="3" t="s">
        <v>3357</v>
      </c>
      <c r="C2100" s="3" t="s">
        <v>3817</v>
      </c>
      <c r="D2100" s="3" t="s">
        <v>7278</v>
      </c>
      <c r="E2100" s="3" t="s">
        <v>4905</v>
      </c>
      <c r="F2100" s="3" t="s">
        <v>5050</v>
      </c>
      <c r="G2100" s="3" t="s">
        <v>3504</v>
      </c>
      <c r="H2100" s="6">
        <v>1.16673</v>
      </c>
      <c r="I2100" s="6">
        <v>14.680133329688054</v>
      </c>
      <c r="J2100" s="3" t="s">
        <v>3356</v>
      </c>
      <c r="K2100" s="14" t="s">
        <v>2245</v>
      </c>
      <c r="L2100" s="1" t="s">
        <v>6135</v>
      </c>
    </row>
    <row r="2101" spans="1:12">
      <c r="A2101" s="3" t="s">
        <v>3357</v>
      </c>
      <c r="C2101" s="3" t="s">
        <v>3817</v>
      </c>
      <c r="D2101" s="3" t="s">
        <v>7278</v>
      </c>
      <c r="E2101" s="3" t="s">
        <v>4905</v>
      </c>
      <c r="F2101" s="3" t="s">
        <v>5050</v>
      </c>
      <c r="G2101" s="3" t="s">
        <v>4314</v>
      </c>
      <c r="H2101" s="6">
        <v>1.16673</v>
      </c>
      <c r="I2101" s="6">
        <v>14.680133329688054</v>
      </c>
      <c r="J2101" s="3" t="s">
        <v>3356</v>
      </c>
      <c r="K2101" s="14" t="s">
        <v>2245</v>
      </c>
      <c r="L2101" s="1" t="s">
        <v>6135</v>
      </c>
    </row>
    <row r="2102" spans="1:12">
      <c r="A2102" s="3" t="s">
        <v>3357</v>
      </c>
      <c r="C2102" s="3" t="s">
        <v>3817</v>
      </c>
      <c r="D2102" s="3" t="s">
        <v>7278</v>
      </c>
      <c r="E2102" s="3" t="s">
        <v>4905</v>
      </c>
      <c r="F2102" s="3" t="s">
        <v>5050</v>
      </c>
      <c r="G2102" s="3" t="s">
        <v>4165</v>
      </c>
      <c r="H2102" s="6">
        <v>1.16673</v>
      </c>
      <c r="I2102" s="6">
        <v>14.680133329688054</v>
      </c>
      <c r="J2102" s="3" t="s">
        <v>3356</v>
      </c>
      <c r="K2102" s="14" t="s">
        <v>2245</v>
      </c>
      <c r="L2102" s="1" t="s">
        <v>6135</v>
      </c>
    </row>
    <row r="2103" spans="1:12">
      <c r="A2103" s="3" t="s">
        <v>3357</v>
      </c>
      <c r="C2103" s="3" t="s">
        <v>3817</v>
      </c>
      <c r="D2103" s="3" t="s">
        <v>7278</v>
      </c>
      <c r="E2103" s="3" t="s">
        <v>4905</v>
      </c>
      <c r="F2103" s="3" t="s">
        <v>5050</v>
      </c>
      <c r="G2103" s="3" t="s">
        <v>4128</v>
      </c>
      <c r="H2103" s="6">
        <v>1.3010299999999999</v>
      </c>
      <c r="I2103" s="6">
        <v>20.000000199681054</v>
      </c>
      <c r="J2103" s="3" t="s">
        <v>3356</v>
      </c>
      <c r="K2103" s="14" t="s">
        <v>2384</v>
      </c>
      <c r="L2103" s="1" t="s">
        <v>6135</v>
      </c>
    </row>
    <row r="2104" spans="1:12">
      <c r="A2104" s="3" t="s">
        <v>3357</v>
      </c>
      <c r="C2104" s="3" t="s">
        <v>3817</v>
      </c>
      <c r="D2104" s="3" t="s">
        <v>7278</v>
      </c>
      <c r="E2104" s="3" t="s">
        <v>4905</v>
      </c>
      <c r="F2104" s="3" t="s">
        <v>5050</v>
      </c>
      <c r="G2104" s="3" t="s">
        <v>4856</v>
      </c>
      <c r="H2104" s="6">
        <v>1.16673</v>
      </c>
      <c r="I2104" s="6">
        <v>14.680133329688054</v>
      </c>
      <c r="J2104" s="3" t="s">
        <v>3356</v>
      </c>
      <c r="K2104" s="14" t="s">
        <v>2245</v>
      </c>
      <c r="L2104" s="1" t="s">
        <v>6135</v>
      </c>
    </row>
    <row r="2105" spans="1:12">
      <c r="A2105" s="3" t="s">
        <v>3357</v>
      </c>
      <c r="C2105" s="3" t="s">
        <v>3817</v>
      </c>
      <c r="D2105" s="3" t="s">
        <v>7278</v>
      </c>
      <c r="E2105" s="3" t="s">
        <v>4905</v>
      </c>
      <c r="F2105" s="3" t="s">
        <v>5050</v>
      </c>
      <c r="G2105" s="3" t="s">
        <v>4129</v>
      </c>
      <c r="H2105" s="6">
        <v>1.16673</v>
      </c>
      <c r="I2105" s="6">
        <v>14.680133329688054</v>
      </c>
      <c r="J2105" s="3" t="s">
        <v>3356</v>
      </c>
      <c r="K2105" s="14" t="s">
        <v>2245</v>
      </c>
      <c r="L2105" s="1" t="s">
        <v>6135</v>
      </c>
    </row>
    <row r="2106" spans="1:12">
      <c r="A2106" s="3" t="s">
        <v>3357</v>
      </c>
      <c r="C2106" s="3" t="s">
        <v>3817</v>
      </c>
      <c r="D2106" s="3" t="s">
        <v>7278</v>
      </c>
      <c r="E2106" s="3" t="s">
        <v>4905</v>
      </c>
      <c r="F2106" s="3" t="s">
        <v>5050</v>
      </c>
      <c r="G2106" s="3" t="s">
        <v>4330</v>
      </c>
      <c r="H2106" s="6">
        <v>1.16673</v>
      </c>
      <c r="I2106" s="6">
        <v>14.680133329688054</v>
      </c>
      <c r="J2106" s="3" t="s">
        <v>3356</v>
      </c>
      <c r="K2106" s="14" t="s">
        <v>2245</v>
      </c>
      <c r="L2106" s="1" t="s">
        <v>6135</v>
      </c>
    </row>
    <row r="2107" spans="1:12">
      <c r="A2107" s="3" t="s">
        <v>3357</v>
      </c>
      <c r="C2107" s="3" t="s">
        <v>3817</v>
      </c>
      <c r="D2107" s="3" t="s">
        <v>7278</v>
      </c>
      <c r="E2107" s="3" t="s">
        <v>4905</v>
      </c>
      <c r="F2107" s="3" t="s">
        <v>5050</v>
      </c>
      <c r="G2107" s="3" t="s">
        <v>4331</v>
      </c>
      <c r="H2107" s="6">
        <v>1.16673</v>
      </c>
      <c r="I2107" s="6">
        <v>14.680133329688054</v>
      </c>
      <c r="J2107" s="3" t="s">
        <v>3356</v>
      </c>
      <c r="K2107" s="14" t="s">
        <v>2245</v>
      </c>
      <c r="L2107" s="1" t="s">
        <v>6135</v>
      </c>
    </row>
    <row r="2108" spans="1:12">
      <c r="A2108" s="3" t="s">
        <v>3357</v>
      </c>
      <c r="C2108" s="3" t="s">
        <v>3817</v>
      </c>
      <c r="D2108" s="3" t="s">
        <v>7278</v>
      </c>
      <c r="E2108" s="3" t="s">
        <v>4905</v>
      </c>
      <c r="F2108" s="3" t="s">
        <v>5050</v>
      </c>
      <c r="G2108" s="3" t="s">
        <v>4139</v>
      </c>
      <c r="H2108" s="6">
        <v>1.7062900000000001</v>
      </c>
      <c r="I2108" s="6">
        <v>50.849887918091326</v>
      </c>
      <c r="J2108" s="3" t="s">
        <v>3356</v>
      </c>
      <c r="K2108" s="14" t="s">
        <v>2245</v>
      </c>
      <c r="L2108" s="1" t="s">
        <v>6135</v>
      </c>
    </row>
    <row r="2109" spans="1:12">
      <c r="A2109" s="3" t="s">
        <v>3357</v>
      </c>
      <c r="C2109" s="3" t="s">
        <v>3817</v>
      </c>
      <c r="D2109" s="3" t="s">
        <v>7278</v>
      </c>
      <c r="E2109" s="3" t="s">
        <v>4905</v>
      </c>
      <c r="F2109" s="3" t="s">
        <v>5050</v>
      </c>
      <c r="G2109" s="3" t="s">
        <v>7291</v>
      </c>
      <c r="H2109" s="6">
        <v>1.16673</v>
      </c>
      <c r="I2109" s="6">
        <v>14.680133329688054</v>
      </c>
      <c r="J2109" s="3" t="s">
        <v>3356</v>
      </c>
      <c r="K2109" s="14" t="s">
        <v>2245</v>
      </c>
      <c r="L2109" s="1" t="s">
        <v>6135</v>
      </c>
    </row>
    <row r="2110" spans="1:12">
      <c r="A2110" s="3" t="s">
        <v>3357</v>
      </c>
      <c r="C2110" s="3" t="s">
        <v>3817</v>
      </c>
      <c r="D2110" s="3" t="s">
        <v>7278</v>
      </c>
      <c r="E2110" s="3" t="s">
        <v>4905</v>
      </c>
      <c r="F2110" s="3" t="s">
        <v>5050</v>
      </c>
      <c r="G2110" s="3" t="s">
        <v>7292</v>
      </c>
      <c r="H2110" s="6">
        <v>1.16673</v>
      </c>
      <c r="I2110" s="6">
        <v>14.680133329688054</v>
      </c>
      <c r="J2110" s="3" t="s">
        <v>3356</v>
      </c>
      <c r="K2110" s="14" t="s">
        <v>2245</v>
      </c>
      <c r="L2110" s="1" t="s">
        <v>6135</v>
      </c>
    </row>
    <row r="2111" spans="1:12">
      <c r="A2111" s="3" t="s">
        <v>3357</v>
      </c>
      <c r="C2111" s="3" t="s">
        <v>3817</v>
      </c>
      <c r="D2111" s="3" t="s">
        <v>7278</v>
      </c>
      <c r="E2111" s="3" t="s">
        <v>4905</v>
      </c>
      <c r="F2111" s="3" t="s">
        <v>5050</v>
      </c>
      <c r="G2111" s="3" t="s">
        <v>7293</v>
      </c>
      <c r="H2111" s="6">
        <v>1.16673</v>
      </c>
      <c r="I2111" s="6">
        <v>14.680133329688054</v>
      </c>
      <c r="J2111" s="3" t="s">
        <v>3356</v>
      </c>
      <c r="K2111" s="14" t="s">
        <v>2245</v>
      </c>
      <c r="L2111" s="1" t="s">
        <v>6135</v>
      </c>
    </row>
    <row r="2112" spans="1:12">
      <c r="A2112" s="3" t="s">
        <v>3357</v>
      </c>
      <c r="C2112" s="3" t="s">
        <v>3817</v>
      </c>
      <c r="D2112" s="3" t="s">
        <v>7278</v>
      </c>
      <c r="E2112" s="3" t="s">
        <v>4905</v>
      </c>
      <c r="F2112" s="3" t="s">
        <v>5050</v>
      </c>
      <c r="G2112" s="3" t="s">
        <v>7294</v>
      </c>
      <c r="H2112" s="6">
        <v>1.16673</v>
      </c>
      <c r="I2112" s="6">
        <v>14.680133329688054</v>
      </c>
      <c r="J2112" s="3" t="s">
        <v>3356</v>
      </c>
      <c r="K2112" s="14" t="s">
        <v>2245</v>
      </c>
      <c r="L2112" s="1" t="s">
        <v>6135</v>
      </c>
    </row>
    <row r="2113" spans="1:12">
      <c r="A2113" s="3" t="s">
        <v>3357</v>
      </c>
      <c r="C2113" s="3" t="s">
        <v>3817</v>
      </c>
      <c r="D2113" s="3" t="s">
        <v>7278</v>
      </c>
      <c r="E2113" s="3" t="s">
        <v>4905</v>
      </c>
      <c r="F2113" s="3" t="s">
        <v>5050</v>
      </c>
      <c r="G2113" s="3" t="s">
        <v>7295</v>
      </c>
      <c r="H2113" s="6">
        <v>1.16673</v>
      </c>
      <c r="I2113" s="6">
        <v>14.680133329688054</v>
      </c>
      <c r="J2113" s="3" t="s">
        <v>3356</v>
      </c>
      <c r="K2113" s="14" t="s">
        <v>2245</v>
      </c>
      <c r="L2113" s="1" t="s">
        <v>6135</v>
      </c>
    </row>
    <row r="2114" spans="1:12">
      <c r="A2114" s="3" t="s">
        <v>3357</v>
      </c>
      <c r="C2114" s="3" t="s">
        <v>3817</v>
      </c>
      <c r="D2114" s="3" t="s">
        <v>7278</v>
      </c>
      <c r="E2114" s="3" t="s">
        <v>4905</v>
      </c>
      <c r="F2114" s="3" t="s">
        <v>5050</v>
      </c>
      <c r="G2114" s="3" t="s">
        <v>7296</v>
      </c>
      <c r="H2114" s="6">
        <v>0.39794000000000002</v>
      </c>
      <c r="I2114" s="6">
        <v>2.4999999500797396</v>
      </c>
      <c r="J2114" s="3" t="s">
        <v>3356</v>
      </c>
      <c r="K2114" s="14" t="s">
        <v>6136</v>
      </c>
      <c r="L2114" s="1" t="s">
        <v>6135</v>
      </c>
    </row>
    <row r="2115" spans="1:12">
      <c r="A2115" s="3" t="s">
        <v>3357</v>
      </c>
      <c r="C2115" s="3" t="s">
        <v>3817</v>
      </c>
      <c r="D2115" s="3" t="s">
        <v>7278</v>
      </c>
      <c r="E2115" s="3" t="s">
        <v>4905</v>
      </c>
      <c r="F2115" s="3" t="s">
        <v>5050</v>
      </c>
      <c r="G2115" s="3" t="s">
        <v>4392</v>
      </c>
      <c r="H2115" s="6">
        <v>1.22272</v>
      </c>
      <c r="I2115" s="6">
        <v>16.700135696116906</v>
      </c>
      <c r="J2115" s="3" t="s">
        <v>3356</v>
      </c>
      <c r="K2115" s="14" t="s">
        <v>6136</v>
      </c>
      <c r="L2115" s="1" t="s">
        <v>6135</v>
      </c>
    </row>
    <row r="2116" spans="1:12">
      <c r="A2116" s="3" t="s">
        <v>3357</v>
      </c>
      <c r="C2116" s="3" t="s">
        <v>3817</v>
      </c>
      <c r="D2116" s="3" t="s">
        <v>7278</v>
      </c>
      <c r="E2116" s="3" t="s">
        <v>4905</v>
      </c>
      <c r="F2116" s="3" t="s">
        <v>5050</v>
      </c>
      <c r="G2116" s="3" t="s">
        <v>4393</v>
      </c>
      <c r="H2116" s="6">
        <v>1.16673</v>
      </c>
      <c r="I2116" s="6">
        <v>14.680133329688054</v>
      </c>
      <c r="J2116" s="3" t="s">
        <v>3356</v>
      </c>
      <c r="K2116" s="14" t="s">
        <v>2245</v>
      </c>
      <c r="L2116" s="1" t="s">
        <v>6135</v>
      </c>
    </row>
    <row r="2117" spans="1:12">
      <c r="A2117" s="3" t="s">
        <v>3357</v>
      </c>
      <c r="C2117" s="3" t="s">
        <v>3817</v>
      </c>
      <c r="D2117" s="3" t="s">
        <v>7278</v>
      </c>
      <c r="E2117" s="3" t="s">
        <v>4905</v>
      </c>
      <c r="F2117" s="3" t="s">
        <v>5050</v>
      </c>
      <c r="G2117" s="3" t="s">
        <v>3683</v>
      </c>
      <c r="H2117" s="6">
        <v>1.16673</v>
      </c>
      <c r="I2117" s="6">
        <v>14.680133329688054</v>
      </c>
      <c r="J2117" s="3" t="s">
        <v>3356</v>
      </c>
      <c r="K2117" s="14" t="s">
        <v>2245</v>
      </c>
      <c r="L2117" s="1" t="s">
        <v>6135</v>
      </c>
    </row>
    <row r="2118" spans="1:12">
      <c r="A2118" s="3" t="s">
        <v>3357</v>
      </c>
      <c r="C2118" s="3" t="s">
        <v>3817</v>
      </c>
      <c r="D2118" s="3" t="s">
        <v>7278</v>
      </c>
      <c r="E2118" s="3" t="s">
        <v>4905</v>
      </c>
      <c r="F2118" s="3" t="s">
        <v>5050</v>
      </c>
      <c r="G2118" s="3" t="s">
        <v>3684</v>
      </c>
      <c r="H2118" s="6">
        <v>1.16673</v>
      </c>
      <c r="I2118" s="6">
        <v>14.680133329688054</v>
      </c>
      <c r="J2118" s="3" t="s">
        <v>3356</v>
      </c>
      <c r="K2118" s="14" t="s">
        <v>2245</v>
      </c>
      <c r="L2118" s="1" t="s">
        <v>6135</v>
      </c>
    </row>
    <row r="2119" spans="1:12">
      <c r="A2119" s="3" t="s">
        <v>3357</v>
      </c>
      <c r="C2119" s="3" t="s">
        <v>3817</v>
      </c>
      <c r="D2119" s="3" t="s">
        <v>7278</v>
      </c>
      <c r="E2119" s="3" t="s">
        <v>4905</v>
      </c>
      <c r="F2119" s="3" t="s">
        <v>5050</v>
      </c>
      <c r="G2119" s="3" t="s">
        <v>3945</v>
      </c>
      <c r="H2119" s="6">
        <v>0.80618000000000001</v>
      </c>
      <c r="I2119" s="6">
        <v>6.4000003833876198</v>
      </c>
      <c r="J2119" s="3" t="s">
        <v>3356</v>
      </c>
      <c r="K2119" s="14" t="s">
        <v>6136</v>
      </c>
      <c r="L2119" s="1" t="s">
        <v>6135</v>
      </c>
    </row>
    <row r="2120" spans="1:12">
      <c r="A2120" s="3" t="s">
        <v>3357</v>
      </c>
      <c r="C2120" s="3" t="s">
        <v>3817</v>
      </c>
      <c r="D2120" s="3" t="s">
        <v>7278</v>
      </c>
      <c r="E2120" s="3" t="s">
        <v>4905</v>
      </c>
      <c r="F2120" s="3" t="s">
        <v>5050</v>
      </c>
      <c r="G2120" s="3" t="s">
        <v>4166</v>
      </c>
      <c r="H2120" s="6">
        <v>1.16673</v>
      </c>
      <c r="I2120" s="6">
        <v>14.680133329688054</v>
      </c>
      <c r="J2120" s="3" t="s">
        <v>3356</v>
      </c>
      <c r="K2120" s="14" t="s">
        <v>2245</v>
      </c>
      <c r="L2120" s="1" t="s">
        <v>6135</v>
      </c>
    </row>
    <row r="2121" spans="1:12">
      <c r="A2121" s="3" t="s">
        <v>3357</v>
      </c>
      <c r="C2121" s="3" t="s">
        <v>3817</v>
      </c>
      <c r="D2121" s="3" t="s">
        <v>7278</v>
      </c>
      <c r="E2121" s="3" t="s">
        <v>4905</v>
      </c>
      <c r="F2121" s="3" t="s">
        <v>5050</v>
      </c>
      <c r="G2121" s="3" t="s">
        <v>4167</v>
      </c>
      <c r="H2121" s="6">
        <v>0.84509999999999996</v>
      </c>
      <c r="I2121" s="6">
        <v>7.0000315913089688</v>
      </c>
      <c r="J2121" s="3" t="s">
        <v>3356</v>
      </c>
      <c r="K2121" s="14" t="s">
        <v>6136</v>
      </c>
      <c r="L2121" s="1" t="s">
        <v>6135</v>
      </c>
    </row>
    <row r="2122" spans="1:12">
      <c r="A2122" s="3" t="s">
        <v>3357</v>
      </c>
      <c r="C2122" s="3" t="s">
        <v>3817</v>
      </c>
      <c r="D2122" s="3" t="s">
        <v>7278</v>
      </c>
      <c r="E2122" s="3" t="s">
        <v>4905</v>
      </c>
      <c r="F2122" s="3" t="s">
        <v>5050</v>
      </c>
      <c r="G2122" s="3" t="s">
        <v>4168</v>
      </c>
      <c r="H2122" s="6">
        <v>1.16673</v>
      </c>
      <c r="I2122" s="6">
        <v>14.680133329688054</v>
      </c>
      <c r="J2122" s="3" t="s">
        <v>3356</v>
      </c>
      <c r="K2122" s="14" t="s">
        <v>2245</v>
      </c>
      <c r="L2122" s="1" t="s">
        <v>6135</v>
      </c>
    </row>
    <row r="2123" spans="1:12">
      <c r="A2123" s="3" t="s">
        <v>3357</v>
      </c>
      <c r="C2123" s="3" t="s">
        <v>3817</v>
      </c>
      <c r="D2123" s="3" t="s">
        <v>7278</v>
      </c>
      <c r="E2123" s="3" t="s">
        <v>4905</v>
      </c>
      <c r="F2123" s="3" t="s">
        <v>5050</v>
      </c>
      <c r="G2123" s="3" t="s">
        <v>4169</v>
      </c>
      <c r="H2123" s="6">
        <v>1.0607</v>
      </c>
      <c r="I2123" s="6">
        <v>11.500057186992358</v>
      </c>
      <c r="J2123" s="3" t="s">
        <v>3356</v>
      </c>
      <c r="K2123" s="14" t="s">
        <v>6136</v>
      </c>
      <c r="L2123" s="1" t="s">
        <v>6135</v>
      </c>
    </row>
    <row r="2124" spans="1:12">
      <c r="A2124" s="3" t="s">
        <v>3357</v>
      </c>
      <c r="C2124" s="3" t="s">
        <v>3817</v>
      </c>
      <c r="D2124" s="3" t="s">
        <v>7278</v>
      </c>
      <c r="E2124" s="3" t="s">
        <v>4905</v>
      </c>
      <c r="F2124" s="3" t="s">
        <v>5050</v>
      </c>
      <c r="G2124" s="3" t="s">
        <v>4387</v>
      </c>
      <c r="H2124" s="6">
        <v>1.16673</v>
      </c>
      <c r="I2124" s="6">
        <v>14.680133329688054</v>
      </c>
      <c r="J2124" s="3" t="s">
        <v>3356</v>
      </c>
      <c r="K2124" s="14" t="s">
        <v>2245</v>
      </c>
      <c r="L2124" s="1" t="s">
        <v>6135</v>
      </c>
    </row>
    <row r="2125" spans="1:12">
      <c r="A2125" s="3" t="s">
        <v>3357</v>
      </c>
      <c r="C2125" s="3" t="s">
        <v>3817</v>
      </c>
      <c r="D2125" s="3" t="s">
        <v>7278</v>
      </c>
      <c r="E2125" s="3" t="s">
        <v>4905</v>
      </c>
      <c r="F2125" s="3" t="s">
        <v>5050</v>
      </c>
      <c r="G2125" s="3" t="s">
        <v>3678</v>
      </c>
      <c r="H2125" s="6">
        <v>0.69896999999999998</v>
      </c>
      <c r="I2125" s="6">
        <v>4.9999999500797392</v>
      </c>
      <c r="J2125" s="3" t="s">
        <v>3356</v>
      </c>
      <c r="L2125" s="1" t="s">
        <v>6135</v>
      </c>
    </row>
    <row r="2126" spans="1:12">
      <c r="A2126" s="3" t="s">
        <v>3357</v>
      </c>
      <c r="C2126" s="3" t="s">
        <v>3817</v>
      </c>
      <c r="D2126" s="3" t="s">
        <v>7278</v>
      </c>
      <c r="E2126" s="3" t="s">
        <v>4905</v>
      </c>
      <c r="F2126" s="3" t="s">
        <v>5050</v>
      </c>
      <c r="G2126" s="3" t="s">
        <v>4358</v>
      </c>
      <c r="H2126" s="6">
        <v>1.16673</v>
      </c>
      <c r="I2126" s="6">
        <v>14.680133329688054</v>
      </c>
      <c r="J2126" s="3" t="s">
        <v>3356</v>
      </c>
      <c r="K2126" s="14" t="s">
        <v>2245</v>
      </c>
      <c r="L2126" s="1" t="s">
        <v>6135</v>
      </c>
    </row>
    <row r="2127" spans="1:12">
      <c r="A2127" s="3" t="s">
        <v>3357</v>
      </c>
      <c r="C2127" s="3" t="s">
        <v>3817</v>
      </c>
      <c r="D2127" s="3" t="s">
        <v>7278</v>
      </c>
      <c r="E2127" s="3" t="s">
        <v>4905</v>
      </c>
      <c r="F2127" s="3" t="s">
        <v>5050</v>
      </c>
      <c r="G2127" s="3" t="s">
        <v>4359</v>
      </c>
      <c r="H2127" s="6">
        <v>0.81291000000000002</v>
      </c>
      <c r="I2127" s="6">
        <v>6.4999497619814344</v>
      </c>
      <c r="J2127" s="3" t="s">
        <v>3356</v>
      </c>
      <c r="K2127" s="14" t="s">
        <v>6136</v>
      </c>
      <c r="L2127" s="1" t="s">
        <v>6135</v>
      </c>
    </row>
    <row r="2128" spans="1:12">
      <c r="A2128" s="3" t="s">
        <v>3357</v>
      </c>
      <c r="C2128" s="3" t="s">
        <v>3817</v>
      </c>
      <c r="D2128" s="3" t="s">
        <v>7278</v>
      </c>
      <c r="E2128" s="3" t="s">
        <v>4905</v>
      </c>
      <c r="F2128" s="3" t="s">
        <v>5050</v>
      </c>
      <c r="G2128" s="3" t="s">
        <v>4360</v>
      </c>
      <c r="H2128" s="6">
        <v>1.16673</v>
      </c>
      <c r="I2128" s="6">
        <v>14.680133329688054</v>
      </c>
      <c r="J2128" s="3" t="s">
        <v>3356</v>
      </c>
      <c r="K2128" s="14" t="s">
        <v>2245</v>
      </c>
      <c r="L2128" s="1" t="s">
        <v>6135</v>
      </c>
    </row>
    <row r="2129" spans="1:12">
      <c r="A2129" s="3" t="s">
        <v>3357</v>
      </c>
      <c r="C2129" s="3" t="s">
        <v>3817</v>
      </c>
      <c r="D2129" s="3" t="s">
        <v>7278</v>
      </c>
      <c r="E2129" s="3" t="s">
        <v>4905</v>
      </c>
      <c r="F2129" s="3" t="s">
        <v>5050</v>
      </c>
      <c r="G2129" s="3" t="s">
        <v>4133</v>
      </c>
      <c r="H2129" s="6">
        <v>1.16673</v>
      </c>
      <c r="I2129" s="6">
        <v>14.680133329688054</v>
      </c>
      <c r="J2129" s="3" t="s">
        <v>3356</v>
      </c>
      <c r="K2129" s="14" t="s">
        <v>2245</v>
      </c>
      <c r="L2129" s="1" t="s">
        <v>6135</v>
      </c>
    </row>
    <row r="2130" spans="1:12">
      <c r="A2130" s="3" t="s">
        <v>3357</v>
      </c>
      <c r="C2130" s="3" t="s">
        <v>3817</v>
      </c>
      <c r="D2130" s="3" t="s">
        <v>7278</v>
      </c>
      <c r="E2130" s="3" t="s">
        <v>4905</v>
      </c>
      <c r="F2130" s="3" t="s">
        <v>5050</v>
      </c>
      <c r="G2130" s="3" t="s">
        <v>4134</v>
      </c>
      <c r="H2130" s="6">
        <v>1.2455099999999999</v>
      </c>
      <c r="I2130" s="6">
        <v>17.599891885836044</v>
      </c>
      <c r="J2130" s="3" t="s">
        <v>3356</v>
      </c>
      <c r="K2130" s="14" t="s">
        <v>6136</v>
      </c>
      <c r="L2130" s="1" t="s">
        <v>6135</v>
      </c>
    </row>
    <row r="2131" spans="1:12">
      <c r="A2131" s="3" t="s">
        <v>3357</v>
      </c>
      <c r="C2131" s="3" t="s">
        <v>3817</v>
      </c>
      <c r="D2131" s="3" t="s">
        <v>7278</v>
      </c>
      <c r="E2131" s="3" t="s">
        <v>4905</v>
      </c>
      <c r="F2131" s="3" t="s">
        <v>5050</v>
      </c>
      <c r="G2131" s="3" t="s">
        <v>4135</v>
      </c>
      <c r="H2131" s="6">
        <v>1.16673</v>
      </c>
      <c r="I2131" s="6">
        <v>14.680133329688054</v>
      </c>
      <c r="J2131" s="3" t="s">
        <v>3356</v>
      </c>
      <c r="K2131" s="14" t="s">
        <v>2245</v>
      </c>
      <c r="L2131" s="1" t="s">
        <v>6135</v>
      </c>
    </row>
    <row r="2132" spans="1:12">
      <c r="A2132" s="3" t="s">
        <v>3357</v>
      </c>
      <c r="C2132" s="3" t="s">
        <v>3817</v>
      </c>
      <c r="D2132" s="3" t="s">
        <v>7278</v>
      </c>
      <c r="E2132" s="3" t="s">
        <v>4905</v>
      </c>
      <c r="F2132" s="3" t="s">
        <v>5050</v>
      </c>
      <c r="G2132" s="3" t="s">
        <v>4361</v>
      </c>
      <c r="H2132" s="6">
        <v>1.16673</v>
      </c>
      <c r="I2132" s="6">
        <v>14.680133329688054</v>
      </c>
      <c r="J2132" s="3" t="s">
        <v>3356</v>
      </c>
      <c r="K2132" s="14" t="s">
        <v>2245</v>
      </c>
      <c r="L2132" s="1" t="s">
        <v>6135</v>
      </c>
    </row>
    <row r="2133" spans="1:12">
      <c r="A2133" s="3" t="s">
        <v>3357</v>
      </c>
      <c r="C2133" s="3" t="s">
        <v>3817</v>
      </c>
      <c r="D2133" s="3" t="s">
        <v>7278</v>
      </c>
      <c r="E2133" s="3" t="s">
        <v>4905</v>
      </c>
      <c r="F2133" s="3" t="s">
        <v>5050</v>
      </c>
      <c r="G2133" s="3" t="s">
        <v>5068</v>
      </c>
      <c r="H2133" s="6">
        <v>1.16673</v>
      </c>
      <c r="I2133" s="6">
        <v>14.680133329688054</v>
      </c>
      <c r="J2133" s="3" t="s">
        <v>3356</v>
      </c>
      <c r="K2133" s="14" t="s">
        <v>2245</v>
      </c>
      <c r="L2133" s="1" t="s">
        <v>6135</v>
      </c>
    </row>
    <row r="2134" spans="1:12">
      <c r="A2134" s="3" t="s">
        <v>3357</v>
      </c>
      <c r="C2134" s="3" t="s">
        <v>3817</v>
      </c>
      <c r="D2134" s="3" t="s">
        <v>7278</v>
      </c>
      <c r="E2134" s="3" t="s">
        <v>4905</v>
      </c>
      <c r="F2134" s="3" t="s">
        <v>5050</v>
      </c>
      <c r="G2134" s="3" t="s">
        <v>4942</v>
      </c>
      <c r="H2134" s="6">
        <v>1.16673</v>
      </c>
      <c r="I2134" s="6">
        <v>14.680133329688054</v>
      </c>
      <c r="J2134" s="3" t="s">
        <v>3356</v>
      </c>
      <c r="K2134" s="14" t="s">
        <v>2245</v>
      </c>
      <c r="L2134" s="1" t="s">
        <v>6135</v>
      </c>
    </row>
    <row r="2135" spans="1:12">
      <c r="A2135" s="3" t="s">
        <v>3357</v>
      </c>
      <c r="C2135" s="3" t="s">
        <v>3817</v>
      </c>
      <c r="D2135" s="3" t="s">
        <v>7278</v>
      </c>
      <c r="E2135" s="3" t="s">
        <v>4905</v>
      </c>
      <c r="F2135" s="3" t="s">
        <v>5050</v>
      </c>
      <c r="G2135" s="3" t="s">
        <v>7498</v>
      </c>
      <c r="H2135" s="6">
        <v>1.23045</v>
      </c>
      <c r="I2135" s="6">
        <v>17.000042221563668</v>
      </c>
      <c r="J2135" s="3" t="s">
        <v>3356</v>
      </c>
      <c r="K2135" s="14" t="s">
        <v>6136</v>
      </c>
      <c r="L2135" s="1" t="s">
        <v>6135</v>
      </c>
    </row>
    <row r="2136" spans="1:12">
      <c r="A2136" s="3" t="s">
        <v>3357</v>
      </c>
      <c r="C2136" s="3" t="s">
        <v>3817</v>
      </c>
      <c r="D2136" s="3" t="s">
        <v>7278</v>
      </c>
      <c r="E2136" s="3" t="s">
        <v>4905</v>
      </c>
      <c r="F2136" s="3" t="s">
        <v>5050</v>
      </c>
      <c r="G2136" s="3" t="s">
        <v>7499</v>
      </c>
      <c r="H2136" s="6">
        <v>1.16673</v>
      </c>
      <c r="I2136" s="6">
        <v>14.680133329688054</v>
      </c>
      <c r="J2136" s="3" t="s">
        <v>3356</v>
      </c>
      <c r="K2136" s="14" t="s">
        <v>2245</v>
      </c>
      <c r="L2136" s="1" t="s">
        <v>6135</v>
      </c>
    </row>
    <row r="2137" spans="1:12">
      <c r="A2137" s="3" t="s">
        <v>3357</v>
      </c>
      <c r="C2137" s="3" t="s">
        <v>3817</v>
      </c>
      <c r="D2137" s="3" t="s">
        <v>7278</v>
      </c>
      <c r="E2137" s="3" t="s">
        <v>4905</v>
      </c>
      <c r="F2137" s="3" t="s">
        <v>5050</v>
      </c>
      <c r="G2137" s="3" t="s">
        <v>7160</v>
      </c>
      <c r="H2137" s="6">
        <v>0.74036000000000002</v>
      </c>
      <c r="I2137" s="6">
        <v>5.4999659397640208</v>
      </c>
      <c r="J2137" s="3" t="s">
        <v>3356</v>
      </c>
      <c r="K2137" s="14" t="s">
        <v>6136</v>
      </c>
      <c r="L2137" s="1" t="s">
        <v>6135</v>
      </c>
    </row>
    <row r="2138" spans="1:12">
      <c r="A2138" s="3" t="s">
        <v>3357</v>
      </c>
      <c r="C2138" s="3" t="s">
        <v>3817</v>
      </c>
      <c r="D2138" s="3" t="s">
        <v>7278</v>
      </c>
      <c r="E2138" s="3" t="s">
        <v>4905</v>
      </c>
      <c r="F2138" s="3" t="s">
        <v>5050</v>
      </c>
      <c r="G2138" s="3" t="s">
        <v>7161</v>
      </c>
      <c r="H2138" s="6">
        <v>1.37107</v>
      </c>
      <c r="I2138" s="6">
        <v>23.500115674363677</v>
      </c>
      <c r="J2138" s="3" t="s">
        <v>3356</v>
      </c>
      <c r="K2138" s="14" t="s">
        <v>6136</v>
      </c>
      <c r="L2138" s="1" t="s">
        <v>6135</v>
      </c>
    </row>
    <row r="2139" spans="1:12">
      <c r="A2139" s="3" t="s">
        <v>3357</v>
      </c>
      <c r="C2139" s="3" t="s">
        <v>3817</v>
      </c>
      <c r="D2139" s="3" t="s">
        <v>7278</v>
      </c>
      <c r="E2139" s="3" t="s">
        <v>4905</v>
      </c>
      <c r="F2139" s="3" t="s">
        <v>5050</v>
      </c>
      <c r="G2139" s="3" t="s">
        <v>7162</v>
      </c>
      <c r="H2139" s="6">
        <v>1.16673</v>
      </c>
      <c r="I2139" s="6">
        <v>14.680133329688054</v>
      </c>
      <c r="J2139" s="3" t="s">
        <v>3356</v>
      </c>
      <c r="K2139" s="14" t="s">
        <v>2245</v>
      </c>
      <c r="L2139" s="1" t="s">
        <v>6135</v>
      </c>
    </row>
    <row r="2140" spans="1:12">
      <c r="A2140" s="3" t="s">
        <v>3357</v>
      </c>
      <c r="C2140" s="3" t="s">
        <v>3817</v>
      </c>
      <c r="D2140" s="3" t="s">
        <v>7278</v>
      </c>
      <c r="E2140" s="3" t="s">
        <v>4905</v>
      </c>
      <c r="F2140" s="3" t="s">
        <v>5050</v>
      </c>
      <c r="G2140" s="3" t="s">
        <v>3929</v>
      </c>
      <c r="H2140" s="6">
        <v>0.69896999999999998</v>
      </c>
      <c r="I2140" s="6">
        <v>4.9999999500797392</v>
      </c>
      <c r="J2140" s="3" t="s">
        <v>3356</v>
      </c>
      <c r="K2140" s="14" t="s">
        <v>6136</v>
      </c>
      <c r="L2140" s="1" t="s">
        <v>6135</v>
      </c>
    </row>
    <row r="2141" spans="1:12">
      <c r="A2141" s="3" t="s">
        <v>3357</v>
      </c>
      <c r="C2141" s="3" t="s">
        <v>3817</v>
      </c>
      <c r="D2141" s="3" t="s">
        <v>7278</v>
      </c>
      <c r="E2141" s="3" t="s">
        <v>4905</v>
      </c>
      <c r="F2141" s="3" t="s">
        <v>5050</v>
      </c>
      <c r="G2141" s="3" t="s">
        <v>3926</v>
      </c>
      <c r="H2141" s="6">
        <v>1.16673</v>
      </c>
      <c r="I2141" s="6">
        <v>14.680133329688054</v>
      </c>
      <c r="J2141" s="3" t="s">
        <v>3356</v>
      </c>
      <c r="K2141" s="14" t="s">
        <v>2245</v>
      </c>
      <c r="L2141" s="1" t="s">
        <v>6135</v>
      </c>
    </row>
    <row r="2142" spans="1:12">
      <c r="A2142" s="3" t="s">
        <v>3357</v>
      </c>
      <c r="C2142" s="3" t="s">
        <v>3817</v>
      </c>
      <c r="D2142" s="3" t="s">
        <v>7278</v>
      </c>
      <c r="E2142" s="3" t="s">
        <v>4905</v>
      </c>
      <c r="F2142" s="3" t="s">
        <v>5050</v>
      </c>
      <c r="G2142" s="3" t="s">
        <v>3927</v>
      </c>
      <c r="H2142" s="6">
        <v>1.16673</v>
      </c>
      <c r="I2142" s="6">
        <v>14.680133329688054</v>
      </c>
      <c r="J2142" s="3" t="s">
        <v>3356</v>
      </c>
      <c r="K2142" s="14" t="s">
        <v>2245</v>
      </c>
      <c r="L2142" s="1" t="s">
        <v>6135</v>
      </c>
    </row>
    <row r="2143" spans="1:12">
      <c r="A2143" s="3" t="s">
        <v>3357</v>
      </c>
      <c r="C2143" s="3" t="s">
        <v>3817</v>
      </c>
      <c r="D2143" s="3" t="s">
        <v>7278</v>
      </c>
      <c r="E2143" s="3" t="s">
        <v>4905</v>
      </c>
      <c r="F2143" s="3" t="s">
        <v>5050</v>
      </c>
      <c r="G2143" s="3" t="s">
        <v>4363</v>
      </c>
      <c r="H2143" s="6">
        <v>1.16673</v>
      </c>
      <c r="I2143" s="6">
        <v>14.680133329688054</v>
      </c>
      <c r="J2143" s="3" t="s">
        <v>3356</v>
      </c>
      <c r="K2143" s="14" t="s">
        <v>2245</v>
      </c>
      <c r="L2143" s="1" t="s">
        <v>6135</v>
      </c>
    </row>
    <row r="2144" spans="1:12">
      <c r="A2144" s="3" t="s">
        <v>3357</v>
      </c>
      <c r="C2144" s="3" t="s">
        <v>3817</v>
      </c>
      <c r="D2144" s="3" t="s">
        <v>7278</v>
      </c>
      <c r="E2144" s="3" t="s">
        <v>4905</v>
      </c>
      <c r="F2144" s="3" t="s">
        <v>4364</v>
      </c>
      <c r="G2144" s="3" t="s">
        <v>3932</v>
      </c>
      <c r="H2144" s="6">
        <v>1.0899099999999999</v>
      </c>
      <c r="I2144" s="6">
        <v>12.300138453598493</v>
      </c>
      <c r="J2144" s="3" t="s">
        <v>3356</v>
      </c>
      <c r="K2144" s="14" t="s">
        <v>6136</v>
      </c>
      <c r="L2144" s="1" t="s">
        <v>6135</v>
      </c>
    </row>
    <row r="2145" spans="1:12">
      <c r="A2145" s="3" t="s">
        <v>3357</v>
      </c>
      <c r="C2145" s="3" t="s">
        <v>3817</v>
      </c>
      <c r="D2145" s="3" t="s">
        <v>7278</v>
      </c>
      <c r="E2145" s="3" t="s">
        <v>4905</v>
      </c>
      <c r="F2145" s="3" t="s">
        <v>4364</v>
      </c>
      <c r="G2145" s="3" t="s">
        <v>3711</v>
      </c>
      <c r="H2145" s="6">
        <v>1.0569</v>
      </c>
      <c r="I2145" s="6">
        <v>11.39987265569977</v>
      </c>
      <c r="J2145" s="3" t="s">
        <v>3356</v>
      </c>
      <c r="K2145" s="14" t="s">
        <v>6136</v>
      </c>
      <c r="L2145" s="1" t="s">
        <v>6135</v>
      </c>
    </row>
    <row r="2146" spans="1:12">
      <c r="A2146" s="3" t="s">
        <v>3357</v>
      </c>
      <c r="C2146" s="3" t="s">
        <v>3817</v>
      </c>
      <c r="D2146" s="3" t="s">
        <v>7278</v>
      </c>
      <c r="E2146" s="3" t="s">
        <v>4905</v>
      </c>
      <c r="F2146" s="3" t="s">
        <v>4354</v>
      </c>
      <c r="G2146" s="3" t="s">
        <v>4355</v>
      </c>
      <c r="H2146" s="6">
        <v>1.26007</v>
      </c>
      <c r="I2146" s="6">
        <v>18.199941833734844</v>
      </c>
      <c r="J2146" s="3" t="s">
        <v>3356</v>
      </c>
      <c r="K2146" s="14" t="s">
        <v>2099</v>
      </c>
      <c r="L2146" s="1" t="s">
        <v>6135</v>
      </c>
    </row>
    <row r="2147" spans="1:12">
      <c r="A2147" s="3" t="s">
        <v>3357</v>
      </c>
      <c r="C2147" s="3" t="s">
        <v>3817</v>
      </c>
      <c r="D2147" s="3" t="s">
        <v>7278</v>
      </c>
      <c r="E2147" s="3" t="s">
        <v>4905</v>
      </c>
      <c r="F2147" s="3" t="s">
        <v>4356</v>
      </c>
      <c r="G2147" s="3" t="s">
        <v>7168</v>
      </c>
      <c r="H2147" s="6">
        <v>1.9614199999999999</v>
      </c>
      <c r="I2147" s="6">
        <v>91.499769495220193</v>
      </c>
      <c r="J2147" s="3" t="s">
        <v>3356</v>
      </c>
      <c r="K2147" s="14" t="s">
        <v>2440</v>
      </c>
      <c r="L2147" s="1" t="s">
        <v>6135</v>
      </c>
    </row>
    <row r="2148" spans="1:12">
      <c r="A2148" s="3" t="s">
        <v>3357</v>
      </c>
      <c r="C2148" s="3" t="s">
        <v>3817</v>
      </c>
      <c r="D2148" s="3" t="s">
        <v>7278</v>
      </c>
      <c r="E2148" s="3" t="s">
        <v>4905</v>
      </c>
      <c r="F2148" s="3" t="s">
        <v>7169</v>
      </c>
      <c r="G2148" s="3" t="s">
        <v>7170</v>
      </c>
      <c r="H2148" s="6">
        <v>0.25527</v>
      </c>
      <c r="I2148" s="6">
        <v>1.7999896172455929</v>
      </c>
      <c r="J2148" s="3" t="s">
        <v>3356</v>
      </c>
      <c r="K2148" s="14" t="s">
        <v>2100</v>
      </c>
      <c r="L2148" s="1" t="s">
        <v>6135</v>
      </c>
    </row>
    <row r="2149" spans="1:12">
      <c r="A2149" s="3" t="s">
        <v>3357</v>
      </c>
      <c r="C2149" s="3" t="s">
        <v>3817</v>
      </c>
      <c r="D2149" s="3" t="s">
        <v>7278</v>
      </c>
      <c r="E2149" s="3" t="s">
        <v>4905</v>
      </c>
      <c r="F2149" s="3" t="s">
        <v>7169</v>
      </c>
      <c r="G2149" s="3" t="s">
        <v>7171</v>
      </c>
      <c r="H2149" s="6">
        <v>0.64344999999999997</v>
      </c>
      <c r="I2149" s="6">
        <v>4.3999728835998919</v>
      </c>
      <c r="J2149" s="3" t="s">
        <v>3356</v>
      </c>
      <c r="K2149" s="14" t="s">
        <v>6136</v>
      </c>
      <c r="L2149" s="1" t="s">
        <v>6135</v>
      </c>
    </row>
    <row r="2150" spans="1:12">
      <c r="A2150" s="3" t="s">
        <v>3357</v>
      </c>
      <c r="C2150" s="3" t="s">
        <v>3817</v>
      </c>
      <c r="D2150" s="3" t="s">
        <v>7278</v>
      </c>
      <c r="E2150" s="3" t="s">
        <v>4905</v>
      </c>
      <c r="F2150" s="3" t="s">
        <v>7169</v>
      </c>
      <c r="G2150" s="3" t="s">
        <v>4556</v>
      </c>
      <c r="H2150" s="6">
        <v>0.90308999999999995</v>
      </c>
      <c r="I2150" s="6">
        <v>8.0000002396172594</v>
      </c>
      <c r="J2150" s="3" t="s">
        <v>3356</v>
      </c>
      <c r="K2150" s="14" t="s">
        <v>6136</v>
      </c>
      <c r="L2150" s="1" t="s">
        <v>6135</v>
      </c>
    </row>
    <row r="2151" spans="1:12">
      <c r="A2151" s="3" t="s">
        <v>3357</v>
      </c>
      <c r="C2151" s="3" t="s">
        <v>3817</v>
      </c>
      <c r="D2151" s="3" t="s">
        <v>7278</v>
      </c>
      <c r="E2151" s="3" t="s">
        <v>4905</v>
      </c>
      <c r="F2151" s="3" t="s">
        <v>7169</v>
      </c>
      <c r="G2151" s="3" t="s">
        <v>4557</v>
      </c>
      <c r="H2151" s="6">
        <v>1.93777</v>
      </c>
      <c r="I2151" s="6">
        <v>86.650285901233133</v>
      </c>
      <c r="J2151" s="3" t="s">
        <v>3356</v>
      </c>
      <c r="K2151" s="14" t="s">
        <v>2099</v>
      </c>
      <c r="L2151" s="1" t="s">
        <v>6135</v>
      </c>
    </row>
    <row r="2152" spans="1:12">
      <c r="A2152" s="3" t="s">
        <v>3357</v>
      </c>
      <c r="C2152" s="3" t="s">
        <v>3817</v>
      </c>
      <c r="D2152" s="3" t="s">
        <v>7278</v>
      </c>
      <c r="E2152" s="3" t="s">
        <v>4905</v>
      </c>
      <c r="F2152" s="3" t="s">
        <v>7169</v>
      </c>
      <c r="G2152" s="3" t="s">
        <v>4560</v>
      </c>
      <c r="H2152" s="6">
        <v>0.60531000000000001</v>
      </c>
      <c r="I2152" s="6">
        <v>4.0300459691891639</v>
      </c>
      <c r="J2152" s="3" t="s">
        <v>3356</v>
      </c>
      <c r="K2152" s="14" t="s">
        <v>6136</v>
      </c>
      <c r="L2152" s="1" t="s">
        <v>6135</v>
      </c>
    </row>
    <row r="2153" spans="1:12">
      <c r="A2153" s="3" t="s">
        <v>3357</v>
      </c>
      <c r="C2153" s="3" t="s">
        <v>3817</v>
      </c>
      <c r="D2153" s="3" t="s">
        <v>7278</v>
      </c>
      <c r="E2153" s="3" t="s">
        <v>4905</v>
      </c>
      <c r="F2153" s="3" t="s">
        <v>7169</v>
      </c>
      <c r="G2153" s="3" t="s">
        <v>7197</v>
      </c>
      <c r="H2153" s="6">
        <v>0.69896999999999998</v>
      </c>
      <c r="I2153" s="6">
        <v>4.9999999500797392</v>
      </c>
      <c r="J2153" s="3" t="s">
        <v>3356</v>
      </c>
      <c r="K2153" s="14" t="s">
        <v>6136</v>
      </c>
      <c r="L2153" s="1" t="s">
        <v>6135</v>
      </c>
    </row>
    <row r="2154" spans="1:12">
      <c r="A2154" s="3" t="s">
        <v>3357</v>
      </c>
      <c r="C2154" s="3" t="s">
        <v>3817</v>
      </c>
      <c r="D2154" s="3" t="s">
        <v>7278</v>
      </c>
      <c r="E2154" s="3" t="s">
        <v>4905</v>
      </c>
      <c r="F2154" s="3" t="s">
        <v>7136</v>
      </c>
      <c r="G2154" s="3" t="s">
        <v>7137</v>
      </c>
      <c r="H2154" s="6">
        <v>1.2671699999999999</v>
      </c>
      <c r="I2154" s="6">
        <v>18.499926373938745</v>
      </c>
      <c r="J2154" s="3" t="s">
        <v>3356</v>
      </c>
      <c r="K2154" s="14" t="s">
        <v>6136</v>
      </c>
      <c r="L2154" s="1" t="s">
        <v>6135</v>
      </c>
    </row>
    <row r="2155" spans="1:12">
      <c r="A2155" s="3" t="s">
        <v>3357</v>
      </c>
      <c r="C2155" s="3" t="s">
        <v>3817</v>
      </c>
      <c r="D2155" s="3" t="s">
        <v>7278</v>
      </c>
      <c r="E2155" s="3" t="s">
        <v>4905</v>
      </c>
      <c r="F2155" s="3" t="s">
        <v>7136</v>
      </c>
      <c r="G2155" s="3" t="s">
        <v>4398</v>
      </c>
      <c r="H2155" s="6">
        <v>0.72428000000000003</v>
      </c>
      <c r="I2155" s="6">
        <v>5.3000504063966503</v>
      </c>
      <c r="J2155" s="3" t="s">
        <v>3356</v>
      </c>
      <c r="K2155" s="14" t="s">
        <v>2440</v>
      </c>
      <c r="L2155" s="1" t="s">
        <v>6135</v>
      </c>
    </row>
    <row r="2156" spans="1:12">
      <c r="A2156" s="3" t="s">
        <v>3357</v>
      </c>
      <c r="C2156" s="3" t="s">
        <v>3817</v>
      </c>
      <c r="D2156" s="3" t="s">
        <v>7278</v>
      </c>
      <c r="E2156" s="3" t="s">
        <v>4905</v>
      </c>
      <c r="F2156" s="3" t="s">
        <v>7136</v>
      </c>
      <c r="G2156" s="3" t="s">
        <v>7352</v>
      </c>
      <c r="H2156" s="6">
        <v>0.54407000000000005</v>
      </c>
      <c r="I2156" s="6">
        <v>3.5000157607101445</v>
      </c>
      <c r="J2156" s="3" t="s">
        <v>3356</v>
      </c>
      <c r="K2156" s="14" t="s">
        <v>6136</v>
      </c>
      <c r="L2156" s="1" t="s">
        <v>6135</v>
      </c>
    </row>
    <row r="2157" spans="1:12">
      <c r="A2157" s="3" t="s">
        <v>3357</v>
      </c>
      <c r="C2157" s="3" t="s">
        <v>3817</v>
      </c>
      <c r="D2157" s="3" t="s">
        <v>7278</v>
      </c>
      <c r="E2157" s="3" t="s">
        <v>7424</v>
      </c>
      <c r="F2157" s="3" t="s">
        <v>7425</v>
      </c>
      <c r="G2157" s="3" t="s">
        <v>7426</v>
      </c>
      <c r="H2157" s="6">
        <v>1.9934400000000001</v>
      </c>
      <c r="I2157" s="6">
        <v>98.500854944311016</v>
      </c>
      <c r="J2157" s="3" t="s">
        <v>3356</v>
      </c>
      <c r="K2157" s="14" t="s">
        <v>6136</v>
      </c>
      <c r="L2157" s="1" t="s">
        <v>6135</v>
      </c>
    </row>
    <row r="2158" spans="1:12">
      <c r="A2158" s="3" t="s">
        <v>3357</v>
      </c>
      <c r="C2158" s="3" t="s">
        <v>3817</v>
      </c>
      <c r="D2158" s="3" t="s">
        <v>7278</v>
      </c>
      <c r="E2158" s="3" t="s">
        <v>7424</v>
      </c>
      <c r="F2158" s="3" t="s">
        <v>7427</v>
      </c>
      <c r="G2158" s="3" t="s">
        <v>2332</v>
      </c>
      <c r="H2158" s="6">
        <v>2.8195399999999999</v>
      </c>
      <c r="I2158" s="6">
        <v>659.99401915987301</v>
      </c>
      <c r="J2158" s="3" t="s">
        <v>3356</v>
      </c>
      <c r="K2158" s="14" t="s">
        <v>6136</v>
      </c>
      <c r="L2158" s="1" t="s">
        <v>6135</v>
      </c>
    </row>
    <row r="2159" spans="1:12">
      <c r="A2159" s="3" t="s">
        <v>3357</v>
      </c>
      <c r="C2159" s="3" t="s">
        <v>3817</v>
      </c>
      <c r="D2159" s="3" t="s">
        <v>7345</v>
      </c>
      <c r="E2159" s="3" t="s">
        <v>7346</v>
      </c>
      <c r="F2159" s="3" t="s">
        <v>4711</v>
      </c>
      <c r="G2159" s="3" t="s">
        <v>4712</v>
      </c>
      <c r="H2159" s="6">
        <v>3.2430400000000001</v>
      </c>
      <c r="I2159" s="6">
        <v>1750.0078628829044</v>
      </c>
      <c r="J2159" s="3" t="s">
        <v>3356</v>
      </c>
      <c r="K2159" s="14" t="s">
        <v>2389</v>
      </c>
      <c r="L2159" s="1" t="s">
        <v>6135</v>
      </c>
    </row>
    <row r="2160" spans="1:12">
      <c r="A2160" s="3" t="s">
        <v>3357</v>
      </c>
      <c r="C2160" s="3" t="s">
        <v>3817</v>
      </c>
      <c r="D2160" s="3" t="s">
        <v>7345</v>
      </c>
      <c r="E2160" s="3" t="s">
        <v>7346</v>
      </c>
      <c r="F2160" s="3" t="s">
        <v>7340</v>
      </c>
      <c r="G2160" s="3" t="s">
        <v>4259</v>
      </c>
      <c r="H2160" s="6">
        <v>3.2492000000000001</v>
      </c>
      <c r="I2160" s="6">
        <v>1775.0067135006566</v>
      </c>
      <c r="J2160" s="3" t="s">
        <v>3356</v>
      </c>
      <c r="K2160" s="14" t="s">
        <v>6136</v>
      </c>
      <c r="L2160" s="1" t="s">
        <v>6135</v>
      </c>
    </row>
    <row r="2161" spans="1:12">
      <c r="A2161" s="3" t="s">
        <v>3357</v>
      </c>
      <c r="C2161" s="3" t="s">
        <v>3817</v>
      </c>
      <c r="D2161" s="3" t="s">
        <v>7345</v>
      </c>
      <c r="E2161" s="3" t="s">
        <v>7346</v>
      </c>
      <c r="F2161" s="3" t="s">
        <v>7340</v>
      </c>
      <c r="G2161" s="3" t="s">
        <v>7341</v>
      </c>
      <c r="H2161" s="6">
        <v>3.2430400000000001</v>
      </c>
      <c r="I2161" s="6">
        <v>1750.0078628829044</v>
      </c>
      <c r="J2161" s="3" t="s">
        <v>3356</v>
      </c>
      <c r="L2161" s="1" t="s">
        <v>6135</v>
      </c>
    </row>
    <row r="2162" spans="1:12">
      <c r="A2162" s="3" t="s">
        <v>3357</v>
      </c>
      <c r="C2162" s="3" t="s">
        <v>3817</v>
      </c>
      <c r="D2162" s="3" t="s">
        <v>7345</v>
      </c>
      <c r="E2162" s="3" t="s">
        <v>7346</v>
      </c>
      <c r="F2162" s="3" t="s">
        <v>7340</v>
      </c>
      <c r="G2162" s="3" t="s">
        <v>7338</v>
      </c>
      <c r="H2162" s="6">
        <v>3.3473299999999999</v>
      </c>
      <c r="I2162" s="6">
        <v>2224.9999215274088</v>
      </c>
      <c r="J2162" s="3" t="s">
        <v>3356</v>
      </c>
      <c r="K2162" s="14" t="s">
        <v>6136</v>
      </c>
      <c r="L2162" s="1" t="s">
        <v>6135</v>
      </c>
    </row>
    <row r="2163" spans="1:12">
      <c r="A2163" s="3" t="s">
        <v>3357</v>
      </c>
      <c r="C2163" s="3" t="s">
        <v>3817</v>
      </c>
      <c r="D2163" s="3" t="s">
        <v>7345</v>
      </c>
      <c r="E2163" s="3" t="s">
        <v>7346</v>
      </c>
      <c r="F2163" s="3" t="s">
        <v>7336</v>
      </c>
      <c r="G2163" s="3" t="s">
        <v>4210</v>
      </c>
      <c r="H2163" s="6">
        <v>3.3324400000000001</v>
      </c>
      <c r="I2163" s="6">
        <v>2150.0076242905643</v>
      </c>
      <c r="J2163" s="3" t="s">
        <v>3356</v>
      </c>
      <c r="K2163" s="14" t="s">
        <v>2389</v>
      </c>
      <c r="L2163" s="1" t="s">
        <v>6135</v>
      </c>
    </row>
    <row r="2164" spans="1:12">
      <c r="A2164" s="3" t="s">
        <v>3357</v>
      </c>
      <c r="C2164" s="3" t="s">
        <v>3817</v>
      </c>
      <c r="D2164" s="3" t="s">
        <v>7345</v>
      </c>
      <c r="E2164" s="3" t="s">
        <v>7346</v>
      </c>
      <c r="F2164" s="3" t="s">
        <v>4211</v>
      </c>
      <c r="G2164" s="3" t="s">
        <v>4212</v>
      </c>
      <c r="H2164" s="6">
        <v>3.3979400000000002</v>
      </c>
      <c r="I2164" s="6">
        <v>2499.9999500797412</v>
      </c>
      <c r="J2164" s="3" t="s">
        <v>3356</v>
      </c>
      <c r="K2164" s="14" t="s">
        <v>2440</v>
      </c>
      <c r="L2164" s="1" t="s">
        <v>6135</v>
      </c>
    </row>
    <row r="2165" spans="1:12">
      <c r="A2165" s="3" t="s">
        <v>3357</v>
      </c>
      <c r="C2165" s="3" t="s">
        <v>3817</v>
      </c>
      <c r="D2165" s="3" t="s">
        <v>7345</v>
      </c>
      <c r="E2165" s="3" t="s">
        <v>7346</v>
      </c>
      <c r="F2165" s="3" t="s">
        <v>4213</v>
      </c>
      <c r="G2165" s="3" t="s">
        <v>4214</v>
      </c>
      <c r="H2165" s="6">
        <v>3.3483000000000001</v>
      </c>
      <c r="I2165" s="6">
        <v>2229.9750295314971</v>
      </c>
      <c r="J2165" s="3" t="s">
        <v>3356</v>
      </c>
      <c r="K2165" s="14" t="s">
        <v>6136</v>
      </c>
      <c r="L2165" s="1" t="s">
        <v>6135</v>
      </c>
    </row>
    <row r="2166" spans="1:12">
      <c r="A2166" s="3" t="s">
        <v>3357</v>
      </c>
      <c r="C2166" s="3" t="s">
        <v>3817</v>
      </c>
      <c r="D2166" s="3" t="s">
        <v>7345</v>
      </c>
      <c r="E2166" s="3" t="s">
        <v>7346</v>
      </c>
      <c r="F2166" s="3" t="s">
        <v>4213</v>
      </c>
      <c r="G2166" s="3" t="s">
        <v>4215</v>
      </c>
      <c r="H2166" s="6">
        <v>3.36829</v>
      </c>
      <c r="I2166" s="6">
        <v>2335.0167484965023</v>
      </c>
      <c r="J2166" s="3" t="s">
        <v>3356</v>
      </c>
      <c r="K2166" s="14" t="s">
        <v>6136</v>
      </c>
      <c r="L2166" s="1" t="s">
        <v>6135</v>
      </c>
    </row>
    <row r="2167" spans="1:12">
      <c r="A2167" s="3" t="s">
        <v>3357</v>
      </c>
      <c r="C2167" s="3" t="s">
        <v>3817</v>
      </c>
      <c r="D2167" s="3" t="s">
        <v>7345</v>
      </c>
      <c r="E2167" s="3" t="s">
        <v>7346</v>
      </c>
      <c r="F2167" s="3" t="s">
        <v>4213</v>
      </c>
      <c r="G2167" s="3" t="s">
        <v>4713</v>
      </c>
      <c r="H2167" s="6">
        <v>3.3521800000000002</v>
      </c>
      <c r="I2167" s="6">
        <v>2249.9869541650314</v>
      </c>
      <c r="J2167" s="3" t="s">
        <v>3356</v>
      </c>
      <c r="K2167" s="14" t="s">
        <v>2440</v>
      </c>
      <c r="L2167" s="1" t="s">
        <v>6135</v>
      </c>
    </row>
    <row r="2168" spans="1:12">
      <c r="A2168" s="3" t="s">
        <v>3357</v>
      </c>
      <c r="C2168" s="3" t="s">
        <v>3817</v>
      </c>
      <c r="D2168" s="3" t="s">
        <v>3791</v>
      </c>
      <c r="E2168" s="3" t="s">
        <v>4235</v>
      </c>
      <c r="F2168" s="3" t="s">
        <v>4256</v>
      </c>
      <c r="G2168" s="3" t="s">
        <v>4234</v>
      </c>
      <c r="H2168" s="6">
        <v>1.67669</v>
      </c>
      <c r="I2168" s="6">
        <v>47.499605206891239</v>
      </c>
      <c r="J2168" s="3" t="s">
        <v>3356</v>
      </c>
      <c r="K2168" s="14" t="s">
        <v>6136</v>
      </c>
      <c r="L2168" s="1" t="s">
        <v>6135</v>
      </c>
    </row>
    <row r="2169" spans="1:12">
      <c r="A2169" s="3" t="s">
        <v>3357</v>
      </c>
      <c r="C2169" s="3" t="s">
        <v>3817</v>
      </c>
      <c r="D2169" s="3" t="s">
        <v>3791</v>
      </c>
      <c r="E2169" s="3" t="s">
        <v>4235</v>
      </c>
      <c r="F2169" s="3" t="s">
        <v>4256</v>
      </c>
      <c r="G2169" s="3" t="s">
        <v>4262</v>
      </c>
      <c r="H2169" s="6">
        <v>1.6812400000000001</v>
      </c>
      <c r="I2169" s="6">
        <v>47.999863240390923</v>
      </c>
      <c r="J2169" s="3" t="s">
        <v>3356</v>
      </c>
      <c r="K2169" s="14" t="s">
        <v>6136</v>
      </c>
      <c r="L2169" s="1" t="s">
        <v>6135</v>
      </c>
    </row>
    <row r="2170" spans="1:12">
      <c r="A2170" s="3" t="s">
        <v>3357</v>
      </c>
      <c r="C2170" s="3" t="s">
        <v>3817</v>
      </c>
      <c r="D2170" s="3" t="s">
        <v>3791</v>
      </c>
      <c r="E2170" s="3" t="s">
        <v>4235</v>
      </c>
      <c r="F2170" s="3" t="s">
        <v>4256</v>
      </c>
      <c r="G2170" s="3" t="s">
        <v>4263</v>
      </c>
      <c r="H2170" s="6">
        <v>1.75587</v>
      </c>
      <c r="I2170" s="6">
        <v>56.999362709414271</v>
      </c>
      <c r="J2170" s="3" t="s">
        <v>3356</v>
      </c>
      <c r="K2170" s="14" t="s">
        <v>6136</v>
      </c>
      <c r="L2170" s="1" t="s">
        <v>6135</v>
      </c>
    </row>
    <row r="2171" spans="1:12">
      <c r="A2171" s="3" t="s">
        <v>3357</v>
      </c>
      <c r="C2171" s="3" t="s">
        <v>3817</v>
      </c>
      <c r="D2171" s="3" t="s">
        <v>3791</v>
      </c>
      <c r="E2171" s="3" t="s">
        <v>4235</v>
      </c>
      <c r="F2171" s="3" t="s">
        <v>4256</v>
      </c>
      <c r="G2171" s="3" t="s">
        <v>4264</v>
      </c>
      <c r="H2171" s="6">
        <v>1.6946099999999999</v>
      </c>
      <c r="I2171" s="6">
        <v>49.500547218792484</v>
      </c>
      <c r="J2171" s="3" t="s">
        <v>3356</v>
      </c>
      <c r="K2171" s="14" t="s">
        <v>6136</v>
      </c>
      <c r="L2171" s="1" t="s">
        <v>6135</v>
      </c>
    </row>
    <row r="2172" spans="1:12">
      <c r="A2172" s="3" t="s">
        <v>3357</v>
      </c>
      <c r="C2172" s="3" t="s">
        <v>3817</v>
      </c>
      <c r="D2172" s="3" t="s">
        <v>3791</v>
      </c>
      <c r="E2172" s="3" t="s">
        <v>4235</v>
      </c>
      <c r="F2172" s="3" t="s">
        <v>4256</v>
      </c>
      <c r="G2172" s="3" t="s">
        <v>4265</v>
      </c>
      <c r="H2172" s="6">
        <v>1.71933</v>
      </c>
      <c r="I2172" s="6">
        <v>52.399844718617999</v>
      </c>
      <c r="J2172" s="3" t="s">
        <v>3356</v>
      </c>
      <c r="K2172" s="14" t="s">
        <v>6136</v>
      </c>
      <c r="L2172" s="1" t="s">
        <v>6135</v>
      </c>
    </row>
    <row r="2173" spans="1:12">
      <c r="A2173" s="3" t="s">
        <v>3357</v>
      </c>
      <c r="C2173" s="3" t="s">
        <v>3817</v>
      </c>
      <c r="D2173" s="3" t="s">
        <v>3791</v>
      </c>
      <c r="E2173" s="3" t="s">
        <v>4235</v>
      </c>
      <c r="F2173" s="3" t="s">
        <v>4256</v>
      </c>
      <c r="G2173" s="3" t="s">
        <v>4266</v>
      </c>
      <c r="H2173" s="6">
        <v>1.5118799999999999</v>
      </c>
      <c r="I2173" s="6">
        <v>32.499748485427979</v>
      </c>
      <c r="J2173" s="3" t="s">
        <v>3356</v>
      </c>
      <c r="K2173" s="14" t="s">
        <v>2389</v>
      </c>
      <c r="L2173" s="1" t="s">
        <v>6135</v>
      </c>
    </row>
    <row r="2174" spans="1:12">
      <c r="A2174" s="3" t="s">
        <v>3357</v>
      </c>
      <c r="C2174" s="3" t="s">
        <v>3817</v>
      </c>
      <c r="D2174" s="3" t="s">
        <v>3791</v>
      </c>
      <c r="E2174" s="3" t="s">
        <v>4235</v>
      </c>
      <c r="F2174" s="3" t="s">
        <v>4256</v>
      </c>
      <c r="G2174" s="3" t="s">
        <v>4243</v>
      </c>
      <c r="H2174" s="6">
        <v>1.6812400000000001</v>
      </c>
      <c r="I2174" s="6">
        <v>47.999863240390923</v>
      </c>
      <c r="J2174" s="3" t="s">
        <v>3356</v>
      </c>
      <c r="K2174" s="14" t="s">
        <v>6136</v>
      </c>
      <c r="L2174" s="1" t="s">
        <v>6135</v>
      </c>
    </row>
    <row r="2175" spans="1:12">
      <c r="A2175" s="3" t="s">
        <v>3357</v>
      </c>
      <c r="C2175" s="3" t="s">
        <v>3817</v>
      </c>
      <c r="D2175" s="3" t="s">
        <v>3791</v>
      </c>
      <c r="E2175" s="3" t="s">
        <v>4235</v>
      </c>
      <c r="F2175" s="3" t="s">
        <v>4256</v>
      </c>
      <c r="G2175" s="3" t="s">
        <v>4446</v>
      </c>
      <c r="H2175" s="6">
        <v>1.57403</v>
      </c>
      <c r="I2175" s="6">
        <v>37.499890535749245</v>
      </c>
      <c r="J2175" s="3" t="s">
        <v>3356</v>
      </c>
      <c r="K2175" s="14" t="s">
        <v>2440</v>
      </c>
      <c r="L2175" s="1" t="s">
        <v>6135</v>
      </c>
    </row>
    <row r="2176" spans="1:12">
      <c r="A2176" s="3" t="s">
        <v>3357</v>
      </c>
      <c r="C2176" s="3" t="s">
        <v>3817</v>
      </c>
      <c r="D2176" s="3" t="s">
        <v>3791</v>
      </c>
      <c r="E2176" s="3" t="s">
        <v>4235</v>
      </c>
      <c r="F2176" s="3" t="s">
        <v>4256</v>
      </c>
      <c r="G2176" s="3" t="s">
        <v>4713</v>
      </c>
      <c r="H2176" s="6">
        <v>1.8221700000000001</v>
      </c>
      <c r="I2176" s="6">
        <v>66.400293649242514</v>
      </c>
      <c r="J2176" s="3" t="s">
        <v>3356</v>
      </c>
      <c r="K2176" s="14" t="s">
        <v>6136</v>
      </c>
      <c r="L2176" s="1" t="s">
        <v>6135</v>
      </c>
    </row>
    <row r="2177" spans="1:12">
      <c r="A2177" s="3" t="s">
        <v>3357</v>
      </c>
      <c r="C2177" s="3" t="s">
        <v>3817</v>
      </c>
      <c r="D2177" s="3" t="s">
        <v>3791</v>
      </c>
      <c r="E2177" s="3" t="s">
        <v>4235</v>
      </c>
      <c r="F2177" s="3" t="s">
        <v>3592</v>
      </c>
      <c r="G2177" s="3" t="s">
        <v>3800</v>
      </c>
      <c r="H2177" s="6">
        <v>1.58206</v>
      </c>
      <c r="I2177" s="6">
        <v>38.199704203633139</v>
      </c>
      <c r="J2177" s="3" t="s">
        <v>3356</v>
      </c>
      <c r="K2177" s="14" t="s">
        <v>6136</v>
      </c>
      <c r="L2177" s="1" t="s">
        <v>6135</v>
      </c>
    </row>
    <row r="2178" spans="1:12">
      <c r="A2178" s="3" t="s">
        <v>3357</v>
      </c>
      <c r="C2178" s="3" t="s">
        <v>3817</v>
      </c>
      <c r="D2178" s="3" t="s">
        <v>3791</v>
      </c>
      <c r="E2178" s="3" t="s">
        <v>4235</v>
      </c>
      <c r="F2178" s="3" t="s">
        <v>3801</v>
      </c>
      <c r="G2178" s="3" t="s">
        <v>3804</v>
      </c>
      <c r="H2178" s="6">
        <v>2.2730000000000001</v>
      </c>
      <c r="I2178" s="6">
        <v>187.49945080674203</v>
      </c>
      <c r="J2178" s="3" t="s">
        <v>3356</v>
      </c>
      <c r="K2178" s="14" t="s">
        <v>6136</v>
      </c>
      <c r="L2178" s="1" t="s">
        <v>6135</v>
      </c>
    </row>
    <row r="2179" spans="1:12">
      <c r="A2179" s="3" t="s">
        <v>3357</v>
      </c>
      <c r="C2179" s="3" t="s">
        <v>3817</v>
      </c>
      <c r="D2179" s="3" t="s">
        <v>3791</v>
      </c>
      <c r="E2179" s="3" t="s">
        <v>4235</v>
      </c>
      <c r="F2179" s="3" t="s">
        <v>4246</v>
      </c>
      <c r="G2179" s="3" t="s">
        <v>4272</v>
      </c>
      <c r="H2179" s="6">
        <v>2.7323900000000001</v>
      </c>
      <c r="I2179" s="6">
        <v>539.99532507158392</v>
      </c>
      <c r="J2179" s="3" t="s">
        <v>3356</v>
      </c>
      <c r="K2179" s="14" t="s">
        <v>2101</v>
      </c>
      <c r="L2179" s="1" t="s">
        <v>6135</v>
      </c>
    </row>
    <row r="2180" spans="1:12">
      <c r="A2180" s="3" t="s">
        <v>3357</v>
      </c>
      <c r="C2180" s="3" t="s">
        <v>3817</v>
      </c>
      <c r="D2180" s="3" t="s">
        <v>3791</v>
      </c>
      <c r="E2180" s="3" t="s">
        <v>4235</v>
      </c>
      <c r="F2180" s="3" t="s">
        <v>4246</v>
      </c>
      <c r="G2180" s="3" t="s">
        <v>4273</v>
      </c>
      <c r="H2180" s="6">
        <v>2.6901999999999999</v>
      </c>
      <c r="I2180" s="6">
        <v>490.0044227932359</v>
      </c>
      <c r="J2180" s="3" t="s">
        <v>3356</v>
      </c>
      <c r="K2180" s="14" t="s">
        <v>6136</v>
      </c>
      <c r="L2180" s="1" t="s">
        <v>6135</v>
      </c>
    </row>
    <row r="2181" spans="1:12">
      <c r="A2181" s="3" t="s">
        <v>3357</v>
      </c>
      <c r="C2181" s="3" t="s">
        <v>3817</v>
      </c>
      <c r="D2181" s="3" t="s">
        <v>7273</v>
      </c>
      <c r="E2181" s="3" t="s">
        <v>2558</v>
      </c>
      <c r="F2181" s="3" t="s">
        <v>2559</v>
      </c>
      <c r="G2181" s="3" t="s">
        <v>2560</v>
      </c>
      <c r="H2181" s="6">
        <v>5.2174800000000001</v>
      </c>
      <c r="I2181" s="6">
        <v>164998.50149526112</v>
      </c>
      <c r="J2181" s="3" t="s">
        <v>3356</v>
      </c>
      <c r="K2181" s="14" t="s">
        <v>6136</v>
      </c>
      <c r="L2181" s="1" t="s">
        <v>6135</v>
      </c>
    </row>
    <row r="2182" spans="1:12">
      <c r="A2182" s="3" t="s">
        <v>3357</v>
      </c>
      <c r="C2182" s="3" t="s">
        <v>3817</v>
      </c>
      <c r="D2182" s="3" t="s">
        <v>7273</v>
      </c>
      <c r="E2182" s="3" t="s">
        <v>2558</v>
      </c>
      <c r="F2182" s="3" t="s">
        <v>2559</v>
      </c>
      <c r="G2182" s="3" t="s">
        <v>2561</v>
      </c>
      <c r="H2182" s="6">
        <v>5.3979400000000002</v>
      </c>
      <c r="I2182" s="6">
        <v>249999.99500797442</v>
      </c>
      <c r="J2182" s="3" t="s">
        <v>3356</v>
      </c>
      <c r="K2182" s="15" t="s">
        <v>5974</v>
      </c>
      <c r="L2182" s="1" t="s">
        <v>6135</v>
      </c>
    </row>
    <row r="2183" spans="1:12">
      <c r="A2183" s="3" t="s">
        <v>3357</v>
      </c>
      <c r="C2183" s="3" t="s">
        <v>3817</v>
      </c>
      <c r="D2183" s="3" t="s">
        <v>7273</v>
      </c>
      <c r="E2183" s="3" t="s">
        <v>2558</v>
      </c>
      <c r="F2183" s="3" t="s">
        <v>2559</v>
      </c>
      <c r="G2183" s="3" t="s">
        <v>2562</v>
      </c>
      <c r="H2183" s="6">
        <v>5.6106600000000002</v>
      </c>
      <c r="I2183" s="6">
        <v>407999.84678447241</v>
      </c>
      <c r="J2183" s="3" t="s">
        <v>3356</v>
      </c>
      <c r="K2183" s="14" t="s">
        <v>2440</v>
      </c>
      <c r="L2183" s="1" t="s">
        <v>6135</v>
      </c>
    </row>
    <row r="2184" spans="1:12">
      <c r="A2184" s="3" t="s">
        <v>3357</v>
      </c>
      <c r="C2184" s="3" t="s">
        <v>3817</v>
      </c>
      <c r="D2184" s="3" t="s">
        <v>7273</v>
      </c>
      <c r="E2184" s="3" t="s">
        <v>2558</v>
      </c>
      <c r="F2184" s="3" t="s">
        <v>2559</v>
      </c>
      <c r="G2184" s="3" t="s">
        <v>4079</v>
      </c>
      <c r="H2184" s="6">
        <v>5.4578800000000003</v>
      </c>
      <c r="I2184" s="6">
        <v>286998.74656140112</v>
      </c>
      <c r="J2184" s="3" t="s">
        <v>3356</v>
      </c>
      <c r="K2184" s="14" t="s">
        <v>6136</v>
      </c>
      <c r="L2184" s="1" t="s">
        <v>6135</v>
      </c>
    </row>
    <row r="2185" spans="1:12">
      <c r="A2185" s="3" t="s">
        <v>3357</v>
      </c>
      <c r="C2185" s="3" t="s">
        <v>3817</v>
      </c>
      <c r="D2185" s="3" t="s">
        <v>7273</v>
      </c>
      <c r="E2185" s="3" t="s">
        <v>2515</v>
      </c>
      <c r="F2185" s="3" t="s">
        <v>2350</v>
      </c>
      <c r="G2185" s="3" t="s">
        <v>7481</v>
      </c>
      <c r="H2185" s="6">
        <v>6.4698200000000003</v>
      </c>
      <c r="I2185" s="6">
        <v>2949986.3062460544</v>
      </c>
      <c r="J2185" s="3" t="s">
        <v>3356</v>
      </c>
      <c r="K2185" s="14" t="s">
        <v>2440</v>
      </c>
      <c r="L2185" s="1" t="s">
        <v>6135</v>
      </c>
    </row>
    <row r="2186" spans="1:12">
      <c r="A2186" s="3" t="s">
        <v>3357</v>
      </c>
      <c r="C2186" s="3" t="s">
        <v>3817</v>
      </c>
      <c r="D2186" s="3" t="s">
        <v>7273</v>
      </c>
      <c r="E2186" s="3" t="s">
        <v>2515</v>
      </c>
      <c r="F2186" s="3" t="s">
        <v>7155</v>
      </c>
      <c r="G2186" s="3" t="s">
        <v>7156</v>
      </c>
      <c r="H2186" s="6">
        <v>6.0720700000000001</v>
      </c>
      <c r="I2186" s="6">
        <v>1180510.8961935495</v>
      </c>
      <c r="J2186" s="3" t="s">
        <v>3356</v>
      </c>
      <c r="K2186" s="14" t="s">
        <v>2440</v>
      </c>
      <c r="L2186" s="1" t="s">
        <v>6135</v>
      </c>
    </row>
    <row r="2187" spans="1:12">
      <c r="A2187" s="3" t="s">
        <v>3357</v>
      </c>
      <c r="C2187" s="3" t="s">
        <v>3817</v>
      </c>
      <c r="D2187" s="3" t="s">
        <v>4821</v>
      </c>
      <c r="E2187" s="3" t="s">
        <v>4822</v>
      </c>
      <c r="F2187" s="3" t="s">
        <v>5047</v>
      </c>
      <c r="G2187" s="3" t="s">
        <v>2132</v>
      </c>
      <c r="H2187" s="6">
        <v>4.51851</v>
      </c>
      <c r="I2187" s="6">
        <v>32999.700628522936</v>
      </c>
      <c r="J2187" s="3" t="s">
        <v>3356</v>
      </c>
      <c r="K2187" s="14" t="s">
        <v>2440</v>
      </c>
      <c r="L2187" s="1" t="s">
        <v>6135</v>
      </c>
    </row>
    <row r="2188" spans="1:12">
      <c r="A2188" s="3" t="s">
        <v>3357</v>
      </c>
      <c r="C2188" s="3" t="s">
        <v>3817</v>
      </c>
      <c r="D2188" s="3" t="s">
        <v>4821</v>
      </c>
      <c r="E2188" s="3" t="s">
        <v>4822</v>
      </c>
      <c r="F2188" s="3" t="s">
        <v>5047</v>
      </c>
      <c r="G2188" s="3" t="s">
        <v>2133</v>
      </c>
      <c r="H2188" s="6">
        <v>3.8561200000000002</v>
      </c>
      <c r="I2188" s="6">
        <v>7179.9265256691642</v>
      </c>
      <c r="J2188" s="3" t="s">
        <v>3356</v>
      </c>
      <c r="K2188" s="14" t="s">
        <v>6136</v>
      </c>
      <c r="L2188" s="1" t="s">
        <v>6135</v>
      </c>
    </row>
    <row r="2189" spans="1:12">
      <c r="A2189" s="3" t="s">
        <v>3357</v>
      </c>
      <c r="C2189" s="3" t="s">
        <v>3817</v>
      </c>
      <c r="D2189" s="3" t="s">
        <v>4821</v>
      </c>
      <c r="E2189" s="3" t="s">
        <v>4822</v>
      </c>
      <c r="F2189" s="3" t="s">
        <v>5047</v>
      </c>
      <c r="G2189" s="3" t="s">
        <v>2134</v>
      </c>
      <c r="H2189" s="6">
        <v>3.43933</v>
      </c>
      <c r="I2189" s="6">
        <v>2749.9829424260374</v>
      </c>
      <c r="J2189" s="3" t="s">
        <v>3356</v>
      </c>
      <c r="K2189" s="14" t="s">
        <v>6136</v>
      </c>
      <c r="L2189" s="1" t="s">
        <v>6135</v>
      </c>
    </row>
    <row r="2190" spans="1:12">
      <c r="A2190" s="3" t="s">
        <v>3357</v>
      </c>
      <c r="C2190" s="3" t="s">
        <v>3817</v>
      </c>
      <c r="D2190" s="3" t="s">
        <v>4821</v>
      </c>
      <c r="E2190" s="3" t="s">
        <v>4822</v>
      </c>
      <c r="F2190" s="3" t="s">
        <v>5047</v>
      </c>
      <c r="G2190" s="3" t="s">
        <v>7482</v>
      </c>
      <c r="H2190" s="6">
        <v>3.2753100000000002</v>
      </c>
      <c r="I2190" s="6">
        <v>1884.9941207925986</v>
      </c>
      <c r="J2190" s="3" t="s">
        <v>3356</v>
      </c>
      <c r="K2190" s="14" t="s">
        <v>6136</v>
      </c>
      <c r="L2190" s="1" t="s">
        <v>6135</v>
      </c>
    </row>
    <row r="2191" spans="1:12">
      <c r="A2191" s="3" t="s">
        <v>3357</v>
      </c>
      <c r="C2191" s="3" t="s">
        <v>3817</v>
      </c>
      <c r="D2191" s="3" t="s">
        <v>7250</v>
      </c>
      <c r="E2191" s="3" t="s">
        <v>6300</v>
      </c>
      <c r="F2191" s="3" t="s">
        <v>6301</v>
      </c>
      <c r="G2191" s="3" t="s">
        <v>3002</v>
      </c>
      <c r="H2191" s="6">
        <v>3.6766899999999998</v>
      </c>
      <c r="I2191" s="6">
        <v>4749.9605206891265</v>
      </c>
      <c r="J2191" s="3" t="s">
        <v>3356</v>
      </c>
      <c r="K2191" s="14" t="s">
        <v>2102</v>
      </c>
      <c r="L2191" s="1" t="s">
        <v>6135</v>
      </c>
    </row>
    <row r="2192" spans="1:12">
      <c r="A2192" s="3" t="s">
        <v>3357</v>
      </c>
      <c r="C2192" s="3" t="s">
        <v>3817</v>
      </c>
      <c r="D2192" s="3" t="s">
        <v>7250</v>
      </c>
      <c r="E2192" s="3" t="s">
        <v>6300</v>
      </c>
      <c r="F2192" s="3" t="s">
        <v>3594</v>
      </c>
      <c r="G2192" s="3" t="s">
        <v>3003</v>
      </c>
      <c r="H2192" s="6">
        <v>3.8940399999999999</v>
      </c>
      <c r="I2192" s="6">
        <v>7835.0180262591975</v>
      </c>
      <c r="J2192" s="3" t="s">
        <v>3356</v>
      </c>
      <c r="K2192" s="14" t="s">
        <v>6136</v>
      </c>
      <c r="L2192" s="1" t="s">
        <v>6135</v>
      </c>
    </row>
    <row r="2193" spans="1:12">
      <c r="A2193" s="3" t="s">
        <v>3357</v>
      </c>
      <c r="C2193" s="3" t="s">
        <v>3817</v>
      </c>
      <c r="D2193" s="3" t="s">
        <v>7250</v>
      </c>
      <c r="E2193" s="3" t="s">
        <v>6300</v>
      </c>
      <c r="F2193" s="3" t="s">
        <v>3594</v>
      </c>
      <c r="G2193" s="3" t="s">
        <v>3712</v>
      </c>
      <c r="H2193" s="6">
        <v>3.8893</v>
      </c>
      <c r="I2193" s="6">
        <v>7749.9696187757672</v>
      </c>
      <c r="J2193" s="3" t="s">
        <v>3356</v>
      </c>
      <c r="K2193" s="14" t="s">
        <v>2389</v>
      </c>
      <c r="L2193" s="1" t="s">
        <v>6135</v>
      </c>
    </row>
    <row r="2194" spans="1:12">
      <c r="A2194" s="3" t="s">
        <v>3357</v>
      </c>
      <c r="C2194" s="3" t="s">
        <v>3817</v>
      </c>
      <c r="D2194" s="3" t="s">
        <v>7250</v>
      </c>
      <c r="E2194" s="3" t="s">
        <v>6300</v>
      </c>
      <c r="F2194" s="3" t="s">
        <v>3164</v>
      </c>
      <c r="G2194" s="3" t="s">
        <v>3363</v>
      </c>
      <c r="H2194" s="6">
        <v>3.8372700000000002</v>
      </c>
      <c r="I2194" s="6">
        <v>6874.9572187852336</v>
      </c>
      <c r="J2194" s="3" t="s">
        <v>3356</v>
      </c>
      <c r="K2194" s="14" t="s">
        <v>2389</v>
      </c>
      <c r="L2194" s="1" t="s">
        <v>6135</v>
      </c>
    </row>
    <row r="2195" spans="1:12">
      <c r="A2195" s="3" t="s">
        <v>3357</v>
      </c>
      <c r="C2195" s="3" t="s">
        <v>3817</v>
      </c>
      <c r="D2195" s="3" t="s">
        <v>7250</v>
      </c>
      <c r="E2195" s="3" t="s">
        <v>6300</v>
      </c>
      <c r="F2195" s="3" t="s">
        <v>3164</v>
      </c>
      <c r="G2195" s="3" t="s">
        <v>3364</v>
      </c>
      <c r="H2195" s="6">
        <v>3.6127799999999999</v>
      </c>
      <c r="I2195" s="6">
        <v>4099.9635904176512</v>
      </c>
      <c r="J2195" s="3" t="s">
        <v>3356</v>
      </c>
      <c r="K2195" s="14" t="s">
        <v>6136</v>
      </c>
      <c r="L2195" s="1" t="s">
        <v>6135</v>
      </c>
    </row>
    <row r="2196" spans="1:12">
      <c r="A2196" s="3" t="s">
        <v>3357</v>
      </c>
      <c r="C2196" s="3" t="s">
        <v>3817</v>
      </c>
      <c r="D2196" s="3" t="s">
        <v>7250</v>
      </c>
      <c r="E2196" s="3" t="s">
        <v>6300</v>
      </c>
      <c r="F2196" s="3" t="s">
        <v>3164</v>
      </c>
      <c r="G2196" s="3" t="s">
        <v>3365</v>
      </c>
      <c r="H2196" s="6">
        <v>3.5421999999999998</v>
      </c>
      <c r="I2196" s="6">
        <v>3484.977672404485</v>
      </c>
      <c r="J2196" s="3" t="s">
        <v>3356</v>
      </c>
      <c r="K2196" s="14" t="s">
        <v>6136</v>
      </c>
      <c r="L2196" s="1" t="s">
        <v>6135</v>
      </c>
    </row>
    <row r="2197" spans="1:12">
      <c r="A2197" s="3" t="s">
        <v>3357</v>
      </c>
      <c r="C2197" s="3" t="s">
        <v>3817</v>
      </c>
      <c r="D2197" s="3" t="s">
        <v>7250</v>
      </c>
      <c r="E2197" s="3" t="s">
        <v>6300</v>
      </c>
      <c r="F2197" s="3" t="s">
        <v>3164</v>
      </c>
      <c r="G2197" s="3" t="s">
        <v>3366</v>
      </c>
      <c r="H2197" s="6">
        <v>3.62066</v>
      </c>
      <c r="I2197" s="6">
        <v>4175.0338406617175</v>
      </c>
      <c r="J2197" s="3" t="s">
        <v>3356</v>
      </c>
      <c r="K2197" s="14" t="s">
        <v>2389</v>
      </c>
      <c r="L2197" s="1" t="s">
        <v>6135</v>
      </c>
    </row>
    <row r="2198" spans="1:12">
      <c r="A2198" s="3" t="s">
        <v>3357</v>
      </c>
      <c r="C2198" s="3" t="s">
        <v>3817</v>
      </c>
      <c r="D2198" s="3" t="s">
        <v>7250</v>
      </c>
      <c r="E2198" s="3" t="s">
        <v>6300</v>
      </c>
      <c r="F2198" s="3" t="s">
        <v>3164</v>
      </c>
      <c r="G2198" s="3" t="s">
        <v>3367</v>
      </c>
      <c r="H2198" s="6">
        <v>3.3979400000000002</v>
      </c>
      <c r="I2198" s="6">
        <v>2499.9999500797412</v>
      </c>
      <c r="J2198" s="3" t="s">
        <v>3356</v>
      </c>
      <c r="K2198" s="14" t="s">
        <v>2389</v>
      </c>
      <c r="L2198" s="1" t="s">
        <v>6135</v>
      </c>
    </row>
    <row r="2199" spans="1:12">
      <c r="A2199" s="3" t="s">
        <v>3357</v>
      </c>
      <c r="C2199" s="3" t="s">
        <v>3817</v>
      </c>
      <c r="D2199" s="3" t="s">
        <v>7250</v>
      </c>
      <c r="E2199" s="3" t="s">
        <v>6300</v>
      </c>
      <c r="F2199" s="3" t="s">
        <v>3164</v>
      </c>
      <c r="G2199" s="3" t="s">
        <v>6310</v>
      </c>
      <c r="H2199" s="6">
        <v>3.5125500000000001</v>
      </c>
      <c r="I2199" s="6">
        <v>3254.9925582763663</v>
      </c>
      <c r="J2199" s="3" t="s">
        <v>3356</v>
      </c>
      <c r="K2199" s="14" t="s">
        <v>2389</v>
      </c>
      <c r="L2199" s="1" t="s">
        <v>6135</v>
      </c>
    </row>
    <row r="2200" spans="1:12">
      <c r="A2200" s="3" t="s">
        <v>3357</v>
      </c>
      <c r="C2200" s="3" t="s">
        <v>3817</v>
      </c>
      <c r="D2200" s="3" t="s">
        <v>7250</v>
      </c>
      <c r="E2200" s="3" t="s">
        <v>6300</v>
      </c>
      <c r="F2200" s="3" t="s">
        <v>3164</v>
      </c>
      <c r="G2200" s="3" t="s">
        <v>6319</v>
      </c>
      <c r="H2200" s="6">
        <v>3.7303799999999998</v>
      </c>
      <c r="I2200" s="6">
        <v>5375.0189533974644</v>
      </c>
      <c r="J2200" s="3" t="s">
        <v>3356</v>
      </c>
      <c r="K2200" s="14" t="s">
        <v>2389</v>
      </c>
      <c r="L2200" s="1" t="s">
        <v>6135</v>
      </c>
    </row>
    <row r="2201" spans="1:12">
      <c r="A2201" s="3" t="s">
        <v>3357</v>
      </c>
      <c r="C2201" s="3" t="s">
        <v>3817</v>
      </c>
      <c r="D2201" s="3" t="s">
        <v>7250</v>
      </c>
      <c r="E2201" s="3" t="s">
        <v>6300</v>
      </c>
      <c r="F2201" s="3" t="s">
        <v>3164</v>
      </c>
      <c r="G2201" s="3" t="s">
        <v>6320</v>
      </c>
      <c r="H2201" s="6">
        <v>3.6989700000000001</v>
      </c>
      <c r="I2201" s="6">
        <v>4999.9999500797403</v>
      </c>
      <c r="J2201" s="3" t="s">
        <v>3356</v>
      </c>
      <c r="K2201" s="14" t="s">
        <v>2389</v>
      </c>
      <c r="L2201" s="1" t="s">
        <v>6135</v>
      </c>
    </row>
    <row r="2202" spans="1:12">
      <c r="A2202" s="3" t="s">
        <v>3357</v>
      </c>
      <c r="C2202" s="3" t="s">
        <v>3817</v>
      </c>
      <c r="D2202" s="3" t="s">
        <v>7250</v>
      </c>
      <c r="E2202" s="3" t="s">
        <v>6300</v>
      </c>
      <c r="F2202" s="3" t="s">
        <v>3164</v>
      </c>
      <c r="G2202" s="3" t="s">
        <v>6143</v>
      </c>
      <c r="H2202" s="6">
        <v>3.6651099999999999</v>
      </c>
      <c r="I2202" s="6">
        <v>4624.98150113257</v>
      </c>
      <c r="J2202" s="3" t="s">
        <v>3356</v>
      </c>
      <c r="K2202" s="14" t="s">
        <v>2389</v>
      </c>
      <c r="L2202" s="1" t="s">
        <v>6135</v>
      </c>
    </row>
    <row r="2203" spans="1:12">
      <c r="A2203" s="3" t="s">
        <v>3357</v>
      </c>
      <c r="C2203" s="3" t="s">
        <v>3817</v>
      </c>
      <c r="D2203" s="3" t="s">
        <v>7250</v>
      </c>
      <c r="E2203" s="3" t="s">
        <v>6300</v>
      </c>
      <c r="F2203" s="3" t="s">
        <v>3164</v>
      </c>
      <c r="G2203" s="3" t="s">
        <v>6144</v>
      </c>
      <c r="H2203" s="6">
        <v>3.7387800000000002</v>
      </c>
      <c r="I2203" s="6">
        <v>5479.992952955884</v>
      </c>
      <c r="J2203" s="3" t="s">
        <v>3356</v>
      </c>
      <c r="K2203" s="14" t="s">
        <v>6136</v>
      </c>
      <c r="L2203" s="1" t="s">
        <v>6135</v>
      </c>
    </row>
    <row r="2204" spans="1:12">
      <c r="A2204" s="3" t="s">
        <v>3357</v>
      </c>
      <c r="C2204" s="3" t="s">
        <v>3817</v>
      </c>
      <c r="D2204" s="3" t="s">
        <v>7250</v>
      </c>
      <c r="E2204" s="3" t="s">
        <v>6300</v>
      </c>
      <c r="F2204" s="3" t="s">
        <v>3164</v>
      </c>
      <c r="G2204" s="3" t="s">
        <v>6145</v>
      </c>
      <c r="H2204" s="6">
        <v>3.7332000000000001</v>
      </c>
      <c r="I2204" s="6">
        <v>5410.034068634679</v>
      </c>
      <c r="J2204" s="3" t="s">
        <v>3356</v>
      </c>
      <c r="K2204" s="14" t="s">
        <v>6136</v>
      </c>
      <c r="L2204" s="1" t="s">
        <v>6135</v>
      </c>
    </row>
    <row r="2205" spans="1:12">
      <c r="A2205" s="3" t="s">
        <v>3357</v>
      </c>
      <c r="C2205" s="3" t="s">
        <v>3817</v>
      </c>
      <c r="D2205" s="3" t="s">
        <v>7250</v>
      </c>
      <c r="E2205" s="3" t="s">
        <v>6300</v>
      </c>
      <c r="F2205" s="3" t="s">
        <v>3164</v>
      </c>
      <c r="G2205" s="3" t="s">
        <v>6343</v>
      </c>
      <c r="H2205" s="6">
        <v>3.44326</v>
      </c>
      <c r="I2205" s="6">
        <v>2774.980911179603</v>
      </c>
      <c r="J2205" s="3" t="s">
        <v>3356</v>
      </c>
      <c r="K2205" s="14" t="s">
        <v>2389</v>
      </c>
      <c r="L2205" s="1" t="s">
        <v>6135</v>
      </c>
    </row>
    <row r="2206" spans="1:12">
      <c r="A2206" s="3" t="s">
        <v>3357</v>
      </c>
      <c r="C2206" s="3" t="s">
        <v>3817</v>
      </c>
      <c r="D2206" s="3" t="s">
        <v>7250</v>
      </c>
      <c r="E2206" s="3" t="s">
        <v>6300</v>
      </c>
      <c r="F2206" s="3" t="s">
        <v>3164</v>
      </c>
      <c r="G2206" s="3" t="s">
        <v>6344</v>
      </c>
      <c r="H2206" s="6">
        <v>3.5757599999999998</v>
      </c>
      <c r="I2206" s="6">
        <v>3764.9568228149178</v>
      </c>
      <c r="J2206" s="3" t="s">
        <v>3356</v>
      </c>
      <c r="K2206" s="14" t="s">
        <v>6136</v>
      </c>
      <c r="L2206" s="1" t="s">
        <v>6135</v>
      </c>
    </row>
    <row r="2207" spans="1:12">
      <c r="A2207" s="3" t="s">
        <v>3357</v>
      </c>
      <c r="C2207" s="3" t="s">
        <v>3817</v>
      </c>
      <c r="D2207" s="3" t="s">
        <v>7250</v>
      </c>
      <c r="E2207" s="3" t="s">
        <v>6300</v>
      </c>
      <c r="F2207" s="3" t="s">
        <v>6345</v>
      </c>
      <c r="G2207" s="3" t="s">
        <v>6346</v>
      </c>
      <c r="H2207" s="6">
        <v>3.6766899999999998</v>
      </c>
      <c r="I2207" s="6">
        <v>4749.9605206891265</v>
      </c>
      <c r="J2207" s="3" t="s">
        <v>3356</v>
      </c>
      <c r="L2207" s="1" t="s">
        <v>6135</v>
      </c>
    </row>
    <row r="2208" spans="1:12">
      <c r="A2208" s="3" t="s">
        <v>3357</v>
      </c>
      <c r="C2208" s="3" t="s">
        <v>3817</v>
      </c>
      <c r="D2208" s="3" t="s">
        <v>7250</v>
      </c>
      <c r="E2208" s="3" t="s">
        <v>6300</v>
      </c>
      <c r="F2208" s="3" t="s">
        <v>3216</v>
      </c>
      <c r="G2208" s="3" t="s">
        <v>3217</v>
      </c>
      <c r="H2208" s="6">
        <v>4.0086000000000004</v>
      </c>
      <c r="I2208" s="6">
        <v>10199.995965937218</v>
      </c>
      <c r="J2208" s="3" t="s">
        <v>3356</v>
      </c>
      <c r="K2208" s="14" t="s">
        <v>6136</v>
      </c>
      <c r="L2208" s="1" t="s">
        <v>6135</v>
      </c>
    </row>
    <row r="2209" spans="1:12">
      <c r="A2209" s="3" t="s">
        <v>3357</v>
      </c>
      <c r="C2209" s="3" t="s">
        <v>3817</v>
      </c>
      <c r="D2209" s="3" t="s">
        <v>7250</v>
      </c>
      <c r="E2209" s="3" t="s">
        <v>6300</v>
      </c>
      <c r="F2209" s="3" t="s">
        <v>3216</v>
      </c>
      <c r="G2209" s="3" t="s">
        <v>3218</v>
      </c>
      <c r="H2209" s="6">
        <v>3.9927700000000002</v>
      </c>
      <c r="I2209" s="6">
        <v>9834.9011678998086</v>
      </c>
      <c r="J2209" s="3" t="s">
        <v>3356</v>
      </c>
      <c r="K2209" s="14" t="s">
        <v>6136</v>
      </c>
      <c r="L2209" s="1" t="s">
        <v>6135</v>
      </c>
    </row>
    <row r="2210" spans="1:12">
      <c r="A2210" s="3" t="s">
        <v>3357</v>
      </c>
      <c r="C2210" s="3" t="s">
        <v>3817</v>
      </c>
      <c r="D2210" s="3" t="s">
        <v>7250</v>
      </c>
      <c r="E2210" s="3" t="s">
        <v>6300</v>
      </c>
      <c r="F2210" s="3" t="s">
        <v>3216</v>
      </c>
      <c r="G2210" s="3" t="s">
        <v>2546</v>
      </c>
      <c r="H2210" s="6">
        <v>3.6354799999999998</v>
      </c>
      <c r="I2210" s="6">
        <v>4319.9627299648728</v>
      </c>
      <c r="J2210" s="3" t="s">
        <v>3356</v>
      </c>
      <c r="K2210" s="14" t="s">
        <v>6136</v>
      </c>
      <c r="L2210" s="1" t="s">
        <v>6135</v>
      </c>
    </row>
    <row r="2211" spans="1:12">
      <c r="A2211" s="3" t="s">
        <v>3357</v>
      </c>
      <c r="C2211" s="3" t="s">
        <v>3817</v>
      </c>
      <c r="D2211" s="3" t="s">
        <v>7250</v>
      </c>
      <c r="E2211" s="3" t="s">
        <v>6300</v>
      </c>
      <c r="F2211" s="3" t="s">
        <v>3219</v>
      </c>
      <c r="G2211" s="3" t="s">
        <v>3220</v>
      </c>
      <c r="H2211" s="6">
        <v>3.8615300000000001</v>
      </c>
      <c r="I2211" s="6">
        <v>7269.9261635049534</v>
      </c>
      <c r="J2211" s="3" t="s">
        <v>3356</v>
      </c>
      <c r="K2211" s="14" t="s">
        <v>6136</v>
      </c>
      <c r="L2211" s="1" t="s">
        <v>6135</v>
      </c>
    </row>
    <row r="2212" spans="1:12">
      <c r="A2212" s="3" t="s">
        <v>3357</v>
      </c>
      <c r="C2212" s="3" t="s">
        <v>3817</v>
      </c>
      <c r="D2212" s="3" t="s">
        <v>7250</v>
      </c>
      <c r="E2212" s="3" t="s">
        <v>6300</v>
      </c>
      <c r="F2212" s="3" t="s">
        <v>3221</v>
      </c>
      <c r="G2212" s="3" t="s">
        <v>8024</v>
      </c>
      <c r="H2212" s="6">
        <v>3.8859300000000001</v>
      </c>
      <c r="I2212" s="6">
        <v>7690.0648109676367</v>
      </c>
      <c r="J2212" s="3" t="s">
        <v>3356</v>
      </c>
      <c r="K2212" s="14" t="s">
        <v>6136</v>
      </c>
      <c r="L2212" s="1" t="s">
        <v>6135</v>
      </c>
    </row>
    <row r="2213" spans="1:12">
      <c r="A2213" s="3" t="s">
        <v>3357</v>
      </c>
      <c r="C2213" s="3" t="s">
        <v>3817</v>
      </c>
      <c r="D2213" s="3" t="s">
        <v>7250</v>
      </c>
      <c r="E2213" s="3" t="s">
        <v>6300</v>
      </c>
      <c r="F2213" s="3" t="s">
        <v>8025</v>
      </c>
      <c r="G2213" s="3" t="s">
        <v>8026</v>
      </c>
      <c r="H2213" s="6">
        <v>3.8451</v>
      </c>
      <c r="I2213" s="6">
        <v>7000.0315913089735</v>
      </c>
      <c r="J2213" s="3" t="s">
        <v>3356</v>
      </c>
      <c r="K2213" s="14" t="s">
        <v>2389</v>
      </c>
      <c r="L2213" s="1" t="s">
        <v>6135</v>
      </c>
    </row>
    <row r="2214" spans="1:12">
      <c r="A2214" s="3" t="s">
        <v>3357</v>
      </c>
      <c r="C2214" s="3" t="s">
        <v>3817</v>
      </c>
      <c r="D2214" s="3" t="s">
        <v>7250</v>
      </c>
      <c r="E2214" s="3" t="s">
        <v>6300</v>
      </c>
      <c r="F2214" s="3" t="s">
        <v>6352</v>
      </c>
      <c r="G2214" s="3" t="s">
        <v>6353</v>
      </c>
      <c r="H2214" s="6">
        <v>4.1760900000000003</v>
      </c>
      <c r="I2214" s="6">
        <v>14999.956513820405</v>
      </c>
      <c r="J2214" s="3" t="s">
        <v>3356</v>
      </c>
      <c r="K2214" s="14" t="s">
        <v>2389</v>
      </c>
      <c r="L2214" s="1" t="s">
        <v>6135</v>
      </c>
    </row>
    <row r="2215" spans="1:12">
      <c r="A2215" s="3" t="s">
        <v>3357</v>
      </c>
      <c r="C2215" s="3" t="s">
        <v>3817</v>
      </c>
      <c r="D2215" s="3" t="s">
        <v>7250</v>
      </c>
      <c r="E2215" s="3" t="s">
        <v>6300</v>
      </c>
      <c r="F2215" s="3" t="s">
        <v>6352</v>
      </c>
      <c r="G2215" s="3" t="s">
        <v>6347</v>
      </c>
      <c r="H2215" s="6">
        <v>4.26126</v>
      </c>
      <c r="I2215" s="6">
        <v>18249.879447489526</v>
      </c>
      <c r="J2215" s="3" t="s">
        <v>3356</v>
      </c>
      <c r="K2215" s="14" t="s">
        <v>6136</v>
      </c>
      <c r="L2215" s="1" t="s">
        <v>6135</v>
      </c>
    </row>
    <row r="2216" spans="1:12">
      <c r="A2216" s="3" t="s">
        <v>3357</v>
      </c>
      <c r="C2216" s="3" t="s">
        <v>3817</v>
      </c>
      <c r="D2216" s="3" t="s">
        <v>7250</v>
      </c>
      <c r="E2216" s="3" t="s">
        <v>6300</v>
      </c>
      <c r="F2216" s="3" t="s">
        <v>6348</v>
      </c>
      <c r="G2216" s="3" t="s">
        <v>6349</v>
      </c>
      <c r="H2216" s="6">
        <v>3.0969099999999998</v>
      </c>
      <c r="I2216" s="6">
        <v>1249.9999625598048</v>
      </c>
      <c r="J2216" s="3" t="s">
        <v>3356</v>
      </c>
      <c r="K2216" s="14" t="s">
        <v>6136</v>
      </c>
      <c r="L2216" s="1" t="s">
        <v>6135</v>
      </c>
    </row>
    <row r="2217" spans="1:12">
      <c r="A2217" s="3" t="s">
        <v>3357</v>
      </c>
      <c r="C2217" s="3" t="s">
        <v>3817</v>
      </c>
      <c r="D2217" s="3" t="s">
        <v>7250</v>
      </c>
      <c r="E2217" s="3" t="s">
        <v>6300</v>
      </c>
      <c r="F2217" s="3" t="s">
        <v>6350</v>
      </c>
      <c r="G2217" s="3" t="s">
        <v>6351</v>
      </c>
      <c r="H2217" s="6">
        <v>4.3273599999999997</v>
      </c>
      <c r="I2217" s="6">
        <v>21250.052140469656</v>
      </c>
      <c r="J2217" s="3" t="s">
        <v>3356</v>
      </c>
      <c r="K2217" s="14" t="s">
        <v>2389</v>
      </c>
      <c r="L2217" s="1" t="s">
        <v>6135</v>
      </c>
    </row>
    <row r="2218" spans="1:12">
      <c r="A2218" s="3" t="s">
        <v>3357</v>
      </c>
      <c r="C2218" s="3" t="s">
        <v>3817</v>
      </c>
      <c r="D2218" s="3" t="s">
        <v>7250</v>
      </c>
      <c r="E2218" s="3" t="s">
        <v>6300</v>
      </c>
      <c r="F2218" s="3" t="s">
        <v>3178</v>
      </c>
      <c r="G2218" s="3" t="s">
        <v>3179</v>
      </c>
      <c r="H2218" s="6">
        <v>3.95424</v>
      </c>
      <c r="I2218" s="6">
        <v>8999.9479963720187</v>
      </c>
      <c r="J2218" s="3" t="s">
        <v>3356</v>
      </c>
      <c r="L2218" s="1" t="s">
        <v>6135</v>
      </c>
    </row>
    <row r="2219" spans="1:12">
      <c r="A2219" s="3" t="s">
        <v>3357</v>
      </c>
      <c r="C2219" s="3" t="s">
        <v>3817</v>
      </c>
      <c r="D2219" s="3" t="s">
        <v>7250</v>
      </c>
      <c r="E2219" s="3" t="s">
        <v>6300</v>
      </c>
      <c r="F2219" s="3" t="s">
        <v>3178</v>
      </c>
      <c r="G2219" s="3" t="s">
        <v>3637</v>
      </c>
      <c r="H2219" s="6">
        <v>3.6020599999999998</v>
      </c>
      <c r="I2219" s="6">
        <v>4000.0000798724222</v>
      </c>
      <c r="J2219" s="3" t="s">
        <v>3356</v>
      </c>
      <c r="K2219" s="14" t="s">
        <v>2389</v>
      </c>
      <c r="L2219" s="1" t="s">
        <v>6135</v>
      </c>
    </row>
    <row r="2220" spans="1:12">
      <c r="A2220" s="3" t="s">
        <v>3357</v>
      </c>
      <c r="C2220" s="3" t="s">
        <v>3817</v>
      </c>
      <c r="D2220" s="3" t="s">
        <v>7250</v>
      </c>
      <c r="E2220" s="3" t="s">
        <v>6300</v>
      </c>
      <c r="F2220" s="3" t="s">
        <v>3226</v>
      </c>
      <c r="G2220" s="3" t="s">
        <v>3180</v>
      </c>
      <c r="H2220" s="6">
        <v>4.2317200000000001</v>
      </c>
      <c r="I2220" s="6">
        <v>17049.827915441812</v>
      </c>
      <c r="J2220" s="3" t="s">
        <v>3356</v>
      </c>
      <c r="K2220" s="14" t="s">
        <v>6136</v>
      </c>
      <c r="L2220" s="1" t="s">
        <v>6135</v>
      </c>
    </row>
    <row r="2221" spans="1:12">
      <c r="A2221" s="3" t="s">
        <v>3357</v>
      </c>
      <c r="C2221" s="3" t="s">
        <v>3817</v>
      </c>
      <c r="D2221" s="3" t="s">
        <v>7250</v>
      </c>
      <c r="E2221" s="3" t="s">
        <v>6313</v>
      </c>
      <c r="F2221" s="3" t="s">
        <v>6314</v>
      </c>
      <c r="G2221" s="3" t="s">
        <v>6315</v>
      </c>
      <c r="H2221" s="6">
        <v>2.4771200000000002</v>
      </c>
      <c r="I2221" s="6">
        <v>299.99913327161516</v>
      </c>
      <c r="J2221" s="3" t="s">
        <v>3356</v>
      </c>
      <c r="K2221" s="14" t="s">
        <v>6136</v>
      </c>
      <c r="L2221" s="1" t="s">
        <v>6135</v>
      </c>
    </row>
    <row r="2222" spans="1:12">
      <c r="A2222" s="3" t="s">
        <v>3357</v>
      </c>
      <c r="C2222" s="3" t="s">
        <v>3817</v>
      </c>
      <c r="D2222" s="3" t="s">
        <v>7250</v>
      </c>
      <c r="E2222" s="3" t="s">
        <v>6313</v>
      </c>
      <c r="F2222" s="3" t="s">
        <v>6316</v>
      </c>
      <c r="G2222" s="3" t="s">
        <v>4087</v>
      </c>
      <c r="H2222" s="6">
        <v>2.4149699999999998</v>
      </c>
      <c r="I2222" s="6">
        <v>259.99799567092441</v>
      </c>
      <c r="J2222" s="3" t="s">
        <v>3356</v>
      </c>
      <c r="K2222" s="14" t="s">
        <v>6136</v>
      </c>
      <c r="L2222" s="1" t="s">
        <v>6135</v>
      </c>
    </row>
    <row r="2223" spans="1:12">
      <c r="A2223" s="3" t="s">
        <v>3357</v>
      </c>
      <c r="C2223" s="3" t="s">
        <v>3817</v>
      </c>
      <c r="D2223" s="3" t="s">
        <v>7250</v>
      </c>
      <c r="E2223" s="3" t="s">
        <v>6313</v>
      </c>
      <c r="F2223" s="3" t="s">
        <v>6316</v>
      </c>
      <c r="G2223" s="3" t="s">
        <v>6317</v>
      </c>
      <c r="H2223" s="6">
        <v>2.3222200000000002</v>
      </c>
      <c r="I2223" s="6">
        <v>210.00034102666152</v>
      </c>
      <c r="J2223" s="3" t="s">
        <v>3356</v>
      </c>
      <c r="L2223" s="1" t="s">
        <v>6135</v>
      </c>
    </row>
    <row r="2224" spans="1:12">
      <c r="A2224" s="3" t="s">
        <v>3357</v>
      </c>
      <c r="C2224" s="3" t="s">
        <v>3817</v>
      </c>
      <c r="D2224" s="3" t="s">
        <v>7250</v>
      </c>
      <c r="E2224" s="3" t="s">
        <v>6313</v>
      </c>
      <c r="F2224" s="3" t="s">
        <v>6316</v>
      </c>
      <c r="G2224" s="3" t="s">
        <v>6318</v>
      </c>
      <c r="H2224" s="6">
        <v>2.1846899999999998</v>
      </c>
      <c r="I2224" s="6">
        <v>152.9994959302015</v>
      </c>
      <c r="J2224" s="3" t="s">
        <v>3356</v>
      </c>
      <c r="K2224" s="14" t="s">
        <v>6136</v>
      </c>
      <c r="L2224" s="1" t="s">
        <v>6135</v>
      </c>
    </row>
    <row r="2225" spans="1:12">
      <c r="A2225" s="3" t="s">
        <v>3357</v>
      </c>
      <c r="C2225" s="3" t="s">
        <v>3817</v>
      </c>
      <c r="D2225" s="3" t="s">
        <v>7250</v>
      </c>
      <c r="E2225" s="3" t="s">
        <v>6313</v>
      </c>
      <c r="F2225" s="3" t="s">
        <v>5442</v>
      </c>
      <c r="G2225" s="3" t="s">
        <v>5443</v>
      </c>
      <c r="H2225" s="6">
        <v>1.7853300000000001</v>
      </c>
      <c r="I2225" s="6">
        <v>61.000023174011105</v>
      </c>
      <c r="J2225" s="3" t="s">
        <v>3356</v>
      </c>
      <c r="K2225" s="14" t="s">
        <v>6136</v>
      </c>
      <c r="L2225" s="1" t="s">
        <v>6135</v>
      </c>
    </row>
    <row r="2226" spans="1:12">
      <c r="A2226" s="3" t="s">
        <v>3357</v>
      </c>
      <c r="C2226" s="3" t="s">
        <v>3817</v>
      </c>
      <c r="D2226" s="3" t="s">
        <v>7250</v>
      </c>
      <c r="E2226" s="3" t="s">
        <v>6313</v>
      </c>
      <c r="F2226" s="3" t="s">
        <v>5442</v>
      </c>
      <c r="G2226" s="3" t="s">
        <v>5444</v>
      </c>
      <c r="H2226" s="6">
        <v>2.00217</v>
      </c>
      <c r="I2226" s="6">
        <v>100.50091135227832</v>
      </c>
      <c r="J2226" s="3" t="s">
        <v>3356</v>
      </c>
      <c r="K2226" s="14" t="s">
        <v>2255</v>
      </c>
      <c r="L2226" s="1" t="s">
        <v>6135</v>
      </c>
    </row>
    <row r="2227" spans="1:12">
      <c r="A2227" s="3" t="s">
        <v>3357</v>
      </c>
      <c r="C2227" s="3" t="s">
        <v>3817</v>
      </c>
      <c r="D2227" s="3" t="s">
        <v>7250</v>
      </c>
      <c r="E2227" s="3" t="s">
        <v>6313</v>
      </c>
      <c r="F2227" s="3" t="s">
        <v>6354</v>
      </c>
      <c r="G2227" s="3" t="s">
        <v>4214</v>
      </c>
      <c r="H2227" s="6">
        <v>3.00217</v>
      </c>
      <c r="I2227" s="6">
        <v>1005.0091135227835</v>
      </c>
      <c r="J2227" s="3" t="s">
        <v>3356</v>
      </c>
      <c r="L2227" s="1" t="s">
        <v>6135</v>
      </c>
    </row>
    <row r="2228" spans="1:12">
      <c r="A2228" s="3" t="s">
        <v>3357</v>
      </c>
      <c r="C2228" s="3" t="s">
        <v>3817</v>
      </c>
      <c r="D2228" s="3" t="s">
        <v>7250</v>
      </c>
      <c r="E2228" s="3" t="s">
        <v>6355</v>
      </c>
      <c r="F2228" s="3" t="s">
        <v>3224</v>
      </c>
      <c r="G2228" s="3" t="s">
        <v>3225</v>
      </c>
      <c r="H2228" s="6">
        <v>5.0942999999999996</v>
      </c>
      <c r="I2228" s="6">
        <v>124251.03069290097</v>
      </c>
      <c r="J2228" s="3" t="s">
        <v>3356</v>
      </c>
      <c r="K2228" s="14" t="s">
        <v>6136</v>
      </c>
      <c r="L2228" s="1" t="s">
        <v>6135</v>
      </c>
    </row>
    <row r="2229" spans="1:12">
      <c r="A2229" s="3" t="s">
        <v>3357</v>
      </c>
      <c r="C2229" s="3" t="s">
        <v>3817</v>
      </c>
      <c r="D2229" s="3" t="s">
        <v>7250</v>
      </c>
      <c r="E2229" s="3" t="s">
        <v>6355</v>
      </c>
      <c r="F2229" s="3" t="s">
        <v>6357</v>
      </c>
      <c r="G2229" s="3" t="s">
        <v>7184</v>
      </c>
      <c r="H2229" s="6">
        <v>4.5314800000000002</v>
      </c>
      <c r="I2229" s="6">
        <v>34000.084782586011</v>
      </c>
      <c r="J2229" s="3" t="s">
        <v>3356</v>
      </c>
      <c r="K2229" s="14" t="s">
        <v>6136</v>
      </c>
      <c r="L2229" s="1" t="s">
        <v>6135</v>
      </c>
    </row>
    <row r="2230" spans="1:12">
      <c r="A2230" s="3" t="s">
        <v>3357</v>
      </c>
      <c r="C2230" s="3" t="s">
        <v>3817</v>
      </c>
      <c r="D2230" s="3" t="s">
        <v>7250</v>
      </c>
      <c r="E2230" s="3" t="s">
        <v>6355</v>
      </c>
      <c r="F2230" s="3" t="s">
        <v>6357</v>
      </c>
      <c r="G2230" s="3" t="s">
        <v>6324</v>
      </c>
      <c r="H2230" s="6">
        <v>4.6532099999999996</v>
      </c>
      <c r="I2230" s="6">
        <v>44999.739532580294</v>
      </c>
      <c r="J2230" s="3" t="s">
        <v>3356</v>
      </c>
      <c r="K2230" s="14" t="s">
        <v>6136</v>
      </c>
      <c r="L2230" s="1" t="s">
        <v>6135</v>
      </c>
    </row>
    <row r="2231" spans="1:12">
      <c r="A2231" s="3" t="s">
        <v>3357</v>
      </c>
      <c r="C2231" s="3" t="s">
        <v>3817</v>
      </c>
      <c r="D2231" s="3" t="s">
        <v>7250</v>
      </c>
      <c r="E2231" s="3" t="s">
        <v>3227</v>
      </c>
      <c r="F2231" s="3" t="s">
        <v>3610</v>
      </c>
      <c r="G2231" s="3" t="s">
        <v>4893</v>
      </c>
      <c r="H2231" s="6">
        <v>2.3222200000000002</v>
      </c>
      <c r="I2231" s="6">
        <v>210.00034102666152</v>
      </c>
      <c r="J2231" s="3" t="s">
        <v>3356</v>
      </c>
      <c r="K2231" s="14" t="s">
        <v>6136</v>
      </c>
      <c r="L2231" s="1" t="s">
        <v>6135</v>
      </c>
    </row>
    <row r="2232" spans="1:12">
      <c r="A2232" s="3" t="s">
        <v>3357</v>
      </c>
      <c r="C2232" s="3" t="s">
        <v>3817</v>
      </c>
      <c r="D2232" s="3" t="s">
        <v>7250</v>
      </c>
      <c r="E2232" s="3" t="s">
        <v>3227</v>
      </c>
      <c r="F2232" s="3" t="s">
        <v>3611</v>
      </c>
      <c r="G2232" s="3" t="s">
        <v>3612</v>
      </c>
      <c r="H2232" s="6">
        <v>3.0413899999999998</v>
      </c>
      <c r="I2232" s="6">
        <v>1099.9931989351937</v>
      </c>
      <c r="J2232" s="3" t="s">
        <v>3356</v>
      </c>
      <c r="K2232" s="14" t="s">
        <v>6136</v>
      </c>
      <c r="L2232" s="1" t="s">
        <v>6135</v>
      </c>
    </row>
    <row r="2233" spans="1:12">
      <c r="A2233" s="3" t="s">
        <v>3357</v>
      </c>
      <c r="C2233" s="3" t="s">
        <v>3817</v>
      </c>
      <c r="D2233" s="3" t="s">
        <v>4084</v>
      </c>
      <c r="E2233" s="3" t="s">
        <v>3613</v>
      </c>
      <c r="F2233" s="3" t="s">
        <v>3614</v>
      </c>
      <c r="G2233" s="3" t="s">
        <v>4052</v>
      </c>
      <c r="H2233" s="6">
        <v>6.5955000000000004</v>
      </c>
      <c r="I2233" s="6">
        <v>3940034.2764474675</v>
      </c>
      <c r="J2233" s="3" t="s">
        <v>3356</v>
      </c>
      <c r="K2233" s="14" t="s">
        <v>2440</v>
      </c>
      <c r="L2233" s="1" t="s">
        <v>6135</v>
      </c>
    </row>
    <row r="2234" spans="1:12">
      <c r="A2234" s="3" t="s">
        <v>3357</v>
      </c>
      <c r="C2234" s="3" t="s">
        <v>3817</v>
      </c>
      <c r="D2234" s="3" t="s">
        <v>3618</v>
      </c>
      <c r="E2234" s="3" t="s">
        <v>3392</v>
      </c>
      <c r="F2234" s="3" t="s">
        <v>3393</v>
      </c>
      <c r="G2234" s="3" t="s">
        <v>3394</v>
      </c>
      <c r="H2234" s="6">
        <v>2.58995</v>
      </c>
      <c r="I2234" s="6">
        <v>389.00035709496058</v>
      </c>
      <c r="J2234" s="3" t="s">
        <v>3356</v>
      </c>
      <c r="K2234" s="14" t="s">
        <v>6136</v>
      </c>
      <c r="L2234" s="1" t="s">
        <v>6135</v>
      </c>
    </row>
    <row r="2235" spans="1:12">
      <c r="A2235" s="3" t="s">
        <v>3357</v>
      </c>
      <c r="C2235" s="3" t="s">
        <v>3817</v>
      </c>
      <c r="D2235" s="3" t="s">
        <v>3618</v>
      </c>
      <c r="E2235" s="3" t="s">
        <v>3392</v>
      </c>
      <c r="F2235" s="3" t="s">
        <v>3393</v>
      </c>
      <c r="G2235" s="3" t="s">
        <v>3062</v>
      </c>
      <c r="H2235" s="6">
        <v>2.81291</v>
      </c>
      <c r="I2235" s="6">
        <v>649.99497619814383</v>
      </c>
      <c r="J2235" s="3" t="s">
        <v>3356</v>
      </c>
      <c r="K2235" s="14" t="s">
        <v>2389</v>
      </c>
      <c r="L2235" s="1" t="s">
        <v>6135</v>
      </c>
    </row>
    <row r="2236" spans="1:12">
      <c r="A2236" s="3" t="s">
        <v>3357</v>
      </c>
      <c r="C2236" s="3" t="s">
        <v>3817</v>
      </c>
      <c r="D2236" s="3" t="s">
        <v>3618</v>
      </c>
      <c r="E2236" s="3" t="s">
        <v>3392</v>
      </c>
      <c r="F2236" s="3" t="s">
        <v>3393</v>
      </c>
      <c r="G2236" s="3" t="s">
        <v>3395</v>
      </c>
      <c r="H2236" s="6">
        <v>3.24797</v>
      </c>
      <c r="I2236" s="6">
        <v>1769.9866877455345</v>
      </c>
      <c r="J2236" s="3" t="s">
        <v>3356</v>
      </c>
      <c r="K2236" s="14" t="s">
        <v>6136</v>
      </c>
      <c r="L2236" s="1" t="s">
        <v>6135</v>
      </c>
    </row>
    <row r="2237" spans="1:12">
      <c r="A2237" s="3" t="s">
        <v>3357</v>
      </c>
      <c r="C2237" s="3" t="s">
        <v>3817</v>
      </c>
      <c r="D2237" s="3" t="s">
        <v>3618</v>
      </c>
      <c r="E2237" s="3" t="s">
        <v>3392</v>
      </c>
      <c r="F2237" s="3" t="s">
        <v>3396</v>
      </c>
      <c r="G2237" s="3" t="s">
        <v>3397</v>
      </c>
      <c r="H2237" s="6">
        <v>3.1972800000000001</v>
      </c>
      <c r="I2237" s="6">
        <v>1574.9979759188261</v>
      </c>
      <c r="J2237" s="3" t="s">
        <v>3356</v>
      </c>
      <c r="K2237" s="14" t="s">
        <v>2389</v>
      </c>
      <c r="L2237" s="1" t="s">
        <v>6135</v>
      </c>
    </row>
    <row r="2238" spans="1:12">
      <c r="A2238" s="3" t="s">
        <v>3357</v>
      </c>
      <c r="C2238" s="3" t="s">
        <v>3817</v>
      </c>
      <c r="D2238" s="3" t="s">
        <v>3618</v>
      </c>
      <c r="E2238" s="3" t="s">
        <v>3409</v>
      </c>
      <c r="F2238" s="3" t="s">
        <v>3410</v>
      </c>
      <c r="G2238" s="3" t="s">
        <v>3411</v>
      </c>
      <c r="H2238" s="6">
        <v>2.7958799999999999</v>
      </c>
      <c r="I2238" s="6">
        <v>624.99997503987015</v>
      </c>
      <c r="J2238" s="3" t="s">
        <v>3356</v>
      </c>
      <c r="K2238" s="14" t="s">
        <v>6136</v>
      </c>
      <c r="L2238" s="1" t="s">
        <v>6135</v>
      </c>
    </row>
    <row r="2239" spans="1:12">
      <c r="A2239" s="3" t="s">
        <v>3357</v>
      </c>
      <c r="C2239" s="3" t="s">
        <v>3817</v>
      </c>
      <c r="D2239" s="3" t="s">
        <v>3618</v>
      </c>
      <c r="E2239" s="3" t="s">
        <v>3409</v>
      </c>
      <c r="F2239" s="3" t="s">
        <v>3039</v>
      </c>
      <c r="G2239" s="3" t="s">
        <v>7682</v>
      </c>
      <c r="H2239" s="6">
        <v>1.8808100000000001</v>
      </c>
      <c r="I2239" s="6">
        <v>75.999371366152715</v>
      </c>
      <c r="J2239" s="3" t="s">
        <v>3356</v>
      </c>
      <c r="K2239" s="14" t="s">
        <v>6136</v>
      </c>
      <c r="L2239" s="1" t="s">
        <v>6135</v>
      </c>
    </row>
    <row r="2240" spans="1:12">
      <c r="A2240" s="3" t="s">
        <v>3357</v>
      </c>
      <c r="C2240" s="3" t="s">
        <v>3817</v>
      </c>
      <c r="D2240" s="3" t="s">
        <v>3618</v>
      </c>
      <c r="E2240" s="3" t="s">
        <v>3409</v>
      </c>
      <c r="F2240" s="3" t="s">
        <v>3039</v>
      </c>
      <c r="G2240" s="3" t="s">
        <v>2597</v>
      </c>
      <c r="H2240" s="6">
        <v>1.8912599999999999</v>
      </c>
      <c r="I2240" s="6">
        <v>77.850247928971555</v>
      </c>
      <c r="J2240" s="3" t="s">
        <v>3356</v>
      </c>
      <c r="K2240" s="14" t="s">
        <v>6136</v>
      </c>
      <c r="L2240" s="1" t="s">
        <v>6135</v>
      </c>
    </row>
    <row r="2241" spans="1:12">
      <c r="A2241" s="3" t="s">
        <v>3357</v>
      </c>
      <c r="C2241" s="3" t="s">
        <v>3817</v>
      </c>
      <c r="D2241" s="3" t="s">
        <v>3618</v>
      </c>
      <c r="E2241" s="3" t="s">
        <v>3409</v>
      </c>
      <c r="F2241" s="3" t="s">
        <v>3039</v>
      </c>
      <c r="G2241" s="3" t="s">
        <v>6695</v>
      </c>
      <c r="H2241" s="6">
        <v>2.3010299999999999</v>
      </c>
      <c r="I2241" s="6">
        <v>200.00000199681045</v>
      </c>
      <c r="J2241" s="3" t="s">
        <v>3356</v>
      </c>
      <c r="K2241" s="14" t="s">
        <v>2440</v>
      </c>
      <c r="L2241" s="1" t="s">
        <v>6135</v>
      </c>
    </row>
    <row r="2242" spans="1:12">
      <c r="A2242" s="3" t="s">
        <v>3357</v>
      </c>
      <c r="C2242" s="3" t="s">
        <v>3817</v>
      </c>
      <c r="D2242" s="3" t="s">
        <v>3618</v>
      </c>
      <c r="E2242" s="3" t="s">
        <v>3409</v>
      </c>
      <c r="F2242" s="3" t="s">
        <v>6325</v>
      </c>
      <c r="G2242" s="3" t="s">
        <v>4259</v>
      </c>
      <c r="H2242" s="6">
        <v>2.2576800000000001</v>
      </c>
      <c r="I2242" s="6">
        <v>181.00059394975446</v>
      </c>
      <c r="J2242" s="3" t="s">
        <v>3356</v>
      </c>
      <c r="K2242" s="14" t="s">
        <v>6136</v>
      </c>
      <c r="L2242" s="1" t="s">
        <v>6135</v>
      </c>
    </row>
    <row r="2243" spans="1:12">
      <c r="A2243" s="3" t="s">
        <v>3357</v>
      </c>
      <c r="C2243" s="3" t="s">
        <v>3817</v>
      </c>
      <c r="D2243" s="3" t="s">
        <v>3618</v>
      </c>
      <c r="E2243" s="3" t="s">
        <v>3409</v>
      </c>
      <c r="F2243" s="3" t="s">
        <v>3230</v>
      </c>
      <c r="G2243" s="3" t="s">
        <v>3025</v>
      </c>
      <c r="H2243" s="6">
        <v>2.2576800000000001</v>
      </c>
      <c r="I2243" s="6">
        <v>181.00059394975446</v>
      </c>
      <c r="J2243" s="3" t="s">
        <v>3356</v>
      </c>
      <c r="K2243" s="14" t="s">
        <v>6136</v>
      </c>
      <c r="L2243" s="1" t="s">
        <v>6135</v>
      </c>
    </row>
    <row r="2244" spans="1:12">
      <c r="A2244" s="3" t="s">
        <v>3357</v>
      </c>
      <c r="C2244" s="3" t="s">
        <v>3817</v>
      </c>
      <c r="D2244" s="3" t="s">
        <v>3618</v>
      </c>
      <c r="E2244" s="3" t="s">
        <v>3409</v>
      </c>
      <c r="F2244" s="3" t="s">
        <v>3026</v>
      </c>
      <c r="G2244" s="3" t="s">
        <v>3391</v>
      </c>
      <c r="H2244" s="6">
        <v>1.7403599999999999</v>
      </c>
      <c r="I2244" s="6">
        <v>54.999659397640222</v>
      </c>
      <c r="J2244" s="3" t="s">
        <v>3356</v>
      </c>
      <c r="K2244" s="14" t="s">
        <v>2440</v>
      </c>
      <c r="L2244" s="1" t="s">
        <v>6135</v>
      </c>
    </row>
    <row r="2245" spans="1:12">
      <c r="A2245" s="3" t="s">
        <v>3357</v>
      </c>
      <c r="C2245" s="3" t="s">
        <v>3817</v>
      </c>
      <c r="D2245" s="3" t="s">
        <v>3618</v>
      </c>
      <c r="E2245" s="3" t="s">
        <v>6223</v>
      </c>
      <c r="F2245" s="3" t="s">
        <v>6224</v>
      </c>
      <c r="G2245" s="3" t="s">
        <v>6225</v>
      </c>
      <c r="H2245" s="6">
        <v>1.8451</v>
      </c>
      <c r="I2245" s="6">
        <v>70.000315913089707</v>
      </c>
      <c r="J2245" s="3" t="s">
        <v>3356</v>
      </c>
      <c r="K2245" s="14" t="s">
        <v>6136</v>
      </c>
      <c r="L2245" s="1" t="s">
        <v>6135</v>
      </c>
    </row>
    <row r="2246" spans="1:12">
      <c r="A2246" s="3" t="s">
        <v>3357</v>
      </c>
      <c r="C2246" s="3" t="s">
        <v>3817</v>
      </c>
      <c r="D2246" s="3" t="s">
        <v>3618</v>
      </c>
      <c r="E2246" s="3" t="s">
        <v>6223</v>
      </c>
      <c r="F2246" s="3" t="s">
        <v>6224</v>
      </c>
      <c r="G2246" s="3" t="s">
        <v>3805</v>
      </c>
      <c r="H2246" s="6">
        <v>2.1398799999999998</v>
      </c>
      <c r="I2246" s="6">
        <v>138.00029030247268</v>
      </c>
      <c r="J2246" s="3" t="s">
        <v>3356</v>
      </c>
      <c r="K2246" s="14" t="s">
        <v>6136</v>
      </c>
      <c r="L2246" s="1" t="s">
        <v>6135</v>
      </c>
    </row>
    <row r="2247" spans="1:12">
      <c r="A2247" s="3" t="s">
        <v>3357</v>
      </c>
      <c r="C2247" s="3" t="s">
        <v>3817</v>
      </c>
      <c r="D2247" s="3" t="s">
        <v>3618</v>
      </c>
      <c r="E2247" s="3" t="s">
        <v>7240</v>
      </c>
      <c r="F2247" s="3" t="s">
        <v>7241</v>
      </c>
      <c r="G2247" s="3" t="s">
        <v>7242</v>
      </c>
      <c r="H2247" s="6">
        <v>3.5191699999999999</v>
      </c>
      <c r="I2247" s="6">
        <v>3304.9888602719334</v>
      </c>
      <c r="J2247" s="3" t="s">
        <v>3356</v>
      </c>
      <c r="K2247" s="14" t="s">
        <v>6136</v>
      </c>
      <c r="L2247" s="1" t="s">
        <v>6135</v>
      </c>
    </row>
    <row r="2248" spans="1:12">
      <c r="A2248" s="3" t="s">
        <v>3357</v>
      </c>
      <c r="C2248" s="3" t="s">
        <v>3817</v>
      </c>
      <c r="D2248" s="3" t="s">
        <v>3618</v>
      </c>
      <c r="E2248" s="3" t="s">
        <v>7240</v>
      </c>
      <c r="F2248" s="3" t="s">
        <v>7243</v>
      </c>
      <c r="G2248" s="3" t="s">
        <v>4635</v>
      </c>
      <c r="H2248" s="6">
        <v>4.1476800000000003</v>
      </c>
      <c r="I2248" s="6">
        <v>14050.11891615776</v>
      </c>
      <c r="J2248" s="3" t="s">
        <v>3356</v>
      </c>
      <c r="K2248" s="14" t="s">
        <v>6136</v>
      </c>
      <c r="L2248" s="1" t="s">
        <v>6135</v>
      </c>
    </row>
    <row r="2249" spans="1:12">
      <c r="A2249" s="3" t="s">
        <v>3357</v>
      </c>
      <c r="C2249" s="3" t="s">
        <v>3817</v>
      </c>
      <c r="D2249" s="3" t="s">
        <v>3618</v>
      </c>
      <c r="E2249" s="3" t="s">
        <v>7240</v>
      </c>
      <c r="F2249" s="3" t="s">
        <v>7243</v>
      </c>
      <c r="G2249" s="3" t="s">
        <v>2461</v>
      </c>
      <c r="H2249" s="6">
        <v>4.3010299999999999</v>
      </c>
      <c r="I2249" s="6">
        <v>20000.000199681075</v>
      </c>
      <c r="J2249" s="3" t="s">
        <v>3356</v>
      </c>
      <c r="K2249" s="14" t="s">
        <v>6136</v>
      </c>
      <c r="L2249" s="1" t="s">
        <v>6135</v>
      </c>
    </row>
    <row r="2250" spans="1:12">
      <c r="A2250" s="3" t="s">
        <v>3357</v>
      </c>
      <c r="C2250" s="3" t="s">
        <v>3817</v>
      </c>
      <c r="D2250" s="3" t="s">
        <v>3618</v>
      </c>
      <c r="E2250" s="3" t="s">
        <v>3638</v>
      </c>
      <c r="F2250" s="3" t="s">
        <v>3639</v>
      </c>
      <c r="G2250" s="3" t="s">
        <v>3181</v>
      </c>
      <c r="H2250" s="6">
        <v>1.55023</v>
      </c>
      <c r="I2250" s="6">
        <v>35.5001346244483</v>
      </c>
      <c r="J2250" s="3" t="s">
        <v>3356</v>
      </c>
      <c r="K2250" s="14" t="s">
        <v>6136</v>
      </c>
      <c r="L2250" s="1" t="s">
        <v>6135</v>
      </c>
    </row>
    <row r="2251" spans="1:12">
      <c r="A2251" s="3" t="s">
        <v>3357</v>
      </c>
      <c r="C2251" s="3" t="s">
        <v>3817</v>
      </c>
      <c r="D2251" s="3" t="s">
        <v>3618</v>
      </c>
      <c r="E2251" s="3" t="s">
        <v>3638</v>
      </c>
      <c r="F2251" s="3" t="s">
        <v>3639</v>
      </c>
      <c r="G2251" s="3" t="s">
        <v>3182</v>
      </c>
      <c r="H2251" s="6">
        <v>1.30535</v>
      </c>
      <c r="I2251" s="6">
        <v>20.199936304099325</v>
      </c>
      <c r="J2251" s="3" t="s">
        <v>3356</v>
      </c>
      <c r="K2251" s="14" t="s">
        <v>6136</v>
      </c>
      <c r="L2251" s="1" t="s">
        <v>6135</v>
      </c>
    </row>
    <row r="2252" spans="1:12">
      <c r="A2252" s="3" t="s">
        <v>3357</v>
      </c>
      <c r="C2252" s="3" t="s">
        <v>3817</v>
      </c>
      <c r="D2252" s="3" t="s">
        <v>3618</v>
      </c>
      <c r="E2252" s="3" t="s">
        <v>3638</v>
      </c>
      <c r="F2252" s="3" t="s">
        <v>3639</v>
      </c>
      <c r="G2252" s="3" t="s">
        <v>3183</v>
      </c>
      <c r="H2252" s="6">
        <v>1.7958799999999999</v>
      </c>
      <c r="I2252" s="6">
        <v>62.499997503987004</v>
      </c>
      <c r="J2252" s="3" t="s">
        <v>3356</v>
      </c>
      <c r="K2252" s="14" t="s">
        <v>6136</v>
      </c>
      <c r="L2252" s="1" t="s">
        <v>6135</v>
      </c>
    </row>
    <row r="2253" spans="1:12">
      <c r="A2253" s="3" t="s">
        <v>3357</v>
      </c>
      <c r="C2253" s="3" t="s">
        <v>3817</v>
      </c>
      <c r="D2253" s="3" t="s">
        <v>3618</v>
      </c>
      <c r="E2253" s="3" t="s">
        <v>3638</v>
      </c>
      <c r="F2253" s="3" t="s">
        <v>3639</v>
      </c>
      <c r="G2253" s="3" t="s">
        <v>3184</v>
      </c>
      <c r="H2253" s="6">
        <v>1.4232499999999999</v>
      </c>
      <c r="I2253" s="6">
        <v>26.500251767403348</v>
      </c>
      <c r="J2253" s="3" t="s">
        <v>3356</v>
      </c>
      <c r="K2253" s="14" t="s">
        <v>6136</v>
      </c>
      <c r="L2253" s="1" t="s">
        <v>6135</v>
      </c>
    </row>
    <row r="2254" spans="1:12">
      <c r="A2254" s="3" t="s">
        <v>3357</v>
      </c>
      <c r="C2254" s="3" t="s">
        <v>3817</v>
      </c>
      <c r="D2254" s="3" t="s">
        <v>3618</v>
      </c>
      <c r="E2254" s="3" t="s">
        <v>3638</v>
      </c>
      <c r="F2254" s="3" t="s">
        <v>3639</v>
      </c>
      <c r="G2254" s="3" t="s">
        <v>3494</v>
      </c>
      <c r="H2254" s="6">
        <v>1.3374600000000001</v>
      </c>
      <c r="I2254" s="6">
        <v>21.750036995500906</v>
      </c>
      <c r="J2254" s="3" t="s">
        <v>3356</v>
      </c>
      <c r="L2254" s="1" t="s">
        <v>6135</v>
      </c>
    </row>
    <row r="2255" spans="1:12">
      <c r="A2255" s="3" t="s">
        <v>3357</v>
      </c>
      <c r="C2255" s="3" t="s">
        <v>3817</v>
      </c>
      <c r="D2255" s="3" t="s">
        <v>3618</v>
      </c>
      <c r="E2255" s="3" t="s">
        <v>3638</v>
      </c>
      <c r="F2255" s="3" t="s">
        <v>3639</v>
      </c>
      <c r="G2255" s="3" t="s">
        <v>3185</v>
      </c>
      <c r="H2255" s="6">
        <v>1.2671699999999999</v>
      </c>
      <c r="I2255" s="6">
        <v>18.499926373938745</v>
      </c>
      <c r="J2255" s="3" t="s">
        <v>3356</v>
      </c>
      <c r="K2255" s="14" t="s">
        <v>6136</v>
      </c>
      <c r="L2255" s="1" t="s">
        <v>6135</v>
      </c>
    </row>
    <row r="2256" spans="1:12">
      <c r="A2256" s="3" t="s">
        <v>3357</v>
      </c>
      <c r="C2256" s="3" t="s">
        <v>3817</v>
      </c>
      <c r="D2256" s="3" t="s">
        <v>3618</v>
      </c>
      <c r="E2256" s="3" t="s">
        <v>3638</v>
      </c>
      <c r="F2256" s="3" t="s">
        <v>3186</v>
      </c>
      <c r="G2256" s="3" t="s">
        <v>3187</v>
      </c>
      <c r="H2256" s="6">
        <v>1.9190799999999999</v>
      </c>
      <c r="I2256" s="6">
        <v>83.000364575513203</v>
      </c>
      <c r="J2256" s="3" t="s">
        <v>3356</v>
      </c>
      <c r="K2256" s="14" t="s">
        <v>6136</v>
      </c>
      <c r="L2256" s="1" t="s">
        <v>6135</v>
      </c>
    </row>
    <row r="2257" spans="1:12">
      <c r="A2257" s="3" t="s">
        <v>3357</v>
      </c>
      <c r="C2257" s="3" t="s">
        <v>3817</v>
      </c>
      <c r="D2257" s="3" t="s">
        <v>3618</v>
      </c>
      <c r="E2257" s="3" t="s">
        <v>3638</v>
      </c>
      <c r="F2257" s="3" t="s">
        <v>3186</v>
      </c>
      <c r="G2257" s="3" t="s">
        <v>3188</v>
      </c>
      <c r="H2257" s="6">
        <v>2</v>
      </c>
      <c r="I2257" s="6">
        <v>100</v>
      </c>
      <c r="J2257" s="3" t="s">
        <v>3356</v>
      </c>
      <c r="K2257" s="14" t="s">
        <v>2440</v>
      </c>
      <c r="L2257" s="1" t="s">
        <v>6135</v>
      </c>
    </row>
    <row r="2258" spans="1:12">
      <c r="A2258" s="3" t="s">
        <v>3357</v>
      </c>
      <c r="C2258" s="3" t="s">
        <v>3817</v>
      </c>
      <c r="D2258" s="3" t="s">
        <v>3618</v>
      </c>
      <c r="E2258" s="3" t="s">
        <v>3638</v>
      </c>
      <c r="F2258" s="3" t="s">
        <v>3186</v>
      </c>
      <c r="G2258" s="3" t="s">
        <v>3189</v>
      </c>
      <c r="H2258" s="6">
        <v>1.95424</v>
      </c>
      <c r="I2258" s="6">
        <v>89.999479963720162</v>
      </c>
      <c r="J2258" s="3" t="s">
        <v>3356</v>
      </c>
      <c r="K2258" s="14" t="s">
        <v>2440</v>
      </c>
      <c r="L2258" s="1" t="s">
        <v>6135</v>
      </c>
    </row>
    <row r="2259" spans="1:12">
      <c r="A2259" s="3" t="s">
        <v>3357</v>
      </c>
      <c r="C2259" s="3" t="s">
        <v>3817</v>
      </c>
      <c r="D2259" s="3" t="s">
        <v>3618</v>
      </c>
      <c r="E2259" s="3" t="s">
        <v>3638</v>
      </c>
      <c r="F2259" s="3" t="s">
        <v>3186</v>
      </c>
      <c r="G2259" s="3" t="s">
        <v>3190</v>
      </c>
      <c r="H2259" s="6">
        <v>1.68842</v>
      </c>
      <c r="I2259" s="6">
        <v>48.800020000874689</v>
      </c>
      <c r="J2259" s="3" t="s">
        <v>3356</v>
      </c>
      <c r="K2259" s="14" t="s">
        <v>6136</v>
      </c>
      <c r="L2259" s="1" t="s">
        <v>6135</v>
      </c>
    </row>
    <row r="2260" spans="1:12">
      <c r="A2260" s="3" t="s">
        <v>3357</v>
      </c>
      <c r="C2260" s="3" t="s">
        <v>3817</v>
      </c>
      <c r="D2260" s="3" t="s">
        <v>3618</v>
      </c>
      <c r="E2260" s="3" t="s">
        <v>3638</v>
      </c>
      <c r="F2260" s="3" t="s">
        <v>6323</v>
      </c>
      <c r="G2260" s="3" t="s">
        <v>3193</v>
      </c>
      <c r="H2260" s="6">
        <v>1.8870499999999999</v>
      </c>
      <c r="I2260" s="6">
        <v>77.099222771549108</v>
      </c>
      <c r="J2260" s="3" t="s">
        <v>3356</v>
      </c>
      <c r="K2260" s="14" t="s">
        <v>6136</v>
      </c>
      <c r="L2260" s="1" t="s">
        <v>6135</v>
      </c>
    </row>
    <row r="2261" spans="1:12">
      <c r="A2261" s="3" t="s">
        <v>3357</v>
      </c>
      <c r="C2261" s="3" t="s">
        <v>3817</v>
      </c>
      <c r="D2261" s="3" t="s">
        <v>3618</v>
      </c>
      <c r="E2261" s="3" t="s">
        <v>3638</v>
      </c>
      <c r="F2261" s="3" t="s">
        <v>6323</v>
      </c>
      <c r="G2261" s="3" t="s">
        <v>3194</v>
      </c>
      <c r="H2261" s="6">
        <v>2.1072099999999998</v>
      </c>
      <c r="I2261" s="6">
        <v>128.00000894571116</v>
      </c>
      <c r="J2261" s="3" t="s">
        <v>3356</v>
      </c>
      <c r="K2261" s="14" t="s">
        <v>6136</v>
      </c>
      <c r="L2261" s="1" t="s">
        <v>6135</v>
      </c>
    </row>
    <row r="2262" spans="1:12">
      <c r="A2262" s="3" t="s">
        <v>3357</v>
      </c>
      <c r="C2262" s="3" t="s">
        <v>3817</v>
      </c>
      <c r="D2262" s="3" t="s">
        <v>3618</v>
      </c>
      <c r="E2262" s="3" t="s">
        <v>3638</v>
      </c>
      <c r="F2262" s="3" t="s">
        <v>6323</v>
      </c>
      <c r="G2262" s="3" t="s">
        <v>4894</v>
      </c>
      <c r="H2262" s="6">
        <v>1.62839</v>
      </c>
      <c r="I2262" s="6">
        <v>42.500104705262615</v>
      </c>
      <c r="J2262" s="3" t="s">
        <v>3356</v>
      </c>
      <c r="K2262" s="14" t="s">
        <v>6136</v>
      </c>
      <c r="L2262" s="1" t="s">
        <v>6135</v>
      </c>
    </row>
    <row r="2263" spans="1:12">
      <c r="A2263" s="3" t="s">
        <v>3357</v>
      </c>
      <c r="C2263" s="3" t="s">
        <v>3817</v>
      </c>
      <c r="D2263" s="3" t="s">
        <v>3618</v>
      </c>
      <c r="E2263" s="3" t="s">
        <v>3638</v>
      </c>
      <c r="F2263" s="3" t="s">
        <v>4895</v>
      </c>
      <c r="G2263" s="3" t="s">
        <v>3188</v>
      </c>
      <c r="H2263" s="6">
        <v>1.95303</v>
      </c>
      <c r="I2263" s="6">
        <v>89.74907888268595</v>
      </c>
      <c r="J2263" s="3" t="s">
        <v>3356</v>
      </c>
      <c r="K2263" s="14" t="s">
        <v>6136</v>
      </c>
      <c r="L2263" s="1" t="s">
        <v>6135</v>
      </c>
    </row>
    <row r="2264" spans="1:12">
      <c r="A2264" s="3" t="s">
        <v>3357</v>
      </c>
      <c r="C2264" s="3" t="s">
        <v>3817</v>
      </c>
      <c r="D2264" s="3" t="s">
        <v>3618</v>
      </c>
      <c r="E2264" s="3" t="s">
        <v>3638</v>
      </c>
      <c r="F2264" s="3" t="s">
        <v>4896</v>
      </c>
      <c r="G2264" s="3" t="s">
        <v>4897</v>
      </c>
      <c r="H2264" s="6">
        <v>1.7201599999999999</v>
      </c>
      <c r="I2264" s="6">
        <v>52.500084208338166</v>
      </c>
      <c r="J2264" s="3" t="s">
        <v>3356</v>
      </c>
      <c r="K2264" s="14" t="s">
        <v>6136</v>
      </c>
      <c r="L2264" s="1" t="s">
        <v>6135</v>
      </c>
    </row>
    <row r="2265" spans="1:12">
      <c r="A2265" s="3" t="s">
        <v>3357</v>
      </c>
      <c r="C2265" s="3" t="s">
        <v>3817</v>
      </c>
      <c r="D2265" s="3" t="s">
        <v>3618</v>
      </c>
      <c r="E2265" s="3" t="s">
        <v>3638</v>
      </c>
      <c r="F2265" s="3" t="s">
        <v>4898</v>
      </c>
      <c r="G2265" s="3" t="s">
        <v>4899</v>
      </c>
      <c r="H2265" s="6">
        <v>3.1139399999999999</v>
      </c>
      <c r="I2265" s="6">
        <v>1299.9899653754551</v>
      </c>
      <c r="J2265" s="3" t="s">
        <v>3356</v>
      </c>
      <c r="K2265" s="14" t="s">
        <v>6136</v>
      </c>
      <c r="L2265" s="1" t="s">
        <v>6135</v>
      </c>
    </row>
    <row r="2266" spans="1:12">
      <c r="A2266" s="3" t="s">
        <v>3357</v>
      </c>
      <c r="C2266" s="3" t="s">
        <v>3817</v>
      </c>
      <c r="D2266" s="3" t="s">
        <v>3618</v>
      </c>
      <c r="E2266" s="3" t="s">
        <v>3638</v>
      </c>
      <c r="F2266" s="3" t="s">
        <v>4898</v>
      </c>
      <c r="G2266" s="3" t="s">
        <v>4900</v>
      </c>
      <c r="H2266" s="6">
        <v>3.0092400000000001</v>
      </c>
      <c r="I2266" s="6">
        <v>1021.5038316370625</v>
      </c>
      <c r="J2266" s="3" t="s">
        <v>3356</v>
      </c>
      <c r="K2266" s="14" t="s">
        <v>6136</v>
      </c>
      <c r="L2266" s="1" t="s">
        <v>6135</v>
      </c>
    </row>
    <row r="2267" spans="1:12">
      <c r="A2267" s="3" t="s">
        <v>3357</v>
      </c>
      <c r="C2267" s="3" t="s">
        <v>3817</v>
      </c>
      <c r="D2267" s="3" t="s">
        <v>3618</v>
      </c>
      <c r="E2267" s="3" t="s">
        <v>3638</v>
      </c>
      <c r="F2267" s="3" t="s">
        <v>7684</v>
      </c>
      <c r="G2267" s="3" t="s">
        <v>4625</v>
      </c>
      <c r="H2267" s="6">
        <v>1.9592799999999999</v>
      </c>
      <c r="I2267" s="6">
        <v>91.050010455067877</v>
      </c>
      <c r="J2267" s="3" t="s">
        <v>3356</v>
      </c>
      <c r="K2267" s="14" t="s">
        <v>6136</v>
      </c>
      <c r="L2267" s="1" t="s">
        <v>6135</v>
      </c>
    </row>
    <row r="2268" spans="1:12">
      <c r="A2268" s="3" t="s">
        <v>3357</v>
      </c>
      <c r="C2268" s="3" t="s">
        <v>3817</v>
      </c>
      <c r="D2268" s="3" t="s">
        <v>3618</v>
      </c>
      <c r="E2268" s="3" t="s">
        <v>3638</v>
      </c>
      <c r="F2268" s="3" t="s">
        <v>4626</v>
      </c>
      <c r="G2268" s="3" t="s">
        <v>4489</v>
      </c>
      <c r="H2268" s="6">
        <v>0.69896999999999998</v>
      </c>
      <c r="I2268" s="6">
        <v>4.9999999500797392</v>
      </c>
      <c r="J2268" s="3" t="s">
        <v>3356</v>
      </c>
      <c r="K2268" s="14" t="s">
        <v>2440</v>
      </c>
      <c r="L2268" s="1" t="s">
        <v>6135</v>
      </c>
    </row>
    <row r="2269" spans="1:12">
      <c r="A2269" s="3" t="s">
        <v>3357</v>
      </c>
      <c r="C2269" s="3" t="s">
        <v>3817</v>
      </c>
      <c r="D2269" s="3" t="s">
        <v>3618</v>
      </c>
      <c r="E2269" s="3" t="s">
        <v>3638</v>
      </c>
      <c r="F2269" s="3" t="s">
        <v>4490</v>
      </c>
      <c r="G2269" s="3" t="s">
        <v>3191</v>
      </c>
      <c r="H2269" s="6">
        <v>1.07918</v>
      </c>
      <c r="I2269" s="6">
        <v>11.999965570481159</v>
      </c>
      <c r="J2269" s="3" t="s">
        <v>3356</v>
      </c>
      <c r="K2269" s="14" t="s">
        <v>6136</v>
      </c>
      <c r="L2269" s="1" t="s">
        <v>6135</v>
      </c>
    </row>
    <row r="2270" spans="1:12">
      <c r="A2270" s="3" t="s">
        <v>3357</v>
      </c>
      <c r="C2270" s="3" t="s">
        <v>3817</v>
      </c>
      <c r="D2270" s="3" t="s">
        <v>3618</v>
      </c>
      <c r="E2270" s="3" t="s">
        <v>3638</v>
      </c>
      <c r="F2270" s="3" t="s">
        <v>4490</v>
      </c>
      <c r="G2270" s="3" t="s">
        <v>4633</v>
      </c>
      <c r="H2270" s="6">
        <v>0.86629</v>
      </c>
      <c r="I2270" s="6">
        <v>7.3500450334781995</v>
      </c>
      <c r="J2270" s="3" t="s">
        <v>3356</v>
      </c>
      <c r="K2270" s="14" t="s">
        <v>6136</v>
      </c>
      <c r="L2270" s="1" t="s">
        <v>6135</v>
      </c>
    </row>
    <row r="2271" spans="1:12">
      <c r="A2271" s="3" t="s">
        <v>3357</v>
      </c>
      <c r="C2271" s="3" t="s">
        <v>3817</v>
      </c>
      <c r="D2271" s="3" t="s">
        <v>3618</v>
      </c>
      <c r="E2271" s="3" t="s">
        <v>3638</v>
      </c>
      <c r="F2271" s="3" t="s">
        <v>4490</v>
      </c>
      <c r="G2271" s="3" t="s">
        <v>7365</v>
      </c>
      <c r="H2271" s="6">
        <v>1.05308</v>
      </c>
      <c r="I2271" s="6">
        <v>11.300040499406762</v>
      </c>
      <c r="J2271" s="3" t="s">
        <v>3356</v>
      </c>
      <c r="K2271" s="14" t="s">
        <v>6136</v>
      </c>
      <c r="L2271" s="1" t="s">
        <v>6135</v>
      </c>
    </row>
    <row r="2272" spans="1:12">
      <c r="A2272" s="3" t="s">
        <v>3357</v>
      </c>
      <c r="C2272" s="3" t="s">
        <v>3817</v>
      </c>
      <c r="D2272" s="3" t="s">
        <v>3618</v>
      </c>
      <c r="E2272" s="3" t="s">
        <v>3638</v>
      </c>
      <c r="F2272" s="3" t="s">
        <v>4490</v>
      </c>
      <c r="G2272" s="3" t="s">
        <v>3192</v>
      </c>
      <c r="H2272" s="6">
        <v>0.88366</v>
      </c>
      <c r="I2272" s="6">
        <v>7.6499747201323283</v>
      </c>
      <c r="J2272" s="3" t="s">
        <v>3356</v>
      </c>
      <c r="K2272" s="14" t="s">
        <v>6136</v>
      </c>
      <c r="L2272" s="1" t="s">
        <v>6135</v>
      </c>
    </row>
    <row r="2273" spans="1:12">
      <c r="A2273" s="3" t="s">
        <v>3357</v>
      </c>
      <c r="C2273" s="3" t="s">
        <v>3817</v>
      </c>
      <c r="D2273" s="3" t="s">
        <v>3618</v>
      </c>
      <c r="E2273" s="3" t="s">
        <v>3638</v>
      </c>
      <c r="F2273" s="3" t="s">
        <v>4490</v>
      </c>
      <c r="G2273" s="3" t="s">
        <v>4092</v>
      </c>
      <c r="H2273" s="6">
        <v>1.1760900000000001</v>
      </c>
      <c r="I2273" s="6">
        <v>14.999956513820401</v>
      </c>
      <c r="J2273" s="3" t="s">
        <v>3356</v>
      </c>
      <c r="K2273" s="14" t="s">
        <v>2440</v>
      </c>
      <c r="L2273" s="1" t="s">
        <v>6135</v>
      </c>
    </row>
    <row r="2274" spans="1:12">
      <c r="A2274" s="3" t="s">
        <v>3357</v>
      </c>
      <c r="C2274" s="3" t="s">
        <v>3817</v>
      </c>
      <c r="D2274" s="3" t="s">
        <v>3618</v>
      </c>
      <c r="E2274" s="3" t="s">
        <v>3638</v>
      </c>
      <c r="F2274" s="3" t="s">
        <v>3640</v>
      </c>
      <c r="G2274" s="3" t="s">
        <v>3641</v>
      </c>
      <c r="H2274" s="6">
        <v>1.7143299999999999</v>
      </c>
      <c r="I2274" s="6">
        <v>51.800028656132852</v>
      </c>
      <c r="J2274" s="3" t="s">
        <v>3356</v>
      </c>
      <c r="K2274" s="14" t="s">
        <v>6136</v>
      </c>
      <c r="L2274" s="1" t="s">
        <v>6135</v>
      </c>
    </row>
    <row r="2275" spans="1:12">
      <c r="A2275" s="3" t="s">
        <v>3357</v>
      </c>
      <c r="C2275" s="3" t="s">
        <v>3817</v>
      </c>
      <c r="D2275" s="3" t="s">
        <v>3618</v>
      </c>
      <c r="E2275" s="3" t="s">
        <v>3638</v>
      </c>
      <c r="F2275" s="3" t="s">
        <v>3642</v>
      </c>
      <c r="G2275" s="3" t="s">
        <v>3643</v>
      </c>
      <c r="H2275" s="6">
        <v>1.6339699999999999</v>
      </c>
      <c r="I2275" s="6">
        <v>43.049687179419706</v>
      </c>
      <c r="J2275" s="3" t="s">
        <v>3356</v>
      </c>
      <c r="K2275" s="14" t="s">
        <v>6136</v>
      </c>
      <c r="L2275" s="1" t="s">
        <v>6135</v>
      </c>
    </row>
    <row r="2276" spans="1:12">
      <c r="A2276" s="3" t="s">
        <v>3357</v>
      </c>
      <c r="C2276" s="3" t="s">
        <v>3817</v>
      </c>
      <c r="D2276" s="3" t="s">
        <v>3618</v>
      </c>
      <c r="E2276" s="3" t="s">
        <v>3638</v>
      </c>
      <c r="F2276" s="3" t="s">
        <v>3608</v>
      </c>
      <c r="G2276" s="3" t="s">
        <v>3609</v>
      </c>
      <c r="H2276" s="6">
        <v>1</v>
      </c>
      <c r="I2276" s="6">
        <v>10</v>
      </c>
      <c r="J2276" s="3" t="s">
        <v>3356</v>
      </c>
      <c r="K2276" s="14" t="s">
        <v>5973</v>
      </c>
      <c r="L2276" s="1" t="s">
        <v>6135</v>
      </c>
    </row>
    <row r="2277" spans="1:12">
      <c r="A2277" s="3" t="s">
        <v>3357</v>
      </c>
      <c r="C2277" s="3" t="s">
        <v>3817</v>
      </c>
      <c r="D2277" s="3" t="s">
        <v>3618</v>
      </c>
      <c r="E2277" s="3" t="s">
        <v>3638</v>
      </c>
      <c r="F2277" s="3" t="s">
        <v>4089</v>
      </c>
      <c r="G2277" s="3" t="s">
        <v>3412</v>
      </c>
      <c r="H2277" s="6">
        <v>1.7267300000000001</v>
      </c>
      <c r="I2277" s="6">
        <v>53.300342531088724</v>
      </c>
      <c r="J2277" s="3" t="s">
        <v>3356</v>
      </c>
      <c r="K2277" s="14" t="s">
        <v>6136</v>
      </c>
      <c r="L2277" s="1" t="s">
        <v>6135</v>
      </c>
    </row>
    <row r="2278" spans="1:12">
      <c r="A2278" s="3" t="s">
        <v>3357</v>
      </c>
      <c r="C2278" s="3" t="s">
        <v>3817</v>
      </c>
      <c r="D2278" s="3" t="s">
        <v>3618</v>
      </c>
      <c r="E2278" s="3" t="s">
        <v>3638</v>
      </c>
      <c r="F2278" s="3" t="s">
        <v>3451</v>
      </c>
      <c r="G2278" s="3" t="s">
        <v>3452</v>
      </c>
      <c r="H2278" s="6">
        <v>1.3673599999999999</v>
      </c>
      <c r="I2278" s="6">
        <v>23.300218838930814</v>
      </c>
      <c r="J2278" s="3" t="s">
        <v>3356</v>
      </c>
      <c r="K2278" s="14" t="s">
        <v>6136</v>
      </c>
      <c r="L2278" s="1" t="s">
        <v>6135</v>
      </c>
    </row>
    <row r="2279" spans="1:12">
      <c r="A2279" s="3" t="s">
        <v>3357</v>
      </c>
      <c r="C2279" s="3" t="s">
        <v>3817</v>
      </c>
      <c r="D2279" s="3" t="s">
        <v>3618</v>
      </c>
      <c r="E2279" s="3" t="s">
        <v>3638</v>
      </c>
      <c r="F2279" s="3" t="s">
        <v>3451</v>
      </c>
      <c r="G2279" s="3" t="s">
        <v>3414</v>
      </c>
      <c r="H2279" s="6">
        <v>1.5831999999999999</v>
      </c>
      <c r="I2279" s="6">
        <v>38.300108122644858</v>
      </c>
      <c r="J2279" s="3" t="s">
        <v>3356</v>
      </c>
      <c r="K2279" s="14" t="s">
        <v>6136</v>
      </c>
      <c r="L2279" s="1" t="s">
        <v>6135</v>
      </c>
    </row>
    <row r="2280" spans="1:12">
      <c r="A2280" s="3" t="s">
        <v>3357</v>
      </c>
      <c r="C2280" s="3" t="s">
        <v>3817</v>
      </c>
      <c r="D2280" s="3" t="s">
        <v>3618</v>
      </c>
      <c r="E2280" s="3" t="s">
        <v>3638</v>
      </c>
      <c r="F2280" s="3" t="s">
        <v>3451</v>
      </c>
      <c r="G2280" s="3" t="s">
        <v>3886</v>
      </c>
      <c r="H2280" s="6">
        <v>1.49136</v>
      </c>
      <c r="I2280" s="6">
        <v>30.999879094111858</v>
      </c>
      <c r="J2280" s="3" t="s">
        <v>3356</v>
      </c>
      <c r="K2280" s="14" t="s">
        <v>6136</v>
      </c>
      <c r="L2280" s="1" t="s">
        <v>6135</v>
      </c>
    </row>
    <row r="2281" spans="1:12">
      <c r="A2281" s="3" t="s">
        <v>3357</v>
      </c>
      <c r="C2281" s="3" t="s">
        <v>3817</v>
      </c>
      <c r="D2281" s="3" t="s">
        <v>3618</v>
      </c>
      <c r="E2281" s="3" t="s">
        <v>3638</v>
      </c>
      <c r="F2281" s="3" t="s">
        <v>3451</v>
      </c>
      <c r="G2281" s="3" t="s">
        <v>4088</v>
      </c>
      <c r="H2281" s="6">
        <v>1.5471600000000001</v>
      </c>
      <c r="I2281" s="6">
        <v>35.250071318520412</v>
      </c>
      <c r="J2281" s="3" t="s">
        <v>3356</v>
      </c>
      <c r="K2281" s="14" t="s">
        <v>6136</v>
      </c>
      <c r="L2281" s="1" t="s">
        <v>6135</v>
      </c>
    </row>
    <row r="2282" spans="1:12">
      <c r="A2282" s="3" t="s">
        <v>3357</v>
      </c>
      <c r="C2282" s="3" t="s">
        <v>3817</v>
      </c>
      <c r="D2282" s="3" t="s">
        <v>3618</v>
      </c>
      <c r="E2282" s="3" t="s">
        <v>3638</v>
      </c>
      <c r="F2282" s="3" t="s">
        <v>4775</v>
      </c>
      <c r="G2282" s="3" t="s">
        <v>4402</v>
      </c>
      <c r="H2282" s="6">
        <v>1.3424199999999999</v>
      </c>
      <c r="I2282" s="6">
        <v>21.999864198351659</v>
      </c>
      <c r="J2282" s="3" t="s">
        <v>3356</v>
      </c>
      <c r="K2282" s="14" t="s">
        <v>6136</v>
      </c>
      <c r="L2282" s="1" t="s">
        <v>6135</v>
      </c>
    </row>
    <row r="2283" spans="1:12">
      <c r="A2283" s="3" t="s">
        <v>3357</v>
      </c>
      <c r="C2283" s="3" t="s">
        <v>3817</v>
      </c>
      <c r="D2283" s="3" t="s">
        <v>3618</v>
      </c>
      <c r="E2283" s="3" t="s">
        <v>3638</v>
      </c>
      <c r="F2283" s="3" t="s">
        <v>4775</v>
      </c>
      <c r="G2283" s="3" t="s">
        <v>3628</v>
      </c>
      <c r="H2283" s="6">
        <v>1.78176</v>
      </c>
      <c r="I2283" s="6">
        <v>60.500644343935861</v>
      </c>
      <c r="J2283" s="3" t="s">
        <v>3356</v>
      </c>
      <c r="K2283" s="14" t="s">
        <v>6136</v>
      </c>
      <c r="L2283" s="1" t="s">
        <v>6135</v>
      </c>
    </row>
    <row r="2284" spans="1:12">
      <c r="A2284" s="3" t="s">
        <v>3357</v>
      </c>
      <c r="C2284" s="3" t="s">
        <v>3817</v>
      </c>
      <c r="D2284" s="3" t="s">
        <v>3618</v>
      </c>
      <c r="E2284" s="3" t="s">
        <v>3638</v>
      </c>
      <c r="F2284" s="3" t="s">
        <v>4775</v>
      </c>
      <c r="G2284" s="3" t="s">
        <v>4302</v>
      </c>
      <c r="H2284" s="6">
        <v>1.37107</v>
      </c>
      <c r="I2284" s="6">
        <v>23.500115674363677</v>
      </c>
      <c r="J2284" s="3" t="s">
        <v>3356</v>
      </c>
      <c r="K2284" s="14" t="s">
        <v>2100</v>
      </c>
      <c r="L2284" s="1" t="s">
        <v>6135</v>
      </c>
    </row>
    <row r="2285" spans="1:12">
      <c r="A2285" s="3" t="s">
        <v>3357</v>
      </c>
      <c r="C2285" s="3" t="s">
        <v>3817</v>
      </c>
      <c r="D2285" s="3" t="s">
        <v>3618</v>
      </c>
      <c r="E2285" s="3" t="s">
        <v>3638</v>
      </c>
      <c r="F2285" s="3" t="s">
        <v>4775</v>
      </c>
      <c r="G2285" s="3" t="s">
        <v>3625</v>
      </c>
      <c r="H2285" s="6">
        <v>1.5397000000000001</v>
      </c>
      <c r="I2285" s="6">
        <v>34.649741582892894</v>
      </c>
      <c r="J2285" s="3" t="s">
        <v>3356</v>
      </c>
      <c r="K2285" s="14" t="s">
        <v>6136</v>
      </c>
      <c r="L2285" s="1" t="s">
        <v>6135</v>
      </c>
    </row>
    <row r="2286" spans="1:12">
      <c r="A2286" s="3" t="s">
        <v>3357</v>
      </c>
      <c r="C2286" s="3" t="s">
        <v>3817</v>
      </c>
      <c r="D2286" s="3" t="s">
        <v>3618</v>
      </c>
      <c r="E2286" s="3" t="s">
        <v>3638</v>
      </c>
      <c r="F2286" s="3" t="s">
        <v>4775</v>
      </c>
      <c r="G2286" s="3" t="s">
        <v>3626</v>
      </c>
      <c r="H2286" s="6">
        <v>0.90308999999999995</v>
      </c>
      <c r="I2286" s="6">
        <v>8.0000002396172594</v>
      </c>
      <c r="J2286" s="3" t="s">
        <v>3356</v>
      </c>
      <c r="K2286" s="14" t="s">
        <v>6136</v>
      </c>
      <c r="L2286" s="1" t="s">
        <v>6135</v>
      </c>
    </row>
    <row r="2287" spans="1:12">
      <c r="A2287" s="3" t="s">
        <v>3357</v>
      </c>
      <c r="C2287" s="3" t="s">
        <v>3817</v>
      </c>
      <c r="D2287" s="3" t="s">
        <v>3618</v>
      </c>
      <c r="E2287" s="3" t="s">
        <v>3638</v>
      </c>
      <c r="F2287" s="3" t="s">
        <v>4775</v>
      </c>
      <c r="G2287" s="3" t="s">
        <v>2177</v>
      </c>
      <c r="H2287" s="6">
        <v>1.4065399999999999</v>
      </c>
      <c r="I2287" s="6">
        <v>25.499989405656549</v>
      </c>
      <c r="J2287" s="3" t="s">
        <v>3356</v>
      </c>
      <c r="K2287" s="14" t="s">
        <v>6136</v>
      </c>
      <c r="L2287" s="1" t="s">
        <v>6135</v>
      </c>
    </row>
    <row r="2288" spans="1:12">
      <c r="A2288" s="3" t="s">
        <v>3357</v>
      </c>
      <c r="C2288" s="3" t="s">
        <v>3817</v>
      </c>
      <c r="D2288" s="3" t="s">
        <v>3618</v>
      </c>
      <c r="E2288" s="3" t="s">
        <v>3638</v>
      </c>
      <c r="F2288" s="3" t="s">
        <v>4775</v>
      </c>
      <c r="G2288" s="3" t="s">
        <v>4165</v>
      </c>
      <c r="H2288" s="6">
        <v>1.4727600000000001</v>
      </c>
      <c r="I2288" s="6">
        <v>29.700242820745554</v>
      </c>
      <c r="J2288" s="3" t="s">
        <v>3356</v>
      </c>
      <c r="K2288" s="14" t="s">
        <v>6136</v>
      </c>
      <c r="L2288" s="1" t="s">
        <v>6135</v>
      </c>
    </row>
    <row r="2289" spans="1:12">
      <c r="A2289" s="3" t="s">
        <v>3357</v>
      </c>
      <c r="C2289" s="3" t="s">
        <v>3817</v>
      </c>
      <c r="D2289" s="3" t="s">
        <v>3618</v>
      </c>
      <c r="E2289" s="3" t="s">
        <v>3638</v>
      </c>
      <c r="F2289" s="3" t="s">
        <v>4775</v>
      </c>
      <c r="G2289" s="3" t="s">
        <v>4473</v>
      </c>
      <c r="H2289" s="6">
        <v>2.1003699999999998</v>
      </c>
      <c r="I2289" s="6">
        <v>125.99984184747287</v>
      </c>
      <c r="J2289" s="3" t="s">
        <v>3356</v>
      </c>
      <c r="K2289" s="14" t="s">
        <v>6136</v>
      </c>
      <c r="L2289" s="1" t="s">
        <v>6135</v>
      </c>
    </row>
    <row r="2290" spans="1:12">
      <c r="A2290" s="3" t="s">
        <v>3357</v>
      </c>
      <c r="C2290" s="3" t="s">
        <v>3817</v>
      </c>
      <c r="D2290" s="3" t="s">
        <v>3618</v>
      </c>
      <c r="E2290" s="3" t="s">
        <v>3638</v>
      </c>
      <c r="F2290" s="3" t="s">
        <v>4775</v>
      </c>
      <c r="G2290" s="3" t="s">
        <v>3627</v>
      </c>
      <c r="H2290" s="6">
        <v>1.61172</v>
      </c>
      <c r="I2290" s="6">
        <v>40.899688467179224</v>
      </c>
      <c r="J2290" s="3" t="s">
        <v>3356</v>
      </c>
      <c r="K2290" s="14" t="s">
        <v>6136</v>
      </c>
      <c r="L2290" s="1" t="s">
        <v>6135</v>
      </c>
    </row>
    <row r="2291" spans="1:12">
      <c r="A2291" s="3" t="s">
        <v>3357</v>
      </c>
      <c r="C2291" s="3" t="s">
        <v>3817</v>
      </c>
      <c r="D2291" s="3" t="s">
        <v>3618</v>
      </c>
      <c r="E2291" s="3" t="s">
        <v>3638</v>
      </c>
      <c r="F2291" s="3" t="s">
        <v>3402</v>
      </c>
      <c r="G2291" s="3" t="s">
        <v>3621</v>
      </c>
      <c r="H2291" s="6">
        <v>1.50515</v>
      </c>
      <c r="I2291" s="6">
        <v>32.000001597448417</v>
      </c>
      <c r="J2291" s="3" t="s">
        <v>3356</v>
      </c>
      <c r="K2291" s="14" t="s">
        <v>6136</v>
      </c>
      <c r="L2291" s="1" t="s">
        <v>6135</v>
      </c>
    </row>
    <row r="2292" spans="1:12">
      <c r="A2292" s="3" t="s">
        <v>3357</v>
      </c>
      <c r="C2292" s="3" t="s">
        <v>3817</v>
      </c>
      <c r="D2292" s="3" t="s">
        <v>3618</v>
      </c>
      <c r="E2292" s="3" t="s">
        <v>3638</v>
      </c>
      <c r="F2292" s="3" t="s">
        <v>3402</v>
      </c>
      <c r="G2292" s="3" t="s">
        <v>3418</v>
      </c>
      <c r="H2292" s="6">
        <v>1.5563</v>
      </c>
      <c r="I2292" s="6">
        <v>35.999792704335675</v>
      </c>
      <c r="J2292" s="3" t="s">
        <v>3356</v>
      </c>
      <c r="K2292" s="14" t="s">
        <v>6136</v>
      </c>
      <c r="L2292" s="1" t="s">
        <v>6135</v>
      </c>
    </row>
    <row r="2293" spans="1:12">
      <c r="A2293" s="3" t="s">
        <v>3357</v>
      </c>
      <c r="C2293" s="3" t="s">
        <v>3817</v>
      </c>
      <c r="D2293" s="3" t="s">
        <v>3618</v>
      </c>
      <c r="E2293" s="3" t="s">
        <v>3638</v>
      </c>
      <c r="F2293" s="3" t="s">
        <v>3402</v>
      </c>
      <c r="G2293" s="3" t="s">
        <v>3419</v>
      </c>
      <c r="H2293" s="6">
        <v>1.72428</v>
      </c>
      <c r="I2293" s="6">
        <v>53.000504063966503</v>
      </c>
      <c r="J2293" s="3" t="s">
        <v>3356</v>
      </c>
      <c r="L2293" s="1" t="s">
        <v>6135</v>
      </c>
    </row>
    <row r="2294" spans="1:12">
      <c r="A2294" s="3" t="s">
        <v>3357</v>
      </c>
      <c r="C2294" s="3" t="s">
        <v>3817</v>
      </c>
      <c r="D2294" s="3" t="s">
        <v>3618</v>
      </c>
      <c r="E2294" s="3" t="s">
        <v>3638</v>
      </c>
      <c r="F2294" s="3" t="s">
        <v>3420</v>
      </c>
      <c r="G2294" s="3" t="s">
        <v>3343</v>
      </c>
      <c r="H2294" s="6">
        <v>1.15381</v>
      </c>
      <c r="I2294" s="6">
        <v>14.249840392811253</v>
      </c>
      <c r="J2294" s="3" t="s">
        <v>3356</v>
      </c>
      <c r="K2294" s="14" t="s">
        <v>5973</v>
      </c>
      <c r="L2294" s="1" t="s">
        <v>6135</v>
      </c>
    </row>
    <row r="2295" spans="1:12">
      <c r="A2295" s="3" t="s">
        <v>3357</v>
      </c>
      <c r="C2295" s="3" t="s">
        <v>3817</v>
      </c>
      <c r="D2295" s="3" t="s">
        <v>3618</v>
      </c>
      <c r="E2295" s="3" t="s">
        <v>3638</v>
      </c>
      <c r="F2295" s="3" t="s">
        <v>3421</v>
      </c>
      <c r="G2295" s="3" t="s">
        <v>4154</v>
      </c>
      <c r="H2295" s="6">
        <v>1.6954800000000001</v>
      </c>
      <c r="I2295" s="6">
        <v>49.599808531407263</v>
      </c>
      <c r="J2295" s="3" t="s">
        <v>3356</v>
      </c>
      <c r="K2295" s="14" t="s">
        <v>6136</v>
      </c>
      <c r="L2295" s="1" t="s">
        <v>6135</v>
      </c>
    </row>
    <row r="2296" spans="1:12">
      <c r="A2296" s="3" t="s">
        <v>3357</v>
      </c>
      <c r="C2296" s="3" t="s">
        <v>3817</v>
      </c>
      <c r="D2296" s="3" t="s">
        <v>3618</v>
      </c>
      <c r="E2296" s="3" t="s">
        <v>3638</v>
      </c>
      <c r="F2296" s="3" t="s">
        <v>3421</v>
      </c>
      <c r="G2296" s="3" t="s">
        <v>4636</v>
      </c>
      <c r="H2296" s="6">
        <v>1.7058599999999999</v>
      </c>
      <c r="I2296" s="6">
        <v>50.799565771095516</v>
      </c>
      <c r="J2296" s="3" t="s">
        <v>3356</v>
      </c>
      <c r="K2296" s="14" t="s">
        <v>6136</v>
      </c>
      <c r="L2296" s="1" t="s">
        <v>6135</v>
      </c>
    </row>
    <row r="2297" spans="1:12">
      <c r="A2297" s="3" t="s">
        <v>3357</v>
      </c>
      <c r="C2297" s="3" t="s">
        <v>3817</v>
      </c>
      <c r="D2297" s="3" t="s">
        <v>3618</v>
      </c>
      <c r="E2297" s="3" t="s">
        <v>3638</v>
      </c>
      <c r="F2297" s="3" t="s">
        <v>3421</v>
      </c>
      <c r="G2297" s="3" t="s">
        <v>4155</v>
      </c>
      <c r="H2297" s="6">
        <v>1.7379899999999999</v>
      </c>
      <c r="I2297" s="6">
        <v>54.700336753096408</v>
      </c>
      <c r="J2297" s="3" t="s">
        <v>3356</v>
      </c>
      <c r="K2297" s="14" t="s">
        <v>6136</v>
      </c>
      <c r="L2297" s="1" t="s">
        <v>6135</v>
      </c>
    </row>
    <row r="2298" spans="1:12">
      <c r="A2298" s="3" t="s">
        <v>3357</v>
      </c>
      <c r="C2298" s="3" t="s">
        <v>3817</v>
      </c>
      <c r="D2298" s="3" t="s">
        <v>3618</v>
      </c>
      <c r="E2298" s="3" t="s">
        <v>3638</v>
      </c>
      <c r="F2298" s="3" t="s">
        <v>4156</v>
      </c>
      <c r="G2298" s="3" t="s">
        <v>4157</v>
      </c>
      <c r="H2298" s="6">
        <v>1.3010299999999999</v>
      </c>
      <c r="I2298" s="6">
        <v>20.000000199681054</v>
      </c>
      <c r="J2298" s="3" t="s">
        <v>3356</v>
      </c>
      <c r="L2298" s="1" t="s">
        <v>6135</v>
      </c>
    </row>
    <row r="2299" spans="1:12">
      <c r="A2299" s="3" t="s">
        <v>3357</v>
      </c>
      <c r="C2299" s="3" t="s">
        <v>3817</v>
      </c>
      <c r="D2299" s="3" t="s">
        <v>3618</v>
      </c>
      <c r="E2299" s="3" t="s">
        <v>3638</v>
      </c>
      <c r="F2299" s="3" t="s">
        <v>4156</v>
      </c>
      <c r="G2299" s="3" t="s">
        <v>4087</v>
      </c>
      <c r="H2299" s="6">
        <v>1.3010299999999999</v>
      </c>
      <c r="I2299" s="6">
        <v>20.000000199681054</v>
      </c>
      <c r="J2299" s="3" t="s">
        <v>3356</v>
      </c>
      <c r="K2299" s="14" t="s">
        <v>6136</v>
      </c>
      <c r="L2299" s="1" t="s">
        <v>6135</v>
      </c>
    </row>
    <row r="2300" spans="1:12">
      <c r="A2300" s="3" t="s">
        <v>3357</v>
      </c>
      <c r="C2300" s="3" t="s">
        <v>3817</v>
      </c>
      <c r="D2300" s="3" t="s">
        <v>3618</v>
      </c>
      <c r="E2300" s="3" t="s">
        <v>3638</v>
      </c>
      <c r="F2300" s="3" t="s">
        <v>4156</v>
      </c>
      <c r="G2300" s="3" t="s">
        <v>4158</v>
      </c>
      <c r="H2300" s="6">
        <v>1.3010299999999999</v>
      </c>
      <c r="I2300" s="6">
        <v>20.000000199681054</v>
      </c>
      <c r="J2300" s="3" t="s">
        <v>3356</v>
      </c>
      <c r="L2300" s="1" t="s">
        <v>6135</v>
      </c>
    </row>
    <row r="2301" spans="1:12">
      <c r="A2301" s="3" t="s">
        <v>3357</v>
      </c>
      <c r="C2301" s="3" t="s">
        <v>3817</v>
      </c>
      <c r="D2301" s="3" t="s">
        <v>3618</v>
      </c>
      <c r="E2301" s="3" t="s">
        <v>3638</v>
      </c>
      <c r="F2301" s="3" t="s">
        <v>4156</v>
      </c>
      <c r="G2301" s="3" t="s">
        <v>8265</v>
      </c>
      <c r="H2301" s="6">
        <v>1.2810299999999999</v>
      </c>
      <c r="I2301" s="6">
        <v>19.099851911122638</v>
      </c>
      <c r="J2301" s="3" t="s">
        <v>3356</v>
      </c>
      <c r="K2301" s="14" t="s">
        <v>6136</v>
      </c>
      <c r="L2301" s="1" t="s">
        <v>6135</v>
      </c>
    </row>
    <row r="2302" spans="1:12">
      <c r="A2302" s="3" t="s">
        <v>3357</v>
      </c>
      <c r="C2302" s="3" t="s">
        <v>3817</v>
      </c>
      <c r="D2302" s="3" t="s">
        <v>3618</v>
      </c>
      <c r="E2302" s="3" t="s">
        <v>3638</v>
      </c>
      <c r="F2302" s="3" t="s">
        <v>6519</v>
      </c>
      <c r="G2302" s="3" t="s">
        <v>6687</v>
      </c>
      <c r="H2302" s="6">
        <v>1.6812400000000001</v>
      </c>
      <c r="I2302" s="6">
        <v>47.999863240390923</v>
      </c>
      <c r="J2302" s="3" t="s">
        <v>3356</v>
      </c>
      <c r="K2302" s="14" t="s">
        <v>6136</v>
      </c>
      <c r="L2302" s="1" t="s">
        <v>6135</v>
      </c>
    </row>
    <row r="2303" spans="1:12">
      <c r="A2303" s="3" t="s">
        <v>3357</v>
      </c>
      <c r="C2303" s="3" t="s">
        <v>3817</v>
      </c>
      <c r="D2303" s="3" t="s">
        <v>3618</v>
      </c>
      <c r="E2303" s="3" t="s">
        <v>3638</v>
      </c>
      <c r="F2303" s="3" t="s">
        <v>6519</v>
      </c>
      <c r="G2303" s="3" t="s">
        <v>6688</v>
      </c>
      <c r="H2303" s="6">
        <v>1.7634300000000001</v>
      </c>
      <c r="I2303" s="6">
        <v>58.000267960159121</v>
      </c>
      <c r="J2303" s="3" t="s">
        <v>3356</v>
      </c>
      <c r="K2303" s="14" t="s">
        <v>6136</v>
      </c>
      <c r="L2303" s="1" t="s">
        <v>6135</v>
      </c>
    </row>
    <row r="2304" spans="1:12">
      <c r="A2304" s="3" t="s">
        <v>3357</v>
      </c>
      <c r="C2304" s="3" t="s">
        <v>3817</v>
      </c>
      <c r="D2304" s="3" t="s">
        <v>3618</v>
      </c>
      <c r="E2304" s="3" t="s">
        <v>3638</v>
      </c>
      <c r="F2304" s="3" t="s">
        <v>6519</v>
      </c>
      <c r="G2304" s="3" t="s">
        <v>6689</v>
      </c>
      <c r="H2304" s="6">
        <v>1.4232499999999999</v>
      </c>
      <c r="I2304" s="6">
        <v>26.500251767403348</v>
      </c>
      <c r="J2304" s="3" t="s">
        <v>3356</v>
      </c>
      <c r="K2304" s="14" t="s">
        <v>2440</v>
      </c>
      <c r="L2304" s="1" t="s">
        <v>6135</v>
      </c>
    </row>
    <row r="2305" spans="1:12">
      <c r="A2305" s="3" t="s">
        <v>3357</v>
      </c>
      <c r="C2305" s="3" t="s">
        <v>3817</v>
      </c>
      <c r="D2305" s="3" t="s">
        <v>3618</v>
      </c>
      <c r="E2305" s="3" t="s">
        <v>3638</v>
      </c>
      <c r="F2305" s="3" t="s">
        <v>6519</v>
      </c>
      <c r="G2305" s="3" t="s">
        <v>7166</v>
      </c>
      <c r="H2305" s="6">
        <v>1.6946099999999999</v>
      </c>
      <c r="I2305" s="6">
        <v>49.500547218792484</v>
      </c>
      <c r="J2305" s="3" t="s">
        <v>3356</v>
      </c>
      <c r="K2305" s="14" t="s">
        <v>6136</v>
      </c>
      <c r="L2305" s="1" t="s">
        <v>6135</v>
      </c>
    </row>
    <row r="2306" spans="1:12">
      <c r="A2306" s="3" t="s">
        <v>3357</v>
      </c>
      <c r="C2306" s="3" t="s">
        <v>3817</v>
      </c>
      <c r="D2306" s="3" t="s">
        <v>3618</v>
      </c>
      <c r="E2306" s="3" t="s">
        <v>3638</v>
      </c>
      <c r="F2306" s="3" t="s">
        <v>6519</v>
      </c>
      <c r="G2306" s="3" t="s">
        <v>3807</v>
      </c>
      <c r="H2306" s="6">
        <v>1.62839</v>
      </c>
      <c r="I2306" s="6">
        <v>42.500104705262615</v>
      </c>
      <c r="J2306" s="3" t="s">
        <v>3356</v>
      </c>
      <c r="K2306" s="14" t="s">
        <v>6136</v>
      </c>
      <c r="L2306" s="1" t="s">
        <v>6135</v>
      </c>
    </row>
    <row r="2307" spans="1:12">
      <c r="A2307" s="3" t="s">
        <v>3357</v>
      </c>
      <c r="C2307" s="3" t="s">
        <v>3817</v>
      </c>
      <c r="D2307" s="3" t="s">
        <v>3618</v>
      </c>
      <c r="E2307" s="3" t="s">
        <v>3638</v>
      </c>
      <c r="F2307" s="3" t="s">
        <v>3859</v>
      </c>
      <c r="G2307" s="3" t="s">
        <v>3898</v>
      </c>
      <c r="H2307" s="6">
        <v>2.8779499999999998</v>
      </c>
      <c r="I2307" s="6">
        <v>755.00529946415679</v>
      </c>
      <c r="J2307" s="3" t="s">
        <v>3356</v>
      </c>
      <c r="K2307" s="14" t="s">
        <v>2440</v>
      </c>
      <c r="L2307" s="1" t="s">
        <v>6135</v>
      </c>
    </row>
    <row r="2308" spans="1:12">
      <c r="A2308" s="3" t="s">
        <v>3357</v>
      </c>
      <c r="C2308" s="3" t="s">
        <v>3817</v>
      </c>
      <c r="D2308" s="3" t="s">
        <v>3618</v>
      </c>
      <c r="E2308" s="3" t="s">
        <v>3638</v>
      </c>
      <c r="F2308" s="3" t="s">
        <v>3844</v>
      </c>
      <c r="G2308" s="3" t="s">
        <v>3860</v>
      </c>
      <c r="H2308" s="6">
        <v>1.7781499999999999</v>
      </c>
      <c r="I2308" s="6">
        <v>59.999827253364401</v>
      </c>
      <c r="J2308" s="3" t="s">
        <v>3356</v>
      </c>
      <c r="K2308" s="14" t="s">
        <v>2440</v>
      </c>
      <c r="L2308" s="1" t="s">
        <v>6135</v>
      </c>
    </row>
    <row r="2309" spans="1:12">
      <c r="A2309" s="3" t="s">
        <v>3357</v>
      </c>
      <c r="C2309" s="3" t="s">
        <v>3817</v>
      </c>
      <c r="D2309" s="3" t="s">
        <v>3618</v>
      </c>
      <c r="E2309" s="3" t="s">
        <v>3638</v>
      </c>
      <c r="F2309" s="3" t="s">
        <v>3844</v>
      </c>
      <c r="G2309" s="3" t="s">
        <v>3861</v>
      </c>
      <c r="H2309" s="6">
        <v>1.0085999999999999</v>
      </c>
      <c r="I2309" s="6">
        <v>10.199995965937203</v>
      </c>
      <c r="J2309" s="3" t="s">
        <v>3356</v>
      </c>
      <c r="K2309" s="14" t="s">
        <v>6136</v>
      </c>
      <c r="L2309" s="1" t="s">
        <v>6135</v>
      </c>
    </row>
    <row r="2310" spans="1:12">
      <c r="A2310" s="3" t="s">
        <v>3357</v>
      </c>
      <c r="C2310" s="3" t="s">
        <v>3817</v>
      </c>
      <c r="D2310" s="3" t="s">
        <v>3618</v>
      </c>
      <c r="E2310" s="3" t="s">
        <v>3638</v>
      </c>
      <c r="F2310" s="3" t="s">
        <v>3844</v>
      </c>
      <c r="G2310" s="3" t="s">
        <v>3862</v>
      </c>
      <c r="H2310" s="6">
        <v>1.6866399999999999</v>
      </c>
      <c r="I2310" s="6">
        <v>48.600417492367214</v>
      </c>
      <c r="J2310" s="3" t="s">
        <v>3356</v>
      </c>
      <c r="K2310" s="14" t="s">
        <v>6136</v>
      </c>
      <c r="L2310" s="1" t="s">
        <v>6135</v>
      </c>
    </row>
    <row r="2311" spans="1:12">
      <c r="A2311" s="3" t="s">
        <v>3357</v>
      </c>
      <c r="C2311" s="3" t="s">
        <v>3817</v>
      </c>
      <c r="D2311" s="3" t="s">
        <v>3618</v>
      </c>
      <c r="E2311" s="3" t="s">
        <v>3638</v>
      </c>
      <c r="F2311" s="3" t="s">
        <v>4059</v>
      </c>
      <c r="G2311" s="3" t="s">
        <v>4060</v>
      </c>
      <c r="H2311" s="6">
        <v>1.8444799999999999</v>
      </c>
      <c r="I2311" s="6">
        <v>69.900454567181939</v>
      </c>
      <c r="J2311" s="3" t="s">
        <v>3356</v>
      </c>
      <c r="K2311" s="14" t="s">
        <v>6136</v>
      </c>
      <c r="L2311" s="1" t="s">
        <v>6135</v>
      </c>
    </row>
    <row r="2312" spans="1:12">
      <c r="A2312" s="3" t="s">
        <v>3357</v>
      </c>
      <c r="C2312" s="3" t="s">
        <v>3817</v>
      </c>
      <c r="D2312" s="3" t="s">
        <v>3618</v>
      </c>
      <c r="E2312" s="3" t="s">
        <v>3638</v>
      </c>
      <c r="F2312" s="3" t="s">
        <v>4059</v>
      </c>
      <c r="G2312" s="3" t="s">
        <v>3808</v>
      </c>
      <c r="H2312" s="6">
        <v>1.85884</v>
      </c>
      <c r="I2312" s="6">
        <v>72.250357441034055</v>
      </c>
      <c r="J2312" s="3" t="s">
        <v>3356</v>
      </c>
      <c r="K2312" s="14" t="s">
        <v>6136</v>
      </c>
      <c r="L2312" s="1" t="s">
        <v>6135</v>
      </c>
    </row>
    <row r="2313" spans="1:12">
      <c r="A2313" s="3" t="s">
        <v>3357</v>
      </c>
      <c r="C2313" s="3" t="s">
        <v>3817</v>
      </c>
      <c r="D2313" s="3" t="s">
        <v>3618</v>
      </c>
      <c r="E2313" s="3" t="s">
        <v>3638</v>
      </c>
      <c r="F2313" s="3" t="s">
        <v>4061</v>
      </c>
      <c r="G2313" s="3" t="s">
        <v>4062</v>
      </c>
      <c r="H2313" s="6">
        <v>1.1271</v>
      </c>
      <c r="I2313" s="6">
        <v>13.399851948997973</v>
      </c>
      <c r="J2313" s="3" t="s">
        <v>3356</v>
      </c>
      <c r="K2313" s="14" t="s">
        <v>6136</v>
      </c>
      <c r="L2313" s="1" t="s">
        <v>6135</v>
      </c>
    </row>
    <row r="2314" spans="1:12">
      <c r="A2314" s="3" t="s">
        <v>3357</v>
      </c>
      <c r="C2314" s="3" t="s">
        <v>3817</v>
      </c>
      <c r="D2314" s="3" t="s">
        <v>3618</v>
      </c>
      <c r="E2314" s="3" t="s">
        <v>3638</v>
      </c>
      <c r="F2314" s="3" t="s">
        <v>4159</v>
      </c>
      <c r="G2314" s="3" t="s">
        <v>4160</v>
      </c>
      <c r="H2314" s="6">
        <v>1.7323900000000001</v>
      </c>
      <c r="I2314" s="6">
        <v>53.999532507158399</v>
      </c>
      <c r="J2314" s="3" t="s">
        <v>3356</v>
      </c>
      <c r="K2314" s="14" t="s">
        <v>6136</v>
      </c>
      <c r="L2314" s="1" t="s">
        <v>6135</v>
      </c>
    </row>
    <row r="2315" spans="1:12">
      <c r="A2315" s="3" t="s">
        <v>3357</v>
      </c>
      <c r="C2315" s="3" t="s">
        <v>3817</v>
      </c>
      <c r="D2315" s="3" t="s">
        <v>3618</v>
      </c>
      <c r="E2315" s="3" t="s">
        <v>3638</v>
      </c>
      <c r="F2315" s="3" t="s">
        <v>4159</v>
      </c>
      <c r="G2315" s="3" t="s">
        <v>4161</v>
      </c>
      <c r="H2315" s="6">
        <v>1.74935</v>
      </c>
      <c r="I2315" s="6">
        <v>56.150030952397437</v>
      </c>
      <c r="J2315" s="3" t="s">
        <v>3356</v>
      </c>
      <c r="K2315" s="14" t="s">
        <v>6136</v>
      </c>
      <c r="L2315" s="1" t="s">
        <v>6135</v>
      </c>
    </row>
    <row r="2316" spans="1:12">
      <c r="A2316" s="3" t="s">
        <v>3357</v>
      </c>
      <c r="C2316" s="3" t="s">
        <v>3817</v>
      </c>
      <c r="D2316" s="3" t="s">
        <v>3618</v>
      </c>
      <c r="E2316" s="3" t="s">
        <v>3638</v>
      </c>
      <c r="F2316" s="3" t="s">
        <v>4159</v>
      </c>
      <c r="G2316" s="3" t="s">
        <v>4162</v>
      </c>
      <c r="H2316" s="6">
        <v>1.7930900000000001</v>
      </c>
      <c r="I2316" s="6">
        <v>62.099771190317405</v>
      </c>
      <c r="J2316" s="3" t="s">
        <v>3356</v>
      </c>
      <c r="L2316" s="1" t="s">
        <v>6135</v>
      </c>
    </row>
    <row r="2317" spans="1:12">
      <c r="A2317" s="3" t="s">
        <v>3357</v>
      </c>
      <c r="C2317" s="3" t="s">
        <v>3817</v>
      </c>
      <c r="D2317" s="3" t="s">
        <v>3618</v>
      </c>
      <c r="E2317" s="3" t="s">
        <v>3638</v>
      </c>
      <c r="F2317" s="3" t="s">
        <v>4159</v>
      </c>
      <c r="G2317" s="3" t="s">
        <v>3636</v>
      </c>
      <c r="H2317" s="6">
        <v>1.60097</v>
      </c>
      <c r="I2317" s="6">
        <v>39.899733965037818</v>
      </c>
      <c r="J2317" s="3" t="s">
        <v>3356</v>
      </c>
      <c r="K2317" s="14" t="s">
        <v>6136</v>
      </c>
      <c r="L2317" s="1" t="s">
        <v>6135</v>
      </c>
    </row>
    <row r="2318" spans="1:12">
      <c r="A2318" s="3" t="s">
        <v>3357</v>
      </c>
      <c r="C2318" s="3" t="s">
        <v>3817</v>
      </c>
      <c r="D2318" s="3" t="s">
        <v>3618</v>
      </c>
      <c r="E2318" s="3" t="s">
        <v>3638</v>
      </c>
      <c r="F2318" s="3" t="s">
        <v>4159</v>
      </c>
      <c r="G2318" s="3" t="s">
        <v>3430</v>
      </c>
      <c r="H2318" s="6">
        <v>1.6674500000000001</v>
      </c>
      <c r="I2318" s="6">
        <v>46.499683834536768</v>
      </c>
      <c r="J2318" s="3" t="s">
        <v>3356</v>
      </c>
      <c r="K2318" s="14" t="s">
        <v>6136</v>
      </c>
      <c r="L2318" s="1" t="s">
        <v>6135</v>
      </c>
    </row>
    <row r="2319" spans="1:12">
      <c r="A2319" s="3" t="s">
        <v>3357</v>
      </c>
      <c r="C2319" s="3" t="s">
        <v>3817</v>
      </c>
      <c r="D2319" s="3" t="s">
        <v>3618</v>
      </c>
      <c r="E2319" s="3" t="s">
        <v>3638</v>
      </c>
      <c r="F2319" s="3" t="s">
        <v>3907</v>
      </c>
      <c r="G2319" s="3" t="s">
        <v>6814</v>
      </c>
      <c r="H2319" s="6">
        <v>1.716</v>
      </c>
      <c r="I2319" s="6">
        <v>51.999599653351616</v>
      </c>
      <c r="J2319" s="3" t="s">
        <v>3356</v>
      </c>
      <c r="K2319" s="14" t="s">
        <v>6136</v>
      </c>
      <c r="L2319" s="1" t="s">
        <v>6135</v>
      </c>
    </row>
    <row r="2320" spans="1:12">
      <c r="A2320" s="3" t="s">
        <v>3357</v>
      </c>
      <c r="C2320" s="3" t="s">
        <v>3817</v>
      </c>
      <c r="D2320" s="3" t="s">
        <v>3618</v>
      </c>
      <c r="E2320" s="3" t="s">
        <v>3638</v>
      </c>
      <c r="F2320" s="3" t="s">
        <v>6815</v>
      </c>
      <c r="G2320" s="3" t="s">
        <v>6816</v>
      </c>
      <c r="H2320" s="6">
        <v>2.0211899999999998</v>
      </c>
      <c r="I2320" s="6">
        <v>105.00016946500351</v>
      </c>
      <c r="J2320" s="3" t="s">
        <v>3356</v>
      </c>
      <c r="K2320" s="14" t="s">
        <v>6136</v>
      </c>
      <c r="L2320" s="1" t="s">
        <v>6135</v>
      </c>
    </row>
    <row r="2321" spans="1:12">
      <c r="A2321" s="3" t="s">
        <v>3357</v>
      </c>
      <c r="C2321" s="3" t="s">
        <v>3817</v>
      </c>
      <c r="D2321" s="3" t="s">
        <v>3618</v>
      </c>
      <c r="E2321" s="3" t="s">
        <v>3638</v>
      </c>
      <c r="F2321" s="3" t="s">
        <v>6815</v>
      </c>
      <c r="G2321" s="3" t="s">
        <v>6817</v>
      </c>
      <c r="H2321" s="6">
        <v>2</v>
      </c>
      <c r="I2321" s="6">
        <v>100</v>
      </c>
      <c r="J2321" s="3" t="s">
        <v>3356</v>
      </c>
      <c r="K2321" s="14" t="s">
        <v>6136</v>
      </c>
      <c r="L2321" s="1" t="s">
        <v>6135</v>
      </c>
    </row>
    <row r="2322" spans="1:12">
      <c r="A2322" s="3" t="s">
        <v>3357</v>
      </c>
      <c r="C2322" s="3" t="s">
        <v>3817</v>
      </c>
      <c r="D2322" s="3" t="s">
        <v>3618</v>
      </c>
      <c r="E2322" s="3" t="s">
        <v>3638</v>
      </c>
      <c r="F2322" s="3" t="s">
        <v>6815</v>
      </c>
      <c r="G2322" s="3" t="s">
        <v>6818</v>
      </c>
      <c r="H2322" s="6">
        <v>2.2671700000000001</v>
      </c>
      <c r="I2322" s="6">
        <v>184.99926373938769</v>
      </c>
      <c r="J2322" s="3" t="s">
        <v>3356</v>
      </c>
      <c r="K2322" s="14" t="s">
        <v>6136</v>
      </c>
      <c r="L2322" s="1" t="s">
        <v>6135</v>
      </c>
    </row>
    <row r="2323" spans="1:12">
      <c r="A2323" s="3" t="s">
        <v>3357</v>
      </c>
      <c r="C2323" s="3" t="s">
        <v>3817</v>
      </c>
      <c r="D2323" s="3" t="s">
        <v>3618</v>
      </c>
      <c r="E2323" s="3" t="s">
        <v>3638</v>
      </c>
      <c r="F2323" s="3" t="s">
        <v>6536</v>
      </c>
      <c r="G2323" s="3" t="s">
        <v>6537</v>
      </c>
      <c r="H2323" s="6">
        <v>1.0607</v>
      </c>
      <c r="I2323" s="6">
        <v>11.500057186992358</v>
      </c>
      <c r="J2323" s="3" t="s">
        <v>3356</v>
      </c>
      <c r="K2323" s="14" t="s">
        <v>2440</v>
      </c>
      <c r="L2323" s="1" t="s">
        <v>6135</v>
      </c>
    </row>
    <row r="2324" spans="1:12">
      <c r="A2324" s="3" t="s">
        <v>3357</v>
      </c>
      <c r="C2324" s="3" t="s">
        <v>3817</v>
      </c>
      <c r="D2324" s="3" t="s">
        <v>3618</v>
      </c>
      <c r="E2324" s="3" t="s">
        <v>3638</v>
      </c>
      <c r="F2324" s="3" t="s">
        <v>6536</v>
      </c>
      <c r="G2324" s="3" t="s">
        <v>4072</v>
      </c>
      <c r="H2324" s="6">
        <v>0.78888000000000003</v>
      </c>
      <c r="I2324" s="6">
        <v>6.1500691653966353</v>
      </c>
      <c r="J2324" s="3" t="s">
        <v>3356</v>
      </c>
      <c r="K2324" s="14" t="s">
        <v>6136</v>
      </c>
      <c r="L2324" s="1" t="s">
        <v>6135</v>
      </c>
    </row>
    <row r="2325" spans="1:12">
      <c r="A2325" s="3" t="s">
        <v>3357</v>
      </c>
      <c r="C2325" s="3" t="s">
        <v>3817</v>
      </c>
      <c r="D2325" s="3" t="s">
        <v>3618</v>
      </c>
      <c r="E2325" s="3" t="s">
        <v>3638</v>
      </c>
      <c r="F2325" s="3" t="s">
        <v>6536</v>
      </c>
      <c r="G2325" s="3" t="s">
        <v>4073</v>
      </c>
      <c r="H2325" s="6">
        <v>1</v>
      </c>
      <c r="I2325" s="6">
        <v>10</v>
      </c>
      <c r="J2325" s="3" t="s">
        <v>3356</v>
      </c>
      <c r="K2325" s="14" t="s">
        <v>6136</v>
      </c>
      <c r="L2325" s="1" t="s">
        <v>6135</v>
      </c>
    </row>
    <row r="2326" spans="1:12">
      <c r="A2326" s="3" t="s">
        <v>3357</v>
      </c>
      <c r="C2326" s="3" t="s">
        <v>3817</v>
      </c>
      <c r="D2326" s="3" t="s">
        <v>3618</v>
      </c>
      <c r="E2326" s="3" t="s">
        <v>3638</v>
      </c>
      <c r="F2326" s="3" t="s">
        <v>6536</v>
      </c>
      <c r="G2326" s="3" t="s">
        <v>4074</v>
      </c>
      <c r="H2326" s="6">
        <v>1.86629</v>
      </c>
      <c r="I2326" s="6">
        <v>73.500450334782045</v>
      </c>
      <c r="J2326" s="3" t="s">
        <v>3356</v>
      </c>
      <c r="K2326" s="14" t="s">
        <v>2440</v>
      </c>
      <c r="L2326" s="1" t="s">
        <v>6135</v>
      </c>
    </row>
    <row r="2327" spans="1:12">
      <c r="A2327" s="3" t="s">
        <v>3357</v>
      </c>
      <c r="C2327" s="3" t="s">
        <v>3817</v>
      </c>
      <c r="D2327" s="3" t="s">
        <v>3618</v>
      </c>
      <c r="E2327" s="3" t="s">
        <v>3638</v>
      </c>
      <c r="F2327" s="3" t="s">
        <v>6536</v>
      </c>
      <c r="G2327" s="3" t="s">
        <v>4307</v>
      </c>
      <c r="H2327" s="6">
        <v>1.3324400000000001</v>
      </c>
      <c r="I2327" s="6">
        <v>21.500076242905632</v>
      </c>
      <c r="J2327" s="3" t="s">
        <v>3356</v>
      </c>
      <c r="K2327" s="14" t="s">
        <v>2440</v>
      </c>
      <c r="L2327" s="1" t="s">
        <v>6135</v>
      </c>
    </row>
    <row r="2328" spans="1:12">
      <c r="A2328" s="3" t="s">
        <v>3357</v>
      </c>
      <c r="C2328" s="3" t="s">
        <v>3817</v>
      </c>
      <c r="D2328" s="3" t="s">
        <v>3618</v>
      </c>
      <c r="E2328" s="3" t="s">
        <v>3638</v>
      </c>
      <c r="F2328" s="3" t="s">
        <v>6536</v>
      </c>
      <c r="G2328" s="3" t="s">
        <v>4308</v>
      </c>
      <c r="H2328" s="6">
        <v>0.97313000000000005</v>
      </c>
      <c r="I2328" s="6">
        <v>9.4000464574465781</v>
      </c>
      <c r="J2328" s="3" t="s">
        <v>3356</v>
      </c>
      <c r="K2328" s="14" t="s">
        <v>6136</v>
      </c>
      <c r="L2328" s="1" t="s">
        <v>6135</v>
      </c>
    </row>
    <row r="2329" spans="1:12">
      <c r="A2329" s="3" t="s">
        <v>3357</v>
      </c>
      <c r="C2329" s="3" t="s">
        <v>3817</v>
      </c>
      <c r="D2329" s="3" t="s">
        <v>3618</v>
      </c>
      <c r="E2329" s="3" t="s">
        <v>3638</v>
      </c>
      <c r="F2329" s="3" t="s">
        <v>6536</v>
      </c>
      <c r="G2329" s="3" t="s">
        <v>3414</v>
      </c>
      <c r="H2329" s="6">
        <v>0.82282</v>
      </c>
      <c r="I2329" s="6">
        <v>6.6499748068525486</v>
      </c>
      <c r="J2329" s="3" t="s">
        <v>3356</v>
      </c>
      <c r="K2329" s="14" t="s">
        <v>6136</v>
      </c>
      <c r="L2329" s="1" t="s">
        <v>6135</v>
      </c>
    </row>
    <row r="2330" spans="1:12">
      <c r="A2330" s="3" t="s">
        <v>3357</v>
      </c>
      <c r="C2330" s="3" t="s">
        <v>3817</v>
      </c>
      <c r="D2330" s="3" t="s">
        <v>3618</v>
      </c>
      <c r="E2330" s="3" t="s">
        <v>3638</v>
      </c>
      <c r="F2330" s="3" t="s">
        <v>6536</v>
      </c>
      <c r="G2330" s="3" t="s">
        <v>4316</v>
      </c>
      <c r="H2330" s="6">
        <v>1.0607</v>
      </c>
      <c r="I2330" s="6">
        <v>11.500057186992358</v>
      </c>
      <c r="J2330" s="3" t="s">
        <v>3356</v>
      </c>
      <c r="K2330" s="14" t="s">
        <v>2440</v>
      </c>
      <c r="L2330" s="1" t="s">
        <v>6135</v>
      </c>
    </row>
    <row r="2331" spans="1:12">
      <c r="A2331" s="3" t="s">
        <v>3357</v>
      </c>
      <c r="C2331" s="3" t="s">
        <v>3817</v>
      </c>
      <c r="D2331" s="3" t="s">
        <v>3618</v>
      </c>
      <c r="E2331" s="3" t="s">
        <v>3638</v>
      </c>
      <c r="F2331" s="3" t="s">
        <v>4309</v>
      </c>
      <c r="G2331" s="3" t="s">
        <v>4412</v>
      </c>
      <c r="H2331" s="6">
        <v>1.81291</v>
      </c>
      <c r="I2331" s="6">
        <v>64.999497619814377</v>
      </c>
      <c r="J2331" s="3" t="s">
        <v>3356</v>
      </c>
      <c r="K2331" s="14" t="s">
        <v>6136</v>
      </c>
      <c r="L2331" s="1" t="s">
        <v>6135</v>
      </c>
    </row>
    <row r="2332" spans="1:12">
      <c r="A2332" s="3" t="s">
        <v>3357</v>
      </c>
      <c r="C2332" s="3" t="s">
        <v>3817</v>
      </c>
      <c r="D2332" s="3" t="s">
        <v>3618</v>
      </c>
      <c r="E2332" s="3" t="s">
        <v>3638</v>
      </c>
      <c r="F2332" s="3" t="s">
        <v>4310</v>
      </c>
      <c r="G2332" s="3" t="s">
        <v>4311</v>
      </c>
      <c r="H2332" s="6">
        <v>1.4289400000000001</v>
      </c>
      <c r="I2332" s="6">
        <v>26.849734772392821</v>
      </c>
      <c r="J2332" s="3" t="s">
        <v>3356</v>
      </c>
      <c r="L2332" s="1" t="s">
        <v>6135</v>
      </c>
    </row>
    <row r="2333" spans="1:12">
      <c r="A2333" s="3" t="s">
        <v>3357</v>
      </c>
      <c r="C2333" s="3" t="s">
        <v>3817</v>
      </c>
      <c r="D2333" s="3" t="s">
        <v>3618</v>
      </c>
      <c r="E2333" s="3" t="s">
        <v>3638</v>
      </c>
      <c r="F2333" s="3" t="s">
        <v>4310</v>
      </c>
      <c r="G2333" s="3" t="s">
        <v>4312</v>
      </c>
      <c r="H2333" s="6">
        <v>1.50515</v>
      </c>
      <c r="I2333" s="6">
        <v>32.000001597448417</v>
      </c>
      <c r="J2333" s="3" t="s">
        <v>3356</v>
      </c>
      <c r="L2333" s="1" t="s">
        <v>6135</v>
      </c>
    </row>
    <row r="2334" spans="1:12">
      <c r="A2334" s="3" t="s">
        <v>3357</v>
      </c>
      <c r="C2334" s="3" t="s">
        <v>3817</v>
      </c>
      <c r="D2334" s="3" t="s">
        <v>3618</v>
      </c>
      <c r="E2334" s="3" t="s">
        <v>3638</v>
      </c>
      <c r="F2334" s="3" t="s">
        <v>4310</v>
      </c>
      <c r="G2334" s="3" t="s">
        <v>4163</v>
      </c>
      <c r="H2334" s="6">
        <v>1.47712</v>
      </c>
      <c r="I2334" s="6">
        <v>29.999913327161494</v>
      </c>
      <c r="J2334" s="3" t="s">
        <v>3356</v>
      </c>
      <c r="L2334" s="1" t="s">
        <v>6135</v>
      </c>
    </row>
    <row r="2335" spans="1:12">
      <c r="A2335" s="3" t="s">
        <v>3357</v>
      </c>
      <c r="C2335" s="3" t="s">
        <v>3817</v>
      </c>
      <c r="D2335" s="3" t="s">
        <v>3618</v>
      </c>
      <c r="E2335" s="3" t="s">
        <v>3638</v>
      </c>
      <c r="F2335" s="3" t="s">
        <v>4310</v>
      </c>
      <c r="G2335" s="3" t="s">
        <v>3902</v>
      </c>
      <c r="H2335" s="6">
        <v>1.6901999999999999</v>
      </c>
      <c r="I2335" s="6">
        <v>49.000442279323579</v>
      </c>
      <c r="J2335" s="3" t="s">
        <v>3356</v>
      </c>
      <c r="L2335" s="1" t="s">
        <v>6135</v>
      </c>
    </row>
    <row r="2336" spans="1:12">
      <c r="A2336" s="3" t="s">
        <v>3357</v>
      </c>
      <c r="C2336" s="3" t="s">
        <v>3817</v>
      </c>
      <c r="D2336" s="3" t="s">
        <v>3618</v>
      </c>
      <c r="E2336" s="3" t="s">
        <v>3638</v>
      </c>
      <c r="F2336" s="3" t="s">
        <v>4310</v>
      </c>
      <c r="G2336" s="3" t="s">
        <v>3903</v>
      </c>
      <c r="H2336" s="6">
        <v>1.6127800000000001</v>
      </c>
      <c r="I2336" s="6">
        <v>40.999635904176493</v>
      </c>
      <c r="J2336" s="3" t="s">
        <v>3356</v>
      </c>
      <c r="L2336" s="1" t="s">
        <v>6135</v>
      </c>
    </row>
    <row r="2337" spans="1:12">
      <c r="A2337" s="3" t="s">
        <v>3357</v>
      </c>
      <c r="C2337" s="3" t="s">
        <v>3817</v>
      </c>
      <c r="D2337" s="3" t="s">
        <v>3618</v>
      </c>
      <c r="E2337" s="3" t="s">
        <v>3638</v>
      </c>
      <c r="F2337" s="3" t="s">
        <v>3904</v>
      </c>
      <c r="G2337" s="3" t="s">
        <v>3431</v>
      </c>
      <c r="H2337" s="6">
        <v>1.8250999999999999</v>
      </c>
      <c r="I2337" s="6">
        <v>66.849782716159027</v>
      </c>
      <c r="J2337" s="3" t="s">
        <v>3356</v>
      </c>
      <c r="K2337" s="14" t="s">
        <v>6136</v>
      </c>
      <c r="L2337" s="1" t="s">
        <v>6135</v>
      </c>
    </row>
    <row r="2338" spans="1:12">
      <c r="A2338" s="3" t="s">
        <v>3357</v>
      </c>
      <c r="C2338" s="3" t="s">
        <v>3817</v>
      </c>
      <c r="D2338" s="3" t="s">
        <v>3618</v>
      </c>
      <c r="E2338" s="3" t="s">
        <v>3638</v>
      </c>
      <c r="F2338" s="3" t="s">
        <v>3432</v>
      </c>
      <c r="G2338" s="3" t="s">
        <v>4336</v>
      </c>
      <c r="H2338" s="6">
        <v>2.2455099999999999</v>
      </c>
      <c r="I2338" s="6">
        <v>175.99891885836047</v>
      </c>
      <c r="J2338" s="3" t="s">
        <v>3356</v>
      </c>
      <c r="K2338" s="14" t="s">
        <v>6136</v>
      </c>
      <c r="L2338" s="1" t="s">
        <v>6135</v>
      </c>
    </row>
    <row r="2339" spans="1:12">
      <c r="A2339" s="3" t="s">
        <v>3357</v>
      </c>
      <c r="C2339" s="3" t="s">
        <v>3817</v>
      </c>
      <c r="D2339" s="3" t="s">
        <v>3618</v>
      </c>
      <c r="E2339" s="3" t="s">
        <v>3638</v>
      </c>
      <c r="F2339" s="3" t="s">
        <v>4337</v>
      </c>
      <c r="G2339" s="3" t="s">
        <v>4108</v>
      </c>
      <c r="H2339" s="6">
        <v>2.2516400000000001</v>
      </c>
      <c r="I2339" s="6">
        <v>178.50073141764005</v>
      </c>
      <c r="J2339" s="3" t="s">
        <v>3356</v>
      </c>
      <c r="K2339" s="14" t="s">
        <v>2100</v>
      </c>
      <c r="L2339" s="1" t="s">
        <v>6135</v>
      </c>
    </row>
    <row r="2340" spans="1:12">
      <c r="A2340" s="3" t="s">
        <v>3357</v>
      </c>
      <c r="C2340" s="3" t="s">
        <v>3817</v>
      </c>
      <c r="D2340" s="3" t="s">
        <v>3618</v>
      </c>
      <c r="E2340" s="3" t="s">
        <v>3638</v>
      </c>
      <c r="F2340" s="3" t="s">
        <v>4321</v>
      </c>
      <c r="G2340" s="3" t="s">
        <v>4322</v>
      </c>
      <c r="H2340" s="6">
        <v>1.95424</v>
      </c>
      <c r="I2340" s="6">
        <v>89.999479963720162</v>
      </c>
      <c r="J2340" s="3" t="s">
        <v>3356</v>
      </c>
      <c r="K2340" s="14" t="s">
        <v>2440</v>
      </c>
      <c r="L2340" s="1" t="s">
        <v>6135</v>
      </c>
    </row>
    <row r="2341" spans="1:12">
      <c r="A2341" s="3" t="s">
        <v>3357</v>
      </c>
      <c r="C2341" s="3" t="s">
        <v>3817</v>
      </c>
      <c r="D2341" s="3" t="s">
        <v>3618</v>
      </c>
      <c r="E2341" s="3" t="s">
        <v>3638</v>
      </c>
      <c r="F2341" s="3" t="s">
        <v>4323</v>
      </c>
      <c r="G2341" s="3" t="s">
        <v>4105</v>
      </c>
      <c r="H2341" s="6">
        <v>2.2821699999999998</v>
      </c>
      <c r="I2341" s="6">
        <v>191.50053870127292</v>
      </c>
      <c r="J2341" s="3" t="s">
        <v>3356</v>
      </c>
      <c r="K2341" s="14" t="s">
        <v>6136</v>
      </c>
      <c r="L2341" s="1" t="s">
        <v>6135</v>
      </c>
    </row>
    <row r="2342" spans="1:12">
      <c r="A2342" s="3" t="s">
        <v>3357</v>
      </c>
      <c r="C2342" s="3" t="s">
        <v>3817</v>
      </c>
      <c r="D2342" s="3" t="s">
        <v>3618</v>
      </c>
      <c r="E2342" s="3" t="s">
        <v>3638</v>
      </c>
      <c r="F2342" s="3" t="s">
        <v>4323</v>
      </c>
      <c r="G2342" s="3" t="s">
        <v>6075</v>
      </c>
      <c r="H2342" s="6">
        <v>2.0718800000000002</v>
      </c>
      <c r="I2342" s="6">
        <v>117.99945460606749</v>
      </c>
      <c r="J2342" s="3" t="s">
        <v>3356</v>
      </c>
      <c r="K2342" s="14" t="s">
        <v>6136</v>
      </c>
      <c r="L2342" s="1" t="s">
        <v>6135</v>
      </c>
    </row>
    <row r="2343" spans="1:12">
      <c r="A2343" s="3" t="s">
        <v>3357</v>
      </c>
      <c r="C2343" s="3" t="s">
        <v>3817</v>
      </c>
      <c r="D2343" s="3" t="s">
        <v>3618</v>
      </c>
      <c r="E2343" s="3" t="s">
        <v>3638</v>
      </c>
      <c r="F2343" s="3" t="s">
        <v>4323</v>
      </c>
      <c r="G2343" s="3" t="s">
        <v>2939</v>
      </c>
      <c r="H2343" s="6">
        <v>2.1760899999999999</v>
      </c>
      <c r="I2343" s="6">
        <v>149.99956513820399</v>
      </c>
      <c r="J2343" s="3" t="s">
        <v>3356</v>
      </c>
      <c r="K2343" s="14" t="s">
        <v>6136</v>
      </c>
      <c r="L2343" s="1" t="s">
        <v>6135</v>
      </c>
    </row>
    <row r="2344" spans="1:12">
      <c r="A2344" s="3" t="s">
        <v>3357</v>
      </c>
      <c r="C2344" s="3" t="s">
        <v>3817</v>
      </c>
      <c r="D2344" s="3" t="s">
        <v>3618</v>
      </c>
      <c r="E2344" s="3" t="s">
        <v>3638</v>
      </c>
      <c r="F2344" s="3" t="s">
        <v>4323</v>
      </c>
      <c r="G2344" s="3" t="s">
        <v>3429</v>
      </c>
      <c r="H2344" s="6">
        <v>2.2833000000000001</v>
      </c>
      <c r="I2344" s="6">
        <v>191.99945679542901</v>
      </c>
      <c r="J2344" s="3" t="s">
        <v>3356</v>
      </c>
      <c r="K2344" s="14" t="s">
        <v>6136</v>
      </c>
      <c r="L2344" s="1" t="s">
        <v>6135</v>
      </c>
    </row>
    <row r="2345" spans="1:12">
      <c r="A2345" s="3" t="s">
        <v>3357</v>
      </c>
      <c r="C2345" s="3" t="s">
        <v>3817</v>
      </c>
      <c r="D2345" s="3" t="s">
        <v>3618</v>
      </c>
      <c r="E2345" s="3" t="s">
        <v>3638</v>
      </c>
      <c r="F2345" s="3" t="s">
        <v>4323</v>
      </c>
      <c r="G2345" s="3" t="s">
        <v>3069</v>
      </c>
      <c r="H2345" s="6">
        <v>2.0128400000000002</v>
      </c>
      <c r="I2345" s="6">
        <v>103.00065820841056</v>
      </c>
      <c r="J2345" s="3" t="s">
        <v>3356</v>
      </c>
      <c r="K2345" s="14" t="s">
        <v>6136</v>
      </c>
      <c r="L2345" s="1" t="s">
        <v>6135</v>
      </c>
    </row>
    <row r="2346" spans="1:12">
      <c r="A2346" s="3" t="s">
        <v>3357</v>
      </c>
      <c r="C2346" s="3" t="s">
        <v>3817</v>
      </c>
      <c r="D2346" s="3" t="s">
        <v>3618</v>
      </c>
      <c r="E2346" s="3" t="s">
        <v>3638</v>
      </c>
      <c r="F2346" s="3" t="s">
        <v>4323</v>
      </c>
      <c r="G2346" s="3" t="s">
        <v>4113</v>
      </c>
      <c r="H2346" s="6">
        <v>2.1105900000000002</v>
      </c>
      <c r="I2346" s="6">
        <v>129.00008605085017</v>
      </c>
      <c r="J2346" s="3" t="s">
        <v>3356</v>
      </c>
      <c r="K2346" s="14" t="s">
        <v>6136</v>
      </c>
      <c r="L2346" s="1" t="s">
        <v>6135</v>
      </c>
    </row>
    <row r="2347" spans="1:12">
      <c r="A2347" s="3" t="s">
        <v>3357</v>
      </c>
      <c r="C2347" s="3" t="s">
        <v>3817</v>
      </c>
      <c r="D2347" s="3" t="s">
        <v>3618</v>
      </c>
      <c r="E2347" s="3" t="s">
        <v>3638</v>
      </c>
      <c r="F2347" s="3" t="s">
        <v>4323</v>
      </c>
      <c r="G2347" s="3" t="s">
        <v>3249</v>
      </c>
      <c r="H2347" s="6">
        <v>2.09517</v>
      </c>
      <c r="I2347" s="6">
        <v>124.50018592639366</v>
      </c>
      <c r="J2347" s="3" t="s">
        <v>3356</v>
      </c>
      <c r="K2347" s="14" t="s">
        <v>6136</v>
      </c>
      <c r="L2347" s="1" t="s">
        <v>6135</v>
      </c>
    </row>
    <row r="2348" spans="1:12">
      <c r="A2348" s="3" t="s">
        <v>3357</v>
      </c>
      <c r="C2348" s="3" t="s">
        <v>3817</v>
      </c>
      <c r="D2348" s="3" t="s">
        <v>3618</v>
      </c>
      <c r="E2348" s="3" t="s">
        <v>3638</v>
      </c>
      <c r="F2348" s="3" t="s">
        <v>6388</v>
      </c>
      <c r="G2348" s="3" t="s">
        <v>3505</v>
      </c>
      <c r="H2348" s="6">
        <v>2.1122700000000001</v>
      </c>
      <c r="I2348" s="6">
        <v>129.50006905446133</v>
      </c>
      <c r="J2348" s="3" t="s">
        <v>3356</v>
      </c>
      <c r="K2348" s="14" t="s">
        <v>6136</v>
      </c>
      <c r="L2348" s="1" t="s">
        <v>6135</v>
      </c>
    </row>
    <row r="2349" spans="1:12">
      <c r="A2349" s="3" t="s">
        <v>3357</v>
      </c>
      <c r="C2349" s="3" t="s">
        <v>3817</v>
      </c>
      <c r="D2349" s="3" t="s">
        <v>3618</v>
      </c>
      <c r="E2349" s="3" t="s">
        <v>3638</v>
      </c>
      <c r="F2349" s="3" t="s">
        <v>6388</v>
      </c>
      <c r="G2349" s="3" t="s">
        <v>4386</v>
      </c>
      <c r="H2349" s="6">
        <v>2.1038000000000001</v>
      </c>
      <c r="I2349" s="6">
        <v>126.99891189181123</v>
      </c>
      <c r="J2349" s="3" t="s">
        <v>3356</v>
      </c>
      <c r="K2349" s="14" t="s">
        <v>6136</v>
      </c>
      <c r="L2349" s="1" t="s">
        <v>6135</v>
      </c>
    </row>
    <row r="2350" spans="1:12">
      <c r="A2350" s="3" t="s">
        <v>3357</v>
      </c>
      <c r="C2350" s="3" t="s">
        <v>3817</v>
      </c>
      <c r="D2350" s="3" t="s">
        <v>3618</v>
      </c>
      <c r="E2350" s="3" t="s">
        <v>3638</v>
      </c>
      <c r="F2350" s="3" t="s">
        <v>3507</v>
      </c>
      <c r="G2350" s="3" t="s">
        <v>3782</v>
      </c>
      <c r="H2350" s="6">
        <v>2.1139399999999999</v>
      </c>
      <c r="I2350" s="6">
        <v>129.99899653754548</v>
      </c>
      <c r="J2350" s="3" t="s">
        <v>3356</v>
      </c>
      <c r="K2350" s="14" t="s">
        <v>2440</v>
      </c>
      <c r="L2350" s="1" t="s">
        <v>6135</v>
      </c>
    </row>
    <row r="2351" spans="1:12">
      <c r="A2351" s="3" t="s">
        <v>3357</v>
      </c>
      <c r="C2351" s="3" t="s">
        <v>3817</v>
      </c>
      <c r="D2351" s="3" t="s">
        <v>3618</v>
      </c>
      <c r="E2351" s="3" t="s">
        <v>3638</v>
      </c>
      <c r="F2351" s="3" t="s">
        <v>3507</v>
      </c>
      <c r="G2351" s="3" t="s">
        <v>3077</v>
      </c>
      <c r="H2351" s="6">
        <v>1.7781499999999999</v>
      </c>
      <c r="I2351" s="6">
        <v>59.999827253364401</v>
      </c>
      <c r="J2351" s="3" t="s">
        <v>3356</v>
      </c>
      <c r="K2351" s="14" t="s">
        <v>2440</v>
      </c>
      <c r="L2351" s="1" t="s">
        <v>6135</v>
      </c>
    </row>
    <row r="2352" spans="1:12">
      <c r="A2352" s="3" t="s">
        <v>3357</v>
      </c>
      <c r="C2352" s="3" t="s">
        <v>3817</v>
      </c>
      <c r="D2352" s="3" t="s">
        <v>3618</v>
      </c>
      <c r="E2352" s="3" t="s">
        <v>3638</v>
      </c>
      <c r="F2352" s="3" t="s">
        <v>3507</v>
      </c>
      <c r="G2352" s="3" t="s">
        <v>3078</v>
      </c>
      <c r="H2352" s="6">
        <v>1.6989700000000001</v>
      </c>
      <c r="I2352" s="6">
        <v>49.999999500797408</v>
      </c>
      <c r="J2352" s="3" t="s">
        <v>3356</v>
      </c>
      <c r="K2352" s="14" t="s">
        <v>2440</v>
      </c>
      <c r="L2352" s="1" t="s">
        <v>6135</v>
      </c>
    </row>
    <row r="2353" spans="1:12">
      <c r="A2353" s="3" t="s">
        <v>3357</v>
      </c>
      <c r="C2353" s="3" t="s">
        <v>3817</v>
      </c>
      <c r="D2353" s="3" t="s">
        <v>3618</v>
      </c>
      <c r="E2353" s="3" t="s">
        <v>3638</v>
      </c>
      <c r="F2353" s="3" t="s">
        <v>3079</v>
      </c>
      <c r="G2353" s="3" t="s">
        <v>3713</v>
      </c>
      <c r="H2353" s="6">
        <v>1.3010299999999999</v>
      </c>
      <c r="I2353" s="6">
        <v>20.000000199681054</v>
      </c>
      <c r="J2353" s="3" t="s">
        <v>3356</v>
      </c>
      <c r="K2353" s="14" t="s">
        <v>5973</v>
      </c>
      <c r="L2353" s="1" t="s">
        <v>6135</v>
      </c>
    </row>
    <row r="2354" spans="1:12">
      <c r="A2354" s="3" t="s">
        <v>3357</v>
      </c>
      <c r="C2354" s="3" t="s">
        <v>3817</v>
      </c>
      <c r="D2354" s="3" t="s">
        <v>3618</v>
      </c>
      <c r="E2354" s="3" t="s">
        <v>3638</v>
      </c>
      <c r="F2354" s="3" t="s">
        <v>3079</v>
      </c>
      <c r="G2354" s="3" t="s">
        <v>4712</v>
      </c>
      <c r="H2354" s="6">
        <v>1.3010299999999999</v>
      </c>
      <c r="I2354" s="6">
        <v>20.000000199681054</v>
      </c>
      <c r="J2354" s="3" t="s">
        <v>3356</v>
      </c>
      <c r="K2354" s="14" t="s">
        <v>5973</v>
      </c>
      <c r="L2354" s="1" t="s">
        <v>6135</v>
      </c>
    </row>
    <row r="2355" spans="1:12">
      <c r="A2355" s="3" t="s">
        <v>3357</v>
      </c>
      <c r="C2355" s="3" t="s">
        <v>3817</v>
      </c>
      <c r="D2355" s="3" t="s">
        <v>3618</v>
      </c>
      <c r="E2355" s="3" t="s">
        <v>3638</v>
      </c>
      <c r="F2355" s="3" t="s">
        <v>3714</v>
      </c>
      <c r="G2355" s="3" t="s">
        <v>3715</v>
      </c>
      <c r="H2355" s="6">
        <v>1.43136</v>
      </c>
      <c r="I2355" s="6">
        <v>26.999765984012107</v>
      </c>
      <c r="J2355" s="3" t="s">
        <v>3356</v>
      </c>
      <c r="K2355" s="14" t="s">
        <v>6136</v>
      </c>
      <c r="L2355" s="1" t="s">
        <v>6135</v>
      </c>
    </row>
    <row r="2356" spans="1:12">
      <c r="A2356" s="3" t="s">
        <v>3357</v>
      </c>
      <c r="C2356" s="3" t="s">
        <v>3817</v>
      </c>
      <c r="D2356" s="3" t="s">
        <v>3618</v>
      </c>
      <c r="E2356" s="3" t="s">
        <v>3638</v>
      </c>
      <c r="F2356" s="3" t="s">
        <v>3714</v>
      </c>
      <c r="G2356" s="3" t="s">
        <v>4056</v>
      </c>
      <c r="H2356" s="6">
        <v>1.60206</v>
      </c>
      <c r="I2356" s="6">
        <v>40.000000798724201</v>
      </c>
      <c r="J2356" s="3" t="s">
        <v>3356</v>
      </c>
      <c r="K2356" s="14" t="s">
        <v>2440</v>
      </c>
      <c r="L2356" s="1" t="s">
        <v>6135</v>
      </c>
    </row>
    <row r="2357" spans="1:12">
      <c r="A2357" s="3" t="s">
        <v>3357</v>
      </c>
      <c r="C2357" s="3" t="s">
        <v>3817</v>
      </c>
      <c r="D2357" s="3" t="s">
        <v>3618</v>
      </c>
      <c r="E2357" s="3" t="s">
        <v>3638</v>
      </c>
      <c r="F2357" s="3" t="s">
        <v>3714</v>
      </c>
      <c r="G2357" s="3" t="s">
        <v>3716</v>
      </c>
      <c r="H2357" s="6">
        <v>1.07918</v>
      </c>
      <c r="I2357" s="6">
        <v>11.999965570481159</v>
      </c>
      <c r="J2357" s="3" t="s">
        <v>3356</v>
      </c>
      <c r="K2357" s="14" t="s">
        <v>6136</v>
      </c>
      <c r="L2357" s="1" t="s">
        <v>6135</v>
      </c>
    </row>
    <row r="2358" spans="1:12">
      <c r="A2358" s="3" t="s">
        <v>3357</v>
      </c>
      <c r="C2358" s="3" t="s">
        <v>3817</v>
      </c>
      <c r="D2358" s="3" t="s">
        <v>3618</v>
      </c>
      <c r="E2358" s="3" t="s">
        <v>3638</v>
      </c>
      <c r="F2358" s="3" t="s">
        <v>3714</v>
      </c>
      <c r="G2358" s="3" t="s">
        <v>3717</v>
      </c>
      <c r="H2358" s="6">
        <v>1.5269900000000001</v>
      </c>
      <c r="I2358" s="6">
        <v>33.650382099946512</v>
      </c>
      <c r="J2358" s="3" t="s">
        <v>3356</v>
      </c>
      <c r="K2358" s="14" t="s">
        <v>6136</v>
      </c>
      <c r="L2358" s="1" t="s">
        <v>6135</v>
      </c>
    </row>
    <row r="2359" spans="1:12">
      <c r="A2359" s="3" t="s">
        <v>3357</v>
      </c>
      <c r="C2359" s="3" t="s">
        <v>3817</v>
      </c>
      <c r="D2359" s="3" t="s">
        <v>3618</v>
      </c>
      <c r="E2359" s="3" t="s">
        <v>3638</v>
      </c>
      <c r="F2359" s="3" t="s">
        <v>6400</v>
      </c>
      <c r="G2359" s="3" t="s">
        <v>6401</v>
      </c>
      <c r="H2359" s="6">
        <v>1.9063399999999999</v>
      </c>
      <c r="I2359" s="6">
        <v>80.600920188507104</v>
      </c>
      <c r="J2359" s="3" t="s">
        <v>3356</v>
      </c>
      <c r="K2359" s="14" t="s">
        <v>6136</v>
      </c>
      <c r="L2359" s="1" t="s">
        <v>6135</v>
      </c>
    </row>
    <row r="2360" spans="1:12">
      <c r="A2360" s="3" t="s">
        <v>3357</v>
      </c>
      <c r="C2360" s="3" t="s">
        <v>3817</v>
      </c>
      <c r="D2360" s="3" t="s">
        <v>3618</v>
      </c>
      <c r="E2360" s="3" t="s">
        <v>3638</v>
      </c>
      <c r="F2360" s="3" t="s">
        <v>3084</v>
      </c>
      <c r="G2360" s="3" t="s">
        <v>3514</v>
      </c>
      <c r="H2360" s="6">
        <v>1.64296</v>
      </c>
      <c r="I2360" s="6">
        <v>43.950113402323296</v>
      </c>
      <c r="J2360" s="3" t="s">
        <v>3356</v>
      </c>
      <c r="K2360" s="14" t="s">
        <v>6136</v>
      </c>
      <c r="L2360" s="1" t="s">
        <v>6135</v>
      </c>
    </row>
    <row r="2361" spans="1:12">
      <c r="A2361" s="3" t="s">
        <v>3357</v>
      </c>
      <c r="C2361" s="3" t="s">
        <v>3817</v>
      </c>
      <c r="D2361" s="3" t="s">
        <v>3618</v>
      </c>
      <c r="E2361" s="3" t="s">
        <v>3638</v>
      </c>
      <c r="F2361" s="3" t="s">
        <v>3515</v>
      </c>
      <c r="G2361" s="3" t="s">
        <v>3628</v>
      </c>
      <c r="H2361" s="6">
        <v>1.7481899999999999</v>
      </c>
      <c r="I2361" s="6">
        <v>56.000254407800114</v>
      </c>
      <c r="J2361" s="3" t="s">
        <v>3356</v>
      </c>
      <c r="K2361" s="14" t="s">
        <v>6136</v>
      </c>
      <c r="L2361" s="1" t="s">
        <v>6135</v>
      </c>
    </row>
    <row r="2362" spans="1:12">
      <c r="A2362" s="3" t="s">
        <v>3357</v>
      </c>
      <c r="C2362" s="3" t="s">
        <v>3817</v>
      </c>
      <c r="D2362" s="3" t="s">
        <v>3618</v>
      </c>
      <c r="E2362" s="3" t="s">
        <v>3638</v>
      </c>
      <c r="F2362" s="3" t="s">
        <v>3515</v>
      </c>
      <c r="G2362" s="3" t="s">
        <v>3310</v>
      </c>
      <c r="H2362" s="6">
        <v>1.65801</v>
      </c>
      <c r="I2362" s="6">
        <v>45.499853675791265</v>
      </c>
      <c r="J2362" s="3" t="s">
        <v>3356</v>
      </c>
      <c r="K2362" s="14" t="s">
        <v>6136</v>
      </c>
      <c r="L2362" s="1" t="s">
        <v>6135</v>
      </c>
    </row>
    <row r="2363" spans="1:12">
      <c r="A2363" s="3" t="s">
        <v>3357</v>
      </c>
      <c r="C2363" s="3" t="s">
        <v>3817</v>
      </c>
      <c r="D2363" s="3" t="s">
        <v>3618</v>
      </c>
      <c r="E2363" s="3" t="s">
        <v>3638</v>
      </c>
      <c r="F2363" s="3" t="s">
        <v>3311</v>
      </c>
      <c r="G2363" s="3" t="s">
        <v>3312</v>
      </c>
      <c r="H2363" s="6">
        <v>1.7423299999999999</v>
      </c>
      <c r="I2363" s="6">
        <v>55.249709644247517</v>
      </c>
      <c r="J2363" s="3" t="s">
        <v>3356</v>
      </c>
      <c r="K2363" s="14" t="s">
        <v>2100</v>
      </c>
      <c r="L2363" s="1" t="s">
        <v>6135</v>
      </c>
    </row>
    <row r="2364" spans="1:12">
      <c r="A2364" s="3" t="s">
        <v>3357</v>
      </c>
      <c r="C2364" s="3" t="s">
        <v>3817</v>
      </c>
      <c r="D2364" s="3" t="s">
        <v>3618</v>
      </c>
      <c r="E2364" s="3" t="s">
        <v>3638</v>
      </c>
      <c r="F2364" s="3" t="s">
        <v>3313</v>
      </c>
      <c r="G2364" s="3" t="s">
        <v>3314</v>
      </c>
      <c r="H2364" s="6">
        <v>1.3802099999999999</v>
      </c>
      <c r="I2364" s="6">
        <v>23.999931380578893</v>
      </c>
      <c r="J2364" s="3" t="s">
        <v>3356</v>
      </c>
      <c r="K2364" s="14" t="s">
        <v>6136</v>
      </c>
      <c r="L2364" s="1" t="s">
        <v>6135</v>
      </c>
    </row>
    <row r="2365" spans="1:12">
      <c r="A2365" s="3" t="s">
        <v>3357</v>
      </c>
      <c r="C2365" s="3" t="s">
        <v>3817</v>
      </c>
      <c r="D2365" s="3" t="s">
        <v>3618</v>
      </c>
      <c r="E2365" s="3" t="s">
        <v>3638</v>
      </c>
      <c r="F2365" s="3" t="s">
        <v>3313</v>
      </c>
      <c r="G2365" s="3" t="s">
        <v>7332</v>
      </c>
      <c r="H2365" s="6">
        <v>1.12385</v>
      </c>
      <c r="I2365" s="6">
        <v>13.299949746492494</v>
      </c>
      <c r="J2365" s="3" t="s">
        <v>3356</v>
      </c>
      <c r="K2365" s="14" t="s">
        <v>6136</v>
      </c>
      <c r="L2365" s="1" t="s">
        <v>6135</v>
      </c>
    </row>
    <row r="2366" spans="1:12">
      <c r="A2366" s="3" t="s">
        <v>3357</v>
      </c>
      <c r="C2366" s="3" t="s">
        <v>3817</v>
      </c>
      <c r="D2366" s="3" t="s">
        <v>3618</v>
      </c>
      <c r="E2366" s="3" t="s">
        <v>3638</v>
      </c>
      <c r="F2366" s="3" t="s">
        <v>3313</v>
      </c>
      <c r="G2366" s="3" t="s">
        <v>3523</v>
      </c>
      <c r="H2366" s="6">
        <v>1.39794</v>
      </c>
      <c r="I2366" s="6">
        <v>24.999999500797397</v>
      </c>
      <c r="J2366" s="3" t="s">
        <v>3356</v>
      </c>
      <c r="K2366" s="14" t="s">
        <v>6136</v>
      </c>
      <c r="L2366" s="1" t="s">
        <v>6135</v>
      </c>
    </row>
    <row r="2367" spans="1:12">
      <c r="A2367" s="3" t="s">
        <v>3357</v>
      </c>
      <c r="C2367" s="3" t="s">
        <v>3817</v>
      </c>
      <c r="D2367" s="3" t="s">
        <v>3618</v>
      </c>
      <c r="E2367" s="3" t="s">
        <v>3638</v>
      </c>
      <c r="F2367" s="3" t="s">
        <v>3524</v>
      </c>
      <c r="G2367" s="3" t="s">
        <v>3488</v>
      </c>
      <c r="H2367" s="6">
        <v>2.1583600000000001</v>
      </c>
      <c r="I2367" s="6">
        <v>143.99917369273325</v>
      </c>
      <c r="J2367" s="3" t="s">
        <v>3356</v>
      </c>
      <c r="K2367" s="14" t="s">
        <v>6136</v>
      </c>
      <c r="L2367" s="1" t="s">
        <v>6135</v>
      </c>
    </row>
    <row r="2368" spans="1:12">
      <c r="A2368" s="3" t="s">
        <v>3357</v>
      </c>
      <c r="C2368" s="3" t="s">
        <v>3817</v>
      </c>
      <c r="D2368" s="3" t="s">
        <v>3618</v>
      </c>
      <c r="E2368" s="3" t="s">
        <v>3638</v>
      </c>
      <c r="F2368" s="3" t="s">
        <v>3524</v>
      </c>
      <c r="G2368" s="3" t="s">
        <v>3496</v>
      </c>
      <c r="H2368" s="6">
        <v>1.93323</v>
      </c>
      <c r="I2368" s="6">
        <v>85.749184802877636</v>
      </c>
      <c r="J2368" s="3" t="s">
        <v>3356</v>
      </c>
      <c r="K2368" s="14" t="s">
        <v>6136</v>
      </c>
      <c r="L2368" s="1" t="s">
        <v>6135</v>
      </c>
    </row>
    <row r="2369" spans="1:12">
      <c r="A2369" s="3" t="s">
        <v>3357</v>
      </c>
      <c r="C2369" s="3" t="s">
        <v>3817</v>
      </c>
      <c r="D2369" s="3" t="s">
        <v>3618</v>
      </c>
      <c r="E2369" s="3" t="s">
        <v>3638</v>
      </c>
      <c r="F2369" s="3" t="s">
        <v>3497</v>
      </c>
      <c r="G2369" s="3" t="s">
        <v>3295</v>
      </c>
      <c r="H2369" s="6">
        <v>1.92428</v>
      </c>
      <c r="I2369" s="6">
        <v>84.00013808798812</v>
      </c>
      <c r="J2369" s="3" t="s">
        <v>3356</v>
      </c>
      <c r="K2369" s="14" t="s">
        <v>6136</v>
      </c>
      <c r="L2369" s="1" t="s">
        <v>6135</v>
      </c>
    </row>
    <row r="2370" spans="1:12">
      <c r="A2370" s="3" t="s">
        <v>3357</v>
      </c>
      <c r="C2370" s="3" t="s">
        <v>3817</v>
      </c>
      <c r="D2370" s="3" t="s">
        <v>3618</v>
      </c>
      <c r="E2370" s="3" t="s">
        <v>3638</v>
      </c>
      <c r="F2370" s="3" t="s">
        <v>3498</v>
      </c>
      <c r="G2370" s="3" t="s">
        <v>3965</v>
      </c>
      <c r="H2370" s="6">
        <v>2.77597</v>
      </c>
      <c r="I2370" s="6">
        <v>596.99404627171725</v>
      </c>
      <c r="J2370" s="3" t="s">
        <v>3356</v>
      </c>
      <c r="K2370" s="14" t="s">
        <v>6136</v>
      </c>
      <c r="L2370" s="1" t="s">
        <v>6135</v>
      </c>
    </row>
    <row r="2371" spans="1:12">
      <c r="A2371" s="3" t="s">
        <v>3357</v>
      </c>
      <c r="C2371" s="3" t="s">
        <v>3817</v>
      </c>
      <c r="D2371" s="3" t="s">
        <v>3618</v>
      </c>
      <c r="E2371" s="3" t="s">
        <v>3638</v>
      </c>
      <c r="F2371" s="3" t="s">
        <v>3498</v>
      </c>
      <c r="G2371" s="3" t="s">
        <v>3520</v>
      </c>
      <c r="H2371" s="6">
        <v>2.3268499999999999</v>
      </c>
      <c r="I2371" s="6">
        <v>212.25112459723837</v>
      </c>
      <c r="J2371" s="3" t="s">
        <v>3356</v>
      </c>
      <c r="K2371" s="14" t="s">
        <v>2440</v>
      </c>
      <c r="L2371" s="1" t="s">
        <v>6135</v>
      </c>
    </row>
    <row r="2372" spans="1:12">
      <c r="A2372" s="3" t="s">
        <v>3357</v>
      </c>
      <c r="C2372" s="3" t="s">
        <v>3817</v>
      </c>
      <c r="D2372" s="3" t="s">
        <v>3618</v>
      </c>
      <c r="E2372" s="3" t="s">
        <v>3638</v>
      </c>
      <c r="F2372" s="3" t="s">
        <v>3489</v>
      </c>
      <c r="G2372" s="3" t="s">
        <v>3490</v>
      </c>
      <c r="H2372" s="6">
        <v>1.9867699999999999</v>
      </c>
      <c r="I2372" s="6">
        <v>96.999612651099937</v>
      </c>
      <c r="J2372" s="3" t="s">
        <v>3356</v>
      </c>
      <c r="K2372" s="14" t="s">
        <v>6136</v>
      </c>
      <c r="L2372" s="1" t="s">
        <v>6135</v>
      </c>
    </row>
    <row r="2373" spans="1:12">
      <c r="A2373" s="3" t="s">
        <v>3357</v>
      </c>
      <c r="C2373" s="3" t="s">
        <v>3817</v>
      </c>
      <c r="D2373" s="3" t="s">
        <v>3618</v>
      </c>
      <c r="E2373" s="3" t="s">
        <v>3638</v>
      </c>
      <c r="F2373" s="3" t="s">
        <v>3489</v>
      </c>
      <c r="G2373" s="3" t="s">
        <v>3505</v>
      </c>
      <c r="H2373" s="6">
        <v>1.9022699999999999</v>
      </c>
      <c r="I2373" s="6">
        <v>79.849095319697597</v>
      </c>
      <c r="J2373" s="3" t="s">
        <v>3356</v>
      </c>
      <c r="K2373" s="14" t="s">
        <v>6136</v>
      </c>
      <c r="L2373" s="1" t="s">
        <v>6135</v>
      </c>
    </row>
    <row r="2374" spans="1:12">
      <c r="A2374" s="3" t="s">
        <v>3357</v>
      </c>
      <c r="C2374" s="3" t="s">
        <v>3817</v>
      </c>
      <c r="D2374" s="3" t="s">
        <v>3618</v>
      </c>
      <c r="E2374" s="3" t="s">
        <v>3638</v>
      </c>
      <c r="F2374" s="3" t="s">
        <v>3489</v>
      </c>
      <c r="G2374" s="3" t="s">
        <v>3491</v>
      </c>
      <c r="H2374" s="6">
        <v>2.0107200000000001</v>
      </c>
      <c r="I2374" s="6">
        <v>102.49908771372873</v>
      </c>
      <c r="J2374" s="3" t="s">
        <v>3356</v>
      </c>
      <c r="K2374" s="14" t="s">
        <v>6136</v>
      </c>
      <c r="L2374" s="1" t="s">
        <v>6135</v>
      </c>
    </row>
    <row r="2375" spans="1:12">
      <c r="A2375" s="3" t="s">
        <v>3357</v>
      </c>
      <c r="C2375" s="3" t="s">
        <v>3817</v>
      </c>
      <c r="D2375" s="3" t="s">
        <v>3618</v>
      </c>
      <c r="E2375" s="3" t="s">
        <v>3638</v>
      </c>
      <c r="F2375" s="3" t="s">
        <v>3489</v>
      </c>
      <c r="G2375" s="3" t="s">
        <v>3492</v>
      </c>
      <c r="H2375" s="6">
        <v>2.0737199999999998</v>
      </c>
      <c r="I2375" s="6">
        <v>118.50045011936339</v>
      </c>
      <c r="J2375" s="3" t="s">
        <v>3356</v>
      </c>
      <c r="K2375" s="14" t="s">
        <v>6136</v>
      </c>
      <c r="L2375" s="1" t="s">
        <v>6135</v>
      </c>
    </row>
    <row r="2376" spans="1:12">
      <c r="A2376" s="3" t="s">
        <v>3357</v>
      </c>
      <c r="C2376" s="3" t="s">
        <v>3817</v>
      </c>
      <c r="D2376" s="3" t="s">
        <v>3618</v>
      </c>
      <c r="E2376" s="3" t="s">
        <v>3638</v>
      </c>
      <c r="F2376" s="3" t="s">
        <v>3489</v>
      </c>
      <c r="G2376" s="3" t="s">
        <v>4045</v>
      </c>
      <c r="H2376" s="6">
        <v>1.7478</v>
      </c>
      <c r="I2376" s="6">
        <v>55.94998829397769</v>
      </c>
      <c r="J2376" s="3" t="s">
        <v>3356</v>
      </c>
      <c r="K2376" s="14" t="s">
        <v>6136</v>
      </c>
      <c r="L2376" s="1" t="s">
        <v>6135</v>
      </c>
    </row>
    <row r="2377" spans="1:12">
      <c r="A2377" s="3" t="s">
        <v>3357</v>
      </c>
      <c r="C2377" s="3" t="s">
        <v>3817</v>
      </c>
      <c r="D2377" s="3" t="s">
        <v>3618</v>
      </c>
      <c r="E2377" s="3" t="s">
        <v>3638</v>
      </c>
      <c r="F2377" s="3" t="s">
        <v>3489</v>
      </c>
      <c r="G2377" s="3" t="s">
        <v>4700</v>
      </c>
      <c r="H2377" s="6">
        <v>2.0899100000000002</v>
      </c>
      <c r="I2377" s="6">
        <v>123.00138453598495</v>
      </c>
      <c r="J2377" s="3" t="s">
        <v>3356</v>
      </c>
      <c r="K2377" s="14" t="s">
        <v>6136</v>
      </c>
      <c r="L2377" s="1" t="s">
        <v>6135</v>
      </c>
    </row>
    <row r="2378" spans="1:12">
      <c r="A2378" s="3" t="s">
        <v>3357</v>
      </c>
      <c r="C2378" s="3" t="s">
        <v>3817</v>
      </c>
      <c r="D2378" s="3" t="s">
        <v>3618</v>
      </c>
      <c r="E2378" s="3" t="s">
        <v>3638</v>
      </c>
      <c r="F2378" s="3" t="s">
        <v>3489</v>
      </c>
      <c r="G2378" s="3" t="s">
        <v>4701</v>
      </c>
      <c r="H2378" s="6">
        <v>1.98227</v>
      </c>
      <c r="I2378" s="6">
        <v>95.999727439248147</v>
      </c>
      <c r="J2378" s="3" t="s">
        <v>3356</v>
      </c>
      <c r="K2378" s="14" t="s">
        <v>6136</v>
      </c>
      <c r="L2378" s="1" t="s">
        <v>6135</v>
      </c>
    </row>
    <row r="2379" spans="1:12">
      <c r="A2379" s="3" t="s">
        <v>3357</v>
      </c>
      <c r="C2379" s="3" t="s">
        <v>3817</v>
      </c>
      <c r="D2379" s="3" t="s">
        <v>3618</v>
      </c>
      <c r="E2379" s="3" t="s">
        <v>3638</v>
      </c>
      <c r="F2379" s="3" t="s">
        <v>3489</v>
      </c>
      <c r="G2379" s="3" t="s">
        <v>3970</v>
      </c>
      <c r="H2379" s="6">
        <v>2.0827900000000001</v>
      </c>
      <c r="I2379" s="6">
        <v>121.00128989595498</v>
      </c>
      <c r="J2379" s="3" t="s">
        <v>3356</v>
      </c>
      <c r="K2379" s="14" t="s">
        <v>6136</v>
      </c>
      <c r="L2379" s="1" t="s">
        <v>6135</v>
      </c>
    </row>
    <row r="2380" spans="1:12">
      <c r="A2380" s="3" t="s">
        <v>3357</v>
      </c>
      <c r="C2380" s="3" t="s">
        <v>3817</v>
      </c>
      <c r="D2380" s="3" t="s">
        <v>3618</v>
      </c>
      <c r="E2380" s="3" t="s">
        <v>3638</v>
      </c>
      <c r="F2380" s="3" t="s">
        <v>3727</v>
      </c>
      <c r="G2380" s="3" t="s">
        <v>5526</v>
      </c>
      <c r="H2380" s="6">
        <v>1.6720999999999999</v>
      </c>
      <c r="I2380" s="6">
        <v>47.000231817980108</v>
      </c>
      <c r="J2380" s="3" t="s">
        <v>3356</v>
      </c>
      <c r="K2380" s="14" t="s">
        <v>5973</v>
      </c>
      <c r="L2380" s="1" t="s">
        <v>6135</v>
      </c>
    </row>
    <row r="2381" spans="1:12">
      <c r="A2381" s="3" t="s">
        <v>3357</v>
      </c>
      <c r="C2381" s="3" t="s">
        <v>3817</v>
      </c>
      <c r="D2381" s="3" t="s">
        <v>3618</v>
      </c>
      <c r="E2381" s="3" t="s">
        <v>3638</v>
      </c>
      <c r="F2381" s="3" t="s">
        <v>3727</v>
      </c>
      <c r="G2381" s="3" t="s">
        <v>3786</v>
      </c>
      <c r="H2381" s="6">
        <v>1.6901999999999999</v>
      </c>
      <c r="I2381" s="6">
        <v>49.000442279323579</v>
      </c>
      <c r="J2381" s="3" t="s">
        <v>3356</v>
      </c>
      <c r="K2381" s="14" t="s">
        <v>6136</v>
      </c>
      <c r="L2381" s="1" t="s">
        <v>6135</v>
      </c>
    </row>
    <row r="2382" spans="1:12">
      <c r="A2382" s="3" t="s">
        <v>3357</v>
      </c>
      <c r="C2382" s="3" t="s">
        <v>3817</v>
      </c>
      <c r="D2382" s="3" t="s">
        <v>3618</v>
      </c>
      <c r="E2382" s="3" t="s">
        <v>3638</v>
      </c>
      <c r="F2382" s="3" t="s">
        <v>3727</v>
      </c>
      <c r="G2382" s="3" t="s">
        <v>1998</v>
      </c>
      <c r="H2382" s="6">
        <v>1.7796000000000001</v>
      </c>
      <c r="I2382" s="6">
        <v>60.200486368445944</v>
      </c>
      <c r="J2382" s="3" t="s">
        <v>3356</v>
      </c>
      <c r="K2382" s="14" t="s">
        <v>6136</v>
      </c>
      <c r="L2382" s="1" t="s">
        <v>6135</v>
      </c>
    </row>
    <row r="2383" spans="1:12">
      <c r="A2383" s="3" t="s">
        <v>3357</v>
      </c>
      <c r="C2383" s="3" t="s">
        <v>3817</v>
      </c>
      <c r="D2383" s="3" t="s">
        <v>3618</v>
      </c>
      <c r="E2383" s="3" t="s">
        <v>3638</v>
      </c>
      <c r="F2383" s="3" t="s">
        <v>7407</v>
      </c>
      <c r="G2383" s="3" t="s">
        <v>7408</v>
      </c>
      <c r="H2383" s="6">
        <v>1.9057999999999999</v>
      </c>
      <c r="I2383" s="6">
        <v>80.500763610806274</v>
      </c>
      <c r="J2383" s="3" t="s">
        <v>3356</v>
      </c>
      <c r="K2383" s="14" t="s">
        <v>6136</v>
      </c>
      <c r="L2383" s="1" t="s">
        <v>6135</v>
      </c>
    </row>
    <row r="2384" spans="1:12">
      <c r="A2384" s="3" t="s">
        <v>3357</v>
      </c>
      <c r="C2384" s="3" t="s">
        <v>3817</v>
      </c>
      <c r="D2384" s="3" t="s">
        <v>3618</v>
      </c>
      <c r="E2384" s="3" t="s">
        <v>3638</v>
      </c>
      <c r="F2384" s="3" t="s">
        <v>7409</v>
      </c>
      <c r="G2384" s="3" t="s">
        <v>6382</v>
      </c>
      <c r="H2384" s="6">
        <v>1.8750599999999999</v>
      </c>
      <c r="I2384" s="6">
        <v>74.9997818203002</v>
      </c>
      <c r="J2384" s="3" t="s">
        <v>3356</v>
      </c>
      <c r="K2384" s="14" t="s">
        <v>2440</v>
      </c>
      <c r="L2384" s="1" t="s">
        <v>6135</v>
      </c>
    </row>
    <row r="2385" spans="1:12">
      <c r="A2385" s="3" t="s">
        <v>3357</v>
      </c>
      <c r="C2385" s="3" t="s">
        <v>3817</v>
      </c>
      <c r="D2385" s="3" t="s">
        <v>3618</v>
      </c>
      <c r="E2385" s="3" t="s">
        <v>3638</v>
      </c>
      <c r="F2385" s="3" t="s">
        <v>7410</v>
      </c>
      <c r="G2385" s="3" t="s">
        <v>7411</v>
      </c>
      <c r="H2385" s="6">
        <v>1.52504</v>
      </c>
      <c r="I2385" s="6">
        <v>33.499629203570834</v>
      </c>
      <c r="J2385" s="3" t="s">
        <v>3356</v>
      </c>
      <c r="K2385" s="14" t="s">
        <v>6136</v>
      </c>
      <c r="L2385" s="1" t="s">
        <v>6135</v>
      </c>
    </row>
    <row r="2386" spans="1:12">
      <c r="A2386" s="3" t="s">
        <v>3357</v>
      </c>
      <c r="C2386" s="3" t="s">
        <v>3817</v>
      </c>
      <c r="D2386" s="3" t="s">
        <v>3618</v>
      </c>
      <c r="E2386" s="3" t="s">
        <v>3638</v>
      </c>
      <c r="F2386" s="3" t="s">
        <v>7412</v>
      </c>
      <c r="G2386" s="3" t="s">
        <v>6683</v>
      </c>
      <c r="H2386" s="6">
        <v>1.7781499999999999</v>
      </c>
      <c r="I2386" s="6">
        <v>59.999827253364401</v>
      </c>
      <c r="J2386" s="3" t="s">
        <v>3356</v>
      </c>
      <c r="K2386" s="14" t="s">
        <v>2440</v>
      </c>
      <c r="L2386" s="1" t="s">
        <v>6135</v>
      </c>
    </row>
    <row r="2387" spans="1:12">
      <c r="A2387" s="3" t="s">
        <v>3357</v>
      </c>
      <c r="C2387" s="3" t="s">
        <v>3817</v>
      </c>
      <c r="D2387" s="3" t="s">
        <v>3618</v>
      </c>
      <c r="E2387" s="3" t="s">
        <v>3638</v>
      </c>
      <c r="F2387" s="3" t="s">
        <v>7412</v>
      </c>
      <c r="G2387" s="3" t="s">
        <v>7413</v>
      </c>
      <c r="H2387" s="6">
        <v>1.7332000000000001</v>
      </c>
      <c r="I2387" s="6">
        <v>54.100340686346797</v>
      </c>
      <c r="J2387" s="3" t="s">
        <v>3356</v>
      </c>
      <c r="K2387" s="14" t="s">
        <v>6136</v>
      </c>
      <c r="L2387" s="1" t="s">
        <v>6135</v>
      </c>
    </row>
    <row r="2388" spans="1:12">
      <c r="A2388" s="3" t="s">
        <v>3357</v>
      </c>
      <c r="C2388" s="3" t="s">
        <v>3817</v>
      </c>
      <c r="D2388" s="3" t="s">
        <v>3618</v>
      </c>
      <c r="E2388" s="3" t="s">
        <v>8036</v>
      </c>
      <c r="F2388" s="3" t="s">
        <v>8042</v>
      </c>
      <c r="G2388" s="3" t="s">
        <v>8043</v>
      </c>
      <c r="H2388" s="6">
        <v>1.7745200000000001</v>
      </c>
      <c r="I2388" s="6">
        <v>59.500415708210724</v>
      </c>
      <c r="J2388" s="3" t="s">
        <v>3356</v>
      </c>
      <c r="K2388" s="14" t="s">
        <v>6136</v>
      </c>
      <c r="L2388" s="1" t="s">
        <v>6135</v>
      </c>
    </row>
    <row r="2389" spans="1:12">
      <c r="A2389" s="3" t="s">
        <v>3357</v>
      </c>
      <c r="C2389" s="3" t="s">
        <v>3817</v>
      </c>
      <c r="D2389" s="3" t="s">
        <v>3618</v>
      </c>
      <c r="E2389" s="3" t="s">
        <v>8036</v>
      </c>
      <c r="F2389" s="3" t="s">
        <v>8042</v>
      </c>
      <c r="G2389" s="3" t="s">
        <v>4557</v>
      </c>
      <c r="H2389" s="6">
        <v>1.3042800000000001</v>
      </c>
      <c r="I2389" s="6">
        <v>20.150229644764877</v>
      </c>
      <c r="J2389" s="3" t="s">
        <v>3356</v>
      </c>
      <c r="K2389" s="14" t="s">
        <v>2440</v>
      </c>
      <c r="L2389" s="1" t="s">
        <v>6135</v>
      </c>
    </row>
    <row r="2390" spans="1:12">
      <c r="A2390" s="3" t="s">
        <v>3357</v>
      </c>
      <c r="C2390" s="3" t="s">
        <v>3817</v>
      </c>
      <c r="D2390" s="3" t="s">
        <v>3618</v>
      </c>
      <c r="E2390" s="3" t="s">
        <v>8036</v>
      </c>
      <c r="F2390" s="3" t="s">
        <v>8042</v>
      </c>
      <c r="G2390" s="3" t="s">
        <v>8044</v>
      </c>
      <c r="H2390" s="6">
        <v>1.8375900000000001</v>
      </c>
      <c r="I2390" s="6">
        <v>68.800247411824245</v>
      </c>
      <c r="J2390" s="3" t="s">
        <v>3356</v>
      </c>
      <c r="K2390" s="14" t="s">
        <v>6136</v>
      </c>
      <c r="L2390" s="1" t="s">
        <v>6135</v>
      </c>
    </row>
    <row r="2391" spans="1:12">
      <c r="A2391" s="3" t="s">
        <v>3357</v>
      </c>
      <c r="C2391" s="3" t="s">
        <v>3817</v>
      </c>
      <c r="D2391" s="3" t="s">
        <v>3618</v>
      </c>
      <c r="E2391" s="3" t="s">
        <v>8036</v>
      </c>
      <c r="F2391" s="3" t="s">
        <v>8042</v>
      </c>
      <c r="G2391" s="3" t="s">
        <v>8045</v>
      </c>
      <c r="H2391" s="6">
        <v>1.49831</v>
      </c>
      <c r="I2391" s="6">
        <v>31.499959832873742</v>
      </c>
      <c r="J2391" s="3" t="s">
        <v>3356</v>
      </c>
      <c r="K2391" s="14" t="s">
        <v>6136</v>
      </c>
      <c r="L2391" s="1" t="s">
        <v>6135</v>
      </c>
    </row>
    <row r="2392" spans="1:12">
      <c r="A2392" s="3" t="s">
        <v>3357</v>
      </c>
      <c r="C2392" s="3" t="s">
        <v>3817</v>
      </c>
      <c r="D2392" s="3" t="s">
        <v>3618</v>
      </c>
      <c r="E2392" s="3" t="s">
        <v>3032</v>
      </c>
      <c r="F2392" s="3" t="s">
        <v>3033</v>
      </c>
      <c r="G2392" s="3" t="s">
        <v>4259</v>
      </c>
      <c r="H2392" s="6">
        <v>3.4990000000000001</v>
      </c>
      <c r="I2392" s="6">
        <v>3155.0046233746311</v>
      </c>
      <c r="J2392" s="3" t="s">
        <v>3356</v>
      </c>
      <c r="K2392" s="14" t="s">
        <v>6136</v>
      </c>
      <c r="L2392" s="1" t="s">
        <v>6135</v>
      </c>
    </row>
    <row r="2393" spans="1:12">
      <c r="A2393" s="3" t="s">
        <v>3357</v>
      </c>
      <c r="C2393" s="3" t="s">
        <v>3817</v>
      </c>
      <c r="D2393" s="3" t="s">
        <v>3618</v>
      </c>
      <c r="E2393" s="3" t="s">
        <v>3435</v>
      </c>
      <c r="F2393" s="3" t="s">
        <v>3436</v>
      </c>
      <c r="G2393" s="3" t="s">
        <v>3437</v>
      </c>
      <c r="H2393" s="6">
        <v>2.35025</v>
      </c>
      <c r="I2393" s="6">
        <v>224.00102210407647</v>
      </c>
      <c r="J2393" s="3" t="s">
        <v>3356</v>
      </c>
      <c r="K2393" s="14" t="s">
        <v>6136</v>
      </c>
      <c r="L2393" s="1" t="s">
        <v>6135</v>
      </c>
    </row>
    <row r="2394" spans="1:12">
      <c r="A2394" s="3" t="s">
        <v>3357</v>
      </c>
      <c r="C2394" s="3" t="s">
        <v>3817</v>
      </c>
      <c r="D2394" s="3" t="s">
        <v>3618</v>
      </c>
      <c r="E2394" s="3" t="s">
        <v>3438</v>
      </c>
      <c r="F2394" s="3" t="s">
        <v>3439</v>
      </c>
      <c r="G2394" s="3" t="s">
        <v>3440</v>
      </c>
      <c r="H2394" s="6">
        <v>2.39967</v>
      </c>
      <c r="I2394" s="6">
        <v>250.99784918349809</v>
      </c>
      <c r="J2394" s="3" t="s">
        <v>3356</v>
      </c>
      <c r="K2394" s="14" t="s">
        <v>6136</v>
      </c>
      <c r="L2394" s="1" t="s">
        <v>6135</v>
      </c>
    </row>
    <row r="2395" spans="1:12">
      <c r="A2395" s="3" t="s">
        <v>3357</v>
      </c>
      <c r="C2395" s="3" t="s">
        <v>3817</v>
      </c>
      <c r="D2395" s="3" t="s">
        <v>3618</v>
      </c>
      <c r="E2395" s="3" t="s">
        <v>3438</v>
      </c>
      <c r="F2395" s="3" t="s">
        <v>3441</v>
      </c>
      <c r="G2395" s="3" t="s">
        <v>3027</v>
      </c>
      <c r="H2395" s="6">
        <v>2.7723200000000001</v>
      </c>
      <c r="I2395" s="6">
        <v>591.99767351871822</v>
      </c>
      <c r="J2395" s="3" t="s">
        <v>3356</v>
      </c>
      <c r="K2395" s="14" t="s">
        <v>6136</v>
      </c>
      <c r="L2395" s="1" t="s">
        <v>6135</v>
      </c>
    </row>
    <row r="2396" spans="1:12">
      <c r="A2396" s="3" t="s">
        <v>3357</v>
      </c>
      <c r="C2396" s="3" t="s">
        <v>3817</v>
      </c>
      <c r="D2396" s="3" t="s">
        <v>3618</v>
      </c>
      <c r="E2396" s="3" t="s">
        <v>3438</v>
      </c>
      <c r="F2396" s="3" t="s">
        <v>3028</v>
      </c>
      <c r="G2396" s="3" t="s">
        <v>3029</v>
      </c>
      <c r="H2396" s="6">
        <v>2.33846</v>
      </c>
      <c r="I2396" s="6">
        <v>218.00176008978661</v>
      </c>
      <c r="J2396" s="3" t="s">
        <v>3356</v>
      </c>
      <c r="K2396" s="14" t="s">
        <v>6136</v>
      </c>
      <c r="L2396" s="1" t="s">
        <v>6135</v>
      </c>
    </row>
    <row r="2397" spans="1:12">
      <c r="A2397" s="3" t="s">
        <v>3357</v>
      </c>
      <c r="C2397" s="3" t="s">
        <v>3817</v>
      </c>
      <c r="D2397" s="3" t="s">
        <v>3618</v>
      </c>
      <c r="E2397" s="3" t="s">
        <v>3438</v>
      </c>
      <c r="F2397" s="3" t="s">
        <v>3028</v>
      </c>
      <c r="G2397" s="3" t="s">
        <v>3030</v>
      </c>
      <c r="H2397" s="6">
        <v>2.4563700000000002</v>
      </c>
      <c r="I2397" s="6">
        <v>286.00261235249923</v>
      </c>
      <c r="J2397" s="3" t="s">
        <v>3356</v>
      </c>
      <c r="K2397" s="14" t="s">
        <v>2440</v>
      </c>
      <c r="L2397" s="1" t="s">
        <v>6135</v>
      </c>
    </row>
    <row r="2398" spans="1:12">
      <c r="A2398" s="3" t="s">
        <v>3357</v>
      </c>
      <c r="C2398" s="3" t="s">
        <v>3817</v>
      </c>
      <c r="D2398" s="3" t="s">
        <v>3618</v>
      </c>
      <c r="E2398" s="3" t="s">
        <v>3438</v>
      </c>
      <c r="F2398" s="3" t="s">
        <v>3028</v>
      </c>
      <c r="G2398" s="3" t="s">
        <v>4260</v>
      </c>
      <c r="H2398" s="6">
        <v>2.04922</v>
      </c>
      <c r="I2398" s="6">
        <v>112.00050993381923</v>
      </c>
      <c r="J2398" s="3" t="s">
        <v>3356</v>
      </c>
      <c r="K2398" s="14" t="s">
        <v>6136</v>
      </c>
      <c r="L2398" s="1" t="s">
        <v>6135</v>
      </c>
    </row>
    <row r="2399" spans="1:12">
      <c r="A2399" s="3" t="s">
        <v>3357</v>
      </c>
      <c r="C2399" s="3" t="s">
        <v>3817</v>
      </c>
      <c r="D2399" s="3" t="s">
        <v>3618</v>
      </c>
      <c r="E2399" s="3" t="s">
        <v>3438</v>
      </c>
      <c r="F2399" s="3" t="s">
        <v>3028</v>
      </c>
      <c r="G2399" s="3" t="s">
        <v>8255</v>
      </c>
      <c r="H2399" s="6">
        <v>2.0374300000000001</v>
      </c>
      <c r="I2399" s="6">
        <v>109.00087895662287</v>
      </c>
      <c r="J2399" s="3" t="s">
        <v>3356</v>
      </c>
      <c r="K2399" s="14" t="s">
        <v>6136</v>
      </c>
      <c r="L2399" s="1" t="s">
        <v>6135</v>
      </c>
    </row>
    <row r="2400" spans="1:12">
      <c r="A2400" s="3" t="s">
        <v>3357</v>
      </c>
      <c r="C2400" s="3" t="s">
        <v>3817</v>
      </c>
      <c r="D2400" s="3" t="s">
        <v>3618</v>
      </c>
      <c r="E2400" s="3" t="s">
        <v>3438</v>
      </c>
      <c r="F2400" s="3" t="s">
        <v>3028</v>
      </c>
      <c r="G2400" s="3" t="s">
        <v>3615</v>
      </c>
      <c r="H2400" s="6">
        <v>2.1492200000000001</v>
      </c>
      <c r="I2400" s="6">
        <v>141.00028808959021</v>
      </c>
      <c r="J2400" s="3" t="s">
        <v>3356</v>
      </c>
      <c r="K2400" s="14" t="s">
        <v>6136</v>
      </c>
      <c r="L2400" s="1" t="s">
        <v>6135</v>
      </c>
    </row>
    <row r="2401" spans="1:12">
      <c r="A2401" s="3" t="s">
        <v>3357</v>
      </c>
      <c r="C2401" s="3" t="s">
        <v>3817</v>
      </c>
      <c r="D2401" s="3" t="s">
        <v>3618</v>
      </c>
      <c r="E2401" s="3" t="s">
        <v>3438</v>
      </c>
      <c r="F2401" s="3" t="s">
        <v>3028</v>
      </c>
      <c r="G2401" s="3" t="s">
        <v>3616</v>
      </c>
      <c r="H2401" s="6">
        <v>2.3979400000000002</v>
      </c>
      <c r="I2401" s="6">
        <v>249.99999500797404</v>
      </c>
      <c r="J2401" s="3" t="s">
        <v>3356</v>
      </c>
      <c r="K2401" s="14" t="s">
        <v>2389</v>
      </c>
      <c r="L2401" s="1" t="s">
        <v>6135</v>
      </c>
    </row>
    <row r="2402" spans="1:12">
      <c r="A2402" s="3" t="s">
        <v>3357</v>
      </c>
      <c r="C2402" s="3" t="s">
        <v>3817</v>
      </c>
      <c r="D2402" s="3" t="s">
        <v>3618</v>
      </c>
      <c r="E2402" s="3" t="s">
        <v>3438</v>
      </c>
      <c r="F2402" s="3" t="s">
        <v>3028</v>
      </c>
      <c r="G2402" s="3" t="s">
        <v>3425</v>
      </c>
      <c r="H2402" s="6">
        <v>2.4727600000000001</v>
      </c>
      <c r="I2402" s="6">
        <v>297.00242820745564</v>
      </c>
      <c r="J2402" s="3" t="s">
        <v>3356</v>
      </c>
      <c r="K2402" s="14" t="s">
        <v>6136</v>
      </c>
      <c r="L2402" s="1" t="s">
        <v>6135</v>
      </c>
    </row>
    <row r="2403" spans="1:12">
      <c r="A2403" s="3" t="s">
        <v>3357</v>
      </c>
      <c r="C2403" s="3" t="s">
        <v>3817</v>
      </c>
      <c r="D2403" s="3" t="s">
        <v>3618</v>
      </c>
      <c r="E2403" s="3" t="s">
        <v>3438</v>
      </c>
      <c r="F2403" s="3" t="s">
        <v>3028</v>
      </c>
      <c r="G2403" s="3" t="s">
        <v>3036</v>
      </c>
      <c r="H2403" s="6">
        <v>2.2695099999999999</v>
      </c>
      <c r="I2403" s="6">
        <v>185.99873905218925</v>
      </c>
      <c r="J2403" s="3" t="s">
        <v>3356</v>
      </c>
      <c r="K2403" s="14" t="s">
        <v>6136</v>
      </c>
      <c r="L2403" s="1" t="s">
        <v>6135</v>
      </c>
    </row>
    <row r="2404" spans="1:12">
      <c r="A2404" s="3" t="s">
        <v>3357</v>
      </c>
      <c r="C2404" s="3" t="s">
        <v>3817</v>
      </c>
      <c r="D2404" s="3" t="s">
        <v>3618</v>
      </c>
      <c r="E2404" s="3" t="s">
        <v>3438</v>
      </c>
      <c r="F2404" s="3" t="s">
        <v>3037</v>
      </c>
      <c r="G2404" s="3" t="s">
        <v>4900</v>
      </c>
      <c r="H2404" s="6">
        <v>2.4698199999999999</v>
      </c>
      <c r="I2404" s="6">
        <v>294.99863062460491</v>
      </c>
      <c r="J2404" s="3" t="s">
        <v>3356</v>
      </c>
      <c r="K2404" s="14" t="s">
        <v>2440</v>
      </c>
      <c r="L2404" s="1" t="s">
        <v>6135</v>
      </c>
    </row>
    <row r="2405" spans="1:12">
      <c r="A2405" s="3" t="s">
        <v>3357</v>
      </c>
      <c r="C2405" s="3" t="s">
        <v>3817</v>
      </c>
      <c r="D2405" s="3" t="s">
        <v>3618</v>
      </c>
      <c r="E2405" s="3" t="s">
        <v>3438</v>
      </c>
      <c r="F2405" s="3" t="s">
        <v>3037</v>
      </c>
      <c r="G2405" s="3" t="s">
        <v>3038</v>
      </c>
      <c r="H2405" s="6">
        <v>2.2405499999999998</v>
      </c>
      <c r="I2405" s="6">
        <v>174.00030117569145</v>
      </c>
      <c r="J2405" s="3" t="s">
        <v>3356</v>
      </c>
      <c r="K2405" s="14" t="s">
        <v>6136</v>
      </c>
      <c r="L2405" s="1" t="s">
        <v>6135</v>
      </c>
    </row>
    <row r="2406" spans="1:12">
      <c r="A2406" s="3" t="s">
        <v>3357</v>
      </c>
      <c r="C2406" s="3" t="s">
        <v>3817</v>
      </c>
      <c r="D2406" s="3" t="s">
        <v>3618</v>
      </c>
      <c r="E2406" s="3" t="s">
        <v>3438</v>
      </c>
      <c r="F2406" s="3" t="s">
        <v>3037</v>
      </c>
      <c r="G2406" s="3" t="s">
        <v>5715</v>
      </c>
      <c r="H2406" s="6">
        <v>2.56996</v>
      </c>
      <c r="I2406" s="6">
        <v>371.50101101379613</v>
      </c>
      <c r="J2406" s="3" t="s">
        <v>3356</v>
      </c>
      <c r="K2406" s="14" t="s">
        <v>6136</v>
      </c>
      <c r="L2406" s="1" t="s">
        <v>6135</v>
      </c>
    </row>
    <row r="2407" spans="1:12">
      <c r="A2407" s="3" t="s">
        <v>3357</v>
      </c>
      <c r="C2407" s="3" t="s">
        <v>3817</v>
      </c>
      <c r="D2407" s="3" t="s">
        <v>3618</v>
      </c>
      <c r="E2407" s="3" t="s">
        <v>3438</v>
      </c>
      <c r="F2407" s="3" t="s">
        <v>3037</v>
      </c>
      <c r="G2407" s="3" t="s">
        <v>7426</v>
      </c>
      <c r="H2407" s="6">
        <v>2.4638900000000001</v>
      </c>
      <c r="I2407" s="6">
        <v>290.99799723012364</v>
      </c>
      <c r="J2407" s="3" t="s">
        <v>3356</v>
      </c>
      <c r="K2407" s="14" t="s">
        <v>2440</v>
      </c>
      <c r="L2407" s="1" t="s">
        <v>6135</v>
      </c>
    </row>
    <row r="2408" spans="1:12">
      <c r="A2408" s="3" t="s">
        <v>3357</v>
      </c>
      <c r="C2408" s="3" t="s">
        <v>3817</v>
      </c>
      <c r="D2408" s="3" t="s">
        <v>3618</v>
      </c>
      <c r="E2408" s="3" t="s">
        <v>3438</v>
      </c>
      <c r="F2408" s="3" t="s">
        <v>5711</v>
      </c>
      <c r="G2408" s="3" t="s">
        <v>3514</v>
      </c>
      <c r="H2408" s="6">
        <v>2.2174800000000001</v>
      </c>
      <c r="I2408" s="6">
        <v>164.998501495261</v>
      </c>
      <c r="J2408" s="3" t="s">
        <v>3356</v>
      </c>
      <c r="K2408" s="14" t="s">
        <v>6136</v>
      </c>
      <c r="L2408" s="1" t="s">
        <v>6135</v>
      </c>
    </row>
    <row r="2409" spans="1:12">
      <c r="A2409" s="3" t="s">
        <v>3357</v>
      </c>
      <c r="C2409" s="3" t="s">
        <v>3817</v>
      </c>
      <c r="D2409" s="3" t="s">
        <v>3618</v>
      </c>
      <c r="E2409" s="3" t="s">
        <v>3438</v>
      </c>
      <c r="F2409" s="3" t="s">
        <v>8260</v>
      </c>
      <c r="G2409" s="3" t="s">
        <v>8267</v>
      </c>
      <c r="H2409" s="6">
        <v>2.3201499999999999</v>
      </c>
      <c r="I2409" s="6">
        <v>209.00178728061474</v>
      </c>
      <c r="J2409" s="3" t="s">
        <v>3356</v>
      </c>
      <c r="K2409" s="14" t="s">
        <v>6136</v>
      </c>
      <c r="L2409" s="1" t="s">
        <v>6135</v>
      </c>
    </row>
    <row r="2410" spans="1:12">
      <c r="A2410" s="3" t="s">
        <v>3357</v>
      </c>
      <c r="C2410" s="3" t="s">
        <v>3817</v>
      </c>
      <c r="D2410" s="3" t="s">
        <v>3618</v>
      </c>
      <c r="E2410" s="3" t="s">
        <v>3438</v>
      </c>
      <c r="F2410" s="3" t="s">
        <v>8260</v>
      </c>
      <c r="G2410" s="3" t="s">
        <v>8268</v>
      </c>
      <c r="H2410" s="6">
        <v>2.3201499999999999</v>
      </c>
      <c r="I2410" s="6">
        <v>209.00178728061474</v>
      </c>
      <c r="J2410" s="3" t="s">
        <v>3356</v>
      </c>
      <c r="K2410" s="14" t="s">
        <v>6136</v>
      </c>
      <c r="L2410" s="1" t="s">
        <v>6135</v>
      </c>
    </row>
    <row r="2411" spans="1:12">
      <c r="A2411" s="3" t="s">
        <v>3357</v>
      </c>
      <c r="C2411" s="3" t="s">
        <v>3817</v>
      </c>
      <c r="D2411" s="3" t="s">
        <v>3618</v>
      </c>
      <c r="E2411" s="3" t="s">
        <v>3438</v>
      </c>
      <c r="F2411" s="3" t="s">
        <v>8260</v>
      </c>
      <c r="G2411" s="3" t="s">
        <v>4392</v>
      </c>
      <c r="H2411" s="6">
        <v>2.09517</v>
      </c>
      <c r="I2411" s="6">
        <v>124.50018592639366</v>
      </c>
      <c r="J2411" s="3" t="s">
        <v>3356</v>
      </c>
      <c r="K2411" s="14" t="s">
        <v>6136</v>
      </c>
      <c r="L2411" s="1" t="s">
        <v>6135</v>
      </c>
    </row>
    <row r="2412" spans="1:12">
      <c r="A2412" s="3" t="s">
        <v>3357</v>
      </c>
      <c r="C2412" s="3" t="s">
        <v>3817</v>
      </c>
      <c r="D2412" s="3" t="s">
        <v>3618</v>
      </c>
      <c r="E2412" s="3" t="s">
        <v>3438</v>
      </c>
      <c r="F2412" s="3" t="s">
        <v>6790</v>
      </c>
      <c r="G2412" s="3" t="s">
        <v>3042</v>
      </c>
      <c r="H2412" s="6">
        <v>2.734</v>
      </c>
      <c r="I2412" s="6">
        <v>542.00089040162425</v>
      </c>
      <c r="J2412" s="3" t="s">
        <v>3356</v>
      </c>
      <c r="K2412" s="14" t="s">
        <v>6136</v>
      </c>
      <c r="L2412" s="1" t="s">
        <v>6135</v>
      </c>
    </row>
    <row r="2413" spans="1:12">
      <c r="A2413" s="3" t="s">
        <v>3357</v>
      </c>
      <c r="C2413" s="3" t="s">
        <v>3817</v>
      </c>
      <c r="D2413" s="3" t="s">
        <v>3618</v>
      </c>
      <c r="E2413" s="3" t="s">
        <v>3438</v>
      </c>
      <c r="F2413" s="3" t="s">
        <v>6790</v>
      </c>
      <c r="G2413" s="3" t="s">
        <v>3043</v>
      </c>
      <c r="H2413" s="6">
        <v>2.7934399999999999</v>
      </c>
      <c r="I2413" s="6">
        <v>621.4983786469121</v>
      </c>
      <c r="J2413" s="3" t="s">
        <v>3356</v>
      </c>
      <c r="K2413" s="14" t="s">
        <v>6136</v>
      </c>
      <c r="L2413" s="1" t="s">
        <v>6135</v>
      </c>
    </row>
    <row r="2414" spans="1:12">
      <c r="A2414" s="3" t="s">
        <v>3357</v>
      </c>
      <c r="C2414" s="3" t="s">
        <v>3817</v>
      </c>
      <c r="D2414" s="3" t="s">
        <v>3618</v>
      </c>
      <c r="E2414" s="3" t="s">
        <v>3438</v>
      </c>
      <c r="F2414" s="3" t="s">
        <v>3044</v>
      </c>
      <c r="G2414" s="3" t="s">
        <v>3445</v>
      </c>
      <c r="H2414" s="6">
        <v>2.8588399999999998</v>
      </c>
      <c r="I2414" s="6">
        <v>722.50357441034066</v>
      </c>
      <c r="J2414" s="3" t="s">
        <v>3356</v>
      </c>
      <c r="K2414" s="14" t="s">
        <v>2440</v>
      </c>
      <c r="L2414" s="1" t="s">
        <v>6135</v>
      </c>
    </row>
    <row r="2415" spans="1:12">
      <c r="A2415" s="3" t="s">
        <v>3357</v>
      </c>
      <c r="C2415" s="3" t="s">
        <v>3817</v>
      </c>
      <c r="D2415" s="3" t="s">
        <v>3618</v>
      </c>
      <c r="E2415" s="3" t="s">
        <v>3438</v>
      </c>
      <c r="F2415" s="3" t="s">
        <v>3044</v>
      </c>
      <c r="G2415" s="3" t="s">
        <v>3446</v>
      </c>
      <c r="H2415" s="6">
        <v>2.7955299999999998</v>
      </c>
      <c r="I2415" s="6">
        <v>624.49648747965989</v>
      </c>
      <c r="J2415" s="3" t="s">
        <v>3356</v>
      </c>
      <c r="K2415" s="14" t="s">
        <v>6136</v>
      </c>
      <c r="L2415" s="1" t="s">
        <v>6135</v>
      </c>
    </row>
    <row r="2416" spans="1:12">
      <c r="A2416" s="3" t="s">
        <v>3357</v>
      </c>
      <c r="C2416" s="3" t="s">
        <v>3817</v>
      </c>
      <c r="D2416" s="3" t="s">
        <v>3618</v>
      </c>
      <c r="E2416" s="3" t="s">
        <v>3438</v>
      </c>
      <c r="F2416" s="3" t="s">
        <v>3044</v>
      </c>
      <c r="G2416" s="3" t="s">
        <v>3790</v>
      </c>
      <c r="H2416" s="6">
        <v>2.9777200000000001</v>
      </c>
      <c r="I2416" s="6">
        <v>949.99211362259632</v>
      </c>
      <c r="J2416" s="3" t="s">
        <v>3356</v>
      </c>
      <c r="K2416" s="14" t="s">
        <v>2389</v>
      </c>
      <c r="L2416" s="1" t="s">
        <v>6135</v>
      </c>
    </row>
    <row r="2417" spans="1:12">
      <c r="A2417" s="3" t="s">
        <v>3357</v>
      </c>
      <c r="C2417" s="3" t="s">
        <v>3817</v>
      </c>
      <c r="D2417" s="3" t="s">
        <v>3618</v>
      </c>
      <c r="E2417" s="3" t="s">
        <v>3438</v>
      </c>
      <c r="F2417" s="3" t="s">
        <v>3044</v>
      </c>
      <c r="G2417" s="3" t="s">
        <v>4407</v>
      </c>
      <c r="H2417" s="6">
        <v>2.5017399999999999</v>
      </c>
      <c r="I2417" s="6">
        <v>317.49727338970928</v>
      </c>
      <c r="J2417" s="3" t="s">
        <v>3356</v>
      </c>
      <c r="K2417" s="14" t="s">
        <v>2440</v>
      </c>
      <c r="L2417" s="1" t="s">
        <v>6135</v>
      </c>
    </row>
    <row r="2418" spans="1:12">
      <c r="A2418" s="3" t="s">
        <v>3357</v>
      </c>
      <c r="C2418" s="3" t="s">
        <v>3817</v>
      </c>
      <c r="D2418" s="3" t="s">
        <v>3618</v>
      </c>
      <c r="E2418" s="3" t="s">
        <v>6468</v>
      </c>
      <c r="F2418" s="3" t="s">
        <v>6469</v>
      </c>
      <c r="G2418" s="3" t="s">
        <v>6418</v>
      </c>
      <c r="H2418" s="6">
        <v>3.7054399999999998</v>
      </c>
      <c r="I2418" s="6">
        <v>5075.0461983101586</v>
      </c>
      <c r="J2418" s="3" t="s">
        <v>3356</v>
      </c>
      <c r="K2418" s="14" t="s">
        <v>2440</v>
      </c>
      <c r="L2418" s="1" t="s">
        <v>6135</v>
      </c>
    </row>
    <row r="2419" spans="1:12">
      <c r="A2419" s="3" t="s">
        <v>3357</v>
      </c>
      <c r="C2419" s="3" t="s">
        <v>3817</v>
      </c>
      <c r="D2419" s="3" t="s">
        <v>3618</v>
      </c>
      <c r="E2419" s="3" t="s">
        <v>6468</v>
      </c>
      <c r="F2419" s="3" t="s">
        <v>6469</v>
      </c>
      <c r="G2419" s="3" t="s">
        <v>3327</v>
      </c>
      <c r="H2419" s="6">
        <v>3.60853</v>
      </c>
      <c r="I2419" s="6">
        <v>4060.0370802549937</v>
      </c>
      <c r="J2419" s="3" t="s">
        <v>3356</v>
      </c>
      <c r="K2419" s="14" t="s">
        <v>6136</v>
      </c>
      <c r="L2419" s="1" t="s">
        <v>6135</v>
      </c>
    </row>
    <row r="2420" spans="1:12">
      <c r="A2420" s="3" t="s">
        <v>3357</v>
      </c>
      <c r="C2420" s="3" t="s">
        <v>3817</v>
      </c>
      <c r="D2420" s="3" t="s">
        <v>7996</v>
      </c>
      <c r="E2420" s="3" t="s">
        <v>6238</v>
      </c>
      <c r="F2420" s="3" t="s">
        <v>6413</v>
      </c>
      <c r="G2420" s="3" t="s">
        <v>6414</v>
      </c>
      <c r="H2420" s="6">
        <v>4.7189199999999998</v>
      </c>
      <c r="I2420" s="6">
        <v>52350.399470385135</v>
      </c>
      <c r="J2420" s="3" t="s">
        <v>3356</v>
      </c>
      <c r="K2420" s="14" t="s">
        <v>6136</v>
      </c>
      <c r="L2420" s="1" t="s">
        <v>6135</v>
      </c>
    </row>
    <row r="2421" spans="1:12">
      <c r="A2421" s="3" t="s">
        <v>4065</v>
      </c>
      <c r="C2421" s="3" t="s">
        <v>3817</v>
      </c>
      <c r="D2421" s="3" t="s">
        <v>3001</v>
      </c>
      <c r="E2421" s="3" t="s">
        <v>3358</v>
      </c>
      <c r="F2421" s="3" t="s">
        <v>4067</v>
      </c>
      <c r="G2421" s="3" t="s">
        <v>7469</v>
      </c>
      <c r="H2421" s="6">
        <v>5.6766936096248664</v>
      </c>
      <c r="I2421" s="6">
        <v>475000</v>
      </c>
      <c r="J2421" s="3" t="s">
        <v>3527</v>
      </c>
      <c r="L2421" s="1" t="s">
        <v>6135</v>
      </c>
    </row>
    <row r="2422" spans="1:12">
      <c r="A2422" s="3" t="s">
        <v>4065</v>
      </c>
      <c r="C2422" s="3" t="s">
        <v>3817</v>
      </c>
      <c r="D2422" s="3" t="s">
        <v>3001</v>
      </c>
      <c r="E2422" s="3" t="s">
        <v>3358</v>
      </c>
      <c r="F2422" s="3" t="s">
        <v>7456</v>
      </c>
      <c r="G2422" s="3" t="s">
        <v>7457</v>
      </c>
      <c r="H2422" s="6">
        <v>5.9164539485499255</v>
      </c>
      <c r="I2422" s="6">
        <v>825000</v>
      </c>
      <c r="J2422" s="3" t="s">
        <v>3527</v>
      </c>
      <c r="L2422" s="1" t="s">
        <v>6135</v>
      </c>
    </row>
    <row r="2423" spans="1:12">
      <c r="A2423" s="3" t="s">
        <v>4065</v>
      </c>
      <c r="C2423" s="3" t="s">
        <v>3817</v>
      </c>
      <c r="D2423" s="3" t="s">
        <v>3001</v>
      </c>
      <c r="E2423" s="3" t="s">
        <v>3358</v>
      </c>
      <c r="F2423" s="3" t="s">
        <v>3171</v>
      </c>
      <c r="G2423" s="3" t="s">
        <v>4066</v>
      </c>
      <c r="H2423" s="6">
        <v>4.5250448070368456</v>
      </c>
      <c r="I2423" s="6">
        <v>33500</v>
      </c>
      <c r="J2423" s="3" t="s">
        <v>3527</v>
      </c>
      <c r="L2423" s="1" t="s">
        <v>6135</v>
      </c>
    </row>
    <row r="2424" spans="1:12">
      <c r="A2424" s="3" t="s">
        <v>4065</v>
      </c>
      <c r="C2424" s="3" t="s">
        <v>3817</v>
      </c>
      <c r="D2424" s="3" t="s">
        <v>3001</v>
      </c>
      <c r="E2424" s="3" t="s">
        <v>7465</v>
      </c>
      <c r="F2424" s="3" t="s">
        <v>7466</v>
      </c>
      <c r="G2424" s="3" t="s">
        <v>7467</v>
      </c>
      <c r="H2424" s="6">
        <v>5.9030899869919438</v>
      </c>
      <c r="I2424" s="6">
        <v>800000</v>
      </c>
      <c r="J2424" s="3" t="s">
        <v>3527</v>
      </c>
      <c r="L2424" s="1" t="s">
        <v>6135</v>
      </c>
    </row>
    <row r="2425" spans="1:12">
      <c r="A2425" s="3" t="s">
        <v>4065</v>
      </c>
      <c r="C2425" s="3" t="s">
        <v>3817</v>
      </c>
      <c r="D2425" s="3" t="s">
        <v>3001</v>
      </c>
      <c r="E2425" s="3" t="s">
        <v>3905</v>
      </c>
      <c r="F2425" s="3" t="s">
        <v>3864</v>
      </c>
      <c r="G2425" s="3" t="s">
        <v>3908</v>
      </c>
      <c r="H2425" s="6">
        <v>4.8419848045901137</v>
      </c>
      <c r="I2425" s="6">
        <v>69500</v>
      </c>
      <c r="J2425" s="3" t="s">
        <v>3527</v>
      </c>
      <c r="L2425" s="1" t="s">
        <v>6135</v>
      </c>
    </row>
    <row r="2426" spans="1:12">
      <c r="A2426" s="3" t="s">
        <v>4065</v>
      </c>
      <c r="C2426" s="3" t="s">
        <v>3817</v>
      </c>
      <c r="D2426" s="3" t="s">
        <v>3001</v>
      </c>
      <c r="E2426" s="3" t="s">
        <v>3905</v>
      </c>
      <c r="F2426" s="3" t="s">
        <v>3864</v>
      </c>
      <c r="G2426" s="3" t="s">
        <v>3865</v>
      </c>
      <c r="H2426" s="6">
        <v>4.5440680443502757</v>
      </c>
      <c r="I2426" s="6">
        <v>35000</v>
      </c>
      <c r="J2426" s="3" t="s">
        <v>3527</v>
      </c>
      <c r="L2426" s="1" t="s">
        <v>6135</v>
      </c>
    </row>
    <row r="2427" spans="1:12">
      <c r="A2427" s="3" t="s">
        <v>4065</v>
      </c>
      <c r="C2427" s="3" t="s">
        <v>3817</v>
      </c>
      <c r="D2427" s="3" t="s">
        <v>3001</v>
      </c>
      <c r="E2427" s="3" t="s">
        <v>3905</v>
      </c>
      <c r="F2427" s="3" t="s">
        <v>3906</v>
      </c>
      <c r="G2427" s="3" t="s">
        <v>3863</v>
      </c>
      <c r="H2427" s="6">
        <v>5.0773679052841567</v>
      </c>
      <c r="I2427" s="6">
        <v>119500</v>
      </c>
      <c r="J2427" s="3" t="s">
        <v>3527</v>
      </c>
      <c r="L2427" s="1" t="s">
        <v>6135</v>
      </c>
    </row>
    <row r="2428" spans="1:12">
      <c r="A2428" s="3" t="s">
        <v>4065</v>
      </c>
      <c r="C2428" s="3" t="s">
        <v>3817</v>
      </c>
      <c r="D2428" s="3" t="s">
        <v>3001</v>
      </c>
      <c r="E2428" s="3" t="s">
        <v>3905</v>
      </c>
      <c r="F2428" s="3" t="s">
        <v>3906</v>
      </c>
      <c r="G2428" s="3" t="s">
        <v>3909</v>
      </c>
      <c r="H2428" s="6">
        <v>4.7993405494535821</v>
      </c>
      <c r="I2428" s="6">
        <v>63000</v>
      </c>
      <c r="J2428" s="3" t="s">
        <v>3527</v>
      </c>
      <c r="L2428" s="1" t="s">
        <v>6135</v>
      </c>
    </row>
    <row r="2429" spans="1:12">
      <c r="A2429" s="3" t="s">
        <v>4065</v>
      </c>
      <c r="C2429" s="3" t="s">
        <v>3817</v>
      </c>
      <c r="D2429" s="3" t="s">
        <v>3001</v>
      </c>
      <c r="E2429" s="3" t="s">
        <v>3905</v>
      </c>
      <c r="F2429" s="3" t="s">
        <v>3906</v>
      </c>
      <c r="G2429" s="3" t="s">
        <v>3652</v>
      </c>
      <c r="H2429" s="6">
        <v>5.2278867046136739</v>
      </c>
      <c r="I2429" s="6">
        <v>169000</v>
      </c>
      <c r="J2429" s="3" t="s">
        <v>3527</v>
      </c>
      <c r="L2429" s="1" t="s">
        <v>6135</v>
      </c>
    </row>
    <row r="2430" spans="1:12">
      <c r="A2430" s="3" t="s">
        <v>4065</v>
      </c>
      <c r="C2430" s="3" t="s">
        <v>3817</v>
      </c>
      <c r="D2430" s="3" t="s">
        <v>3001</v>
      </c>
      <c r="E2430" s="3" t="s">
        <v>3905</v>
      </c>
      <c r="F2430" s="3" t="s">
        <v>3866</v>
      </c>
      <c r="G2430" s="3" t="s">
        <v>4891</v>
      </c>
      <c r="H2430" s="6">
        <v>4.685741738602264</v>
      </c>
      <c r="I2430" s="6">
        <v>48500</v>
      </c>
      <c r="J2430" s="3" t="s">
        <v>3527</v>
      </c>
      <c r="L2430" s="1" t="s">
        <v>6135</v>
      </c>
    </row>
    <row r="2431" spans="1:12">
      <c r="A2431" s="3" t="s">
        <v>4065</v>
      </c>
      <c r="C2431" s="3" t="s">
        <v>3817</v>
      </c>
      <c r="D2431" s="3" t="s">
        <v>3001</v>
      </c>
      <c r="E2431" s="3" t="s">
        <v>3267</v>
      </c>
      <c r="F2431" s="3" t="s">
        <v>3484</v>
      </c>
      <c r="G2431" s="3" t="s">
        <v>3485</v>
      </c>
      <c r="H2431" s="6">
        <v>4.9357591037453119</v>
      </c>
      <c r="I2431" s="6">
        <v>86250</v>
      </c>
      <c r="J2431" s="3" t="s">
        <v>3527</v>
      </c>
      <c r="L2431" s="1" t="s">
        <v>6135</v>
      </c>
    </row>
    <row r="2432" spans="1:12">
      <c r="A2432" s="3" t="s">
        <v>4065</v>
      </c>
      <c r="C2432" s="3" t="s">
        <v>3817</v>
      </c>
      <c r="D2432" s="3" t="s">
        <v>3954</v>
      </c>
      <c r="E2432" s="3" t="s">
        <v>3955</v>
      </c>
      <c r="F2432" s="3" t="s">
        <v>3956</v>
      </c>
      <c r="G2432" s="3" t="s">
        <v>4674</v>
      </c>
      <c r="H2432" s="6">
        <v>4.2253092817258633</v>
      </c>
      <c r="I2432" s="6">
        <v>16800</v>
      </c>
      <c r="J2432" s="3" t="s">
        <v>3356</v>
      </c>
      <c r="L2432" s="1" t="s">
        <v>6135</v>
      </c>
    </row>
    <row r="2433" spans="1:12">
      <c r="A2433" s="3" t="s">
        <v>4065</v>
      </c>
      <c r="C2433" s="3" t="s">
        <v>3817</v>
      </c>
      <c r="D2433" s="3" t="s">
        <v>3954</v>
      </c>
      <c r="E2433" s="3" t="s">
        <v>3955</v>
      </c>
      <c r="F2433" s="3" t="s">
        <v>4544</v>
      </c>
      <c r="G2433" s="3" t="s">
        <v>4676</v>
      </c>
      <c r="H2433" s="6">
        <v>3.7745169657285498</v>
      </c>
      <c r="I2433" s="6">
        <v>5950</v>
      </c>
      <c r="J2433" s="3" t="s">
        <v>3356</v>
      </c>
      <c r="L2433" s="1" t="s">
        <v>6135</v>
      </c>
    </row>
    <row r="2434" spans="1:12">
      <c r="A2434" s="3" t="s">
        <v>4065</v>
      </c>
      <c r="C2434" s="3" t="s">
        <v>3817</v>
      </c>
      <c r="D2434" s="3" t="s">
        <v>3954</v>
      </c>
      <c r="E2434" s="3" t="s">
        <v>7321</v>
      </c>
      <c r="F2434" s="3" t="s">
        <v>4839</v>
      </c>
      <c r="G2434" s="3" t="s">
        <v>4857</v>
      </c>
      <c r="H2434" s="6">
        <v>3.6283889300503116</v>
      </c>
      <c r="I2434" s="6">
        <v>4250</v>
      </c>
      <c r="J2434" s="3" t="s">
        <v>3356</v>
      </c>
      <c r="L2434" s="1" t="s">
        <v>6135</v>
      </c>
    </row>
    <row r="2435" spans="1:12">
      <c r="A2435" s="3" t="s">
        <v>4065</v>
      </c>
      <c r="C2435" s="3" t="s">
        <v>3817</v>
      </c>
      <c r="D2435" s="3" t="s">
        <v>3954</v>
      </c>
      <c r="E2435" s="3" t="s">
        <v>4468</v>
      </c>
      <c r="F2435" s="3" t="s">
        <v>4080</v>
      </c>
      <c r="G2435" s="3" t="s">
        <v>4082</v>
      </c>
      <c r="H2435" s="6">
        <v>5.0053950318867058</v>
      </c>
      <c r="I2435" s="6">
        <v>101250</v>
      </c>
      <c r="J2435" s="3" t="s">
        <v>3356</v>
      </c>
      <c r="L2435" s="1" t="s">
        <v>6135</v>
      </c>
    </row>
    <row r="2436" spans="1:12">
      <c r="A2436" s="3" t="s">
        <v>4065</v>
      </c>
      <c r="C2436" s="3" t="s">
        <v>3817</v>
      </c>
      <c r="D2436" s="3" t="s">
        <v>3954</v>
      </c>
      <c r="E2436" s="3" t="s">
        <v>4468</v>
      </c>
      <c r="F2436" s="3" t="s">
        <v>4080</v>
      </c>
      <c r="G2436" s="3" t="s">
        <v>7280</v>
      </c>
      <c r="H2436" s="6">
        <v>4.989004615698537</v>
      </c>
      <c r="I2436" s="6">
        <v>97500</v>
      </c>
      <c r="J2436" s="3" t="s">
        <v>3356</v>
      </c>
      <c r="L2436" s="1" t="s">
        <v>6135</v>
      </c>
    </row>
    <row r="2437" spans="1:12">
      <c r="A2437" s="3" t="s">
        <v>4065</v>
      </c>
      <c r="C2437" s="3" t="s">
        <v>3817</v>
      </c>
      <c r="D2437" s="3" t="s">
        <v>3954</v>
      </c>
      <c r="E2437" s="3" t="s">
        <v>4468</v>
      </c>
      <c r="F2437" s="3" t="s">
        <v>4080</v>
      </c>
      <c r="G2437" s="3" t="s">
        <v>4473</v>
      </c>
      <c r="H2437" s="6">
        <v>5.2516382204482124</v>
      </c>
      <c r="I2437" s="6">
        <v>178500</v>
      </c>
      <c r="J2437" s="3" t="s">
        <v>3356</v>
      </c>
      <c r="L2437" s="1" t="s">
        <v>6135</v>
      </c>
    </row>
    <row r="2438" spans="1:12">
      <c r="A2438" s="3" t="s">
        <v>4065</v>
      </c>
      <c r="C2438" s="3" t="s">
        <v>3817</v>
      </c>
      <c r="D2438" s="3" t="s">
        <v>3954</v>
      </c>
      <c r="E2438" s="3" t="s">
        <v>4468</v>
      </c>
      <c r="F2438" s="3" t="s">
        <v>4080</v>
      </c>
      <c r="G2438" s="3" t="s">
        <v>4081</v>
      </c>
      <c r="H2438" s="6">
        <v>4.924279286061882</v>
      </c>
      <c r="I2438" s="6">
        <v>84000</v>
      </c>
      <c r="J2438" s="3" t="s">
        <v>3356</v>
      </c>
      <c r="L2438" s="1" t="s">
        <v>6135</v>
      </c>
    </row>
    <row r="2439" spans="1:12">
      <c r="A2439" s="3" t="s">
        <v>4065</v>
      </c>
      <c r="C2439" s="3" t="s">
        <v>3817</v>
      </c>
      <c r="D2439" s="3" t="s">
        <v>3954</v>
      </c>
      <c r="E2439" s="3" t="s">
        <v>4468</v>
      </c>
      <c r="F2439" s="3" t="s">
        <v>4474</v>
      </c>
      <c r="G2439" s="3" t="s">
        <v>4612</v>
      </c>
      <c r="H2439" s="6">
        <v>5.2787536009528289</v>
      </c>
      <c r="I2439" s="6">
        <v>190000</v>
      </c>
      <c r="J2439" s="3" t="s">
        <v>3356</v>
      </c>
      <c r="L2439" s="1" t="s">
        <v>6135</v>
      </c>
    </row>
    <row r="2440" spans="1:12">
      <c r="A2440" s="3" t="s">
        <v>4065</v>
      </c>
      <c r="C2440" s="3" t="s">
        <v>3817</v>
      </c>
      <c r="D2440" s="3" t="s">
        <v>3954</v>
      </c>
      <c r="E2440" s="3" t="s">
        <v>4613</v>
      </c>
      <c r="F2440" s="3" t="s">
        <v>2720</v>
      </c>
      <c r="G2440" s="3" t="s">
        <v>2408</v>
      </c>
      <c r="H2440" s="6">
        <v>5.5563025007672868</v>
      </c>
      <c r="I2440" s="6">
        <v>360000</v>
      </c>
      <c r="J2440" s="3" t="s">
        <v>3356</v>
      </c>
      <c r="L2440" s="1" t="s">
        <v>6135</v>
      </c>
    </row>
    <row r="2441" spans="1:12">
      <c r="A2441" s="3" t="s">
        <v>4065</v>
      </c>
      <c r="C2441" s="3" t="s">
        <v>3817</v>
      </c>
      <c r="D2441" s="3" t="s">
        <v>3954</v>
      </c>
      <c r="E2441" s="3" t="s">
        <v>4613</v>
      </c>
      <c r="F2441" s="3" t="s">
        <v>2360</v>
      </c>
      <c r="G2441" s="3" t="s">
        <v>2361</v>
      </c>
      <c r="H2441" s="6">
        <v>5.6020599913279625</v>
      </c>
      <c r="I2441" s="6">
        <v>400000</v>
      </c>
      <c r="J2441" s="3" t="s">
        <v>3356</v>
      </c>
      <c r="L2441" s="1" t="s">
        <v>6135</v>
      </c>
    </row>
    <row r="2442" spans="1:12">
      <c r="A2442" s="3" t="s">
        <v>4065</v>
      </c>
      <c r="C2442" s="3" t="s">
        <v>3817</v>
      </c>
      <c r="D2442" s="3" t="s">
        <v>3954</v>
      </c>
      <c r="E2442" s="3" t="s">
        <v>4613</v>
      </c>
      <c r="F2442" s="3" t="s">
        <v>4614</v>
      </c>
      <c r="G2442" s="3" t="s">
        <v>1993</v>
      </c>
      <c r="H2442" s="6">
        <v>5.3521825181113627</v>
      </c>
      <c r="I2442" s="6">
        <v>225000</v>
      </c>
      <c r="J2442" s="3" t="s">
        <v>3356</v>
      </c>
      <c r="L2442" s="1" t="s">
        <v>6135</v>
      </c>
    </row>
    <row r="2443" spans="1:12">
      <c r="A2443" s="3" t="s">
        <v>4065</v>
      </c>
      <c r="C2443" s="3" t="s">
        <v>3817</v>
      </c>
      <c r="D2443" s="3" t="s">
        <v>3954</v>
      </c>
      <c r="E2443" s="3" t="s">
        <v>4613</v>
      </c>
      <c r="F2443" s="3" t="s">
        <v>2517</v>
      </c>
      <c r="G2443" s="3" t="s">
        <v>2518</v>
      </c>
      <c r="H2443" s="6">
        <v>6.204119982655925</v>
      </c>
      <c r="I2443" s="6">
        <v>1600000</v>
      </c>
      <c r="J2443" s="3" t="s">
        <v>3356</v>
      </c>
      <c r="L2443" s="1" t="s">
        <v>6135</v>
      </c>
    </row>
    <row r="2444" spans="1:12">
      <c r="A2444" s="3" t="s">
        <v>4065</v>
      </c>
      <c r="C2444" s="3" t="s">
        <v>3817</v>
      </c>
      <c r="D2444" s="3" t="s">
        <v>3954</v>
      </c>
      <c r="E2444" s="3" t="s">
        <v>4613</v>
      </c>
      <c r="F2444" s="3" t="s">
        <v>7279</v>
      </c>
      <c r="G2444" s="3" t="s">
        <v>2516</v>
      </c>
      <c r="H2444" s="6">
        <v>5.3979400086720375</v>
      </c>
      <c r="I2444" s="6">
        <v>250000</v>
      </c>
      <c r="J2444" s="3" t="s">
        <v>3356</v>
      </c>
      <c r="L2444" s="1" t="s">
        <v>6135</v>
      </c>
    </row>
    <row r="2445" spans="1:12">
      <c r="A2445" s="3" t="s">
        <v>4065</v>
      </c>
      <c r="C2445" s="3" t="s">
        <v>3817</v>
      </c>
      <c r="D2445" s="3" t="s">
        <v>3423</v>
      </c>
      <c r="E2445" s="3" t="s">
        <v>3424</v>
      </c>
      <c r="F2445" s="3" t="s">
        <v>7489</v>
      </c>
      <c r="G2445" s="3" t="s">
        <v>4122</v>
      </c>
      <c r="H2445" s="6">
        <v>1.6483600109809315</v>
      </c>
      <c r="I2445" s="6">
        <v>44.5</v>
      </c>
      <c r="J2445" s="3" t="s">
        <v>3356</v>
      </c>
      <c r="L2445" s="1" t="s">
        <v>6135</v>
      </c>
    </row>
    <row r="2446" spans="1:12">
      <c r="A2446" s="3" t="s">
        <v>4065</v>
      </c>
      <c r="C2446" s="3" t="s">
        <v>3817</v>
      </c>
      <c r="D2446" s="3" t="s">
        <v>3423</v>
      </c>
      <c r="E2446" s="3" t="s">
        <v>3424</v>
      </c>
      <c r="F2446" s="3" t="s">
        <v>7489</v>
      </c>
      <c r="G2446" s="3" t="s">
        <v>4391</v>
      </c>
      <c r="H2446" s="6">
        <v>1.6532125137753437</v>
      </c>
      <c r="I2446" s="6">
        <v>45</v>
      </c>
      <c r="J2446" s="3" t="s">
        <v>3356</v>
      </c>
      <c r="L2446" s="1" t="s">
        <v>6135</v>
      </c>
    </row>
    <row r="2447" spans="1:12">
      <c r="A2447" s="3" t="s">
        <v>4065</v>
      </c>
      <c r="C2447" s="3" t="s">
        <v>3817</v>
      </c>
      <c r="D2447" s="3" t="s">
        <v>3423</v>
      </c>
      <c r="E2447" s="3" t="s">
        <v>3424</v>
      </c>
      <c r="F2447" s="3" t="s">
        <v>7489</v>
      </c>
      <c r="G2447" s="3" t="s">
        <v>4329</v>
      </c>
      <c r="H2447" s="6">
        <v>1.8836614351536176</v>
      </c>
      <c r="I2447" s="6">
        <v>76.5</v>
      </c>
      <c r="J2447" s="3" t="s">
        <v>3356</v>
      </c>
      <c r="L2447" s="1" t="s">
        <v>6135</v>
      </c>
    </row>
    <row r="2448" spans="1:12">
      <c r="A2448" s="3" t="s">
        <v>4065</v>
      </c>
      <c r="C2448" s="3" t="s">
        <v>3817</v>
      </c>
      <c r="D2448" s="3" t="s">
        <v>3423</v>
      </c>
      <c r="E2448" s="3" t="s">
        <v>3424</v>
      </c>
      <c r="F2448" s="3" t="s">
        <v>7489</v>
      </c>
      <c r="G2448" s="3" t="s">
        <v>4861</v>
      </c>
      <c r="H2448" s="6">
        <v>1.8692317197309762</v>
      </c>
      <c r="I2448" s="6">
        <v>74</v>
      </c>
      <c r="J2448" s="3" t="s">
        <v>3356</v>
      </c>
      <c r="L2448" s="1" t="s">
        <v>6135</v>
      </c>
    </row>
    <row r="2449" spans="1:12">
      <c r="A2449" s="3" t="s">
        <v>4065</v>
      </c>
      <c r="C2449" s="3" t="s">
        <v>3817</v>
      </c>
      <c r="D2449" s="3" t="s">
        <v>3423</v>
      </c>
      <c r="E2449" s="3" t="s">
        <v>3424</v>
      </c>
      <c r="F2449" s="3" t="s">
        <v>7489</v>
      </c>
      <c r="G2449" s="3" t="s">
        <v>4171</v>
      </c>
      <c r="H2449" s="6">
        <v>1.7283537820212285</v>
      </c>
      <c r="I2449" s="6">
        <v>53.5</v>
      </c>
      <c r="J2449" s="3" t="s">
        <v>3356</v>
      </c>
      <c r="L2449" s="1" t="s">
        <v>6135</v>
      </c>
    </row>
    <row r="2450" spans="1:12">
      <c r="A2450" s="3" t="s">
        <v>4065</v>
      </c>
      <c r="C2450" s="3" t="s">
        <v>3817</v>
      </c>
      <c r="D2450" s="3" t="s">
        <v>3423</v>
      </c>
      <c r="E2450" s="3" t="s">
        <v>3424</v>
      </c>
      <c r="F2450" s="3" t="s">
        <v>7489</v>
      </c>
      <c r="G2450" s="3" t="s">
        <v>7490</v>
      </c>
      <c r="H2450" s="6">
        <v>1.4393326938302626</v>
      </c>
      <c r="I2450" s="6">
        <v>27.5</v>
      </c>
      <c r="J2450" s="3" t="s">
        <v>3356</v>
      </c>
      <c r="L2450" s="1" t="s">
        <v>6135</v>
      </c>
    </row>
    <row r="2451" spans="1:12">
      <c r="A2451" s="3" t="s">
        <v>4065</v>
      </c>
      <c r="C2451" s="3" t="s">
        <v>3817</v>
      </c>
      <c r="D2451" s="3" t="s">
        <v>3423</v>
      </c>
      <c r="E2451" s="3" t="s">
        <v>3424</v>
      </c>
      <c r="F2451" s="3" t="s">
        <v>7489</v>
      </c>
      <c r="G2451" s="3" t="s">
        <v>4394</v>
      </c>
      <c r="H2451" s="6">
        <v>1.7242758696007889</v>
      </c>
      <c r="I2451" s="6">
        <v>53</v>
      </c>
      <c r="J2451" s="3" t="s">
        <v>3356</v>
      </c>
      <c r="L2451" s="1" t="s">
        <v>6135</v>
      </c>
    </row>
    <row r="2452" spans="1:12">
      <c r="A2452" s="3" t="s">
        <v>4065</v>
      </c>
      <c r="C2452" s="3" t="s">
        <v>3817</v>
      </c>
      <c r="D2452" s="3" t="s">
        <v>3423</v>
      </c>
      <c r="E2452" s="3" t="s">
        <v>3424</v>
      </c>
      <c r="F2452" s="3" t="s">
        <v>3917</v>
      </c>
      <c r="G2452" s="3" t="s">
        <v>3919</v>
      </c>
      <c r="H2452" s="6">
        <v>2.0159881053841304</v>
      </c>
      <c r="I2452" s="6">
        <v>103.75</v>
      </c>
      <c r="J2452" s="3" t="s">
        <v>3356</v>
      </c>
      <c r="L2452" s="1" t="s">
        <v>6135</v>
      </c>
    </row>
    <row r="2453" spans="1:12">
      <c r="A2453" s="3" t="s">
        <v>4065</v>
      </c>
      <c r="C2453" s="3" t="s">
        <v>3817</v>
      </c>
      <c r="D2453" s="3" t="s">
        <v>3423</v>
      </c>
      <c r="E2453" s="3" t="s">
        <v>3424</v>
      </c>
      <c r="F2453" s="3" t="s">
        <v>3917</v>
      </c>
      <c r="G2453" s="3" t="s">
        <v>3918</v>
      </c>
      <c r="H2453" s="6">
        <v>2</v>
      </c>
      <c r="I2453" s="6">
        <v>100</v>
      </c>
      <c r="J2453" s="3" t="s">
        <v>3356</v>
      </c>
      <c r="L2453" s="1" t="s">
        <v>6135</v>
      </c>
    </row>
    <row r="2454" spans="1:12">
      <c r="A2454" s="3" t="s">
        <v>4065</v>
      </c>
      <c r="C2454" s="3" t="s">
        <v>3817</v>
      </c>
      <c r="D2454" s="3" t="s">
        <v>3423</v>
      </c>
      <c r="E2454" s="3" t="s">
        <v>3424</v>
      </c>
      <c r="F2454" s="3" t="s">
        <v>3871</v>
      </c>
      <c r="G2454" s="3" t="s">
        <v>3872</v>
      </c>
      <c r="H2454" s="6">
        <v>1.4586378490256493</v>
      </c>
      <c r="I2454" s="6">
        <v>28.75</v>
      </c>
      <c r="J2454" s="3" t="s">
        <v>3356</v>
      </c>
      <c r="L2454" s="1" t="s">
        <v>6135</v>
      </c>
    </row>
    <row r="2455" spans="1:12">
      <c r="A2455" s="3" t="s">
        <v>4065</v>
      </c>
      <c r="C2455" s="3" t="s">
        <v>3817</v>
      </c>
      <c r="D2455" s="3" t="s">
        <v>3423</v>
      </c>
      <c r="E2455" s="3" t="s">
        <v>3424</v>
      </c>
      <c r="F2455" s="3" t="s">
        <v>4389</v>
      </c>
      <c r="G2455" s="3" t="s">
        <v>3925</v>
      </c>
      <c r="H2455" s="6">
        <v>3.0413926851582249</v>
      </c>
      <c r="I2455" s="6">
        <v>1100</v>
      </c>
      <c r="J2455" s="3" t="s">
        <v>3356</v>
      </c>
      <c r="L2455" s="1" t="s">
        <v>6135</v>
      </c>
    </row>
    <row r="2456" spans="1:12">
      <c r="A2456" s="3" t="s">
        <v>4065</v>
      </c>
      <c r="C2456" s="3" t="s">
        <v>3817</v>
      </c>
      <c r="D2456" s="3" t="s">
        <v>3423</v>
      </c>
      <c r="E2456" s="3" t="s">
        <v>3424</v>
      </c>
      <c r="F2456" s="3" t="s">
        <v>4389</v>
      </c>
      <c r="G2456" s="3" t="s">
        <v>4390</v>
      </c>
      <c r="H2456" s="6">
        <v>2.720159303405957</v>
      </c>
      <c r="I2456" s="6">
        <v>525</v>
      </c>
      <c r="J2456" s="3" t="s">
        <v>3356</v>
      </c>
      <c r="L2456" s="1" t="s">
        <v>6135</v>
      </c>
    </row>
    <row r="2457" spans="1:12">
      <c r="A2457" s="3" t="s">
        <v>4065</v>
      </c>
      <c r="C2457" s="3" t="s">
        <v>3817</v>
      </c>
      <c r="D2457" s="3" t="s">
        <v>3423</v>
      </c>
      <c r="E2457" s="3" t="s">
        <v>3424</v>
      </c>
      <c r="F2457" s="3" t="s">
        <v>4389</v>
      </c>
      <c r="G2457" s="3" t="s">
        <v>3513</v>
      </c>
      <c r="H2457" s="6">
        <v>3.7403626894942437</v>
      </c>
      <c r="I2457" s="6">
        <v>5500</v>
      </c>
      <c r="J2457" s="3" t="s">
        <v>3356</v>
      </c>
      <c r="L2457" s="1" t="s">
        <v>6135</v>
      </c>
    </row>
    <row r="2458" spans="1:12">
      <c r="A2458" s="3" t="s">
        <v>4065</v>
      </c>
      <c r="C2458" s="3" t="s">
        <v>3817</v>
      </c>
      <c r="D2458" s="3" t="s">
        <v>3423</v>
      </c>
      <c r="E2458" s="3" t="s">
        <v>3424</v>
      </c>
      <c r="F2458" s="3" t="s">
        <v>4389</v>
      </c>
      <c r="G2458" s="3" t="s">
        <v>3935</v>
      </c>
      <c r="H2458" s="6">
        <v>3.0374264979406238</v>
      </c>
      <c r="I2458" s="6">
        <v>1090</v>
      </c>
      <c r="J2458" s="3" t="s">
        <v>3356</v>
      </c>
      <c r="L2458" s="1" t="s">
        <v>6135</v>
      </c>
    </row>
    <row r="2459" spans="1:12">
      <c r="A2459" s="3" t="s">
        <v>4065</v>
      </c>
      <c r="C2459" s="3" t="s">
        <v>3817</v>
      </c>
      <c r="D2459" s="3" t="s">
        <v>3423</v>
      </c>
      <c r="E2459" s="3" t="s">
        <v>3424</v>
      </c>
      <c r="F2459" s="3" t="s">
        <v>4057</v>
      </c>
      <c r="G2459" s="3" t="s">
        <v>4117</v>
      </c>
      <c r="H2459" s="6">
        <v>0.92941892571429274</v>
      </c>
      <c r="I2459" s="6">
        <v>8.5</v>
      </c>
      <c r="J2459" s="3" t="s">
        <v>3356</v>
      </c>
      <c r="L2459" s="1" t="s">
        <v>6135</v>
      </c>
    </row>
    <row r="2460" spans="1:12">
      <c r="A2460" s="3" t="s">
        <v>4065</v>
      </c>
      <c r="C2460" s="3" t="s">
        <v>3817</v>
      </c>
      <c r="D2460" s="3" t="s">
        <v>3423</v>
      </c>
      <c r="E2460" s="3" t="s">
        <v>3424</v>
      </c>
      <c r="F2460" s="3" t="s">
        <v>4057</v>
      </c>
      <c r="G2460" s="3" t="s">
        <v>7150</v>
      </c>
      <c r="H2460" s="6">
        <v>0.75587485567249146</v>
      </c>
      <c r="I2460" s="6">
        <v>5.7</v>
      </c>
      <c r="J2460" s="3" t="s">
        <v>3356</v>
      </c>
      <c r="L2460" s="1" t="s">
        <v>6135</v>
      </c>
    </row>
    <row r="2461" spans="1:12">
      <c r="A2461" s="3" t="s">
        <v>4065</v>
      </c>
      <c r="C2461" s="3" t="s">
        <v>3817</v>
      </c>
      <c r="D2461" s="3" t="s">
        <v>3423</v>
      </c>
      <c r="E2461" s="3" t="s">
        <v>3424</v>
      </c>
      <c r="F2461" s="3" t="s">
        <v>4057</v>
      </c>
      <c r="G2461" s="3" t="s">
        <v>4116</v>
      </c>
      <c r="H2461" s="6">
        <v>0.84509804001425681</v>
      </c>
      <c r="I2461" s="6">
        <v>7</v>
      </c>
      <c r="J2461" s="3" t="s">
        <v>3356</v>
      </c>
      <c r="L2461" s="1" t="s">
        <v>6135</v>
      </c>
    </row>
    <row r="2462" spans="1:12">
      <c r="A2462" s="3" t="s">
        <v>4065</v>
      </c>
      <c r="C2462" s="3" t="s">
        <v>3817</v>
      </c>
      <c r="D2462" s="3" t="s">
        <v>3423</v>
      </c>
      <c r="E2462" s="3" t="s">
        <v>3424</v>
      </c>
      <c r="F2462" s="3" t="s">
        <v>3873</v>
      </c>
      <c r="G2462" s="3" t="s">
        <v>4328</v>
      </c>
      <c r="H2462" s="6">
        <v>1.8372727025023003</v>
      </c>
      <c r="I2462" s="6">
        <v>68.75</v>
      </c>
      <c r="J2462" s="3" t="s">
        <v>3356</v>
      </c>
      <c r="L2462" s="1" t="s">
        <v>6135</v>
      </c>
    </row>
    <row r="2463" spans="1:12">
      <c r="A2463" s="3" t="s">
        <v>4065</v>
      </c>
      <c r="C2463" s="3" t="s">
        <v>3817</v>
      </c>
      <c r="D2463" s="3" t="s">
        <v>3423</v>
      </c>
      <c r="E2463" s="3" t="s">
        <v>3424</v>
      </c>
      <c r="F2463" s="3" t="s">
        <v>3873</v>
      </c>
      <c r="G2463" s="3" t="s">
        <v>3874</v>
      </c>
      <c r="H2463" s="6">
        <v>1.4393326938302626</v>
      </c>
      <c r="I2463" s="6">
        <v>27.5</v>
      </c>
      <c r="J2463" s="3" t="s">
        <v>3356</v>
      </c>
      <c r="L2463" s="1" t="s">
        <v>6135</v>
      </c>
    </row>
    <row r="2464" spans="1:12">
      <c r="A2464" s="3" t="s">
        <v>4065</v>
      </c>
      <c r="C2464" s="3" t="s">
        <v>3817</v>
      </c>
      <c r="D2464" s="3" t="s">
        <v>3423</v>
      </c>
      <c r="E2464" s="3" t="s">
        <v>3424</v>
      </c>
      <c r="F2464" s="3" t="s">
        <v>4172</v>
      </c>
      <c r="G2464" s="3" t="s">
        <v>4326</v>
      </c>
      <c r="H2464" s="6">
        <v>1.711807229041191</v>
      </c>
      <c r="I2464" s="6">
        <v>51.5</v>
      </c>
      <c r="J2464" s="3" t="s">
        <v>3356</v>
      </c>
      <c r="L2464" s="1" t="s">
        <v>6135</v>
      </c>
    </row>
    <row r="2465" spans="1:12">
      <c r="A2465" s="3" t="s">
        <v>4065</v>
      </c>
      <c r="C2465" s="3" t="s">
        <v>3817</v>
      </c>
      <c r="D2465" s="3" t="s">
        <v>3423</v>
      </c>
      <c r="E2465" s="3" t="s">
        <v>3424</v>
      </c>
      <c r="F2465" s="3" t="s">
        <v>4172</v>
      </c>
      <c r="G2465" s="3" t="s">
        <v>3920</v>
      </c>
      <c r="H2465" s="6">
        <v>2.2866809693549301</v>
      </c>
      <c r="I2465" s="6">
        <v>193.5</v>
      </c>
      <c r="J2465" s="3" t="s">
        <v>3356</v>
      </c>
      <c r="L2465" s="1" t="s">
        <v>6135</v>
      </c>
    </row>
    <row r="2466" spans="1:12">
      <c r="A2466" s="3" t="s">
        <v>4065</v>
      </c>
      <c r="C2466" s="3" t="s">
        <v>3817</v>
      </c>
      <c r="D2466" s="3" t="s">
        <v>3423</v>
      </c>
      <c r="E2466" s="3" t="s">
        <v>3424</v>
      </c>
      <c r="F2466" s="3" t="s">
        <v>4058</v>
      </c>
      <c r="G2466" s="3" t="s">
        <v>7151</v>
      </c>
      <c r="H2466" s="6">
        <v>0.96378782734555524</v>
      </c>
      <c r="I2466" s="6">
        <v>9.1999999999999993</v>
      </c>
      <c r="J2466" s="3" t="s">
        <v>3356</v>
      </c>
      <c r="L2466" s="1" t="s">
        <v>6135</v>
      </c>
    </row>
    <row r="2467" spans="1:12">
      <c r="A2467" s="3" t="s">
        <v>4065</v>
      </c>
      <c r="C2467" s="3" t="s">
        <v>3817</v>
      </c>
      <c r="D2467" s="3" t="s">
        <v>3423</v>
      </c>
      <c r="E2467" s="3" t="s">
        <v>3424</v>
      </c>
      <c r="F2467" s="3" t="s">
        <v>4058</v>
      </c>
      <c r="G2467" s="3" t="s">
        <v>4495</v>
      </c>
      <c r="H2467" s="6">
        <v>0.62838893005031149</v>
      </c>
      <c r="I2467" s="6">
        <v>4.25</v>
      </c>
      <c r="J2467" s="3" t="s">
        <v>3356</v>
      </c>
      <c r="L2467" s="1" t="s">
        <v>6135</v>
      </c>
    </row>
    <row r="2468" spans="1:12">
      <c r="A2468" s="3" t="s">
        <v>4065</v>
      </c>
      <c r="C2468" s="3" t="s">
        <v>3817</v>
      </c>
      <c r="D2468" s="3" t="s">
        <v>3423</v>
      </c>
      <c r="E2468" s="3" t="s">
        <v>3424</v>
      </c>
      <c r="F2468" s="3" t="s">
        <v>4058</v>
      </c>
      <c r="G2468" s="3" t="s">
        <v>4913</v>
      </c>
      <c r="H2468" s="6">
        <v>1.0413926851582251</v>
      </c>
      <c r="I2468" s="6">
        <v>11</v>
      </c>
      <c r="J2468" s="3" t="s">
        <v>3356</v>
      </c>
      <c r="L2468" s="1" t="s">
        <v>6135</v>
      </c>
    </row>
    <row r="2469" spans="1:12">
      <c r="A2469" s="3" t="s">
        <v>4065</v>
      </c>
      <c r="C2469" s="3" t="s">
        <v>3817</v>
      </c>
      <c r="D2469" s="3" t="s">
        <v>3423</v>
      </c>
      <c r="E2469" s="3" t="s">
        <v>3424</v>
      </c>
      <c r="F2469" s="3" t="s">
        <v>4058</v>
      </c>
      <c r="G2469" s="3" t="s">
        <v>4496</v>
      </c>
      <c r="H2469" s="6">
        <v>0.78175537465246892</v>
      </c>
      <c r="I2469" s="6">
        <v>6.05</v>
      </c>
      <c r="J2469" s="3" t="s">
        <v>3356</v>
      </c>
      <c r="L2469" s="1" t="s">
        <v>6135</v>
      </c>
    </row>
    <row r="2470" spans="1:12">
      <c r="A2470" s="3" t="s">
        <v>4065</v>
      </c>
      <c r="C2470" s="3" t="s">
        <v>3817</v>
      </c>
      <c r="D2470" s="3" t="s">
        <v>3423</v>
      </c>
      <c r="E2470" s="3" t="s">
        <v>3424</v>
      </c>
      <c r="F2470" s="3" t="s">
        <v>7582</v>
      </c>
      <c r="G2470" s="3" t="s">
        <v>4315</v>
      </c>
      <c r="H2470" s="6">
        <v>1.5118833609788744</v>
      </c>
      <c r="I2470" s="6">
        <v>32.5</v>
      </c>
      <c r="J2470" s="3" t="s">
        <v>3356</v>
      </c>
      <c r="L2470" s="1" t="s">
        <v>6135</v>
      </c>
    </row>
    <row r="2471" spans="1:12">
      <c r="A2471" s="3" t="s">
        <v>4065</v>
      </c>
      <c r="C2471" s="3" t="s">
        <v>3817</v>
      </c>
      <c r="D2471" s="3" t="s">
        <v>3423</v>
      </c>
      <c r="E2471" s="3" t="s">
        <v>3424</v>
      </c>
      <c r="F2471" s="3" t="s">
        <v>7582</v>
      </c>
      <c r="G2471" s="3" t="s">
        <v>7583</v>
      </c>
      <c r="H2471" s="6">
        <v>1.3010299956639813</v>
      </c>
      <c r="I2471" s="6">
        <v>20</v>
      </c>
      <c r="J2471" s="3" t="s">
        <v>3356</v>
      </c>
      <c r="L2471" s="1" t="s">
        <v>6135</v>
      </c>
    </row>
    <row r="2472" spans="1:12">
      <c r="A2472" s="3" t="s">
        <v>4065</v>
      </c>
      <c r="C2472" s="3" t="s">
        <v>3817</v>
      </c>
      <c r="D2472" s="3" t="s">
        <v>3423</v>
      </c>
      <c r="E2472" s="3" t="s">
        <v>3424</v>
      </c>
      <c r="F2472" s="3" t="s">
        <v>7582</v>
      </c>
      <c r="G2472" s="3" t="s">
        <v>4123</v>
      </c>
      <c r="H2472" s="6">
        <v>1.6020599913279623</v>
      </c>
      <c r="I2472" s="6">
        <v>40</v>
      </c>
      <c r="J2472" s="3" t="s">
        <v>3356</v>
      </c>
      <c r="L2472" s="1" t="s">
        <v>6135</v>
      </c>
    </row>
    <row r="2473" spans="1:12">
      <c r="A2473" s="3" t="s">
        <v>4065</v>
      </c>
      <c r="C2473" s="3" t="s">
        <v>3817</v>
      </c>
      <c r="D2473" s="3" t="s">
        <v>3423</v>
      </c>
      <c r="E2473" s="3" t="s">
        <v>3424</v>
      </c>
      <c r="F2473" s="3" t="s">
        <v>3934</v>
      </c>
      <c r="G2473" s="3" t="s">
        <v>4140</v>
      </c>
      <c r="H2473" s="6">
        <v>3.9030899869919438</v>
      </c>
      <c r="I2473" s="6">
        <v>8000</v>
      </c>
      <c r="J2473" s="3" t="s">
        <v>3356</v>
      </c>
      <c r="L2473" s="1" t="s">
        <v>6135</v>
      </c>
    </row>
    <row r="2474" spans="1:12">
      <c r="A2474" s="3" t="s">
        <v>4065</v>
      </c>
      <c r="C2474" s="3" t="s">
        <v>3817</v>
      </c>
      <c r="D2474" s="3" t="s">
        <v>3423</v>
      </c>
      <c r="E2474" s="3" t="s">
        <v>3424</v>
      </c>
      <c r="F2474" s="3" t="s">
        <v>4118</v>
      </c>
      <c r="G2474" s="3" t="s">
        <v>4353</v>
      </c>
      <c r="H2474" s="6">
        <v>1.3521825181113625</v>
      </c>
      <c r="I2474" s="6">
        <v>22.5</v>
      </c>
      <c r="J2474" s="3" t="s">
        <v>3356</v>
      </c>
      <c r="L2474" s="1" t="s">
        <v>6135</v>
      </c>
    </row>
    <row r="2475" spans="1:12">
      <c r="A2475" s="3" t="s">
        <v>4065</v>
      </c>
      <c r="C2475" s="3" t="s">
        <v>3817</v>
      </c>
      <c r="D2475" s="3" t="s">
        <v>3423</v>
      </c>
      <c r="E2475" s="3" t="s">
        <v>3424</v>
      </c>
      <c r="F2475" s="3" t="s">
        <v>4118</v>
      </c>
      <c r="G2475" s="3" t="s">
        <v>7148</v>
      </c>
      <c r="H2475" s="6">
        <v>1.2041199826559248</v>
      </c>
      <c r="I2475" s="6">
        <v>16</v>
      </c>
      <c r="J2475" s="3" t="s">
        <v>3356</v>
      </c>
      <c r="L2475" s="1" t="s">
        <v>6135</v>
      </c>
    </row>
    <row r="2476" spans="1:12">
      <c r="A2476" s="3" t="s">
        <v>4065</v>
      </c>
      <c r="C2476" s="3" t="s">
        <v>3817</v>
      </c>
      <c r="D2476" s="3" t="s">
        <v>3423</v>
      </c>
      <c r="E2476" s="3" t="s">
        <v>3424</v>
      </c>
      <c r="F2476" s="3" t="s">
        <v>4118</v>
      </c>
      <c r="G2476" s="3" t="s">
        <v>3921</v>
      </c>
      <c r="H2476" s="6">
        <v>1.4</v>
      </c>
      <c r="I2476" s="6">
        <v>25</v>
      </c>
      <c r="J2476" s="3" t="s">
        <v>3922</v>
      </c>
      <c r="L2476" s="1" t="s">
        <v>6135</v>
      </c>
    </row>
    <row r="2477" spans="1:12">
      <c r="A2477" s="3" t="s">
        <v>4065</v>
      </c>
      <c r="C2477" s="3" t="s">
        <v>3817</v>
      </c>
      <c r="D2477" s="3" t="s">
        <v>3423</v>
      </c>
      <c r="E2477" s="3" t="s">
        <v>3424</v>
      </c>
      <c r="F2477" s="3" t="s">
        <v>4118</v>
      </c>
      <c r="G2477" s="3" t="s">
        <v>4503</v>
      </c>
      <c r="H2477" s="6">
        <v>1.1760912590556813</v>
      </c>
      <c r="I2477" s="6">
        <v>15</v>
      </c>
      <c r="J2477" s="3" t="s">
        <v>3356</v>
      </c>
      <c r="L2477" s="1" t="s">
        <v>6135</v>
      </c>
    </row>
    <row r="2478" spans="1:12">
      <c r="A2478" s="3" t="s">
        <v>4065</v>
      </c>
      <c r="C2478" s="3" t="s">
        <v>3817</v>
      </c>
      <c r="D2478" s="3" t="s">
        <v>3423</v>
      </c>
      <c r="E2478" s="3" t="s">
        <v>3424</v>
      </c>
      <c r="F2478" s="3" t="s">
        <v>4118</v>
      </c>
      <c r="G2478" s="3" t="s">
        <v>4055</v>
      </c>
      <c r="H2478" s="6">
        <v>1.1335389083702174</v>
      </c>
      <c r="I2478" s="6">
        <v>13.6</v>
      </c>
      <c r="J2478" s="3" t="s">
        <v>3356</v>
      </c>
      <c r="L2478" s="1" t="s">
        <v>6135</v>
      </c>
    </row>
    <row r="2479" spans="1:12">
      <c r="A2479" s="3" t="s">
        <v>4065</v>
      </c>
      <c r="C2479" s="3" t="s">
        <v>3817</v>
      </c>
      <c r="D2479" s="3" t="s">
        <v>3423</v>
      </c>
      <c r="E2479" s="3" t="s">
        <v>3424</v>
      </c>
      <c r="F2479" s="3" t="s">
        <v>4118</v>
      </c>
      <c r="G2479" s="3" t="s">
        <v>4327</v>
      </c>
      <c r="H2479" s="6">
        <v>1.7403626894942439</v>
      </c>
      <c r="I2479" s="6">
        <v>55</v>
      </c>
      <c r="J2479" s="3" t="s">
        <v>3356</v>
      </c>
      <c r="L2479" s="1" t="s">
        <v>6135</v>
      </c>
    </row>
    <row r="2480" spans="1:12">
      <c r="A2480" s="3" t="s">
        <v>4065</v>
      </c>
      <c r="C2480" s="3" t="s">
        <v>3817</v>
      </c>
      <c r="D2480" s="3" t="s">
        <v>3423</v>
      </c>
      <c r="E2480" s="3" t="s">
        <v>3424</v>
      </c>
      <c r="F2480" s="3" t="s">
        <v>4118</v>
      </c>
      <c r="G2480" s="3" t="s">
        <v>7487</v>
      </c>
      <c r="H2480" s="6">
        <v>1.2900346113625181</v>
      </c>
      <c r="I2480" s="6">
        <v>19.5</v>
      </c>
      <c r="J2480" s="3" t="s">
        <v>3356</v>
      </c>
      <c r="L2480" s="1" t="s">
        <v>6135</v>
      </c>
    </row>
    <row r="2481" spans="1:12">
      <c r="A2481" s="3" t="s">
        <v>4065</v>
      </c>
      <c r="C2481" s="3" t="s">
        <v>3817</v>
      </c>
      <c r="D2481" s="3" t="s">
        <v>3423</v>
      </c>
      <c r="E2481" s="3" t="s">
        <v>3424</v>
      </c>
      <c r="F2481" s="3" t="s">
        <v>4118</v>
      </c>
      <c r="G2481" s="3" t="s">
        <v>4075</v>
      </c>
      <c r="H2481" s="6">
        <v>1.3979400086720377</v>
      </c>
      <c r="I2481" s="6">
        <v>25</v>
      </c>
      <c r="J2481" s="3" t="s">
        <v>3356</v>
      </c>
      <c r="L2481" s="1" t="s">
        <v>6135</v>
      </c>
    </row>
    <row r="2482" spans="1:12">
      <c r="A2482" s="3" t="s">
        <v>4065</v>
      </c>
      <c r="C2482" s="3" t="s">
        <v>3817</v>
      </c>
      <c r="D2482" s="3" t="s">
        <v>3423</v>
      </c>
      <c r="E2482" s="3" t="s">
        <v>3424</v>
      </c>
      <c r="F2482" s="3" t="s">
        <v>4118</v>
      </c>
      <c r="G2482" s="3" t="s">
        <v>7147</v>
      </c>
      <c r="H2482" s="6">
        <v>1.2430380486862944</v>
      </c>
      <c r="I2482" s="6">
        <v>17.5</v>
      </c>
      <c r="J2482" s="3" t="s">
        <v>3356</v>
      </c>
      <c r="L2482" s="1" t="s">
        <v>6135</v>
      </c>
    </row>
    <row r="2483" spans="1:12">
      <c r="A2483" s="3" t="s">
        <v>4065</v>
      </c>
      <c r="C2483" s="3" t="s">
        <v>3817</v>
      </c>
      <c r="D2483" s="3" t="s">
        <v>3423</v>
      </c>
      <c r="E2483" s="3" t="s">
        <v>3424</v>
      </c>
      <c r="F2483" s="3" t="s">
        <v>4118</v>
      </c>
      <c r="G2483" s="3" t="s">
        <v>7477</v>
      </c>
      <c r="H2483" s="6">
        <v>1.1760912590556813</v>
      </c>
      <c r="I2483" s="6">
        <v>15</v>
      </c>
      <c r="J2483" s="3" t="s">
        <v>3356</v>
      </c>
      <c r="L2483" s="1" t="s">
        <v>6135</v>
      </c>
    </row>
    <row r="2484" spans="1:12">
      <c r="A2484" s="3" t="s">
        <v>4065</v>
      </c>
      <c r="C2484" s="3" t="s">
        <v>3817</v>
      </c>
      <c r="D2484" s="3" t="s">
        <v>3423</v>
      </c>
      <c r="E2484" s="3" t="s">
        <v>3424</v>
      </c>
      <c r="F2484" s="3" t="s">
        <v>4118</v>
      </c>
      <c r="G2484" s="3" t="s">
        <v>7488</v>
      </c>
      <c r="H2484" s="6">
        <v>1.3979400086720377</v>
      </c>
      <c r="I2484" s="6">
        <v>25</v>
      </c>
      <c r="J2484" s="3" t="s">
        <v>3356</v>
      </c>
      <c r="L2484" s="1" t="s">
        <v>6135</v>
      </c>
    </row>
    <row r="2485" spans="1:12">
      <c r="A2485" s="3" t="s">
        <v>4065</v>
      </c>
      <c r="C2485" s="3" t="s">
        <v>3817</v>
      </c>
      <c r="D2485" s="3" t="s">
        <v>3423</v>
      </c>
      <c r="E2485" s="3" t="s">
        <v>3424</v>
      </c>
      <c r="F2485" s="3" t="s">
        <v>4118</v>
      </c>
      <c r="G2485" s="3" t="s">
        <v>7491</v>
      </c>
      <c r="H2485" s="6">
        <v>1.414973347970818</v>
      </c>
      <c r="I2485" s="6">
        <v>26</v>
      </c>
      <c r="J2485" s="3" t="s">
        <v>3356</v>
      </c>
      <c r="L2485" s="1" t="s">
        <v>6135</v>
      </c>
    </row>
    <row r="2486" spans="1:12">
      <c r="A2486" s="3" t="s">
        <v>4065</v>
      </c>
      <c r="C2486" s="3" t="s">
        <v>3817</v>
      </c>
      <c r="D2486" s="3" t="s">
        <v>3423</v>
      </c>
      <c r="E2486" s="3" t="s">
        <v>3424</v>
      </c>
      <c r="F2486" s="3" t="s">
        <v>4118</v>
      </c>
      <c r="G2486" s="3" t="s">
        <v>7486</v>
      </c>
      <c r="H2486" s="6">
        <v>1.255272505103306</v>
      </c>
      <c r="I2486" s="6">
        <v>18</v>
      </c>
      <c r="J2486" s="3" t="s">
        <v>3356</v>
      </c>
      <c r="L2486" s="1" t="s">
        <v>6135</v>
      </c>
    </row>
    <row r="2487" spans="1:12">
      <c r="A2487" s="3" t="s">
        <v>4065</v>
      </c>
      <c r="C2487" s="3" t="s">
        <v>3817</v>
      </c>
      <c r="D2487" s="3" t="s">
        <v>3423</v>
      </c>
      <c r="E2487" s="3" t="s">
        <v>3424</v>
      </c>
      <c r="F2487" s="3" t="s">
        <v>4118</v>
      </c>
      <c r="G2487" s="3" t="s">
        <v>3833</v>
      </c>
      <c r="H2487" s="6">
        <v>1.3010299956639813</v>
      </c>
      <c r="I2487" s="6">
        <v>20</v>
      </c>
      <c r="J2487" s="3" t="s">
        <v>3356</v>
      </c>
      <c r="L2487" s="1" t="s">
        <v>6135</v>
      </c>
    </row>
    <row r="2488" spans="1:12">
      <c r="A2488" s="3" t="s">
        <v>4065</v>
      </c>
      <c r="C2488" s="3" t="s">
        <v>3817</v>
      </c>
      <c r="D2488" s="3" t="s">
        <v>3423</v>
      </c>
      <c r="E2488" s="3" t="s">
        <v>3424</v>
      </c>
      <c r="F2488" s="3" t="s">
        <v>4118</v>
      </c>
      <c r="G2488" s="3" t="s">
        <v>4306</v>
      </c>
      <c r="H2488" s="6">
        <v>1.2304489213782739</v>
      </c>
      <c r="I2488" s="6">
        <v>17</v>
      </c>
      <c r="J2488" s="3" t="s">
        <v>3356</v>
      </c>
      <c r="L2488" s="1" t="s">
        <v>6135</v>
      </c>
    </row>
    <row r="2489" spans="1:12">
      <c r="A2489" s="3" t="s">
        <v>4065</v>
      </c>
      <c r="C2489" s="3" t="s">
        <v>3817</v>
      </c>
      <c r="D2489" s="3" t="s">
        <v>3423</v>
      </c>
      <c r="E2489" s="3" t="s">
        <v>3424</v>
      </c>
      <c r="F2489" s="3" t="s">
        <v>4118</v>
      </c>
      <c r="G2489" s="3" t="s">
        <v>7149</v>
      </c>
      <c r="H2489" s="6">
        <v>1.0413926851582251</v>
      </c>
      <c r="I2489" s="6">
        <v>11</v>
      </c>
      <c r="J2489" s="3" t="s">
        <v>3356</v>
      </c>
      <c r="L2489" s="1" t="s">
        <v>6135</v>
      </c>
    </row>
    <row r="2490" spans="1:12">
      <c r="A2490" s="3" t="s">
        <v>4065</v>
      </c>
      <c r="C2490" s="3" t="s">
        <v>3817</v>
      </c>
      <c r="D2490" s="3" t="s">
        <v>3423</v>
      </c>
      <c r="E2490" s="3" t="s">
        <v>3424</v>
      </c>
      <c r="F2490" s="3" t="s">
        <v>4118</v>
      </c>
      <c r="G2490" s="3" t="s">
        <v>4338</v>
      </c>
      <c r="H2490" s="6">
        <v>1.5250448070368452</v>
      </c>
      <c r="I2490" s="6">
        <v>33.5</v>
      </c>
      <c r="J2490" s="3" t="s">
        <v>3356</v>
      </c>
      <c r="L2490" s="1" t="s">
        <v>6135</v>
      </c>
    </row>
    <row r="2491" spans="1:12">
      <c r="A2491" s="3" t="s">
        <v>4065</v>
      </c>
      <c r="C2491" s="3" t="s">
        <v>3817</v>
      </c>
      <c r="D2491" s="3" t="s">
        <v>3423</v>
      </c>
      <c r="E2491" s="3" t="s">
        <v>3424</v>
      </c>
      <c r="F2491" s="3" t="s">
        <v>4118</v>
      </c>
      <c r="G2491" s="3" t="s">
        <v>4096</v>
      </c>
      <c r="H2491" s="6">
        <v>1.5471591213274176</v>
      </c>
      <c r="I2491" s="6">
        <v>35.25</v>
      </c>
      <c r="J2491" s="3" t="s">
        <v>3356</v>
      </c>
      <c r="L2491" s="1" t="s">
        <v>6135</v>
      </c>
    </row>
    <row r="2492" spans="1:12">
      <c r="A2492" s="3" t="s">
        <v>4065</v>
      </c>
      <c r="C2492" s="3" t="s">
        <v>3817</v>
      </c>
      <c r="D2492" s="3" t="s">
        <v>3423</v>
      </c>
      <c r="E2492" s="3" t="s">
        <v>3424</v>
      </c>
      <c r="F2492" s="3" t="s">
        <v>4118</v>
      </c>
      <c r="G2492" s="3" t="s">
        <v>7468</v>
      </c>
      <c r="H2492" s="6">
        <v>1.0043213737826426</v>
      </c>
      <c r="I2492" s="6">
        <v>10.1</v>
      </c>
      <c r="J2492" s="3" t="s">
        <v>3356</v>
      </c>
      <c r="L2492" s="1" t="s">
        <v>6135</v>
      </c>
    </row>
    <row r="2493" spans="1:12">
      <c r="A2493" s="3" t="s">
        <v>4065</v>
      </c>
      <c r="C2493" s="3" t="s">
        <v>3817</v>
      </c>
      <c r="D2493" s="3" t="s">
        <v>3423</v>
      </c>
      <c r="E2493" s="3" t="s">
        <v>3928</v>
      </c>
      <c r="F2493" s="3" t="s">
        <v>4368</v>
      </c>
      <c r="G2493" s="3" t="s">
        <v>4369</v>
      </c>
      <c r="H2493" s="6">
        <v>2.6734816970733473</v>
      </c>
      <c r="I2493" s="6">
        <v>471.5</v>
      </c>
      <c r="J2493" s="3" t="s">
        <v>3356</v>
      </c>
      <c r="L2493" s="1" t="s">
        <v>6135</v>
      </c>
    </row>
    <row r="2494" spans="1:12">
      <c r="A2494" s="3" t="s">
        <v>4065</v>
      </c>
      <c r="C2494" s="3" t="s">
        <v>3817</v>
      </c>
      <c r="D2494" s="3" t="s">
        <v>2079</v>
      </c>
      <c r="E2494" s="3" t="s">
        <v>2181</v>
      </c>
      <c r="F2494" s="3" t="s">
        <v>4980</v>
      </c>
      <c r="G2494" s="3" t="s">
        <v>7234</v>
      </c>
      <c r="H2494" s="6">
        <v>1.0791812460476249</v>
      </c>
      <c r="I2494" s="6">
        <v>12</v>
      </c>
      <c r="J2494" s="3" t="s">
        <v>3356</v>
      </c>
      <c r="L2494" s="1" t="s">
        <v>6135</v>
      </c>
    </row>
    <row r="2495" spans="1:12">
      <c r="A2495" s="3" t="s">
        <v>4065</v>
      </c>
      <c r="C2495" s="3" t="s">
        <v>3817</v>
      </c>
      <c r="D2495" s="3" t="s">
        <v>2079</v>
      </c>
      <c r="E2495" s="3" t="s">
        <v>4842</v>
      </c>
      <c r="F2495" s="3" t="s">
        <v>2179</v>
      </c>
      <c r="G2495" s="3" t="s">
        <v>7332</v>
      </c>
      <c r="H2495" s="6">
        <v>1.6180480967120927</v>
      </c>
      <c r="I2495" s="6">
        <v>41.5</v>
      </c>
      <c r="J2495" s="3" t="s">
        <v>3356</v>
      </c>
      <c r="L2495" s="1" t="s">
        <v>6135</v>
      </c>
    </row>
    <row r="2496" spans="1:12">
      <c r="A2496" s="3" t="s">
        <v>4065</v>
      </c>
      <c r="C2496" s="3" t="s">
        <v>3817</v>
      </c>
      <c r="D2496" s="3" t="s">
        <v>2079</v>
      </c>
      <c r="E2496" s="3" t="s">
        <v>4842</v>
      </c>
      <c r="F2496" s="3" t="s">
        <v>2174</v>
      </c>
      <c r="G2496" s="3" t="s">
        <v>2178</v>
      </c>
      <c r="H2496" s="6">
        <v>1.4771212547196624</v>
      </c>
      <c r="I2496" s="6">
        <v>30</v>
      </c>
      <c r="J2496" s="3" t="s">
        <v>3356</v>
      </c>
      <c r="L2496" s="1" t="s">
        <v>6135</v>
      </c>
    </row>
    <row r="2497" spans="1:12">
      <c r="A2497" s="3" t="s">
        <v>4065</v>
      </c>
      <c r="C2497" s="3" t="s">
        <v>3817</v>
      </c>
      <c r="D2497" s="3" t="s">
        <v>2079</v>
      </c>
      <c r="E2497" s="3" t="s">
        <v>4842</v>
      </c>
      <c r="F2497" s="3" t="s">
        <v>2174</v>
      </c>
      <c r="G2497" s="3" t="s">
        <v>2176</v>
      </c>
      <c r="H2497" s="6">
        <v>1.1139433523068367</v>
      </c>
      <c r="I2497" s="6">
        <v>13</v>
      </c>
      <c r="J2497" s="3" t="s">
        <v>3356</v>
      </c>
      <c r="L2497" s="1" t="s">
        <v>6135</v>
      </c>
    </row>
    <row r="2498" spans="1:12">
      <c r="A2498" s="3" t="s">
        <v>4065</v>
      </c>
      <c r="C2498" s="3" t="s">
        <v>3817</v>
      </c>
      <c r="D2498" s="3" t="s">
        <v>2079</v>
      </c>
      <c r="E2498" s="3" t="s">
        <v>4842</v>
      </c>
      <c r="F2498" s="3" t="s">
        <v>2174</v>
      </c>
      <c r="G2498" s="3" t="s">
        <v>2175</v>
      </c>
      <c r="H2498" s="6">
        <v>0.84509804001425681</v>
      </c>
      <c r="I2498" s="6">
        <v>7</v>
      </c>
      <c r="J2498" s="3" t="s">
        <v>3356</v>
      </c>
      <c r="L2498" s="1" t="s">
        <v>6135</v>
      </c>
    </row>
    <row r="2499" spans="1:12">
      <c r="A2499" s="3" t="s">
        <v>4065</v>
      </c>
      <c r="C2499" s="3" t="s">
        <v>3817</v>
      </c>
      <c r="D2499" s="3" t="s">
        <v>2079</v>
      </c>
      <c r="E2499" s="3" t="s">
        <v>4842</v>
      </c>
      <c r="F2499" s="3" t="s">
        <v>2174</v>
      </c>
      <c r="G2499" s="3" t="s">
        <v>2177</v>
      </c>
      <c r="H2499" s="6">
        <v>1.3802112417116059</v>
      </c>
      <c r="I2499" s="6">
        <v>24</v>
      </c>
      <c r="J2499" s="3" t="s">
        <v>3356</v>
      </c>
      <c r="L2499" s="1" t="s">
        <v>6135</v>
      </c>
    </row>
    <row r="2500" spans="1:12">
      <c r="A2500" s="3" t="s">
        <v>4065</v>
      </c>
      <c r="C2500" s="3" t="s">
        <v>3817</v>
      </c>
      <c r="D2500" s="3" t="s">
        <v>2079</v>
      </c>
      <c r="E2500" s="3" t="s">
        <v>7333</v>
      </c>
      <c r="F2500" s="3" t="s">
        <v>4986</v>
      </c>
      <c r="G2500" s="3" t="s">
        <v>4224</v>
      </c>
      <c r="H2500" s="6">
        <v>4.0394141191761372</v>
      </c>
      <c r="I2500" s="6">
        <v>10950</v>
      </c>
      <c r="J2500" s="3" t="s">
        <v>3356</v>
      </c>
      <c r="L2500" s="1" t="s">
        <v>6135</v>
      </c>
    </row>
    <row r="2501" spans="1:12">
      <c r="A2501" s="3" t="s">
        <v>4065</v>
      </c>
      <c r="C2501" s="3" t="s">
        <v>3817</v>
      </c>
      <c r="D2501" s="3" t="s">
        <v>2079</v>
      </c>
      <c r="E2501" s="3" t="s">
        <v>7333</v>
      </c>
      <c r="F2501" s="3" t="s">
        <v>4986</v>
      </c>
      <c r="G2501" s="3" t="s">
        <v>4987</v>
      </c>
      <c r="H2501" s="6">
        <v>3.8293037728310249</v>
      </c>
      <c r="I2501" s="6">
        <v>6750</v>
      </c>
      <c r="J2501" s="3" t="s">
        <v>3356</v>
      </c>
      <c r="L2501" s="1" t="s">
        <v>6135</v>
      </c>
    </row>
    <row r="2502" spans="1:12">
      <c r="A2502" s="3" t="s">
        <v>4065</v>
      </c>
      <c r="C2502" s="3" t="s">
        <v>3817</v>
      </c>
      <c r="D2502" s="3" t="s">
        <v>2079</v>
      </c>
      <c r="E2502" s="3" t="s">
        <v>7333</v>
      </c>
      <c r="F2502" s="3" t="s">
        <v>7331</v>
      </c>
      <c r="G2502" s="3" t="s">
        <v>3775</v>
      </c>
      <c r="H2502" s="6">
        <v>3.1760912590556813</v>
      </c>
      <c r="I2502" s="6">
        <v>1500</v>
      </c>
      <c r="J2502" s="3" t="s">
        <v>3356</v>
      </c>
      <c r="L2502" s="1" t="s">
        <v>6135</v>
      </c>
    </row>
    <row r="2503" spans="1:12">
      <c r="A2503" s="3" t="s">
        <v>4065</v>
      </c>
      <c r="C2503" s="3" t="s">
        <v>3817</v>
      </c>
      <c r="D2503" s="3" t="s">
        <v>2079</v>
      </c>
      <c r="E2503" s="3" t="s">
        <v>7333</v>
      </c>
      <c r="F2503" s="3" t="s">
        <v>7331</v>
      </c>
      <c r="G2503" s="3" t="s">
        <v>4179</v>
      </c>
      <c r="H2503" s="6">
        <v>3.4842998393467859</v>
      </c>
      <c r="I2503" s="6">
        <v>3050</v>
      </c>
      <c r="J2503" s="3" t="s">
        <v>3356</v>
      </c>
      <c r="L2503" s="1" t="s">
        <v>6135</v>
      </c>
    </row>
    <row r="2504" spans="1:12">
      <c r="A2504" s="3" t="s">
        <v>4065</v>
      </c>
      <c r="C2504" s="3" t="s">
        <v>3817</v>
      </c>
      <c r="D2504" s="3" t="s">
        <v>2079</v>
      </c>
      <c r="E2504" s="3" t="s">
        <v>7333</v>
      </c>
      <c r="F2504" s="3" t="s">
        <v>7331</v>
      </c>
      <c r="G2504" s="3" t="s">
        <v>3776</v>
      </c>
      <c r="H2504" s="6">
        <v>3.1020905255118367</v>
      </c>
      <c r="I2504" s="6">
        <v>1265</v>
      </c>
      <c r="J2504" s="3" t="s">
        <v>3356</v>
      </c>
      <c r="L2504" s="1" t="s">
        <v>6135</v>
      </c>
    </row>
    <row r="2505" spans="1:12">
      <c r="A2505" s="3" t="s">
        <v>4065</v>
      </c>
      <c r="C2505" s="3" t="s">
        <v>3817</v>
      </c>
      <c r="D2505" s="3" t="s">
        <v>2079</v>
      </c>
      <c r="E2505" s="3" t="s">
        <v>7333</v>
      </c>
      <c r="F2505" s="3" t="s">
        <v>4018</v>
      </c>
      <c r="G2505" s="3" t="s">
        <v>4369</v>
      </c>
      <c r="H2505" s="6">
        <v>3.2304489213782741</v>
      </c>
      <c r="I2505" s="6">
        <v>1700</v>
      </c>
      <c r="J2505" s="3" t="s">
        <v>3356</v>
      </c>
      <c r="L2505" s="1" t="s">
        <v>6135</v>
      </c>
    </row>
    <row r="2506" spans="1:12">
      <c r="A2506" s="3" t="s">
        <v>4065</v>
      </c>
      <c r="C2506" s="3" t="s">
        <v>3817</v>
      </c>
      <c r="D2506" s="3" t="s">
        <v>2079</v>
      </c>
      <c r="E2506" s="3" t="s">
        <v>7333</v>
      </c>
      <c r="F2506" s="3" t="s">
        <v>3755</v>
      </c>
      <c r="G2506" s="3" t="s">
        <v>4399</v>
      </c>
      <c r="H2506" s="6">
        <v>4.1760912590556813</v>
      </c>
      <c r="I2506" s="6">
        <v>15000</v>
      </c>
      <c r="J2506" s="3" t="s">
        <v>3356</v>
      </c>
      <c r="L2506" s="1" t="s">
        <v>6135</v>
      </c>
    </row>
    <row r="2507" spans="1:12">
      <c r="A2507" s="3" t="s">
        <v>4065</v>
      </c>
      <c r="C2507" s="3" t="s">
        <v>3817</v>
      </c>
      <c r="D2507" s="3" t="s">
        <v>2079</v>
      </c>
      <c r="E2507" s="3" t="s">
        <v>7333</v>
      </c>
      <c r="F2507" s="3" t="s">
        <v>3755</v>
      </c>
      <c r="G2507" s="3" t="s">
        <v>4236</v>
      </c>
      <c r="H2507" s="6">
        <v>4.4353665066126613</v>
      </c>
      <c r="I2507" s="6">
        <v>27250</v>
      </c>
      <c r="J2507" s="3" t="s">
        <v>3356</v>
      </c>
      <c r="L2507" s="1" t="s">
        <v>6135</v>
      </c>
    </row>
    <row r="2508" spans="1:12">
      <c r="A2508" s="3" t="s">
        <v>4065</v>
      </c>
      <c r="C2508" s="3" t="s">
        <v>3817</v>
      </c>
      <c r="D2508" s="3" t="s">
        <v>2079</v>
      </c>
      <c r="E2508" s="3" t="s">
        <v>7333</v>
      </c>
      <c r="F2508" s="3" t="s">
        <v>3755</v>
      </c>
      <c r="G2508" s="3" t="s">
        <v>4186</v>
      </c>
      <c r="H2508" s="6">
        <v>4.2304489213782741</v>
      </c>
      <c r="I2508" s="6">
        <v>17000</v>
      </c>
      <c r="J2508" s="3" t="s">
        <v>3356</v>
      </c>
      <c r="L2508" s="1" t="s">
        <v>6135</v>
      </c>
    </row>
    <row r="2509" spans="1:12">
      <c r="A2509" s="3" t="s">
        <v>4065</v>
      </c>
      <c r="C2509" s="3" t="s">
        <v>3817</v>
      </c>
      <c r="D2509" s="3" t="s">
        <v>2079</v>
      </c>
      <c r="E2509" s="3" t="s">
        <v>7333</v>
      </c>
      <c r="F2509" s="3" t="s">
        <v>3755</v>
      </c>
      <c r="G2509" s="3" t="s">
        <v>3630</v>
      </c>
      <c r="H2509" s="6">
        <v>4.0511525224473814</v>
      </c>
      <c r="I2509" s="6">
        <v>11250</v>
      </c>
      <c r="J2509" s="3" t="s">
        <v>3356</v>
      </c>
      <c r="L2509" s="1" t="s">
        <v>6135</v>
      </c>
    </row>
    <row r="2510" spans="1:12">
      <c r="A2510" s="3" t="s">
        <v>4065</v>
      </c>
      <c r="C2510" s="3" t="s">
        <v>3817</v>
      </c>
      <c r="D2510" s="3" t="s">
        <v>2079</v>
      </c>
      <c r="E2510" s="3" t="s">
        <v>7333</v>
      </c>
      <c r="F2510" s="3" t="s">
        <v>3755</v>
      </c>
      <c r="G2510" s="3" t="s">
        <v>7349</v>
      </c>
      <c r="H2510" s="6">
        <v>3.8129133566428557</v>
      </c>
      <c r="I2510" s="6">
        <v>6500</v>
      </c>
      <c r="J2510" s="3" t="s">
        <v>3356</v>
      </c>
      <c r="L2510" s="1" t="s">
        <v>6135</v>
      </c>
    </row>
    <row r="2511" spans="1:12">
      <c r="A2511" s="3" t="s">
        <v>4065</v>
      </c>
      <c r="C2511" s="3" t="s">
        <v>3817</v>
      </c>
      <c r="D2511" s="3" t="s">
        <v>2079</v>
      </c>
      <c r="E2511" s="3" t="s">
        <v>7333</v>
      </c>
      <c r="F2511" s="3" t="s">
        <v>3755</v>
      </c>
      <c r="G2511" s="3" t="s">
        <v>4424</v>
      </c>
      <c r="H2511" s="6">
        <v>4.3424226808222066</v>
      </c>
      <c r="I2511" s="6">
        <v>22000</v>
      </c>
      <c r="J2511" s="3" t="s">
        <v>3356</v>
      </c>
      <c r="L2511" s="1" t="s">
        <v>6135</v>
      </c>
    </row>
    <row r="2512" spans="1:12">
      <c r="A2512" s="3" t="s">
        <v>4065</v>
      </c>
      <c r="C2512" s="3" t="s">
        <v>3817</v>
      </c>
      <c r="D2512" s="3" t="s">
        <v>2079</v>
      </c>
      <c r="E2512" s="3" t="s">
        <v>7333</v>
      </c>
      <c r="F2512" s="3" t="s">
        <v>3755</v>
      </c>
      <c r="G2512" s="3" t="s">
        <v>4255</v>
      </c>
      <c r="H2512" s="6">
        <v>4.4128803584649745</v>
      </c>
      <c r="I2512" s="6">
        <v>25875</v>
      </c>
      <c r="J2512" s="3" t="s">
        <v>3356</v>
      </c>
      <c r="L2512" s="1" t="s">
        <v>6135</v>
      </c>
    </row>
    <row r="2513" spans="1:12">
      <c r="A2513" s="3" t="s">
        <v>4065</v>
      </c>
      <c r="C2513" s="3" t="s">
        <v>3817</v>
      </c>
      <c r="D2513" s="3" t="s">
        <v>2079</v>
      </c>
      <c r="E2513" s="3" t="s">
        <v>7333</v>
      </c>
      <c r="F2513" s="3" t="s">
        <v>3755</v>
      </c>
      <c r="G2513" s="3" t="s">
        <v>4988</v>
      </c>
      <c r="H2513" s="6">
        <v>3.9030899869919438</v>
      </c>
      <c r="I2513" s="6">
        <v>8000</v>
      </c>
      <c r="J2513" s="3" t="s">
        <v>3356</v>
      </c>
      <c r="L2513" s="1" t="s">
        <v>6135</v>
      </c>
    </row>
    <row r="2514" spans="1:12">
      <c r="A2514" s="3" t="s">
        <v>4065</v>
      </c>
      <c r="C2514" s="3" t="s">
        <v>3817</v>
      </c>
      <c r="D2514" s="3" t="s">
        <v>2079</v>
      </c>
      <c r="E2514" s="3" t="s">
        <v>7333</v>
      </c>
      <c r="F2514" s="3" t="s">
        <v>3755</v>
      </c>
      <c r="G2514" s="3" t="s">
        <v>7089</v>
      </c>
      <c r="H2514" s="6">
        <v>3.6532125137753435</v>
      </c>
      <c r="I2514" s="6">
        <v>4500</v>
      </c>
      <c r="J2514" s="3" t="s">
        <v>3356</v>
      </c>
      <c r="L2514" s="1" t="s">
        <v>6135</v>
      </c>
    </row>
    <row r="2515" spans="1:12">
      <c r="A2515" s="3" t="s">
        <v>4065</v>
      </c>
      <c r="C2515" s="3" t="s">
        <v>3817</v>
      </c>
      <c r="D2515" s="3" t="s">
        <v>2079</v>
      </c>
      <c r="E2515" s="3" t="s">
        <v>7333</v>
      </c>
      <c r="F2515" s="3" t="s">
        <v>3755</v>
      </c>
      <c r="G2515" s="3" t="s">
        <v>4225</v>
      </c>
      <c r="H2515" s="6">
        <v>4.1303337684950066</v>
      </c>
      <c r="I2515" s="6">
        <v>13500</v>
      </c>
      <c r="J2515" s="3" t="s">
        <v>3356</v>
      </c>
      <c r="L2515" s="1" t="s">
        <v>6135</v>
      </c>
    </row>
    <row r="2516" spans="1:12">
      <c r="A2516" s="3" t="s">
        <v>4065</v>
      </c>
      <c r="C2516" s="3" t="s">
        <v>3817</v>
      </c>
      <c r="D2516" s="3" t="s">
        <v>2079</v>
      </c>
      <c r="E2516" s="3" t="s">
        <v>7333</v>
      </c>
      <c r="F2516" s="3" t="s">
        <v>3755</v>
      </c>
      <c r="G2516" s="3" t="s">
        <v>7099</v>
      </c>
      <c r="H2516" s="6">
        <v>4.3276143266206253</v>
      </c>
      <c r="I2516" s="6">
        <v>21262.5</v>
      </c>
      <c r="J2516" s="3" t="s">
        <v>3356</v>
      </c>
      <c r="L2516" s="1" t="s">
        <v>6135</v>
      </c>
    </row>
    <row r="2517" spans="1:12">
      <c r="A2517" s="3" t="s">
        <v>4065</v>
      </c>
      <c r="C2517" s="3" t="s">
        <v>3817</v>
      </c>
      <c r="D2517" s="3" t="s">
        <v>2079</v>
      </c>
      <c r="E2517" s="3" t="s">
        <v>7333</v>
      </c>
      <c r="F2517" s="3" t="s">
        <v>3755</v>
      </c>
      <c r="G2517" s="3" t="s">
        <v>4187</v>
      </c>
      <c r="H2517" s="6">
        <v>4.2265999052073573</v>
      </c>
      <c r="I2517" s="6">
        <v>16850</v>
      </c>
      <c r="J2517" s="3" t="s">
        <v>3356</v>
      </c>
      <c r="L2517" s="1" t="s">
        <v>6135</v>
      </c>
    </row>
    <row r="2518" spans="1:12">
      <c r="A2518" s="3" t="s">
        <v>4065</v>
      </c>
      <c r="C2518" s="3" t="s">
        <v>3817</v>
      </c>
      <c r="D2518" s="3" t="s">
        <v>2079</v>
      </c>
      <c r="E2518" s="3" t="s">
        <v>7333</v>
      </c>
      <c r="F2518" s="3" t="s">
        <v>3755</v>
      </c>
      <c r="G2518" s="3" t="s">
        <v>2329</v>
      </c>
      <c r="H2518" s="6">
        <v>4.6651117370750512</v>
      </c>
      <c r="I2518" s="6">
        <v>46250</v>
      </c>
      <c r="J2518" s="3" t="s">
        <v>3356</v>
      </c>
      <c r="L2518" s="1" t="s">
        <v>6135</v>
      </c>
    </row>
    <row r="2519" spans="1:12">
      <c r="A2519" s="3" t="s">
        <v>4065</v>
      </c>
      <c r="C2519" s="3" t="s">
        <v>3817</v>
      </c>
      <c r="D2519" s="3" t="s">
        <v>2079</v>
      </c>
      <c r="E2519" s="3" t="s">
        <v>7333</v>
      </c>
      <c r="F2519" s="3" t="s">
        <v>7342</v>
      </c>
      <c r="G2519" s="3" t="s">
        <v>7343</v>
      </c>
      <c r="H2519" s="6">
        <v>3.7403626894942437</v>
      </c>
      <c r="I2519" s="6">
        <v>5500</v>
      </c>
      <c r="J2519" s="3" t="s">
        <v>3356</v>
      </c>
      <c r="L2519" s="1" t="s">
        <v>6135</v>
      </c>
    </row>
    <row r="2520" spans="1:12">
      <c r="A2520" s="3" t="s">
        <v>4065</v>
      </c>
      <c r="C2520" s="3" t="s">
        <v>3817</v>
      </c>
      <c r="D2520" s="3" t="s">
        <v>2079</v>
      </c>
      <c r="E2520" s="3" t="s">
        <v>7333</v>
      </c>
      <c r="F2520" s="3" t="s">
        <v>7342</v>
      </c>
      <c r="G2520" s="3" t="s">
        <v>4985</v>
      </c>
      <c r="H2520" s="6">
        <v>3.8228216453031045</v>
      </c>
      <c r="I2520" s="6">
        <v>6650</v>
      </c>
      <c r="J2520" s="3" t="s">
        <v>3356</v>
      </c>
      <c r="L2520" s="1" t="s">
        <v>6135</v>
      </c>
    </row>
    <row r="2521" spans="1:12">
      <c r="A2521" s="3" t="s">
        <v>4065</v>
      </c>
      <c r="C2521" s="3" t="s">
        <v>3817</v>
      </c>
      <c r="D2521" s="3" t="s">
        <v>2079</v>
      </c>
      <c r="E2521" s="3" t="s">
        <v>7333</v>
      </c>
      <c r="F2521" s="3" t="s">
        <v>7334</v>
      </c>
      <c r="G2521" s="3" t="s">
        <v>7350</v>
      </c>
      <c r="H2521" s="6">
        <v>3.6532125137753435</v>
      </c>
      <c r="I2521" s="6">
        <v>4500</v>
      </c>
      <c r="J2521" s="3" t="s">
        <v>3356</v>
      </c>
      <c r="L2521" s="1" t="s">
        <v>6135</v>
      </c>
    </row>
    <row r="2522" spans="1:12">
      <c r="A2522" s="3" t="s">
        <v>4065</v>
      </c>
      <c r="C2522" s="3" t="s">
        <v>3817</v>
      </c>
      <c r="D2522" s="3" t="s">
        <v>2079</v>
      </c>
      <c r="E2522" s="3" t="s">
        <v>7333</v>
      </c>
      <c r="F2522" s="3" t="s">
        <v>7334</v>
      </c>
      <c r="G2522" s="3" t="s">
        <v>7539</v>
      </c>
      <c r="H2522" s="6">
        <v>3.6074550232146687</v>
      </c>
      <c r="I2522" s="6">
        <v>4050</v>
      </c>
      <c r="J2522" s="3" t="s">
        <v>3356</v>
      </c>
      <c r="L2522" s="1" t="s">
        <v>6135</v>
      </c>
    </row>
    <row r="2523" spans="1:12">
      <c r="A2523" s="3" t="s">
        <v>4065</v>
      </c>
      <c r="C2523" s="3" t="s">
        <v>3817</v>
      </c>
      <c r="D2523" s="3" t="s">
        <v>2079</v>
      </c>
      <c r="E2523" s="3" t="s">
        <v>7333</v>
      </c>
      <c r="F2523" s="3" t="s">
        <v>7334</v>
      </c>
      <c r="G2523" s="3" t="s">
        <v>2186</v>
      </c>
      <c r="H2523" s="6">
        <v>3.0996806411092499</v>
      </c>
      <c r="I2523" s="6">
        <v>1258</v>
      </c>
      <c r="J2523" s="3" t="s">
        <v>3356</v>
      </c>
      <c r="L2523" s="1" t="s">
        <v>6135</v>
      </c>
    </row>
    <row r="2524" spans="1:12">
      <c r="A2524" s="3" t="s">
        <v>4065</v>
      </c>
      <c r="C2524" s="3" t="s">
        <v>3817</v>
      </c>
      <c r="D2524" s="3" t="s">
        <v>2079</v>
      </c>
      <c r="E2524" s="3" t="s">
        <v>7333</v>
      </c>
      <c r="F2524" s="3" t="s">
        <v>7334</v>
      </c>
      <c r="G2524" s="3" t="s">
        <v>4208</v>
      </c>
      <c r="H2524" s="6">
        <v>3.1461280356782382</v>
      </c>
      <c r="I2524" s="6">
        <v>1400</v>
      </c>
      <c r="J2524" s="3" t="s">
        <v>3356</v>
      </c>
      <c r="L2524" s="1" t="s">
        <v>6135</v>
      </c>
    </row>
    <row r="2525" spans="1:12">
      <c r="A2525" s="3" t="s">
        <v>4065</v>
      </c>
      <c r="C2525" s="3" t="s">
        <v>3817</v>
      </c>
      <c r="D2525" s="3" t="s">
        <v>2079</v>
      </c>
      <c r="E2525" s="3" t="s">
        <v>7333</v>
      </c>
      <c r="F2525" s="3" t="s">
        <v>7334</v>
      </c>
      <c r="G2525" s="3" t="s">
        <v>4329</v>
      </c>
      <c r="H2525" s="6">
        <v>3.6766936096248664</v>
      </c>
      <c r="I2525" s="6">
        <v>4750</v>
      </c>
      <c r="J2525" s="3" t="s">
        <v>3356</v>
      </c>
      <c r="L2525" s="1" t="s">
        <v>6135</v>
      </c>
    </row>
    <row r="2526" spans="1:12">
      <c r="A2526" s="3" t="s">
        <v>4065</v>
      </c>
      <c r="C2526" s="3" t="s">
        <v>3817</v>
      </c>
      <c r="D2526" s="3" t="s">
        <v>2079</v>
      </c>
      <c r="E2526" s="3" t="s">
        <v>7333</v>
      </c>
      <c r="F2526" s="3" t="s">
        <v>7334</v>
      </c>
      <c r="G2526" s="3" t="s">
        <v>7091</v>
      </c>
      <c r="H2526" s="6">
        <v>3.6627578316815739</v>
      </c>
      <c r="I2526" s="6">
        <v>4600</v>
      </c>
      <c r="J2526" s="3" t="s">
        <v>3356</v>
      </c>
      <c r="L2526" s="1" t="s">
        <v>6135</v>
      </c>
    </row>
    <row r="2527" spans="1:12">
      <c r="A2527" s="3" t="s">
        <v>4065</v>
      </c>
      <c r="C2527" s="3" t="s">
        <v>3817</v>
      </c>
      <c r="D2527" s="3" t="s">
        <v>2079</v>
      </c>
      <c r="E2527" s="3" t="s">
        <v>7333</v>
      </c>
      <c r="F2527" s="3" t="s">
        <v>7334</v>
      </c>
      <c r="G2527" s="3" t="s">
        <v>4411</v>
      </c>
      <c r="H2527" s="6">
        <v>3.6651117370750512</v>
      </c>
      <c r="I2527" s="6">
        <v>4625</v>
      </c>
      <c r="J2527" s="3" t="s">
        <v>3356</v>
      </c>
      <c r="L2527" s="1" t="s">
        <v>6135</v>
      </c>
    </row>
    <row r="2528" spans="1:12">
      <c r="A2528" s="3" t="s">
        <v>4065</v>
      </c>
      <c r="C2528" s="3" t="s">
        <v>3817</v>
      </c>
      <c r="D2528" s="3" t="s">
        <v>2079</v>
      </c>
      <c r="E2528" s="3" t="s">
        <v>7333</v>
      </c>
      <c r="F2528" s="3" t="s">
        <v>7334</v>
      </c>
      <c r="G2528" s="3" t="s">
        <v>7098</v>
      </c>
      <c r="H2528" s="6">
        <v>3.8512583487190755</v>
      </c>
      <c r="I2528" s="6">
        <v>7100</v>
      </c>
      <c r="J2528" s="3" t="s">
        <v>3356</v>
      </c>
      <c r="L2528" s="1" t="s">
        <v>6135</v>
      </c>
    </row>
    <row r="2529" spans="1:12">
      <c r="A2529" s="3" t="s">
        <v>4065</v>
      </c>
      <c r="C2529" s="3" t="s">
        <v>3817</v>
      </c>
      <c r="D2529" s="3" t="s">
        <v>2079</v>
      </c>
      <c r="E2529" s="3" t="s">
        <v>7333</v>
      </c>
      <c r="F2529" s="3" t="s">
        <v>7334</v>
      </c>
      <c r="G2529" s="3" t="s">
        <v>7344</v>
      </c>
      <c r="H2529" s="6">
        <v>3.7923916894982539</v>
      </c>
      <c r="I2529" s="6">
        <v>6200</v>
      </c>
      <c r="J2529" s="3" t="s">
        <v>3356</v>
      </c>
      <c r="L2529" s="1" t="s">
        <v>6135</v>
      </c>
    </row>
    <row r="2530" spans="1:12">
      <c r="A2530" s="3" t="s">
        <v>4065</v>
      </c>
      <c r="C2530" s="3" t="s">
        <v>3817</v>
      </c>
      <c r="D2530" s="3" t="s">
        <v>2079</v>
      </c>
      <c r="E2530" s="3" t="s">
        <v>7333</v>
      </c>
      <c r="F2530" s="3" t="s">
        <v>7334</v>
      </c>
      <c r="G2530" s="3" t="s">
        <v>4178</v>
      </c>
      <c r="H2530" s="6">
        <v>3.5314789170422549</v>
      </c>
      <c r="I2530" s="6">
        <v>3400</v>
      </c>
      <c r="J2530" s="3" t="s">
        <v>3356</v>
      </c>
      <c r="L2530" s="1" t="s">
        <v>6135</v>
      </c>
    </row>
    <row r="2531" spans="1:12">
      <c r="A2531" s="3" t="s">
        <v>4065</v>
      </c>
      <c r="C2531" s="3" t="s">
        <v>3817</v>
      </c>
      <c r="D2531" s="3" t="s">
        <v>2079</v>
      </c>
      <c r="E2531" s="3" t="s">
        <v>7333</v>
      </c>
      <c r="F2531" s="3" t="s">
        <v>7334</v>
      </c>
      <c r="G2531" s="3" t="s">
        <v>4989</v>
      </c>
      <c r="H2531" s="6">
        <v>3.9294189257142929</v>
      </c>
      <c r="I2531" s="6">
        <v>8500</v>
      </c>
      <c r="J2531" s="3" t="s">
        <v>3356</v>
      </c>
      <c r="L2531" s="1" t="s">
        <v>6135</v>
      </c>
    </row>
    <row r="2532" spans="1:12">
      <c r="A2532" s="3" t="s">
        <v>4065</v>
      </c>
      <c r="C2532" s="3" t="s">
        <v>3817</v>
      </c>
      <c r="D2532" s="3" t="s">
        <v>2079</v>
      </c>
      <c r="E2532" s="3" t="s">
        <v>7333</v>
      </c>
      <c r="F2532" s="3" t="s">
        <v>4019</v>
      </c>
      <c r="G2532" s="3" t="s">
        <v>2207</v>
      </c>
      <c r="H2532" s="6">
        <v>3.5118833609788744</v>
      </c>
      <c r="I2532" s="6">
        <v>3250</v>
      </c>
      <c r="J2532" s="3" t="s">
        <v>3356</v>
      </c>
      <c r="L2532" s="1" t="s">
        <v>6135</v>
      </c>
    </row>
    <row r="2533" spans="1:12">
      <c r="A2533" s="3" t="s">
        <v>4065</v>
      </c>
      <c r="C2533" s="3" t="s">
        <v>3817</v>
      </c>
      <c r="D2533" s="3" t="s">
        <v>2079</v>
      </c>
      <c r="E2533" s="3" t="s">
        <v>7333</v>
      </c>
      <c r="F2533" s="3" t="s">
        <v>7540</v>
      </c>
      <c r="G2533" s="3" t="s">
        <v>3754</v>
      </c>
      <c r="H2533" s="6">
        <v>3.7363965022766426</v>
      </c>
      <c r="I2533" s="6">
        <v>5450</v>
      </c>
      <c r="J2533" s="3" t="s">
        <v>3356</v>
      </c>
      <c r="L2533" s="1" t="s">
        <v>6135</v>
      </c>
    </row>
    <row r="2534" spans="1:12">
      <c r="A2534" s="3" t="s">
        <v>4065</v>
      </c>
      <c r="C2534" s="3" t="s">
        <v>3817</v>
      </c>
      <c r="D2534" s="3" t="s">
        <v>2079</v>
      </c>
      <c r="E2534" s="3" t="s">
        <v>7333</v>
      </c>
      <c r="F2534" s="3" t="s">
        <v>7540</v>
      </c>
      <c r="G2534" s="3" t="s">
        <v>7090</v>
      </c>
      <c r="H2534" s="6">
        <v>3.6627578316815739</v>
      </c>
      <c r="I2534" s="6">
        <v>4600</v>
      </c>
      <c r="J2534" s="3" t="s">
        <v>3356</v>
      </c>
      <c r="L2534" s="1" t="s">
        <v>6135</v>
      </c>
    </row>
    <row r="2535" spans="1:12">
      <c r="A2535" s="3" t="s">
        <v>4065</v>
      </c>
      <c r="C2535" s="3" t="s">
        <v>3817</v>
      </c>
      <c r="D2535" s="3" t="s">
        <v>2079</v>
      </c>
      <c r="E2535" s="3" t="s">
        <v>7333</v>
      </c>
      <c r="F2535" s="3" t="s">
        <v>7540</v>
      </c>
      <c r="G2535" s="3" t="s">
        <v>7541</v>
      </c>
      <c r="H2535" s="6">
        <v>3.7323937598229686</v>
      </c>
      <c r="I2535" s="6">
        <v>5400</v>
      </c>
      <c r="J2535" s="3" t="s">
        <v>3356</v>
      </c>
      <c r="L2535" s="1" t="s">
        <v>6135</v>
      </c>
    </row>
    <row r="2536" spans="1:12">
      <c r="A2536" s="3" t="s">
        <v>4065</v>
      </c>
      <c r="C2536" s="3" t="s">
        <v>3817</v>
      </c>
      <c r="D2536" s="3" t="s">
        <v>2079</v>
      </c>
      <c r="E2536" s="3" t="s">
        <v>7333</v>
      </c>
      <c r="F2536" s="3" t="s">
        <v>4009</v>
      </c>
      <c r="G2536" s="3" t="s">
        <v>4010</v>
      </c>
      <c r="H2536" s="6">
        <v>4.1760912590556813</v>
      </c>
      <c r="I2536" s="6">
        <v>15000</v>
      </c>
      <c r="J2536" s="3" t="s">
        <v>3356</v>
      </c>
      <c r="L2536" s="1" t="s">
        <v>6135</v>
      </c>
    </row>
    <row r="2537" spans="1:12">
      <c r="A2537" s="3" t="s">
        <v>4065</v>
      </c>
      <c r="C2537" s="3" t="s">
        <v>3817</v>
      </c>
      <c r="D2537" s="3" t="s">
        <v>2079</v>
      </c>
      <c r="E2537" s="3" t="s">
        <v>4267</v>
      </c>
      <c r="F2537" s="3" t="s">
        <v>3787</v>
      </c>
      <c r="G2537" s="3" t="s">
        <v>3788</v>
      </c>
      <c r="H2537" s="6">
        <v>2.6263403673750423</v>
      </c>
      <c r="I2537" s="6">
        <v>423</v>
      </c>
      <c r="J2537" s="3" t="s">
        <v>3356</v>
      </c>
      <c r="L2537" s="1" t="s">
        <v>6135</v>
      </c>
    </row>
    <row r="2538" spans="1:12">
      <c r="A2538" s="3" t="s">
        <v>4065</v>
      </c>
      <c r="C2538" s="3" t="s">
        <v>3817</v>
      </c>
      <c r="D2538" s="3" t="s">
        <v>2079</v>
      </c>
      <c r="E2538" s="3" t="s">
        <v>4267</v>
      </c>
      <c r="F2538" s="3" t="s">
        <v>4270</v>
      </c>
      <c r="G2538" s="3" t="s">
        <v>4261</v>
      </c>
      <c r="H2538" s="6">
        <v>2.1038037209559568</v>
      </c>
      <c r="I2538" s="6">
        <v>127</v>
      </c>
      <c r="J2538" s="3" t="s">
        <v>3356</v>
      </c>
      <c r="L2538" s="1" t="s">
        <v>6135</v>
      </c>
    </row>
    <row r="2539" spans="1:12">
      <c r="A2539" s="3" t="s">
        <v>4065</v>
      </c>
      <c r="C2539" s="3" t="s">
        <v>3817</v>
      </c>
      <c r="D2539" s="3" t="s">
        <v>2079</v>
      </c>
      <c r="E2539" s="3" t="s">
        <v>4267</v>
      </c>
      <c r="F2539" s="3" t="s">
        <v>4268</v>
      </c>
      <c r="G2539" s="3" t="s">
        <v>3789</v>
      </c>
      <c r="H2539" s="6">
        <v>2.7596678446896306</v>
      </c>
      <c r="I2539" s="6">
        <v>575</v>
      </c>
      <c r="J2539" s="3" t="s">
        <v>3356</v>
      </c>
      <c r="L2539" s="1" t="s">
        <v>6135</v>
      </c>
    </row>
    <row r="2540" spans="1:12">
      <c r="A2540" s="3" t="s">
        <v>4065</v>
      </c>
      <c r="C2540" s="3" t="s">
        <v>3817</v>
      </c>
      <c r="D2540" s="3" t="s">
        <v>2079</v>
      </c>
      <c r="E2540" s="3" t="s">
        <v>4267</v>
      </c>
      <c r="F2540" s="3" t="s">
        <v>4268</v>
      </c>
      <c r="G2540" s="3" t="s">
        <v>4269</v>
      </c>
      <c r="H2540" s="6">
        <v>2.1055101847699738</v>
      </c>
      <c r="I2540" s="6">
        <v>127.5</v>
      </c>
      <c r="J2540" s="3" t="s">
        <v>3356</v>
      </c>
      <c r="L2540" s="1" t="s">
        <v>6135</v>
      </c>
    </row>
    <row r="2541" spans="1:12">
      <c r="A2541" s="3" t="s">
        <v>4065</v>
      </c>
      <c r="C2541" s="3" t="s">
        <v>3817</v>
      </c>
      <c r="D2541" s="3" t="s">
        <v>2079</v>
      </c>
      <c r="E2541" s="3" t="s">
        <v>4267</v>
      </c>
      <c r="F2541" s="3" t="s">
        <v>4268</v>
      </c>
      <c r="G2541" s="3" t="s">
        <v>3786</v>
      </c>
      <c r="H2541" s="6">
        <v>2.5477747053878224</v>
      </c>
      <c r="I2541" s="6">
        <v>353</v>
      </c>
      <c r="J2541" s="3" t="s">
        <v>3356</v>
      </c>
      <c r="L2541" s="1" t="s">
        <v>6135</v>
      </c>
    </row>
    <row r="2542" spans="1:12">
      <c r="A2542" s="3" t="s">
        <v>4065</v>
      </c>
      <c r="C2542" s="3" t="s">
        <v>3817</v>
      </c>
      <c r="D2542" s="3" t="s">
        <v>2079</v>
      </c>
      <c r="E2542" s="3" t="s">
        <v>4267</v>
      </c>
      <c r="F2542" s="3" t="s">
        <v>4268</v>
      </c>
      <c r="G2542" s="3" t="s">
        <v>3798</v>
      </c>
      <c r="H2542" s="6">
        <v>2.3617278360175931</v>
      </c>
      <c r="I2542" s="6">
        <v>230</v>
      </c>
      <c r="J2542" s="3" t="s">
        <v>3356</v>
      </c>
      <c r="L2542" s="1" t="s">
        <v>6135</v>
      </c>
    </row>
    <row r="2543" spans="1:12">
      <c r="A2543" s="3" t="s">
        <v>4065</v>
      </c>
      <c r="C2543" s="3" t="s">
        <v>3817</v>
      </c>
      <c r="D2543" s="3" t="s">
        <v>2079</v>
      </c>
      <c r="E2543" s="3" t="s">
        <v>3793</v>
      </c>
      <c r="F2543" s="3" t="s">
        <v>3797</v>
      </c>
      <c r="G2543" s="3" t="s">
        <v>3805</v>
      </c>
      <c r="H2543" s="6">
        <v>3.2671717284030137</v>
      </c>
      <c r="I2543" s="6">
        <v>1850</v>
      </c>
      <c r="J2543" s="3" t="s">
        <v>3356</v>
      </c>
      <c r="L2543" s="1" t="s">
        <v>6135</v>
      </c>
    </row>
    <row r="2544" spans="1:12">
      <c r="A2544" s="3" t="s">
        <v>4065</v>
      </c>
      <c r="C2544" s="3" t="s">
        <v>3817</v>
      </c>
      <c r="D2544" s="3" t="s">
        <v>2079</v>
      </c>
      <c r="E2544" s="3" t="s">
        <v>3793</v>
      </c>
      <c r="F2544" s="3" t="s">
        <v>4251</v>
      </c>
      <c r="G2544" s="3" t="s">
        <v>3513</v>
      </c>
      <c r="H2544" s="6">
        <v>3.8061799739838871</v>
      </c>
      <c r="I2544" s="6">
        <v>6400</v>
      </c>
      <c r="J2544" s="3" t="s">
        <v>3356</v>
      </c>
      <c r="L2544" s="1" t="s">
        <v>6135</v>
      </c>
    </row>
    <row r="2545" spans="1:12">
      <c r="A2545" s="3" t="s">
        <v>4065</v>
      </c>
      <c r="C2545" s="3" t="s">
        <v>3817</v>
      </c>
      <c r="D2545" s="3" t="s">
        <v>2079</v>
      </c>
      <c r="E2545" s="3" t="s">
        <v>3793</v>
      </c>
      <c r="F2545" s="3" t="s">
        <v>3799</v>
      </c>
      <c r="G2545" s="3" t="s">
        <v>3810</v>
      </c>
      <c r="H2545" s="6">
        <v>3.5440680443502757</v>
      </c>
      <c r="I2545" s="6">
        <v>3500</v>
      </c>
      <c r="J2545" s="3" t="s">
        <v>3356</v>
      </c>
      <c r="L2545" s="1" t="s">
        <v>6135</v>
      </c>
    </row>
    <row r="2546" spans="1:12">
      <c r="A2546" s="3" t="s">
        <v>4065</v>
      </c>
      <c r="C2546" s="3" t="s">
        <v>3817</v>
      </c>
      <c r="D2546" s="3" t="s">
        <v>2079</v>
      </c>
      <c r="E2546" s="3" t="s">
        <v>3793</v>
      </c>
      <c r="F2546" s="3" t="s">
        <v>3799</v>
      </c>
      <c r="G2546" s="3" t="s">
        <v>3809</v>
      </c>
      <c r="H2546" s="6">
        <v>3.4232458739368079</v>
      </c>
      <c r="I2546" s="6">
        <v>2650</v>
      </c>
      <c r="J2546" s="3" t="s">
        <v>3356</v>
      </c>
      <c r="L2546" s="1" t="s">
        <v>6135</v>
      </c>
    </row>
    <row r="2547" spans="1:12">
      <c r="A2547" s="3" t="s">
        <v>4065</v>
      </c>
      <c r="C2547" s="3" t="s">
        <v>3817</v>
      </c>
      <c r="D2547" s="3" t="s">
        <v>2079</v>
      </c>
      <c r="E2547" s="3" t="s">
        <v>3793</v>
      </c>
      <c r="F2547" s="3" t="s">
        <v>3794</v>
      </c>
      <c r="G2547" s="3" t="s">
        <v>3595</v>
      </c>
      <c r="H2547" s="6">
        <v>3.2240148113728639</v>
      </c>
      <c r="I2547" s="6">
        <v>1675</v>
      </c>
      <c r="J2547" s="3" t="s">
        <v>3356</v>
      </c>
      <c r="L2547" s="1" t="s">
        <v>6135</v>
      </c>
    </row>
    <row r="2548" spans="1:12">
      <c r="A2548" s="3" t="s">
        <v>4065</v>
      </c>
      <c r="C2548" s="3" t="s">
        <v>3817</v>
      </c>
      <c r="D2548" s="3" t="s">
        <v>2079</v>
      </c>
      <c r="E2548" s="3" t="s">
        <v>7207</v>
      </c>
      <c r="F2548" s="3" t="s">
        <v>4484</v>
      </c>
      <c r="G2548" s="3" t="s">
        <v>4485</v>
      </c>
      <c r="H2548" s="6">
        <v>4.0107238653917729</v>
      </c>
      <c r="I2548" s="6">
        <v>10250</v>
      </c>
      <c r="J2548" s="3" t="s">
        <v>3356</v>
      </c>
      <c r="L2548" s="1" t="s">
        <v>6135</v>
      </c>
    </row>
    <row r="2549" spans="1:12">
      <c r="A2549" s="3" t="s">
        <v>4065</v>
      </c>
      <c r="C2549" s="3" t="s">
        <v>3817</v>
      </c>
      <c r="D2549" s="3" t="s">
        <v>2079</v>
      </c>
      <c r="E2549" s="3" t="s">
        <v>4486</v>
      </c>
      <c r="F2549" s="3" t="s">
        <v>4478</v>
      </c>
      <c r="G2549" s="3" t="s">
        <v>4446</v>
      </c>
      <c r="H2549" s="6">
        <v>3.5118833609788744</v>
      </c>
      <c r="I2549" s="6">
        <v>3250</v>
      </c>
      <c r="J2549" s="3" t="s">
        <v>3356</v>
      </c>
      <c r="L2549" s="1" t="s">
        <v>6135</v>
      </c>
    </row>
    <row r="2550" spans="1:12">
      <c r="A2550" s="3" t="s">
        <v>4065</v>
      </c>
      <c r="C2550" s="3" t="s">
        <v>3817</v>
      </c>
      <c r="D2550" s="3" t="s">
        <v>2079</v>
      </c>
      <c r="E2550" s="3" t="s">
        <v>4486</v>
      </c>
      <c r="F2550" s="3" t="s">
        <v>3829</v>
      </c>
      <c r="G2550" s="3" t="s">
        <v>7012</v>
      </c>
      <c r="H2550" s="6">
        <v>3.220108088040055</v>
      </c>
      <c r="I2550" s="6">
        <v>1660</v>
      </c>
      <c r="J2550" s="3" t="s">
        <v>3356</v>
      </c>
      <c r="L2550" s="1" t="s">
        <v>6135</v>
      </c>
    </row>
    <row r="2551" spans="1:12">
      <c r="A2551" s="3" t="s">
        <v>4065</v>
      </c>
      <c r="C2551" s="3" t="s">
        <v>3817</v>
      </c>
      <c r="D2551" s="3" t="s">
        <v>2079</v>
      </c>
      <c r="E2551" s="3" t="s">
        <v>4486</v>
      </c>
      <c r="F2551" s="3" t="s">
        <v>3829</v>
      </c>
      <c r="G2551" s="3" t="s">
        <v>3830</v>
      </c>
      <c r="H2551" s="6">
        <v>3.1760912590556813</v>
      </c>
      <c r="I2551" s="6">
        <v>1500</v>
      </c>
      <c r="J2551" s="3" t="s">
        <v>3356</v>
      </c>
      <c r="L2551" s="1" t="s">
        <v>6135</v>
      </c>
    </row>
    <row r="2552" spans="1:12">
      <c r="A2552" s="3" t="s">
        <v>4065</v>
      </c>
      <c r="C2552" s="3" t="s">
        <v>3817</v>
      </c>
      <c r="D2552" s="3" t="s">
        <v>2079</v>
      </c>
      <c r="E2552" s="3" t="s">
        <v>4486</v>
      </c>
      <c r="F2552" s="3" t="s">
        <v>3829</v>
      </c>
      <c r="G2552" s="3" t="s">
        <v>7098</v>
      </c>
      <c r="H2552" s="6">
        <v>3.1139433523068369</v>
      </c>
      <c r="I2552" s="6">
        <v>1300</v>
      </c>
      <c r="J2552" s="3" t="s">
        <v>3356</v>
      </c>
      <c r="L2552" s="1" t="s">
        <v>6135</v>
      </c>
    </row>
    <row r="2553" spans="1:12">
      <c r="A2553" s="3" t="s">
        <v>4065</v>
      </c>
      <c r="C2553" s="3" t="s">
        <v>3817</v>
      </c>
      <c r="D2553" s="3" t="s">
        <v>2079</v>
      </c>
      <c r="E2553" s="3" t="s">
        <v>4486</v>
      </c>
      <c r="F2553" s="3" t="s">
        <v>4487</v>
      </c>
      <c r="G2553" s="3" t="s">
        <v>7233</v>
      </c>
      <c r="H2553" s="6">
        <v>2.716003343634799</v>
      </c>
      <c r="I2553" s="6">
        <v>520</v>
      </c>
      <c r="J2553" s="3" t="s">
        <v>3356</v>
      </c>
      <c r="L2553" s="1" t="s">
        <v>6135</v>
      </c>
    </row>
    <row r="2554" spans="1:12">
      <c r="A2554" s="3" t="s">
        <v>4065</v>
      </c>
      <c r="C2554" s="3" t="s">
        <v>3817</v>
      </c>
      <c r="D2554" s="3" t="s">
        <v>2079</v>
      </c>
      <c r="E2554" s="3" t="s">
        <v>4486</v>
      </c>
      <c r="F2554" s="3" t="s">
        <v>3796</v>
      </c>
      <c r="G2554" s="3" t="s">
        <v>3808</v>
      </c>
      <c r="H2554" s="6">
        <v>3.2787536009528289</v>
      </c>
      <c r="I2554" s="6">
        <v>1900</v>
      </c>
      <c r="J2554" s="3" t="s">
        <v>3356</v>
      </c>
      <c r="L2554" s="1" t="s">
        <v>6135</v>
      </c>
    </row>
    <row r="2555" spans="1:12">
      <c r="A2555" s="3" t="s">
        <v>4065</v>
      </c>
      <c r="C2555" s="3" t="s">
        <v>3817</v>
      </c>
      <c r="D2555" s="3" t="s">
        <v>2079</v>
      </c>
      <c r="E2555" s="3" t="s">
        <v>4486</v>
      </c>
      <c r="F2555" s="3" t="s">
        <v>3796</v>
      </c>
      <c r="G2555" s="3" t="s">
        <v>4477</v>
      </c>
      <c r="H2555" s="6">
        <v>3.0413926851582249</v>
      </c>
      <c r="I2555" s="6">
        <v>1100</v>
      </c>
      <c r="J2555" s="3" t="s">
        <v>3356</v>
      </c>
      <c r="L2555" s="1" t="s">
        <v>6135</v>
      </c>
    </row>
    <row r="2556" spans="1:12">
      <c r="A2556" s="3" t="s">
        <v>4065</v>
      </c>
      <c r="C2556" s="3" t="s">
        <v>3817</v>
      </c>
      <c r="D2556" s="3" t="s">
        <v>2079</v>
      </c>
      <c r="E2556" s="3" t="s">
        <v>7301</v>
      </c>
      <c r="F2556" s="3" t="s">
        <v>7253</v>
      </c>
      <c r="G2556" s="3" t="s">
        <v>7254</v>
      </c>
      <c r="H2556" s="6">
        <v>2.9788649843476569</v>
      </c>
      <c r="I2556" s="6">
        <v>952.5</v>
      </c>
      <c r="J2556" s="3" t="s">
        <v>3356</v>
      </c>
      <c r="L2556" s="1" t="s">
        <v>6135</v>
      </c>
    </row>
    <row r="2557" spans="1:12">
      <c r="A2557" s="3" t="s">
        <v>4065</v>
      </c>
      <c r="C2557" s="3" t="s">
        <v>3817</v>
      </c>
      <c r="D2557" s="3" t="s">
        <v>2079</v>
      </c>
      <c r="E2557" s="3" t="s">
        <v>7301</v>
      </c>
      <c r="F2557" s="3" t="s">
        <v>4448</v>
      </c>
      <c r="G2557" s="3" t="s">
        <v>4449</v>
      </c>
      <c r="H2557" s="6">
        <v>3.1139433523068369</v>
      </c>
      <c r="I2557" s="6">
        <v>1300</v>
      </c>
      <c r="J2557" s="3" t="s">
        <v>3356</v>
      </c>
      <c r="L2557" s="1" t="s">
        <v>6135</v>
      </c>
    </row>
    <row r="2558" spans="1:12">
      <c r="A2558" s="3" t="s">
        <v>4065</v>
      </c>
      <c r="C2558" s="3" t="s">
        <v>3817</v>
      </c>
      <c r="D2558" s="3" t="s">
        <v>2079</v>
      </c>
      <c r="E2558" s="3" t="s">
        <v>7301</v>
      </c>
      <c r="F2558" s="3" t="s">
        <v>4450</v>
      </c>
      <c r="G2558" s="3" t="s">
        <v>4457</v>
      </c>
      <c r="H2558" s="6">
        <v>3.214843848047698</v>
      </c>
      <c r="I2558" s="6">
        <v>1640</v>
      </c>
      <c r="J2558" s="3" t="s">
        <v>3356</v>
      </c>
      <c r="L2558" s="1" t="s">
        <v>6135</v>
      </c>
    </row>
    <row r="2559" spans="1:12">
      <c r="A2559" s="3" t="s">
        <v>4065</v>
      </c>
      <c r="C2559" s="3" t="s">
        <v>3817</v>
      </c>
      <c r="D2559" s="3" t="s">
        <v>2079</v>
      </c>
      <c r="E2559" s="3" t="s">
        <v>7301</v>
      </c>
      <c r="F2559" s="3" t="s">
        <v>7302</v>
      </c>
      <c r="G2559" s="3" t="s">
        <v>7255</v>
      </c>
      <c r="H2559" s="6">
        <v>3.0472748673841794</v>
      </c>
      <c r="I2559" s="6">
        <v>1115</v>
      </c>
      <c r="J2559" s="3" t="s">
        <v>3356</v>
      </c>
      <c r="L2559" s="1" t="s">
        <v>6135</v>
      </c>
    </row>
    <row r="2560" spans="1:12">
      <c r="A2560" s="3" t="s">
        <v>4065</v>
      </c>
      <c r="C2560" s="3" t="s">
        <v>3817</v>
      </c>
      <c r="D2560" s="3" t="s">
        <v>2079</v>
      </c>
      <c r="E2560" s="3" t="s">
        <v>7301</v>
      </c>
      <c r="F2560" s="3" t="s">
        <v>7302</v>
      </c>
      <c r="G2560" s="3" t="s">
        <v>7303</v>
      </c>
      <c r="H2560" s="6">
        <v>2.9542425094393248</v>
      </c>
      <c r="I2560" s="6">
        <v>900</v>
      </c>
      <c r="J2560" s="3" t="s">
        <v>3356</v>
      </c>
      <c r="L2560" s="1" t="s">
        <v>6135</v>
      </c>
    </row>
    <row r="2561" spans="1:12">
      <c r="A2561" s="3" t="s">
        <v>4065</v>
      </c>
      <c r="C2561" s="3" t="s">
        <v>3817</v>
      </c>
      <c r="D2561" s="3" t="s">
        <v>2079</v>
      </c>
      <c r="E2561" s="3" t="s">
        <v>7301</v>
      </c>
      <c r="F2561" s="3" t="s">
        <v>7256</v>
      </c>
      <c r="G2561" s="3" t="s">
        <v>7148</v>
      </c>
      <c r="H2561" s="6">
        <v>3.038023740045158</v>
      </c>
      <c r="I2561" s="6">
        <v>1091.5</v>
      </c>
      <c r="J2561" s="3" t="s">
        <v>3356</v>
      </c>
      <c r="L2561" s="1" t="s">
        <v>6135</v>
      </c>
    </row>
    <row r="2562" spans="1:12">
      <c r="A2562" s="3" t="s">
        <v>4065</v>
      </c>
      <c r="C2562" s="3" t="s">
        <v>3817</v>
      </c>
      <c r="D2562" s="3" t="s">
        <v>2079</v>
      </c>
      <c r="E2562" s="3" t="s">
        <v>4458</v>
      </c>
      <c r="F2562" s="3" t="s">
        <v>4459</v>
      </c>
      <c r="G2562" s="3" t="s">
        <v>4048</v>
      </c>
      <c r="H2562" s="6">
        <v>0.95424250943932487</v>
      </c>
      <c r="I2562" s="6">
        <v>9</v>
      </c>
      <c r="J2562" s="3" t="s">
        <v>3356</v>
      </c>
      <c r="L2562" s="1" t="s">
        <v>6135</v>
      </c>
    </row>
    <row r="2563" spans="1:12">
      <c r="A2563" s="3" t="s">
        <v>4065</v>
      </c>
      <c r="C2563" s="3" t="s">
        <v>3817</v>
      </c>
      <c r="D2563" s="3" t="s">
        <v>2079</v>
      </c>
      <c r="E2563" s="3" t="s">
        <v>4461</v>
      </c>
      <c r="F2563" s="3" t="s">
        <v>4462</v>
      </c>
      <c r="G2563" s="3" t="s">
        <v>4463</v>
      </c>
      <c r="H2563" s="6">
        <v>3.4623979978989561</v>
      </c>
      <c r="I2563" s="6">
        <v>2900</v>
      </c>
      <c r="J2563" s="3" t="s">
        <v>3356</v>
      </c>
      <c r="L2563" s="1" t="s">
        <v>6135</v>
      </c>
    </row>
    <row r="2564" spans="1:12">
      <c r="A2564" s="3" t="s">
        <v>4065</v>
      </c>
      <c r="C2564" s="3" t="s">
        <v>3817</v>
      </c>
      <c r="D2564" s="3" t="s">
        <v>2079</v>
      </c>
      <c r="E2564" s="3" t="s">
        <v>4461</v>
      </c>
      <c r="F2564" s="3" t="s">
        <v>4462</v>
      </c>
      <c r="G2564" s="3" t="s">
        <v>4464</v>
      </c>
      <c r="H2564" s="6">
        <v>4.4065401804339555</v>
      </c>
      <c r="I2564" s="6">
        <v>25500</v>
      </c>
      <c r="J2564" s="3" t="s">
        <v>3356</v>
      </c>
      <c r="L2564" s="1" t="s">
        <v>6135</v>
      </c>
    </row>
    <row r="2565" spans="1:12">
      <c r="A2565" s="3" t="s">
        <v>4065</v>
      </c>
      <c r="C2565" s="3" t="s">
        <v>3817</v>
      </c>
      <c r="D2565" s="3" t="s">
        <v>2079</v>
      </c>
      <c r="E2565" s="3" t="s">
        <v>4461</v>
      </c>
      <c r="F2565" s="3" t="s">
        <v>4469</v>
      </c>
      <c r="G2565" s="3" t="s">
        <v>4470</v>
      </c>
      <c r="H2565" s="6">
        <v>4.4149733479708182</v>
      </c>
      <c r="I2565" s="6">
        <v>26000</v>
      </c>
      <c r="J2565" s="3" t="s">
        <v>3356</v>
      </c>
      <c r="L2565" s="1" t="s">
        <v>6135</v>
      </c>
    </row>
    <row r="2566" spans="1:12">
      <c r="A2566" s="3" t="s">
        <v>4065</v>
      </c>
      <c r="C2566" s="3" t="s">
        <v>3817</v>
      </c>
      <c r="D2566" s="3" t="s">
        <v>7345</v>
      </c>
      <c r="E2566" s="3" t="s">
        <v>7346</v>
      </c>
      <c r="F2566" s="3" t="s">
        <v>7340</v>
      </c>
      <c r="G2566" s="3" t="s">
        <v>4259</v>
      </c>
      <c r="H2566" s="6">
        <v>3.6020599913279625</v>
      </c>
      <c r="I2566" s="6">
        <v>4000</v>
      </c>
      <c r="J2566" s="3" t="s">
        <v>3356</v>
      </c>
      <c r="L2566" s="1" t="s">
        <v>6135</v>
      </c>
    </row>
    <row r="2567" spans="1:12">
      <c r="A2567" s="3" t="s">
        <v>4065</v>
      </c>
      <c r="C2567" s="3" t="s">
        <v>3817</v>
      </c>
      <c r="D2567" s="3" t="s">
        <v>7345</v>
      </c>
      <c r="E2567" s="3" t="s">
        <v>7346</v>
      </c>
      <c r="F2567" s="3" t="s">
        <v>7336</v>
      </c>
      <c r="G2567" s="3" t="s">
        <v>4210</v>
      </c>
      <c r="H2567" s="6">
        <v>3.1986570869544226</v>
      </c>
      <c r="I2567" s="6">
        <v>1580</v>
      </c>
      <c r="J2567" s="3" t="s">
        <v>3356</v>
      </c>
      <c r="L2567" s="1" t="s">
        <v>6135</v>
      </c>
    </row>
    <row r="2568" spans="1:12">
      <c r="A2568" s="3" t="s">
        <v>4065</v>
      </c>
      <c r="C2568" s="3" t="s">
        <v>3817</v>
      </c>
      <c r="D2568" s="3" t="s">
        <v>7115</v>
      </c>
      <c r="E2568" s="3" t="s">
        <v>3802</v>
      </c>
      <c r="F2568" s="3" t="s">
        <v>3803</v>
      </c>
      <c r="G2568" s="3" t="s">
        <v>4250</v>
      </c>
      <c r="H2568" s="6">
        <v>3.1715070575980961</v>
      </c>
      <c r="I2568" s="6">
        <v>1484.25</v>
      </c>
      <c r="J2568" s="3" t="s">
        <v>3356</v>
      </c>
      <c r="L2568" s="1" t="s">
        <v>6135</v>
      </c>
    </row>
    <row r="2569" spans="1:12">
      <c r="A2569" s="3" t="s">
        <v>4065</v>
      </c>
      <c r="C2569" s="3" t="s">
        <v>3817</v>
      </c>
      <c r="D2569" s="3" t="s">
        <v>7115</v>
      </c>
      <c r="E2569" s="3" t="s">
        <v>4475</v>
      </c>
      <c r="F2569" s="3" t="s">
        <v>4476</v>
      </c>
      <c r="G2569" s="3" t="s">
        <v>7114</v>
      </c>
      <c r="H2569" s="6">
        <v>3.6532125137753435</v>
      </c>
      <c r="I2569" s="6">
        <v>4500</v>
      </c>
      <c r="J2569" s="3" t="s">
        <v>3356</v>
      </c>
      <c r="L2569" s="1" t="s">
        <v>6135</v>
      </c>
    </row>
    <row r="2570" spans="1:12">
      <c r="A2570" s="3" t="s">
        <v>4065</v>
      </c>
      <c r="C2570" s="3" t="s">
        <v>3817</v>
      </c>
      <c r="D2570" s="3" t="s">
        <v>7058</v>
      </c>
      <c r="E2570" s="3" t="s">
        <v>7011</v>
      </c>
      <c r="F2570" s="3" t="s">
        <v>4453</v>
      </c>
      <c r="G2570" s="3" t="s">
        <v>4454</v>
      </c>
      <c r="H2570" s="6">
        <v>1.7403626894942439</v>
      </c>
      <c r="I2570" s="6">
        <v>55</v>
      </c>
      <c r="J2570" s="3" t="s">
        <v>3356</v>
      </c>
      <c r="L2570" s="1" t="s">
        <v>6135</v>
      </c>
    </row>
    <row r="2571" spans="1:12">
      <c r="A2571" s="3" t="s">
        <v>4065</v>
      </c>
      <c r="C2571" s="3" t="s">
        <v>3817</v>
      </c>
      <c r="D2571" s="3" t="s">
        <v>2551</v>
      </c>
      <c r="E2571" s="3" t="s">
        <v>2552</v>
      </c>
      <c r="F2571" s="3" t="s">
        <v>2557</v>
      </c>
      <c r="G2571" s="3" t="s">
        <v>2341</v>
      </c>
      <c r="H2571" s="6">
        <v>2.6283889300503116</v>
      </c>
      <c r="I2571" s="6">
        <v>425</v>
      </c>
      <c r="J2571" s="3" t="s">
        <v>3356</v>
      </c>
      <c r="L2571" s="1" t="s">
        <v>6135</v>
      </c>
    </row>
    <row r="2572" spans="1:12">
      <c r="A2572" s="3" t="s">
        <v>4065</v>
      </c>
      <c r="C2572" s="3" t="s">
        <v>3817</v>
      </c>
      <c r="D2572" s="3" t="s">
        <v>2551</v>
      </c>
      <c r="E2572" s="3" t="s">
        <v>2552</v>
      </c>
      <c r="F2572" s="3" t="s">
        <v>2557</v>
      </c>
      <c r="G2572" s="3" t="s">
        <v>2349</v>
      </c>
      <c r="H2572" s="6">
        <v>3.2041199826559246</v>
      </c>
      <c r="I2572" s="6">
        <v>1600</v>
      </c>
      <c r="J2572" s="3" t="s">
        <v>3356</v>
      </c>
      <c r="L2572" s="1" t="s">
        <v>6135</v>
      </c>
    </row>
    <row r="2573" spans="1:12">
      <c r="A2573" s="3" t="s">
        <v>4065</v>
      </c>
      <c r="C2573" s="3" t="s">
        <v>3817</v>
      </c>
      <c r="D2573" s="3" t="s">
        <v>2551</v>
      </c>
      <c r="E2573" s="3" t="s">
        <v>2552</v>
      </c>
      <c r="F2573" s="3" t="s">
        <v>2557</v>
      </c>
      <c r="G2573" s="3" t="s">
        <v>2690</v>
      </c>
      <c r="H2573" s="6">
        <v>2.8893017025063101</v>
      </c>
      <c r="I2573" s="6">
        <v>775</v>
      </c>
      <c r="J2573" s="3" t="s">
        <v>3356</v>
      </c>
      <c r="L2573" s="1" t="s">
        <v>6135</v>
      </c>
    </row>
    <row r="2574" spans="1:12">
      <c r="A2574" s="3" t="s">
        <v>4065</v>
      </c>
      <c r="C2574" s="3" t="s">
        <v>3817</v>
      </c>
      <c r="D2574" s="3" t="s">
        <v>2551</v>
      </c>
      <c r="E2574" s="3" t="s">
        <v>2552</v>
      </c>
      <c r="F2574" s="3" t="s">
        <v>2555</v>
      </c>
      <c r="G2574" s="3" t="s">
        <v>2513</v>
      </c>
      <c r="H2574" s="6">
        <v>3.1303337684950061</v>
      </c>
      <c r="I2574" s="6">
        <v>1350</v>
      </c>
      <c r="J2574" s="3" t="s">
        <v>3356</v>
      </c>
      <c r="L2574" s="1" t="s">
        <v>6135</v>
      </c>
    </row>
    <row r="2575" spans="1:12">
      <c r="A2575" s="3" t="s">
        <v>4065</v>
      </c>
      <c r="C2575" s="3" t="s">
        <v>3817</v>
      </c>
      <c r="D2575" s="3" t="s">
        <v>2551</v>
      </c>
      <c r="E2575" s="3" t="s">
        <v>2552</v>
      </c>
      <c r="F2575" s="3" t="s">
        <v>2555</v>
      </c>
      <c r="G2575" s="3" t="s">
        <v>2556</v>
      </c>
      <c r="H2575" s="6">
        <v>2.5493098589194978</v>
      </c>
      <c r="I2575" s="6">
        <v>354.25</v>
      </c>
      <c r="J2575" s="3" t="s">
        <v>3356</v>
      </c>
      <c r="L2575" s="1" t="s">
        <v>6135</v>
      </c>
    </row>
    <row r="2576" spans="1:12">
      <c r="A2576" s="3" t="s">
        <v>4065</v>
      </c>
      <c r="C2576" s="3" t="s">
        <v>3817</v>
      </c>
      <c r="D2576" s="3" t="s">
        <v>2551</v>
      </c>
      <c r="E2576" s="3" t="s">
        <v>2552</v>
      </c>
      <c r="F2576" s="3" t="s">
        <v>2553</v>
      </c>
      <c r="G2576" s="3" t="s">
        <v>2554</v>
      </c>
      <c r="H2576" s="6">
        <v>2.3541084391474008</v>
      </c>
      <c r="I2576" s="6">
        <v>226</v>
      </c>
      <c r="J2576" s="3" t="s">
        <v>3356</v>
      </c>
      <c r="L2576" s="1" t="s">
        <v>6135</v>
      </c>
    </row>
    <row r="2577" spans="1:12">
      <c r="A2577" s="3" t="s">
        <v>4065</v>
      </c>
      <c r="C2577" s="3" t="s">
        <v>3817</v>
      </c>
      <c r="D2577" s="3" t="s">
        <v>2551</v>
      </c>
      <c r="E2577" s="3" t="s">
        <v>2552</v>
      </c>
      <c r="F2577" s="3" t="s">
        <v>2553</v>
      </c>
      <c r="G2577" s="3" t="s">
        <v>4465</v>
      </c>
      <c r="H2577" s="6">
        <v>2.6989700043360187</v>
      </c>
      <c r="I2577" s="6">
        <v>500</v>
      </c>
      <c r="J2577" s="3" t="s">
        <v>4466</v>
      </c>
      <c r="L2577" s="1" t="s">
        <v>6135</v>
      </c>
    </row>
    <row r="2578" spans="1:12">
      <c r="A2578" s="3" t="s">
        <v>4065</v>
      </c>
      <c r="C2578" s="3" t="s">
        <v>3817</v>
      </c>
      <c r="D2578" s="3" t="s">
        <v>2551</v>
      </c>
      <c r="E2578" s="3" t="s">
        <v>2552</v>
      </c>
      <c r="F2578" s="3" t="s">
        <v>2553</v>
      </c>
      <c r="G2578" s="3" t="s">
        <v>2262</v>
      </c>
      <c r="H2578" s="6">
        <v>2.9395192526186187</v>
      </c>
      <c r="I2578" s="6">
        <v>870</v>
      </c>
      <c r="J2578" s="3" t="s">
        <v>3356</v>
      </c>
      <c r="L2578" s="1" t="s">
        <v>6135</v>
      </c>
    </row>
    <row r="2579" spans="1:12">
      <c r="A2579" s="3" t="s">
        <v>4065</v>
      </c>
      <c r="C2579" s="3" t="s">
        <v>3817</v>
      </c>
      <c r="D2579" s="3" t="s">
        <v>2551</v>
      </c>
      <c r="E2579" s="3" t="s">
        <v>2552</v>
      </c>
      <c r="F2579" s="3" t="s">
        <v>2553</v>
      </c>
      <c r="G2579" s="3" t="s">
        <v>2348</v>
      </c>
      <c r="H2579" s="6">
        <v>2.989004615698537</v>
      </c>
      <c r="I2579" s="6">
        <v>975</v>
      </c>
      <c r="J2579" s="3" t="s">
        <v>3356</v>
      </c>
      <c r="L2579" s="1" t="s">
        <v>6135</v>
      </c>
    </row>
    <row r="2580" spans="1:12">
      <c r="A2580" s="3" t="s">
        <v>4065</v>
      </c>
      <c r="C2580" s="3" t="s">
        <v>3817</v>
      </c>
      <c r="D2580" s="3" t="s">
        <v>2551</v>
      </c>
      <c r="E2580" s="3" t="s">
        <v>7229</v>
      </c>
      <c r="F2580" s="3" t="s">
        <v>7272</v>
      </c>
      <c r="G2580" s="3" t="s">
        <v>4446</v>
      </c>
      <c r="H2580" s="6">
        <v>3.0413926851582249</v>
      </c>
      <c r="I2580" s="6">
        <v>1100</v>
      </c>
      <c r="J2580" s="3" t="s">
        <v>3356</v>
      </c>
      <c r="L2580" s="1" t="s">
        <v>6135</v>
      </c>
    </row>
    <row r="2581" spans="1:12">
      <c r="A2581" s="3" t="s">
        <v>4065</v>
      </c>
      <c r="C2581" s="3" t="s">
        <v>3817</v>
      </c>
      <c r="D2581" s="3" t="s">
        <v>7273</v>
      </c>
      <c r="E2581" s="3" t="s">
        <v>2558</v>
      </c>
      <c r="F2581" s="3" t="s">
        <v>2559</v>
      </c>
      <c r="G2581" s="3" t="s">
        <v>2560</v>
      </c>
      <c r="H2581" s="6">
        <v>5.5118833609788744</v>
      </c>
      <c r="I2581" s="6">
        <v>325000</v>
      </c>
      <c r="J2581" s="3" t="s">
        <v>3527</v>
      </c>
      <c r="L2581" s="1" t="s">
        <v>6135</v>
      </c>
    </row>
    <row r="2582" spans="1:12">
      <c r="A2582" s="3" t="s">
        <v>4065</v>
      </c>
      <c r="C2582" s="3" t="s">
        <v>3817</v>
      </c>
      <c r="D2582" s="3" t="s">
        <v>3618</v>
      </c>
      <c r="E2582" s="3" t="s">
        <v>3638</v>
      </c>
      <c r="F2582" s="3" t="s">
        <v>3737</v>
      </c>
      <c r="G2582" s="3" t="s">
        <v>3156</v>
      </c>
      <c r="H2582" s="6">
        <v>2.1861083798132053</v>
      </c>
      <c r="I2582" s="6">
        <v>153.5</v>
      </c>
      <c r="J2582" s="3" t="s">
        <v>3356</v>
      </c>
      <c r="L2582" s="1" t="s">
        <v>6135</v>
      </c>
    </row>
    <row r="2583" spans="1:12">
      <c r="A2583" s="3" t="s">
        <v>4065</v>
      </c>
      <c r="C2583" s="3" t="s">
        <v>3817</v>
      </c>
      <c r="D2583" s="3" t="s">
        <v>3618</v>
      </c>
      <c r="E2583" s="3" t="s">
        <v>3638</v>
      </c>
      <c r="F2583" s="3" t="s">
        <v>4275</v>
      </c>
      <c r="G2583" s="3" t="s">
        <v>4276</v>
      </c>
      <c r="H2583" s="6">
        <v>2.782472624166286</v>
      </c>
      <c r="I2583" s="6">
        <v>606</v>
      </c>
      <c r="J2583" s="3" t="s">
        <v>3356</v>
      </c>
      <c r="L2583" s="1" t="s">
        <v>6135</v>
      </c>
    </row>
    <row r="2584" spans="1:12">
      <c r="A2584" s="3" t="s">
        <v>4065</v>
      </c>
      <c r="C2584" s="3" t="s">
        <v>3817</v>
      </c>
      <c r="D2584" s="3" t="s">
        <v>3618</v>
      </c>
      <c r="E2584" s="3" t="s">
        <v>3638</v>
      </c>
      <c r="F2584" s="3" t="s">
        <v>3324</v>
      </c>
      <c r="G2584" s="3" t="s">
        <v>7360</v>
      </c>
      <c r="H2584" s="6">
        <v>1.3010299956639813</v>
      </c>
      <c r="I2584" s="6">
        <v>20</v>
      </c>
      <c r="J2584" s="3" t="s">
        <v>3356</v>
      </c>
      <c r="L2584" s="1" t="s">
        <v>6135</v>
      </c>
    </row>
    <row r="2585" spans="1:12">
      <c r="A2585" s="3" t="s">
        <v>4065</v>
      </c>
      <c r="C2585" s="3" t="s">
        <v>3817</v>
      </c>
      <c r="D2585" s="3" t="s">
        <v>3618</v>
      </c>
      <c r="E2585" s="3" t="s">
        <v>3638</v>
      </c>
      <c r="F2585" s="3" t="s">
        <v>3324</v>
      </c>
      <c r="G2585" s="3" t="s">
        <v>7371</v>
      </c>
      <c r="H2585" s="6">
        <v>1.2430380486862944</v>
      </c>
      <c r="I2585" s="6">
        <v>17.5</v>
      </c>
      <c r="J2585" s="3" t="s">
        <v>3356</v>
      </c>
      <c r="L2585" s="1" t="s">
        <v>6135</v>
      </c>
    </row>
    <row r="2586" spans="1:12">
      <c r="A2586" s="3" t="s">
        <v>4065</v>
      </c>
      <c r="C2586" s="3" t="s">
        <v>3817</v>
      </c>
      <c r="D2586" s="3" t="s">
        <v>3618</v>
      </c>
      <c r="E2586" s="3" t="s">
        <v>3638</v>
      </c>
      <c r="F2586" s="3" t="s">
        <v>4016</v>
      </c>
      <c r="G2586" s="3" t="s">
        <v>4017</v>
      </c>
      <c r="H2586" s="6">
        <v>2.5440680443502757</v>
      </c>
      <c r="I2586" s="6">
        <v>350</v>
      </c>
      <c r="J2586" s="3" t="s">
        <v>3356</v>
      </c>
      <c r="L2586" s="1" t="s">
        <v>6135</v>
      </c>
    </row>
    <row r="2587" spans="1:12">
      <c r="A2587" s="3" t="s">
        <v>4065</v>
      </c>
      <c r="C2587" s="3" t="s">
        <v>3817</v>
      </c>
      <c r="D2587" s="3" t="s">
        <v>3618</v>
      </c>
      <c r="E2587" s="3" t="s">
        <v>3638</v>
      </c>
      <c r="F2587" s="3" t="s">
        <v>3941</v>
      </c>
      <c r="G2587" s="3" t="s">
        <v>3942</v>
      </c>
      <c r="H2587" s="6">
        <v>1.8356905714924256</v>
      </c>
      <c r="I2587" s="6">
        <v>68.5</v>
      </c>
      <c r="J2587" s="3" t="s">
        <v>3356</v>
      </c>
      <c r="L2587" s="1" t="s">
        <v>6135</v>
      </c>
    </row>
    <row r="2588" spans="1:12">
      <c r="A2588" s="3" t="s">
        <v>4065</v>
      </c>
      <c r="C2588" s="3" t="s">
        <v>3817</v>
      </c>
      <c r="D2588" s="3" t="s">
        <v>3618</v>
      </c>
      <c r="E2588" s="3" t="s">
        <v>3638</v>
      </c>
      <c r="F2588" s="3" t="s">
        <v>3941</v>
      </c>
      <c r="G2588" s="3" t="s">
        <v>4259</v>
      </c>
      <c r="H2588" s="6">
        <v>1.8450980400142569</v>
      </c>
      <c r="I2588" s="6">
        <v>70</v>
      </c>
      <c r="J2588" s="3" t="s">
        <v>3356</v>
      </c>
      <c r="L2588" s="1" t="s">
        <v>6135</v>
      </c>
    </row>
    <row r="2589" spans="1:12">
      <c r="A2589" s="3" t="s">
        <v>4065</v>
      </c>
      <c r="C2589" s="3" t="s">
        <v>3817</v>
      </c>
      <c r="D2589" s="3" t="s">
        <v>3618</v>
      </c>
      <c r="E2589" s="3" t="s">
        <v>3638</v>
      </c>
      <c r="F2589" s="3" t="s">
        <v>3941</v>
      </c>
      <c r="G2589" s="3" t="s">
        <v>3741</v>
      </c>
      <c r="H2589" s="6">
        <v>1.8920946026904804</v>
      </c>
      <c r="I2589" s="6">
        <v>78</v>
      </c>
      <c r="J2589" s="3" t="s">
        <v>3356</v>
      </c>
      <c r="L2589" s="1" t="s">
        <v>6135</v>
      </c>
    </row>
    <row r="2590" spans="1:12">
      <c r="A2590" s="3" t="s">
        <v>4065</v>
      </c>
      <c r="C2590" s="3" t="s">
        <v>3817</v>
      </c>
      <c r="D2590" s="3" t="s">
        <v>3618</v>
      </c>
      <c r="E2590" s="3" t="s">
        <v>3638</v>
      </c>
      <c r="F2590" s="3" t="s">
        <v>3941</v>
      </c>
      <c r="G2590" s="3" t="s">
        <v>3745</v>
      </c>
      <c r="H2590" s="6">
        <v>2</v>
      </c>
      <c r="I2590" s="6">
        <v>100</v>
      </c>
      <c r="J2590" s="3" t="s">
        <v>3356</v>
      </c>
      <c r="L2590" s="1" t="s">
        <v>6135</v>
      </c>
    </row>
    <row r="2591" spans="1:12">
      <c r="A2591" s="3" t="s">
        <v>4065</v>
      </c>
      <c r="C2591" s="3" t="s">
        <v>3817</v>
      </c>
      <c r="D2591" s="3" t="s">
        <v>3618</v>
      </c>
      <c r="E2591" s="3" t="s">
        <v>3638</v>
      </c>
      <c r="F2591" s="3" t="s">
        <v>4022</v>
      </c>
      <c r="G2591" s="3" t="s">
        <v>6742</v>
      </c>
      <c r="H2591" s="6">
        <v>2.8552161947333632</v>
      </c>
      <c r="I2591" s="6">
        <v>716.5</v>
      </c>
      <c r="J2591" s="3" t="s">
        <v>3356</v>
      </c>
      <c r="L2591" s="1" t="s">
        <v>6135</v>
      </c>
    </row>
    <row r="2592" spans="1:12">
      <c r="A2592" s="3" t="s">
        <v>4065</v>
      </c>
      <c r="C2592" s="3" t="s">
        <v>3817</v>
      </c>
      <c r="D2592" s="3" t="s">
        <v>3618</v>
      </c>
      <c r="E2592" s="3" t="s">
        <v>3638</v>
      </c>
      <c r="F2592" s="3" t="s">
        <v>4022</v>
      </c>
      <c r="G2592" s="3" t="s">
        <v>3317</v>
      </c>
      <c r="H2592" s="6">
        <v>2.4265112613645754</v>
      </c>
      <c r="I2592" s="6">
        <v>267</v>
      </c>
      <c r="J2592" s="3" t="s">
        <v>3356</v>
      </c>
      <c r="L2592" s="1" t="s">
        <v>6135</v>
      </c>
    </row>
    <row r="2593" spans="1:12">
      <c r="A2593" s="3" t="s">
        <v>4065</v>
      </c>
      <c r="C2593" s="3" t="s">
        <v>3817</v>
      </c>
      <c r="D2593" s="3" t="s">
        <v>3618</v>
      </c>
      <c r="E2593" s="3" t="s">
        <v>3638</v>
      </c>
      <c r="F2593" s="3" t="s">
        <v>6536</v>
      </c>
      <c r="G2593" s="3" t="s">
        <v>4307</v>
      </c>
      <c r="H2593" s="6">
        <v>1.2174839442139063</v>
      </c>
      <c r="I2593" s="6">
        <v>16.5</v>
      </c>
      <c r="J2593" s="3" t="s">
        <v>3356</v>
      </c>
      <c r="L2593" s="1" t="s">
        <v>6135</v>
      </c>
    </row>
    <row r="2594" spans="1:12">
      <c r="A2594" s="3" t="s">
        <v>4065</v>
      </c>
      <c r="C2594" s="3" t="s">
        <v>3817</v>
      </c>
      <c r="D2594" s="3" t="s">
        <v>3618</v>
      </c>
      <c r="E2594" s="3" t="s">
        <v>3638</v>
      </c>
      <c r="F2594" s="3" t="s">
        <v>4844</v>
      </c>
      <c r="G2594" s="3" t="s">
        <v>4845</v>
      </c>
      <c r="H2594" s="6">
        <v>1.5440680443502757</v>
      </c>
      <c r="I2594" s="6">
        <v>35</v>
      </c>
      <c r="J2594" s="3" t="s">
        <v>3356</v>
      </c>
      <c r="L2594" s="1" t="s">
        <v>6135</v>
      </c>
    </row>
    <row r="2595" spans="1:12">
      <c r="A2595" s="3" t="s">
        <v>4065</v>
      </c>
      <c r="C2595" s="3" t="s">
        <v>3817</v>
      </c>
      <c r="D2595" s="3" t="s">
        <v>3618</v>
      </c>
      <c r="E2595" s="3" t="s">
        <v>3638</v>
      </c>
      <c r="F2595" s="3" t="s">
        <v>4844</v>
      </c>
      <c r="G2595" s="3" t="s">
        <v>8073</v>
      </c>
      <c r="H2595" s="6">
        <v>2</v>
      </c>
      <c r="I2595" s="6">
        <v>100</v>
      </c>
      <c r="J2595" s="3" t="s">
        <v>3356</v>
      </c>
      <c r="L2595" s="1" t="s">
        <v>6135</v>
      </c>
    </row>
    <row r="2596" spans="1:12">
      <c r="A2596" s="3" t="s">
        <v>4065</v>
      </c>
      <c r="C2596" s="3" t="s">
        <v>3817</v>
      </c>
      <c r="D2596" s="3" t="s">
        <v>3618</v>
      </c>
      <c r="E2596" s="3" t="s">
        <v>3638</v>
      </c>
      <c r="F2596" s="3" t="s">
        <v>4844</v>
      </c>
      <c r="G2596" s="3" t="s">
        <v>7643</v>
      </c>
      <c r="H2596" s="6">
        <v>1.5910646070264991</v>
      </c>
      <c r="I2596" s="6">
        <v>39</v>
      </c>
      <c r="J2596" s="3" t="s">
        <v>3356</v>
      </c>
      <c r="L2596" s="1" t="s">
        <v>6135</v>
      </c>
    </row>
    <row r="2597" spans="1:12">
      <c r="A2597" s="3" t="s">
        <v>4065</v>
      </c>
      <c r="C2597" s="3" t="s">
        <v>3817</v>
      </c>
      <c r="D2597" s="3" t="s">
        <v>3618</v>
      </c>
      <c r="E2597" s="3" t="s">
        <v>3638</v>
      </c>
      <c r="F2597" s="3" t="s">
        <v>4844</v>
      </c>
      <c r="G2597" s="3" t="s">
        <v>4846</v>
      </c>
      <c r="H2597" s="6">
        <v>1.5440680443502757</v>
      </c>
      <c r="I2597" s="6">
        <v>35</v>
      </c>
      <c r="J2597" s="3" t="s">
        <v>3356</v>
      </c>
      <c r="L2597" s="1" t="s">
        <v>6135</v>
      </c>
    </row>
    <row r="2598" spans="1:12">
      <c r="A2598" s="3" t="s">
        <v>4065</v>
      </c>
      <c r="C2598" s="3" t="s">
        <v>3817</v>
      </c>
      <c r="D2598" s="3" t="s">
        <v>3618</v>
      </c>
      <c r="E2598" s="3" t="s">
        <v>3638</v>
      </c>
      <c r="F2598" s="3" t="s">
        <v>4844</v>
      </c>
      <c r="G2598" s="3" t="s">
        <v>4847</v>
      </c>
      <c r="H2598" s="6">
        <v>1.5440680443502757</v>
      </c>
      <c r="I2598" s="6">
        <v>35</v>
      </c>
      <c r="J2598" s="3" t="s">
        <v>3356</v>
      </c>
      <c r="L2598" s="1" t="s">
        <v>6135</v>
      </c>
    </row>
    <row r="2599" spans="1:12">
      <c r="A2599" s="3" t="s">
        <v>4065</v>
      </c>
      <c r="C2599" s="3" t="s">
        <v>3817</v>
      </c>
      <c r="D2599" s="3" t="s">
        <v>3618</v>
      </c>
      <c r="E2599" s="3" t="s">
        <v>3638</v>
      </c>
      <c r="F2599" s="3" t="s">
        <v>4844</v>
      </c>
      <c r="G2599" s="3" t="s">
        <v>3295</v>
      </c>
      <c r="H2599" s="6">
        <v>2</v>
      </c>
      <c r="I2599" s="6">
        <v>100</v>
      </c>
      <c r="J2599" s="3" t="s">
        <v>3356</v>
      </c>
      <c r="L2599" s="1" t="s">
        <v>6135</v>
      </c>
    </row>
    <row r="2600" spans="1:12">
      <c r="A2600" s="3" t="s">
        <v>4065</v>
      </c>
      <c r="C2600" s="3" t="s">
        <v>3817</v>
      </c>
      <c r="D2600" s="3" t="s">
        <v>3618</v>
      </c>
      <c r="E2600" s="3" t="s">
        <v>3638</v>
      </c>
      <c r="F2600" s="3" t="s">
        <v>4844</v>
      </c>
      <c r="G2600" s="3" t="s">
        <v>3736</v>
      </c>
      <c r="H2600" s="6">
        <v>1.7160033436347992</v>
      </c>
      <c r="I2600" s="6">
        <v>52</v>
      </c>
      <c r="J2600" s="3" t="s">
        <v>3356</v>
      </c>
      <c r="L2600" s="1" t="s">
        <v>6135</v>
      </c>
    </row>
    <row r="2601" spans="1:12">
      <c r="A2601" s="3" t="s">
        <v>4065</v>
      </c>
      <c r="C2601" s="3" t="s">
        <v>3817</v>
      </c>
      <c r="D2601" s="3" t="s">
        <v>3618</v>
      </c>
      <c r="E2601" s="3" t="s">
        <v>3638</v>
      </c>
      <c r="F2601" s="3" t="s">
        <v>4844</v>
      </c>
      <c r="G2601" s="3" t="s">
        <v>6743</v>
      </c>
      <c r="H2601" s="6">
        <v>1.4771212547196624</v>
      </c>
      <c r="I2601" s="6">
        <v>30</v>
      </c>
      <c r="J2601" s="3" t="s">
        <v>3922</v>
      </c>
      <c r="L2601" s="1" t="s">
        <v>6135</v>
      </c>
    </row>
    <row r="2602" spans="1:12">
      <c r="A2602" s="3" t="s">
        <v>4065</v>
      </c>
      <c r="C2602" s="3" t="s">
        <v>3817</v>
      </c>
      <c r="D2602" s="3" t="s">
        <v>3618</v>
      </c>
      <c r="E2602" s="3" t="s">
        <v>3638</v>
      </c>
      <c r="F2602" s="3" t="s">
        <v>4177</v>
      </c>
      <c r="G2602" s="3" t="s">
        <v>2349</v>
      </c>
      <c r="H2602" s="6">
        <v>1.7993405494535817</v>
      </c>
      <c r="I2602" s="6">
        <v>63</v>
      </c>
      <c r="J2602" s="3" t="s">
        <v>3356</v>
      </c>
      <c r="L2602" s="1" t="s">
        <v>6135</v>
      </c>
    </row>
    <row r="2603" spans="1:12">
      <c r="A2603" s="3" t="s">
        <v>4065</v>
      </c>
      <c r="C2603" s="3" t="s">
        <v>3817</v>
      </c>
      <c r="D2603" s="3" t="s">
        <v>3618</v>
      </c>
      <c r="E2603" s="3" t="s">
        <v>3638</v>
      </c>
      <c r="F2603" s="3" t="s">
        <v>7414</v>
      </c>
      <c r="G2603" s="3" t="s">
        <v>2206</v>
      </c>
      <c r="H2603" s="6">
        <v>1.4842998393467859</v>
      </c>
      <c r="I2603" s="6">
        <v>30.5</v>
      </c>
      <c r="J2603" s="3" t="s">
        <v>3356</v>
      </c>
      <c r="L2603" s="1" t="s">
        <v>6135</v>
      </c>
    </row>
    <row r="2604" spans="1:12">
      <c r="A2604" s="3" t="s">
        <v>4065</v>
      </c>
      <c r="C2604" s="3" t="s">
        <v>3817</v>
      </c>
      <c r="D2604" s="3" t="s">
        <v>3618</v>
      </c>
      <c r="E2604" s="3" t="s">
        <v>3638</v>
      </c>
      <c r="F2604" s="3" t="s">
        <v>7414</v>
      </c>
      <c r="G2604" s="3" t="s">
        <v>4664</v>
      </c>
      <c r="H2604" s="6">
        <v>1.3010299956639813</v>
      </c>
      <c r="I2604" s="6">
        <v>20</v>
      </c>
      <c r="J2604" s="3" t="s">
        <v>3356</v>
      </c>
      <c r="L2604" s="1" t="s">
        <v>6135</v>
      </c>
    </row>
    <row r="2605" spans="1:12">
      <c r="A2605" s="3" t="s">
        <v>4065</v>
      </c>
      <c r="C2605" s="3" t="s">
        <v>3817</v>
      </c>
      <c r="D2605" s="3" t="s">
        <v>3618</v>
      </c>
      <c r="E2605" s="3" t="s">
        <v>3638</v>
      </c>
      <c r="F2605" s="3" t="s">
        <v>7414</v>
      </c>
      <c r="G2605" s="3" t="s">
        <v>3789</v>
      </c>
      <c r="H2605" s="6">
        <v>1.8129133566428555</v>
      </c>
      <c r="I2605" s="6">
        <v>65</v>
      </c>
      <c r="J2605" s="3" t="s">
        <v>3356</v>
      </c>
      <c r="L2605" s="1" t="s">
        <v>6135</v>
      </c>
    </row>
    <row r="2606" spans="1:12">
      <c r="A2606" s="3" t="s">
        <v>4065</v>
      </c>
      <c r="C2606" s="3" t="s">
        <v>3817</v>
      </c>
      <c r="D2606" s="3" t="s">
        <v>3618</v>
      </c>
      <c r="E2606" s="3" t="s">
        <v>3638</v>
      </c>
      <c r="F2606" s="3" t="s">
        <v>7414</v>
      </c>
      <c r="G2606" s="3" t="s">
        <v>3326</v>
      </c>
      <c r="H2606" s="6">
        <v>1.1903316981702914</v>
      </c>
      <c r="I2606" s="6">
        <v>15.5</v>
      </c>
      <c r="J2606" s="3" t="s">
        <v>3356</v>
      </c>
      <c r="L2606" s="1" t="s">
        <v>6135</v>
      </c>
    </row>
    <row r="2607" spans="1:12">
      <c r="A2607" s="3" t="s">
        <v>4065</v>
      </c>
      <c r="C2607" s="3" t="s">
        <v>3817</v>
      </c>
      <c r="D2607" s="3" t="s">
        <v>3618</v>
      </c>
      <c r="E2607" s="3" t="s">
        <v>3638</v>
      </c>
      <c r="F2607" s="3" t="s">
        <v>7414</v>
      </c>
      <c r="G2607" s="3" t="s">
        <v>7637</v>
      </c>
      <c r="H2607" s="6">
        <v>1.0791812460476249</v>
      </c>
      <c r="I2607" s="6">
        <v>12</v>
      </c>
      <c r="J2607" s="3" t="s">
        <v>3356</v>
      </c>
      <c r="L2607" s="1" t="s">
        <v>6135</v>
      </c>
    </row>
    <row r="2608" spans="1:12">
      <c r="A2608" s="3" t="s">
        <v>4065</v>
      </c>
      <c r="C2608" s="3" t="s">
        <v>3817</v>
      </c>
      <c r="D2608" s="3" t="s">
        <v>3618</v>
      </c>
      <c r="E2608" s="3" t="s">
        <v>3638</v>
      </c>
      <c r="F2608" s="3" t="s">
        <v>7414</v>
      </c>
      <c r="G2608" s="3" t="s">
        <v>7415</v>
      </c>
      <c r="H2608" s="6">
        <v>1.0413926851582251</v>
      </c>
      <c r="I2608" s="6">
        <v>11</v>
      </c>
      <c r="J2608" s="3" t="s">
        <v>3356</v>
      </c>
      <c r="L2608" s="1" t="s">
        <v>6135</v>
      </c>
    </row>
    <row r="2609" spans="1:12">
      <c r="A2609" s="3" t="s">
        <v>4065</v>
      </c>
      <c r="C2609" s="3" t="s">
        <v>3817</v>
      </c>
      <c r="D2609" s="3" t="s">
        <v>3618</v>
      </c>
      <c r="E2609" s="3" t="s">
        <v>3638</v>
      </c>
      <c r="F2609" s="3" t="s">
        <v>7414</v>
      </c>
      <c r="G2609" s="3" t="s">
        <v>7641</v>
      </c>
      <c r="H2609" s="6">
        <v>1.3979400086720377</v>
      </c>
      <c r="I2609" s="6">
        <v>25</v>
      </c>
      <c r="J2609" s="3" t="s">
        <v>3356</v>
      </c>
      <c r="L2609" s="1" t="s">
        <v>6135</v>
      </c>
    </row>
    <row r="2610" spans="1:12">
      <c r="A2610" s="3" t="s">
        <v>4065</v>
      </c>
      <c r="C2610" s="3" t="s">
        <v>3817</v>
      </c>
      <c r="D2610" s="3" t="s">
        <v>3618</v>
      </c>
      <c r="E2610" s="3" t="s">
        <v>3638</v>
      </c>
      <c r="F2610" s="3" t="s">
        <v>7414</v>
      </c>
      <c r="G2610" s="3" t="s">
        <v>3735</v>
      </c>
      <c r="H2610" s="6">
        <v>1.6532125137753437</v>
      </c>
      <c r="I2610" s="6">
        <v>45</v>
      </c>
      <c r="J2610" s="3" t="s">
        <v>3356</v>
      </c>
      <c r="L2610" s="1" t="s">
        <v>6135</v>
      </c>
    </row>
    <row r="2611" spans="1:12">
      <c r="A2611" s="3" t="s">
        <v>4065</v>
      </c>
      <c r="C2611" s="3" t="s">
        <v>3817</v>
      </c>
      <c r="D2611" s="3" t="s">
        <v>3618</v>
      </c>
      <c r="E2611" s="3" t="s">
        <v>3638</v>
      </c>
      <c r="F2611" s="3" t="s">
        <v>7414</v>
      </c>
      <c r="G2611" s="3" t="s">
        <v>2046</v>
      </c>
      <c r="H2611" s="6">
        <v>1.8450980400142569</v>
      </c>
      <c r="I2611" s="6">
        <v>70</v>
      </c>
      <c r="J2611" s="3" t="s">
        <v>3356</v>
      </c>
      <c r="L2611" s="1" t="s">
        <v>6135</v>
      </c>
    </row>
    <row r="2612" spans="1:12">
      <c r="A2612" s="3" t="s">
        <v>4065</v>
      </c>
      <c r="C2612" s="3" t="s">
        <v>3817</v>
      </c>
      <c r="D2612" s="3" t="s">
        <v>3618</v>
      </c>
      <c r="E2612" s="3" t="s">
        <v>3638</v>
      </c>
      <c r="F2612" s="3" t="s">
        <v>7414</v>
      </c>
      <c r="G2612" s="3" t="s">
        <v>4847</v>
      </c>
      <c r="H2612" s="6">
        <v>2.0863598306747484</v>
      </c>
      <c r="I2612" s="6">
        <v>122</v>
      </c>
      <c r="J2612" s="3" t="s">
        <v>3356</v>
      </c>
      <c r="L2612" s="1" t="s">
        <v>6135</v>
      </c>
    </row>
    <row r="2613" spans="1:12">
      <c r="A2613" s="3" t="s">
        <v>4065</v>
      </c>
      <c r="C2613" s="3" t="s">
        <v>3817</v>
      </c>
      <c r="D2613" s="3" t="s">
        <v>3618</v>
      </c>
      <c r="E2613" s="3" t="s">
        <v>3638</v>
      </c>
      <c r="F2613" s="3" t="s">
        <v>7414</v>
      </c>
      <c r="G2613" s="3" t="s">
        <v>3943</v>
      </c>
      <c r="H2613" s="6">
        <v>1.8736111969964673</v>
      </c>
      <c r="I2613" s="6">
        <v>74.75</v>
      </c>
      <c r="J2613" s="3" t="s">
        <v>3356</v>
      </c>
      <c r="L2613" s="1" t="s">
        <v>6135</v>
      </c>
    </row>
    <row r="2614" spans="1:12">
      <c r="A2614" s="3" t="s">
        <v>4065</v>
      </c>
      <c r="C2614" s="3" t="s">
        <v>3817</v>
      </c>
      <c r="D2614" s="3" t="s">
        <v>3618</v>
      </c>
      <c r="E2614" s="3" t="s">
        <v>3638</v>
      </c>
      <c r="F2614" s="3" t="s">
        <v>7414</v>
      </c>
      <c r="G2614" s="3" t="s">
        <v>7367</v>
      </c>
      <c r="H2614" s="6">
        <v>1.0791812460476249</v>
      </c>
      <c r="I2614" s="6">
        <v>12</v>
      </c>
      <c r="J2614" s="3" t="s">
        <v>3356</v>
      </c>
      <c r="L2614" s="1" t="s">
        <v>6135</v>
      </c>
    </row>
    <row r="2615" spans="1:12">
      <c r="A2615" s="3" t="s">
        <v>4065</v>
      </c>
      <c r="C2615" s="3" t="s">
        <v>3817</v>
      </c>
      <c r="D2615" s="3" t="s">
        <v>3618</v>
      </c>
      <c r="E2615" s="3" t="s">
        <v>3638</v>
      </c>
      <c r="F2615" s="3" t="s">
        <v>7414</v>
      </c>
      <c r="G2615" s="3" t="s">
        <v>4027</v>
      </c>
      <c r="H2615" s="6">
        <v>1.8260748027008264</v>
      </c>
      <c r="I2615" s="6">
        <v>67</v>
      </c>
      <c r="J2615" s="3" t="s">
        <v>3356</v>
      </c>
      <c r="L2615" s="1" t="s">
        <v>6135</v>
      </c>
    </row>
    <row r="2616" spans="1:12">
      <c r="A2616" s="3" t="s">
        <v>4065</v>
      </c>
      <c r="C2616" s="3" t="s">
        <v>3817</v>
      </c>
      <c r="D2616" s="3" t="s">
        <v>3618</v>
      </c>
      <c r="E2616" s="3" t="s">
        <v>3638</v>
      </c>
      <c r="F2616" s="3" t="s">
        <v>7414</v>
      </c>
      <c r="G2616" s="3" t="s">
        <v>3728</v>
      </c>
      <c r="H2616" s="6">
        <v>1.0791812460476249</v>
      </c>
      <c r="I2616" s="6">
        <v>12</v>
      </c>
      <c r="J2616" s="3" t="s">
        <v>3356</v>
      </c>
      <c r="L2616" s="1" t="s">
        <v>6135</v>
      </c>
    </row>
    <row r="2617" spans="1:12">
      <c r="A2617" s="3" t="s">
        <v>4065</v>
      </c>
      <c r="C2617" s="3" t="s">
        <v>3817</v>
      </c>
      <c r="D2617" s="3" t="s">
        <v>3618</v>
      </c>
      <c r="E2617" s="3" t="s">
        <v>3638</v>
      </c>
      <c r="F2617" s="3" t="s">
        <v>7414</v>
      </c>
      <c r="G2617" s="3" t="s">
        <v>3325</v>
      </c>
      <c r="H2617" s="6">
        <v>1.0791812460476249</v>
      </c>
      <c r="I2617" s="6">
        <v>12</v>
      </c>
      <c r="J2617" s="3" t="s">
        <v>3356</v>
      </c>
      <c r="L2617" s="1" t="s">
        <v>6135</v>
      </c>
    </row>
    <row r="2618" spans="1:12">
      <c r="A2618" s="3" t="s">
        <v>4065</v>
      </c>
      <c r="C2618" s="3" t="s">
        <v>3817</v>
      </c>
      <c r="D2618" s="3" t="s">
        <v>3618</v>
      </c>
      <c r="E2618" s="3" t="s">
        <v>3638</v>
      </c>
      <c r="F2618" s="3" t="s">
        <v>7414</v>
      </c>
      <c r="G2618" s="3" t="s">
        <v>2177</v>
      </c>
      <c r="H2618" s="6">
        <v>1.5314789170422551</v>
      </c>
      <c r="I2618" s="6">
        <v>34</v>
      </c>
      <c r="J2618" s="3" t="s">
        <v>3356</v>
      </c>
      <c r="L2618" s="1" t="s">
        <v>6135</v>
      </c>
    </row>
    <row r="2619" spans="1:12">
      <c r="A2619" s="3" t="s">
        <v>4065</v>
      </c>
      <c r="C2619" s="3" t="s">
        <v>3817</v>
      </c>
      <c r="D2619" s="3" t="s">
        <v>3618</v>
      </c>
      <c r="E2619" s="3" t="s">
        <v>3638</v>
      </c>
      <c r="F2619" s="3" t="s">
        <v>7414</v>
      </c>
      <c r="G2619" s="3" t="s">
        <v>4663</v>
      </c>
      <c r="H2619" s="6">
        <v>1.3010299956639813</v>
      </c>
      <c r="I2619" s="6">
        <v>20</v>
      </c>
      <c r="J2619" s="3" t="s">
        <v>3356</v>
      </c>
      <c r="L2619" s="1" t="s">
        <v>6135</v>
      </c>
    </row>
    <row r="2620" spans="1:12">
      <c r="A2620" s="3" t="s">
        <v>4065</v>
      </c>
      <c r="C2620" s="3" t="s">
        <v>3817</v>
      </c>
      <c r="D2620" s="3" t="s">
        <v>3618</v>
      </c>
      <c r="E2620" s="3" t="s">
        <v>3638</v>
      </c>
      <c r="F2620" s="3" t="s">
        <v>7414</v>
      </c>
      <c r="G2620" s="3" t="s">
        <v>4843</v>
      </c>
      <c r="H2620" s="6">
        <v>1.5314789170422551</v>
      </c>
      <c r="I2620" s="6">
        <v>34</v>
      </c>
      <c r="J2620" s="3" t="s">
        <v>3356</v>
      </c>
      <c r="L2620" s="1" t="s">
        <v>6135</v>
      </c>
    </row>
    <row r="2621" spans="1:12">
      <c r="A2621" s="3" t="s">
        <v>4065</v>
      </c>
      <c r="C2621" s="3" t="s">
        <v>3817</v>
      </c>
      <c r="D2621" s="3" t="s">
        <v>3618</v>
      </c>
      <c r="E2621" s="3" t="s">
        <v>3638</v>
      </c>
      <c r="F2621" s="3" t="s">
        <v>7414</v>
      </c>
      <c r="G2621" s="3" t="s">
        <v>3743</v>
      </c>
      <c r="H2621" s="6">
        <v>1.9777236052888478</v>
      </c>
      <c r="I2621" s="6">
        <v>95</v>
      </c>
      <c r="J2621" s="3" t="s">
        <v>3356</v>
      </c>
      <c r="L2621" s="1" t="s">
        <v>6135</v>
      </c>
    </row>
    <row r="2622" spans="1:12">
      <c r="A2622" s="3" t="s">
        <v>4065</v>
      </c>
      <c r="C2622" s="3" t="s">
        <v>3817</v>
      </c>
      <c r="D2622" s="3" t="s">
        <v>3618</v>
      </c>
      <c r="E2622" s="3" t="s">
        <v>3638</v>
      </c>
      <c r="F2622" s="3" t="s">
        <v>7414</v>
      </c>
      <c r="G2622" s="3" t="s">
        <v>7372</v>
      </c>
      <c r="H2622" s="6">
        <v>1.0413926851582251</v>
      </c>
      <c r="I2622" s="6">
        <v>11</v>
      </c>
      <c r="J2622" s="3" t="s">
        <v>3356</v>
      </c>
      <c r="L2622" s="1" t="s">
        <v>6135</v>
      </c>
    </row>
    <row r="2623" spans="1:12">
      <c r="A2623" s="3" t="s">
        <v>4065</v>
      </c>
      <c r="C2623" s="3" t="s">
        <v>3817</v>
      </c>
      <c r="D2623" s="3" t="s">
        <v>3618</v>
      </c>
      <c r="E2623" s="3" t="s">
        <v>3638</v>
      </c>
      <c r="F2623" s="3" t="s">
        <v>7414</v>
      </c>
      <c r="G2623" s="3" t="s">
        <v>3430</v>
      </c>
      <c r="H2623" s="6">
        <v>1.8450980400142569</v>
      </c>
      <c r="I2623" s="6">
        <v>70</v>
      </c>
      <c r="J2623" s="3" t="s">
        <v>3356</v>
      </c>
      <c r="L2623" s="1" t="s">
        <v>6135</v>
      </c>
    </row>
    <row r="2624" spans="1:12">
      <c r="A2624" s="3" t="s">
        <v>4065</v>
      </c>
      <c r="C2624" s="3" t="s">
        <v>3817</v>
      </c>
      <c r="D2624" s="3" t="s">
        <v>3618</v>
      </c>
      <c r="E2624" s="3" t="s">
        <v>3638</v>
      </c>
      <c r="F2624" s="3" t="s">
        <v>7644</v>
      </c>
      <c r="G2624" s="3" t="s">
        <v>3940</v>
      </c>
      <c r="H2624" s="6">
        <v>1.7853298350107671</v>
      </c>
      <c r="I2624" s="6">
        <v>61</v>
      </c>
      <c r="J2624" s="3" t="s">
        <v>3356</v>
      </c>
      <c r="L2624" s="1" t="s">
        <v>6135</v>
      </c>
    </row>
    <row r="2625" spans="1:12">
      <c r="A2625" s="3" t="s">
        <v>4065</v>
      </c>
      <c r="C2625" s="3" t="s">
        <v>3817</v>
      </c>
      <c r="D2625" s="3" t="s">
        <v>3618</v>
      </c>
      <c r="E2625" s="3" t="s">
        <v>3638</v>
      </c>
      <c r="F2625" s="3" t="s">
        <v>7644</v>
      </c>
      <c r="G2625" s="3" t="s">
        <v>7524</v>
      </c>
      <c r="H2625" s="6">
        <v>1.6020599913279623</v>
      </c>
      <c r="I2625" s="6">
        <v>40</v>
      </c>
      <c r="J2625" s="3" t="s">
        <v>3356</v>
      </c>
      <c r="L2625" s="1" t="s">
        <v>6135</v>
      </c>
    </row>
    <row r="2626" spans="1:12">
      <c r="A2626" s="3" t="s">
        <v>4065</v>
      </c>
      <c r="C2626" s="3" t="s">
        <v>3817</v>
      </c>
      <c r="D2626" s="3" t="s">
        <v>3618</v>
      </c>
      <c r="E2626" s="3" t="s">
        <v>3638</v>
      </c>
      <c r="F2626" s="3" t="s">
        <v>7644</v>
      </c>
      <c r="G2626" s="3" t="s">
        <v>4263</v>
      </c>
      <c r="H2626" s="6">
        <v>2.1238516409670858</v>
      </c>
      <c r="I2626" s="6">
        <v>133</v>
      </c>
      <c r="J2626" s="3" t="s">
        <v>3356</v>
      </c>
      <c r="L2626" s="1" t="s">
        <v>6135</v>
      </c>
    </row>
    <row r="2627" spans="1:12">
      <c r="A2627" s="3" t="s">
        <v>4065</v>
      </c>
      <c r="C2627" s="3" t="s">
        <v>3817</v>
      </c>
      <c r="D2627" s="3" t="s">
        <v>3618</v>
      </c>
      <c r="E2627" s="3" t="s">
        <v>3638</v>
      </c>
      <c r="F2627" s="3" t="s">
        <v>7644</v>
      </c>
      <c r="G2627" s="3" t="s">
        <v>7491</v>
      </c>
      <c r="H2627" s="6">
        <v>2.12057393120585</v>
      </c>
      <c r="I2627" s="6">
        <v>132</v>
      </c>
      <c r="J2627" s="3" t="s">
        <v>3356</v>
      </c>
      <c r="L2627" s="1" t="s">
        <v>6135</v>
      </c>
    </row>
    <row r="2628" spans="1:12">
      <c r="A2628" s="3" t="s">
        <v>4065</v>
      </c>
      <c r="C2628" s="3" t="s">
        <v>3817</v>
      </c>
      <c r="D2628" s="3" t="s">
        <v>3618</v>
      </c>
      <c r="E2628" s="3" t="s">
        <v>3638</v>
      </c>
      <c r="F2628" s="3" t="s">
        <v>7644</v>
      </c>
      <c r="G2628" s="3" t="s">
        <v>7330</v>
      </c>
      <c r="H2628" s="6">
        <v>2.0253058652647704</v>
      </c>
      <c r="I2628" s="6">
        <v>106</v>
      </c>
      <c r="J2628" s="3" t="s">
        <v>3356</v>
      </c>
      <c r="L2628" s="1" t="s">
        <v>6135</v>
      </c>
    </row>
    <row r="2629" spans="1:12">
      <c r="A2629" s="3" t="s">
        <v>4065</v>
      </c>
      <c r="C2629" s="3" t="s">
        <v>3817</v>
      </c>
      <c r="D2629" s="3" t="s">
        <v>3618</v>
      </c>
      <c r="E2629" s="3" t="s">
        <v>3638</v>
      </c>
      <c r="F2629" s="3" t="s">
        <v>7644</v>
      </c>
      <c r="G2629" s="3" t="s">
        <v>4015</v>
      </c>
      <c r="H2629" s="6">
        <v>2.5051499783199058</v>
      </c>
      <c r="I2629" s="6">
        <v>320</v>
      </c>
      <c r="J2629" s="3" t="s">
        <v>3356</v>
      </c>
      <c r="L2629" s="1" t="s">
        <v>6135</v>
      </c>
    </row>
    <row r="2630" spans="1:12">
      <c r="A2630" s="3" t="s">
        <v>4065</v>
      </c>
      <c r="C2630" s="3" t="s">
        <v>3817</v>
      </c>
      <c r="D2630" s="3" t="s">
        <v>3618</v>
      </c>
      <c r="E2630" s="3" t="s">
        <v>3638</v>
      </c>
      <c r="F2630" s="3" t="s">
        <v>7644</v>
      </c>
      <c r="G2630" s="3" t="s">
        <v>4023</v>
      </c>
      <c r="H2630" s="6">
        <v>2.4471580313422194</v>
      </c>
      <c r="I2630" s="6">
        <v>280</v>
      </c>
      <c r="J2630" s="3" t="s">
        <v>3356</v>
      </c>
      <c r="L2630" s="1" t="s">
        <v>6135</v>
      </c>
    </row>
    <row r="2631" spans="1:12">
      <c r="A2631" s="3" t="s">
        <v>4065</v>
      </c>
      <c r="C2631" s="3" t="s">
        <v>3817</v>
      </c>
      <c r="D2631" s="3" t="s">
        <v>3618</v>
      </c>
      <c r="E2631" s="3" t="s">
        <v>3638</v>
      </c>
      <c r="F2631" s="3" t="s">
        <v>7644</v>
      </c>
      <c r="G2631" s="3" t="s">
        <v>6734</v>
      </c>
      <c r="H2631" s="6">
        <v>2.1972805581256192</v>
      </c>
      <c r="I2631" s="6">
        <v>157.5</v>
      </c>
      <c r="J2631" s="3" t="s">
        <v>3356</v>
      </c>
      <c r="L2631" s="1" t="s">
        <v>6135</v>
      </c>
    </row>
    <row r="2632" spans="1:12">
      <c r="A2632" s="3" t="s">
        <v>4065</v>
      </c>
      <c r="C2632" s="3" t="s">
        <v>3817</v>
      </c>
      <c r="D2632" s="3" t="s">
        <v>3618</v>
      </c>
      <c r="E2632" s="3" t="s">
        <v>3638</v>
      </c>
      <c r="F2632" s="3" t="s">
        <v>7644</v>
      </c>
      <c r="G2632" s="3" t="s">
        <v>4024</v>
      </c>
      <c r="H2632" s="6">
        <v>2.0934216851622351</v>
      </c>
      <c r="I2632" s="6">
        <v>124</v>
      </c>
      <c r="J2632" s="3" t="s">
        <v>3356</v>
      </c>
      <c r="L2632" s="1" t="s">
        <v>6135</v>
      </c>
    </row>
    <row r="2633" spans="1:12">
      <c r="A2633" s="3" t="s">
        <v>4065</v>
      </c>
      <c r="C2633" s="3" t="s">
        <v>3817</v>
      </c>
      <c r="D2633" s="3" t="s">
        <v>3618</v>
      </c>
      <c r="E2633" s="3" t="s">
        <v>3638</v>
      </c>
      <c r="F2633" s="3" t="s">
        <v>7644</v>
      </c>
      <c r="G2633" s="3" t="s">
        <v>3561</v>
      </c>
      <c r="H2633" s="6">
        <v>2.1271047983648077</v>
      </c>
      <c r="I2633" s="6">
        <v>134</v>
      </c>
      <c r="J2633" s="3" t="s">
        <v>3356</v>
      </c>
      <c r="L2633" s="1" t="s">
        <v>6135</v>
      </c>
    </row>
    <row r="2634" spans="1:12">
      <c r="A2634" s="3" t="s">
        <v>4065</v>
      </c>
      <c r="C2634" s="3" t="s">
        <v>3817</v>
      </c>
      <c r="D2634" s="3" t="s">
        <v>3618</v>
      </c>
      <c r="E2634" s="3" t="s">
        <v>3638</v>
      </c>
      <c r="F2634" s="3" t="s">
        <v>3738</v>
      </c>
      <c r="G2634" s="3" t="s">
        <v>6741</v>
      </c>
      <c r="H2634" s="6">
        <v>2.8102325179950842</v>
      </c>
      <c r="I2634" s="6">
        <v>646</v>
      </c>
      <c r="J2634" s="3" t="s">
        <v>3356</v>
      </c>
      <c r="L2634" s="1" t="s">
        <v>6135</v>
      </c>
    </row>
    <row r="2635" spans="1:12">
      <c r="A2635" s="3" t="s">
        <v>4065</v>
      </c>
      <c r="C2635" s="3" t="s">
        <v>3817</v>
      </c>
      <c r="D2635" s="3" t="s">
        <v>3618</v>
      </c>
      <c r="E2635" s="3" t="s">
        <v>3638</v>
      </c>
      <c r="F2635" s="3" t="s">
        <v>3738</v>
      </c>
      <c r="G2635" s="3" t="s">
        <v>4021</v>
      </c>
      <c r="H2635" s="6">
        <v>2.287801729930226</v>
      </c>
      <c r="I2635" s="6">
        <v>194</v>
      </c>
      <c r="J2635" s="3" t="s">
        <v>3356</v>
      </c>
      <c r="L2635" s="1" t="s">
        <v>6135</v>
      </c>
    </row>
    <row r="2636" spans="1:12">
      <c r="A2636" s="3" t="s">
        <v>4065</v>
      </c>
      <c r="C2636" s="3" t="s">
        <v>3817</v>
      </c>
      <c r="D2636" s="3" t="s">
        <v>3618</v>
      </c>
      <c r="E2636" s="3" t="s">
        <v>3638</v>
      </c>
      <c r="F2636" s="3" t="s">
        <v>3274</v>
      </c>
      <c r="G2636" s="3" t="s">
        <v>3275</v>
      </c>
      <c r="H2636" s="6">
        <v>1.6127838567197355</v>
      </c>
      <c r="I2636" s="6">
        <v>41</v>
      </c>
      <c r="J2636" s="3" t="s">
        <v>3356</v>
      </c>
      <c r="L2636" s="1" t="s">
        <v>6135</v>
      </c>
    </row>
    <row r="2637" spans="1:12">
      <c r="A2637" s="3" t="s">
        <v>4065</v>
      </c>
      <c r="C2637" s="3" t="s">
        <v>3817</v>
      </c>
      <c r="D2637" s="3" t="s">
        <v>3618</v>
      </c>
      <c r="E2637" s="3" t="s">
        <v>3638</v>
      </c>
      <c r="F2637" s="3" t="s">
        <v>7638</v>
      </c>
      <c r="G2637" s="3" t="s">
        <v>7642</v>
      </c>
      <c r="H2637" s="6">
        <v>1.5563025007672873</v>
      </c>
      <c r="I2637" s="6">
        <v>36</v>
      </c>
      <c r="J2637" s="3" t="s">
        <v>3356</v>
      </c>
      <c r="L2637" s="1" t="s">
        <v>6135</v>
      </c>
    </row>
    <row r="2638" spans="1:12">
      <c r="A2638" s="3" t="s">
        <v>4065</v>
      </c>
      <c r="C2638" s="3" t="s">
        <v>3817</v>
      </c>
      <c r="D2638" s="3" t="s">
        <v>3618</v>
      </c>
      <c r="E2638" s="3" t="s">
        <v>3638</v>
      </c>
      <c r="F2638" s="3" t="s">
        <v>7638</v>
      </c>
      <c r="G2638" s="3" t="s">
        <v>3742</v>
      </c>
      <c r="H2638" s="6">
        <v>1.9731278535996986</v>
      </c>
      <c r="I2638" s="6">
        <v>94</v>
      </c>
      <c r="J2638" s="3" t="s">
        <v>3356</v>
      </c>
      <c r="L2638" s="1" t="s">
        <v>6135</v>
      </c>
    </row>
    <row r="2639" spans="1:12">
      <c r="A2639" s="3" t="s">
        <v>4065</v>
      </c>
      <c r="C2639" s="3" t="s">
        <v>3817</v>
      </c>
      <c r="D2639" s="3" t="s">
        <v>3618</v>
      </c>
      <c r="E2639" s="3" t="s">
        <v>3638</v>
      </c>
      <c r="F2639" s="3" t="s">
        <v>7638</v>
      </c>
      <c r="G2639" s="3" t="s">
        <v>3562</v>
      </c>
      <c r="H2639" s="6">
        <v>2.0899051114393981</v>
      </c>
      <c r="I2639" s="6">
        <v>123</v>
      </c>
      <c r="J2639" s="3" t="s">
        <v>3356</v>
      </c>
      <c r="L2639" s="1" t="s">
        <v>6135</v>
      </c>
    </row>
    <row r="2640" spans="1:12">
      <c r="A2640" s="3" t="s">
        <v>4065</v>
      </c>
      <c r="C2640" s="3" t="s">
        <v>3817</v>
      </c>
      <c r="D2640" s="3" t="s">
        <v>3618</v>
      </c>
      <c r="E2640" s="3" t="s">
        <v>3638</v>
      </c>
      <c r="F2640" s="3" t="s">
        <v>7638</v>
      </c>
      <c r="G2640" s="3" t="s">
        <v>4030</v>
      </c>
      <c r="H2640" s="6">
        <v>2</v>
      </c>
      <c r="I2640" s="6">
        <v>100</v>
      </c>
      <c r="J2640" s="3" t="s">
        <v>3922</v>
      </c>
      <c r="L2640" s="1" t="s">
        <v>6135</v>
      </c>
    </row>
    <row r="2641" spans="1:12">
      <c r="A2641" s="3" t="s">
        <v>4065</v>
      </c>
      <c r="C2641" s="3" t="s">
        <v>3817</v>
      </c>
      <c r="D2641" s="3" t="s">
        <v>3618</v>
      </c>
      <c r="E2641" s="3" t="s">
        <v>3638</v>
      </c>
      <c r="F2641" s="3" t="s">
        <v>7638</v>
      </c>
      <c r="G2641" s="3" t="s">
        <v>6735</v>
      </c>
      <c r="H2641" s="6">
        <v>2.1335389083702174</v>
      </c>
      <c r="I2641" s="6">
        <v>136</v>
      </c>
      <c r="J2641" s="3" t="s">
        <v>3356</v>
      </c>
      <c r="L2641" s="1" t="s">
        <v>6135</v>
      </c>
    </row>
    <row r="2642" spans="1:12">
      <c r="A2642" s="3" t="s">
        <v>4065</v>
      </c>
      <c r="C2642" s="3" t="s">
        <v>3817</v>
      </c>
      <c r="D2642" s="3" t="s">
        <v>7361</v>
      </c>
      <c r="E2642" s="3" t="s">
        <v>7993</v>
      </c>
      <c r="F2642" s="3" t="s">
        <v>7994</v>
      </c>
      <c r="G2642" s="3" t="s">
        <v>7995</v>
      </c>
      <c r="H2642" s="6">
        <v>5.6232492903979008</v>
      </c>
      <c r="I2642" s="6">
        <v>420000</v>
      </c>
      <c r="J2642" s="3" t="s">
        <v>3356</v>
      </c>
      <c r="L2642" s="1" t="s">
        <v>6135</v>
      </c>
    </row>
    <row r="2643" spans="1:12">
      <c r="A2643" s="3" t="s">
        <v>3816</v>
      </c>
      <c r="C2643" s="3" t="s">
        <v>3817</v>
      </c>
      <c r="D2643" s="3" t="s">
        <v>3001</v>
      </c>
      <c r="E2643" s="3" t="s">
        <v>3197</v>
      </c>
      <c r="F2643" s="3" t="s">
        <v>3198</v>
      </c>
      <c r="G2643" s="3" t="s">
        <v>3355</v>
      </c>
      <c r="H2643" s="6">
        <v>4.6635400000000002</v>
      </c>
      <c r="I2643" s="6">
        <v>46082.921067455376</v>
      </c>
      <c r="J2643" s="3" t="s">
        <v>3356</v>
      </c>
      <c r="L2643" s="1" t="s">
        <v>6135</v>
      </c>
    </row>
    <row r="2644" spans="1:12">
      <c r="A2644" s="3" t="s">
        <v>3816</v>
      </c>
      <c r="C2644" s="3" t="s">
        <v>3817</v>
      </c>
      <c r="D2644" s="3" t="s">
        <v>3001</v>
      </c>
      <c r="E2644" s="3" t="s">
        <v>3358</v>
      </c>
      <c r="F2644" s="3" t="s">
        <v>7458</v>
      </c>
      <c r="G2644" s="3" t="s">
        <v>7459</v>
      </c>
      <c r="H2644" s="6">
        <v>5.7628700000000004</v>
      </c>
      <c r="I2644" s="6">
        <v>579255.2784790505</v>
      </c>
      <c r="J2644" s="3" t="s">
        <v>3356</v>
      </c>
      <c r="L2644" s="1" t="s">
        <v>6135</v>
      </c>
    </row>
    <row r="2645" spans="1:12">
      <c r="A2645" s="3" t="s">
        <v>3816</v>
      </c>
      <c r="C2645" s="3" t="s">
        <v>3817</v>
      </c>
      <c r="D2645" s="3" t="s">
        <v>3001</v>
      </c>
      <c r="E2645" s="3" t="s">
        <v>3358</v>
      </c>
      <c r="F2645" s="3" t="s">
        <v>7460</v>
      </c>
      <c r="G2645" s="3" t="s">
        <v>7461</v>
      </c>
      <c r="H2645" s="6">
        <v>4.8603399999999999</v>
      </c>
      <c r="I2645" s="6">
        <v>72500.332778657481</v>
      </c>
      <c r="J2645" s="3" t="s">
        <v>3356</v>
      </c>
      <c r="L2645" s="1" t="s">
        <v>6135</v>
      </c>
    </row>
    <row r="2646" spans="1:12">
      <c r="A2646" s="3" t="s">
        <v>3816</v>
      </c>
      <c r="C2646" s="3" t="s">
        <v>3817</v>
      </c>
      <c r="D2646" s="3" t="s">
        <v>3001</v>
      </c>
      <c r="E2646" s="3" t="s">
        <v>3358</v>
      </c>
      <c r="F2646" s="3" t="s">
        <v>7462</v>
      </c>
      <c r="G2646" s="3" t="s">
        <v>7233</v>
      </c>
      <c r="H2646" s="6">
        <v>5.5664400000000001</v>
      </c>
      <c r="I2646" s="6">
        <v>368502.12788516423</v>
      </c>
      <c r="J2646" s="3" t="s">
        <v>3356</v>
      </c>
      <c r="L2646" s="1" t="s">
        <v>6135</v>
      </c>
    </row>
    <row r="2647" spans="1:12">
      <c r="A2647" s="3" t="s">
        <v>3816</v>
      </c>
      <c r="C2647" s="3" t="s">
        <v>3817</v>
      </c>
      <c r="D2647" s="3" t="s">
        <v>3001</v>
      </c>
      <c r="E2647" s="3" t="s">
        <v>3358</v>
      </c>
      <c r="F2647" s="3" t="s">
        <v>4120</v>
      </c>
      <c r="G2647" s="3" t="s">
        <v>4121</v>
      </c>
      <c r="H2647" s="6">
        <v>4.8730000000000002</v>
      </c>
      <c r="I2647" s="6">
        <v>74644.875841006782</v>
      </c>
      <c r="J2647" s="3" t="s">
        <v>3356</v>
      </c>
      <c r="L2647" s="1" t="s">
        <v>6135</v>
      </c>
    </row>
    <row r="2648" spans="1:12">
      <c r="A2648" s="3" t="s">
        <v>3816</v>
      </c>
      <c r="C2648" s="3" t="s">
        <v>3817</v>
      </c>
      <c r="D2648" s="3" t="s">
        <v>3001</v>
      </c>
      <c r="E2648" s="3" t="s">
        <v>3358</v>
      </c>
      <c r="F2648" s="3" t="s">
        <v>4120</v>
      </c>
      <c r="G2648" s="3" t="s">
        <v>7464</v>
      </c>
      <c r="H2648" s="6">
        <v>4.7454700000000001</v>
      </c>
      <c r="I2648" s="6">
        <v>55650.619084470993</v>
      </c>
      <c r="J2648" s="3" t="s">
        <v>3356</v>
      </c>
      <c r="L2648" s="1" t="s">
        <v>6135</v>
      </c>
    </row>
    <row r="2649" spans="1:12">
      <c r="A2649" s="3" t="s">
        <v>3816</v>
      </c>
      <c r="C2649" s="3" t="s">
        <v>3817</v>
      </c>
      <c r="D2649" s="3" t="s">
        <v>3001</v>
      </c>
      <c r="E2649" s="3" t="s">
        <v>3905</v>
      </c>
      <c r="F2649" s="3" t="s">
        <v>4317</v>
      </c>
      <c r="G2649" s="3" t="s">
        <v>4332</v>
      </c>
      <c r="H2649" s="6">
        <v>5.5550899999999999</v>
      </c>
      <c r="I2649" s="6">
        <v>358996.32269922015</v>
      </c>
      <c r="J2649" s="3" t="s">
        <v>3356</v>
      </c>
      <c r="L2649" s="1" t="s">
        <v>6135</v>
      </c>
    </row>
    <row r="2650" spans="1:12">
      <c r="A2650" s="3" t="s">
        <v>3816</v>
      </c>
      <c r="C2650" s="3" t="s">
        <v>3817</v>
      </c>
      <c r="D2650" s="3" t="s">
        <v>3001</v>
      </c>
      <c r="E2650" s="3" t="s">
        <v>3905</v>
      </c>
      <c r="F2650" s="3" t="s">
        <v>3906</v>
      </c>
      <c r="G2650" s="3" t="s">
        <v>3863</v>
      </c>
      <c r="H2650" s="6">
        <v>5.3379599999999998</v>
      </c>
      <c r="I2650" s="6">
        <v>217750.92071073258</v>
      </c>
      <c r="J2650" s="2"/>
      <c r="L2650" s="1" t="s">
        <v>6135</v>
      </c>
    </row>
    <row r="2651" spans="1:12">
      <c r="A2651" s="3" t="s">
        <v>3816</v>
      </c>
      <c r="C2651" s="3" t="s">
        <v>3817</v>
      </c>
      <c r="D2651" s="3" t="s">
        <v>3001</v>
      </c>
      <c r="E2651" s="3" t="s">
        <v>3905</v>
      </c>
      <c r="F2651" s="3" t="s">
        <v>4333</v>
      </c>
      <c r="G2651" s="3" t="s">
        <v>3355</v>
      </c>
      <c r="H2651" s="6">
        <v>4.3579299999999996</v>
      </c>
      <c r="I2651" s="6">
        <v>22799.7455390334</v>
      </c>
      <c r="J2651" s="3" t="s">
        <v>3356</v>
      </c>
      <c r="L2651" s="1" t="s">
        <v>6135</v>
      </c>
    </row>
    <row r="2652" spans="1:12">
      <c r="A2652" s="3" t="s">
        <v>3816</v>
      </c>
      <c r="C2652" s="3" t="s">
        <v>3817</v>
      </c>
      <c r="D2652" s="3" t="s">
        <v>3001</v>
      </c>
      <c r="E2652" s="3" t="s">
        <v>3905</v>
      </c>
      <c r="F2652" s="3" t="s">
        <v>4334</v>
      </c>
      <c r="G2652" s="3" t="s">
        <v>4335</v>
      </c>
      <c r="H2652" s="6">
        <v>4.7340999999999998</v>
      </c>
      <c r="I2652" s="6">
        <v>54212.570508795718</v>
      </c>
      <c r="J2652" s="3" t="s">
        <v>3356</v>
      </c>
      <c r="L2652" s="1" t="s">
        <v>6135</v>
      </c>
    </row>
    <row r="2653" spans="1:12">
      <c r="A2653" s="3" t="s">
        <v>3816</v>
      </c>
      <c r="C2653" s="3" t="s">
        <v>3817</v>
      </c>
      <c r="D2653" s="3" t="s">
        <v>3001</v>
      </c>
      <c r="E2653" s="3" t="s">
        <v>3905</v>
      </c>
      <c r="F2653" s="3" t="s">
        <v>4334</v>
      </c>
      <c r="G2653" s="3" t="s">
        <v>4114</v>
      </c>
      <c r="H2653" s="6">
        <v>4.7443600000000004</v>
      </c>
      <c r="I2653" s="6">
        <v>55508.564980303127</v>
      </c>
      <c r="J2653" s="3" t="s">
        <v>3356</v>
      </c>
      <c r="L2653" s="1" t="s">
        <v>6135</v>
      </c>
    </row>
    <row r="2654" spans="1:12">
      <c r="A2654" s="3" t="s">
        <v>3816</v>
      </c>
      <c r="C2654" s="3" t="s">
        <v>3817</v>
      </c>
      <c r="D2654" s="3" t="s">
        <v>3001</v>
      </c>
      <c r="E2654" s="3" t="s">
        <v>3905</v>
      </c>
      <c r="F2654" s="3" t="s">
        <v>4115</v>
      </c>
      <c r="G2654" s="3" t="s">
        <v>3676</v>
      </c>
      <c r="H2654" s="6">
        <v>4.9346699999999997</v>
      </c>
      <c r="I2654" s="6">
        <v>86033.977192547318</v>
      </c>
      <c r="J2654" s="3" t="s">
        <v>3356</v>
      </c>
      <c r="L2654" s="1" t="s">
        <v>6135</v>
      </c>
    </row>
    <row r="2655" spans="1:12">
      <c r="A2655" s="3" t="s">
        <v>3816</v>
      </c>
      <c r="C2655" s="3" t="s">
        <v>3817</v>
      </c>
      <c r="D2655" s="3" t="s">
        <v>3001</v>
      </c>
      <c r="E2655" s="3" t="s">
        <v>4561</v>
      </c>
      <c r="F2655" s="3" t="s">
        <v>4562</v>
      </c>
      <c r="G2655" s="3" t="s">
        <v>4563</v>
      </c>
      <c r="H2655" s="6">
        <v>4.5083099999999998</v>
      </c>
      <c r="I2655" s="6">
        <v>32233.688154104955</v>
      </c>
      <c r="J2655" s="3" t="s">
        <v>3356</v>
      </c>
      <c r="L2655" s="1" t="s">
        <v>6135</v>
      </c>
    </row>
    <row r="2656" spans="1:12">
      <c r="A2656" s="3" t="s">
        <v>3816</v>
      </c>
      <c r="C2656" s="3" t="s">
        <v>3817</v>
      </c>
      <c r="D2656" s="3" t="s">
        <v>3954</v>
      </c>
      <c r="E2656" s="3" t="s">
        <v>3955</v>
      </c>
      <c r="F2656" s="3" t="s">
        <v>2047</v>
      </c>
      <c r="G2656" s="3" t="s">
        <v>2048</v>
      </c>
      <c r="H2656" s="6">
        <v>3.53782</v>
      </c>
      <c r="I2656" s="6">
        <v>3450.0071886717133</v>
      </c>
      <c r="J2656" s="3" t="s">
        <v>3356</v>
      </c>
      <c r="L2656" s="1" t="s">
        <v>6135</v>
      </c>
    </row>
    <row r="2657" spans="1:12">
      <c r="A2657" s="3" t="s">
        <v>3816</v>
      </c>
      <c r="C2657" s="3" t="s">
        <v>3817</v>
      </c>
      <c r="D2657" s="3" t="s">
        <v>3954</v>
      </c>
      <c r="E2657" s="3" t="s">
        <v>3955</v>
      </c>
      <c r="F2657" s="3" t="s">
        <v>3956</v>
      </c>
      <c r="G2657" s="3" t="s">
        <v>4655</v>
      </c>
      <c r="H2657" s="6">
        <v>4.1273099999999996</v>
      </c>
      <c r="I2657" s="6">
        <v>13406.332918647711</v>
      </c>
      <c r="J2657" s="3" t="s">
        <v>3356</v>
      </c>
      <c r="L2657" s="1" t="s">
        <v>6135</v>
      </c>
    </row>
    <row r="2658" spans="1:12">
      <c r="A2658" s="3" t="s">
        <v>3816</v>
      </c>
      <c r="C2658" s="3" t="s">
        <v>3817</v>
      </c>
      <c r="D2658" s="3" t="s">
        <v>3954</v>
      </c>
      <c r="E2658" s="3" t="s">
        <v>3955</v>
      </c>
      <c r="F2658" s="3" t="s">
        <v>3956</v>
      </c>
      <c r="G2658" s="3" t="s">
        <v>4674</v>
      </c>
      <c r="H2658" s="6">
        <v>4.4513999999999996</v>
      </c>
      <c r="I2658" s="6">
        <v>28274.829840696035</v>
      </c>
      <c r="J2658" s="3" t="s">
        <v>3356</v>
      </c>
      <c r="L2658" s="1" t="s">
        <v>6135</v>
      </c>
    </row>
    <row r="2659" spans="1:12">
      <c r="A2659" s="3" t="s">
        <v>3816</v>
      </c>
      <c r="C2659" s="3" t="s">
        <v>3817</v>
      </c>
      <c r="D2659" s="3" t="s">
        <v>3954</v>
      </c>
      <c r="E2659" s="3" t="s">
        <v>3955</v>
      </c>
      <c r="F2659" s="3" t="s">
        <v>3956</v>
      </c>
      <c r="G2659" s="3" t="s">
        <v>2329</v>
      </c>
      <c r="H2659" s="6">
        <v>4.3614100000000002</v>
      </c>
      <c r="I2659" s="6">
        <v>22983.173734904718</v>
      </c>
      <c r="J2659" s="3" t="s">
        <v>3356</v>
      </c>
      <c r="L2659" s="1" t="s">
        <v>6135</v>
      </c>
    </row>
    <row r="2660" spans="1:12">
      <c r="A2660" s="3" t="s">
        <v>3816</v>
      </c>
      <c r="C2660" s="3" t="s">
        <v>3817</v>
      </c>
      <c r="D2660" s="3" t="s">
        <v>3954</v>
      </c>
      <c r="E2660" s="3" t="s">
        <v>3955</v>
      </c>
      <c r="F2660" s="3" t="s">
        <v>2330</v>
      </c>
      <c r="G2660" s="3" t="s">
        <v>2331</v>
      </c>
      <c r="H2660" s="6">
        <v>3.5836199999999998</v>
      </c>
      <c r="I2660" s="6">
        <v>3833.7165526970089</v>
      </c>
      <c r="J2660" s="3" t="s">
        <v>3356</v>
      </c>
      <c r="L2660" s="1" t="s">
        <v>6135</v>
      </c>
    </row>
    <row r="2661" spans="1:12">
      <c r="A2661" s="3" t="s">
        <v>3816</v>
      </c>
      <c r="C2661" s="3" t="s">
        <v>3817</v>
      </c>
      <c r="D2661" s="3" t="s">
        <v>3954</v>
      </c>
      <c r="E2661" s="3" t="s">
        <v>3955</v>
      </c>
      <c r="F2661" s="3" t="s">
        <v>4544</v>
      </c>
      <c r="G2661" s="3" t="s">
        <v>2332</v>
      </c>
      <c r="H2661" s="6">
        <v>3.3419300000000001</v>
      </c>
      <c r="I2661" s="6">
        <v>2197.505648176154</v>
      </c>
      <c r="J2661" s="3" t="s">
        <v>3356</v>
      </c>
      <c r="L2661" s="1" t="s">
        <v>6135</v>
      </c>
    </row>
    <row r="2662" spans="1:12">
      <c r="A2662" s="3" t="s">
        <v>3816</v>
      </c>
      <c r="C2662" s="3" t="s">
        <v>3817</v>
      </c>
      <c r="D2662" s="3" t="s">
        <v>3954</v>
      </c>
      <c r="E2662" s="3" t="s">
        <v>3955</v>
      </c>
      <c r="F2662" s="3" t="s">
        <v>4544</v>
      </c>
      <c r="G2662" s="3" t="s">
        <v>4676</v>
      </c>
      <c r="H2662" s="6">
        <v>3.6161300000000001</v>
      </c>
      <c r="I2662" s="6">
        <v>4131.7116050966706</v>
      </c>
      <c r="J2662" s="3" t="s">
        <v>3356</v>
      </c>
      <c r="L2662" s="1" t="s">
        <v>6135</v>
      </c>
    </row>
    <row r="2663" spans="1:12">
      <c r="A2663" s="3" t="s">
        <v>3816</v>
      </c>
      <c r="C2663" s="3" t="s">
        <v>3817</v>
      </c>
      <c r="D2663" s="3" t="s">
        <v>3954</v>
      </c>
      <c r="E2663" s="3" t="s">
        <v>7321</v>
      </c>
      <c r="F2663" s="3" t="s">
        <v>7324</v>
      </c>
      <c r="G2663" s="3" t="s">
        <v>7325</v>
      </c>
      <c r="H2663" s="6">
        <v>3.95424</v>
      </c>
      <c r="I2663" s="6">
        <v>8999.9479963720187</v>
      </c>
      <c r="J2663" s="3" t="s">
        <v>3356</v>
      </c>
      <c r="L2663" s="1" t="s">
        <v>6135</v>
      </c>
    </row>
    <row r="2664" spans="1:12">
      <c r="A2664" s="3" t="s">
        <v>3816</v>
      </c>
      <c r="C2664" s="3" t="s">
        <v>3817</v>
      </c>
      <c r="D2664" s="3" t="s">
        <v>3954</v>
      </c>
      <c r="E2664" s="3" t="s">
        <v>7321</v>
      </c>
      <c r="F2664" s="3" t="s">
        <v>7326</v>
      </c>
      <c r="G2664" s="3" t="s">
        <v>7377</v>
      </c>
      <c r="H2664" s="6">
        <v>4.0755499999999998</v>
      </c>
      <c r="I2664" s="6">
        <v>11900.083260453186</v>
      </c>
      <c r="J2664" s="3" t="s">
        <v>3356</v>
      </c>
      <c r="L2664" s="1" t="s">
        <v>6135</v>
      </c>
    </row>
    <row r="2665" spans="1:12">
      <c r="A2665" s="3" t="s">
        <v>3816</v>
      </c>
      <c r="C2665" s="3" t="s">
        <v>3817</v>
      </c>
      <c r="D2665" s="3" t="s">
        <v>3954</v>
      </c>
      <c r="E2665" s="3" t="s">
        <v>7321</v>
      </c>
      <c r="F2665" s="3" t="s">
        <v>7326</v>
      </c>
      <c r="G2665" s="3" t="s">
        <v>7378</v>
      </c>
      <c r="H2665" s="6">
        <v>3.5118800000000001</v>
      </c>
      <c r="I2665" s="6">
        <v>3249.9748485428022</v>
      </c>
      <c r="J2665" s="3" t="s">
        <v>3356</v>
      </c>
      <c r="L2665" s="1" t="s">
        <v>6135</v>
      </c>
    </row>
    <row r="2666" spans="1:12">
      <c r="A2666" s="3" t="s">
        <v>3816</v>
      </c>
      <c r="C2666" s="3" t="s">
        <v>3817</v>
      </c>
      <c r="D2666" s="3" t="s">
        <v>3954</v>
      </c>
      <c r="E2666" s="3" t="s">
        <v>7321</v>
      </c>
      <c r="F2666" s="3" t="s">
        <v>7379</v>
      </c>
      <c r="G2666" s="3" t="s">
        <v>4121</v>
      </c>
      <c r="H2666" s="6">
        <v>3.9718900000000001</v>
      </c>
      <c r="I2666" s="6">
        <v>9373.2456720393548</v>
      </c>
      <c r="J2666" s="3" t="s">
        <v>3356</v>
      </c>
      <c r="L2666" s="1" t="s">
        <v>6135</v>
      </c>
    </row>
    <row r="2667" spans="1:12">
      <c r="A2667" s="3" t="s">
        <v>3816</v>
      </c>
      <c r="C2667" s="3" t="s">
        <v>3817</v>
      </c>
      <c r="D2667" s="3" t="s">
        <v>3954</v>
      </c>
      <c r="E2667" s="3" t="s">
        <v>7321</v>
      </c>
      <c r="F2667" s="3" t="s">
        <v>7379</v>
      </c>
      <c r="G2667" s="3" t="s">
        <v>2329</v>
      </c>
      <c r="H2667" s="6">
        <v>3.9495900000000002</v>
      </c>
      <c r="I2667" s="6">
        <v>8904.0994091113262</v>
      </c>
      <c r="J2667" s="3" t="s">
        <v>3356</v>
      </c>
      <c r="L2667" s="1" t="s">
        <v>6135</v>
      </c>
    </row>
    <row r="2668" spans="1:12">
      <c r="A2668" s="3" t="s">
        <v>3816</v>
      </c>
      <c r="C2668" s="3" t="s">
        <v>3817</v>
      </c>
      <c r="D2668" s="3" t="s">
        <v>3954</v>
      </c>
      <c r="E2668" s="3" t="s">
        <v>7321</v>
      </c>
      <c r="F2668" s="3" t="s">
        <v>4860</v>
      </c>
      <c r="G2668" s="3" t="s">
        <v>2466</v>
      </c>
      <c r="H2668" s="6">
        <v>5</v>
      </c>
      <c r="I2668" s="6">
        <v>100000</v>
      </c>
      <c r="J2668" s="3" t="s">
        <v>3356</v>
      </c>
      <c r="L2668" s="1" t="s">
        <v>6135</v>
      </c>
    </row>
    <row r="2669" spans="1:12">
      <c r="A2669" s="3" t="s">
        <v>3816</v>
      </c>
      <c r="C2669" s="3" t="s">
        <v>3817</v>
      </c>
      <c r="D2669" s="3" t="s">
        <v>3954</v>
      </c>
      <c r="E2669" s="3" t="s">
        <v>7321</v>
      </c>
      <c r="F2669" s="3" t="s">
        <v>2185</v>
      </c>
      <c r="G2669" s="3" t="s">
        <v>3569</v>
      </c>
      <c r="H2669" s="6">
        <v>4.71265</v>
      </c>
      <c r="I2669" s="6">
        <v>51600.035450694937</v>
      </c>
      <c r="J2669" s="3" t="s">
        <v>3356</v>
      </c>
      <c r="L2669" s="1" t="s">
        <v>6135</v>
      </c>
    </row>
    <row r="2670" spans="1:12">
      <c r="A2670" s="3" t="s">
        <v>3816</v>
      </c>
      <c r="C2670" s="3" t="s">
        <v>3817</v>
      </c>
      <c r="D2670" s="3" t="s">
        <v>3954</v>
      </c>
      <c r="E2670" s="3" t="s">
        <v>4257</v>
      </c>
      <c r="F2670" s="3" t="s">
        <v>4444</v>
      </c>
      <c r="G2670" s="3" t="s">
        <v>4445</v>
      </c>
      <c r="H2670" s="6">
        <v>3.5440700000000001</v>
      </c>
      <c r="I2670" s="6">
        <v>3500.0157607101446</v>
      </c>
      <c r="J2670" s="3" t="s">
        <v>3356</v>
      </c>
      <c r="L2670" s="1" t="s">
        <v>6135</v>
      </c>
    </row>
    <row r="2671" spans="1:12">
      <c r="A2671" s="3" t="s">
        <v>3816</v>
      </c>
      <c r="C2671" s="3" t="s">
        <v>3817</v>
      </c>
      <c r="D2671" s="3" t="s">
        <v>3954</v>
      </c>
      <c r="E2671" s="3" t="s">
        <v>4257</v>
      </c>
      <c r="F2671" s="3" t="s">
        <v>4444</v>
      </c>
      <c r="G2671" s="3" t="s">
        <v>4482</v>
      </c>
      <c r="H2671" s="6">
        <v>3.3031999999999999</v>
      </c>
      <c r="I2671" s="6">
        <v>2010.0182471136952</v>
      </c>
      <c r="J2671" s="3" t="s">
        <v>3356</v>
      </c>
      <c r="L2671" s="1" t="s">
        <v>6135</v>
      </c>
    </row>
    <row r="2672" spans="1:12">
      <c r="A2672" s="3" t="s">
        <v>3816</v>
      </c>
      <c r="C2672" s="3" t="s">
        <v>3817</v>
      </c>
      <c r="D2672" s="3" t="s">
        <v>3954</v>
      </c>
      <c r="E2672" s="3" t="s">
        <v>4257</v>
      </c>
      <c r="F2672" s="3" t="s">
        <v>4444</v>
      </c>
      <c r="G2672" s="3" t="s">
        <v>4483</v>
      </c>
      <c r="H2672" s="6">
        <v>3.07918</v>
      </c>
      <c r="I2672" s="6">
        <v>1199.9965570481172</v>
      </c>
      <c r="J2672" s="3" t="s">
        <v>3356</v>
      </c>
      <c r="L2672" s="1" t="s">
        <v>6135</v>
      </c>
    </row>
    <row r="2673" spans="1:12">
      <c r="A2673" s="3" t="s">
        <v>3816</v>
      </c>
      <c r="C2673" s="3" t="s">
        <v>3817</v>
      </c>
      <c r="D2673" s="3" t="s">
        <v>3954</v>
      </c>
      <c r="E2673" s="3" t="s">
        <v>4257</v>
      </c>
      <c r="F2673" s="3" t="s">
        <v>3819</v>
      </c>
      <c r="G2673" s="3" t="s">
        <v>3820</v>
      </c>
      <c r="H2673" s="6">
        <v>3.5921799999999999</v>
      </c>
      <c r="I2673" s="6">
        <v>3910.0291936232725</v>
      </c>
      <c r="J2673" s="3" t="s">
        <v>3356</v>
      </c>
      <c r="L2673" s="1" t="s">
        <v>6135</v>
      </c>
    </row>
    <row r="2674" spans="1:12">
      <c r="A2674" s="3" t="s">
        <v>3816</v>
      </c>
      <c r="C2674" s="3" t="s">
        <v>3817</v>
      </c>
      <c r="D2674" s="3" t="s">
        <v>3954</v>
      </c>
      <c r="E2674" s="3" t="s">
        <v>4257</v>
      </c>
      <c r="F2674" s="3" t="s">
        <v>3821</v>
      </c>
      <c r="G2674" s="3" t="s">
        <v>3822</v>
      </c>
      <c r="H2674" s="6">
        <v>3.50515</v>
      </c>
      <c r="I2674" s="6">
        <v>3200.0001597448445</v>
      </c>
      <c r="J2674" s="3" t="s">
        <v>3356</v>
      </c>
      <c r="L2674" s="1" t="s">
        <v>6135</v>
      </c>
    </row>
    <row r="2675" spans="1:12">
      <c r="A2675" s="3" t="s">
        <v>3816</v>
      </c>
      <c r="C2675" s="3" t="s">
        <v>3817</v>
      </c>
      <c r="D2675" s="3" t="s">
        <v>3954</v>
      </c>
      <c r="E2675" s="3" t="s">
        <v>4257</v>
      </c>
      <c r="F2675" s="3" t="s">
        <v>3823</v>
      </c>
      <c r="G2675" s="3" t="s">
        <v>3824</v>
      </c>
      <c r="H2675" s="6">
        <v>4.1621199999999998</v>
      </c>
      <c r="I2675" s="6">
        <v>14525.129062929564</v>
      </c>
      <c r="J2675" s="3" t="s">
        <v>3356</v>
      </c>
      <c r="L2675" s="1" t="s">
        <v>6135</v>
      </c>
    </row>
    <row r="2676" spans="1:12">
      <c r="A2676" s="3" t="s">
        <v>3816</v>
      </c>
      <c r="C2676" s="3" t="s">
        <v>3817</v>
      </c>
      <c r="D2676" s="3" t="s">
        <v>3954</v>
      </c>
      <c r="E2676" s="3" t="s">
        <v>4257</v>
      </c>
      <c r="F2676" s="3" t="s">
        <v>4447</v>
      </c>
      <c r="G2676" s="3" t="s">
        <v>4121</v>
      </c>
      <c r="H2676" s="6">
        <v>3.90781</v>
      </c>
      <c r="I2676" s="6">
        <v>8087.4200428728464</v>
      </c>
      <c r="J2676" s="3" t="s">
        <v>3356</v>
      </c>
      <c r="L2676" s="1" t="s">
        <v>6135</v>
      </c>
    </row>
    <row r="2677" spans="1:12">
      <c r="A2677" s="3" t="s">
        <v>3816</v>
      </c>
      <c r="C2677" s="3" t="s">
        <v>3817</v>
      </c>
      <c r="D2677" s="3" t="s">
        <v>3954</v>
      </c>
      <c r="E2677" s="3" t="s">
        <v>4257</v>
      </c>
      <c r="F2677" s="3" t="s">
        <v>3828</v>
      </c>
      <c r="G2677" s="3" t="s">
        <v>3355</v>
      </c>
      <c r="H2677" s="6">
        <v>3.0969099999999998</v>
      </c>
      <c r="I2677" s="6">
        <v>1249.9999625598048</v>
      </c>
      <c r="J2677" s="3" t="s">
        <v>3356</v>
      </c>
      <c r="L2677" s="1" t="s">
        <v>6135</v>
      </c>
    </row>
    <row r="2678" spans="1:12">
      <c r="A2678" s="3" t="s">
        <v>3816</v>
      </c>
      <c r="C2678" s="3" t="s">
        <v>3817</v>
      </c>
      <c r="D2678" s="3" t="s">
        <v>3954</v>
      </c>
      <c r="E2678" s="3" t="s">
        <v>4257</v>
      </c>
      <c r="F2678" s="3" t="s">
        <v>3828</v>
      </c>
      <c r="G2678" s="3" t="s">
        <v>3831</v>
      </c>
      <c r="H2678" s="6">
        <v>3.40909</v>
      </c>
      <c r="I2678" s="6">
        <v>2565.0155364321204</v>
      </c>
      <c r="J2678" s="3" t="s">
        <v>3356</v>
      </c>
      <c r="L2678" s="1" t="s">
        <v>6135</v>
      </c>
    </row>
    <row r="2679" spans="1:12">
      <c r="A2679" s="3" t="s">
        <v>3816</v>
      </c>
      <c r="C2679" s="3" t="s">
        <v>3817</v>
      </c>
      <c r="D2679" s="3" t="s">
        <v>3954</v>
      </c>
      <c r="E2679" s="3" t="s">
        <v>4257</v>
      </c>
      <c r="F2679" s="3" t="s">
        <v>3832</v>
      </c>
      <c r="G2679" s="3" t="s">
        <v>3833</v>
      </c>
      <c r="H2679" s="6">
        <v>2.9037700000000002</v>
      </c>
      <c r="I2679" s="6">
        <v>801.25361144095211</v>
      </c>
      <c r="J2679" s="3" t="s">
        <v>3356</v>
      </c>
      <c r="L2679" s="1" t="s">
        <v>6135</v>
      </c>
    </row>
    <row r="2680" spans="1:12">
      <c r="A2680" s="3" t="s">
        <v>3816</v>
      </c>
      <c r="C2680" s="3" t="s">
        <v>3817</v>
      </c>
      <c r="D2680" s="3" t="s">
        <v>3954</v>
      </c>
      <c r="E2680" s="3" t="s">
        <v>4257</v>
      </c>
      <c r="F2680" s="3" t="s">
        <v>3832</v>
      </c>
      <c r="G2680" s="3" t="s">
        <v>3373</v>
      </c>
      <c r="H2680" s="6">
        <v>3.3191099999999998</v>
      </c>
      <c r="I2680" s="6">
        <v>2085.0189189058024</v>
      </c>
      <c r="J2680" s="3" t="s">
        <v>3356</v>
      </c>
      <c r="L2680" s="1" t="s">
        <v>6135</v>
      </c>
    </row>
    <row r="2681" spans="1:12">
      <c r="A2681" s="3" t="s">
        <v>3816</v>
      </c>
      <c r="C2681" s="3" t="s">
        <v>3817</v>
      </c>
      <c r="D2681" s="3" t="s">
        <v>3954</v>
      </c>
      <c r="E2681" s="3" t="s">
        <v>4257</v>
      </c>
      <c r="F2681" s="3" t="s">
        <v>4479</v>
      </c>
      <c r="G2681" s="3" t="s">
        <v>3374</v>
      </c>
      <c r="H2681" s="6">
        <v>1.8451</v>
      </c>
      <c r="I2681" s="6">
        <v>70.000315913089707</v>
      </c>
      <c r="J2681" s="3" t="s">
        <v>3356</v>
      </c>
      <c r="L2681" s="1" t="s">
        <v>6135</v>
      </c>
    </row>
    <row r="2682" spans="1:12">
      <c r="A2682" s="3" t="s">
        <v>3816</v>
      </c>
      <c r="C2682" s="3" t="s">
        <v>3817</v>
      </c>
      <c r="D2682" s="3" t="s">
        <v>3954</v>
      </c>
      <c r="E2682" s="3" t="s">
        <v>4257</v>
      </c>
      <c r="F2682" s="3" t="s">
        <v>4479</v>
      </c>
      <c r="G2682" s="3" t="s">
        <v>4488</v>
      </c>
      <c r="H2682" s="6">
        <v>2.1673200000000001</v>
      </c>
      <c r="I2682" s="6">
        <v>147.00090213722874</v>
      </c>
      <c r="J2682" s="3" t="s">
        <v>3356</v>
      </c>
      <c r="L2682" s="1" t="s">
        <v>6135</v>
      </c>
    </row>
    <row r="2683" spans="1:12">
      <c r="A2683" s="3" t="s">
        <v>3816</v>
      </c>
      <c r="C2683" s="3" t="s">
        <v>3817</v>
      </c>
      <c r="D2683" s="3" t="s">
        <v>3954</v>
      </c>
      <c r="E2683" s="3" t="s">
        <v>4257</v>
      </c>
      <c r="F2683" s="3" t="s">
        <v>4479</v>
      </c>
      <c r="G2683" s="3" t="s">
        <v>4856</v>
      </c>
      <c r="H2683" s="6">
        <v>2.9294199999999999</v>
      </c>
      <c r="I2683" s="6">
        <v>850.0021025917174</v>
      </c>
      <c r="J2683" s="3" t="s">
        <v>3356</v>
      </c>
      <c r="L2683" s="1" t="s">
        <v>6135</v>
      </c>
    </row>
    <row r="2684" spans="1:12">
      <c r="A2684" s="3" t="s">
        <v>3816</v>
      </c>
      <c r="C2684" s="3" t="s">
        <v>3817</v>
      </c>
      <c r="D2684" s="3" t="s">
        <v>3954</v>
      </c>
      <c r="E2684" s="3" t="s">
        <v>4257</v>
      </c>
      <c r="F2684" s="3" t="s">
        <v>4479</v>
      </c>
      <c r="G2684" s="3" t="s">
        <v>3806</v>
      </c>
      <c r="H2684" s="6">
        <v>1.67117</v>
      </c>
      <c r="I2684" s="6">
        <v>46.899693012675471</v>
      </c>
      <c r="J2684" s="3" t="s">
        <v>3356</v>
      </c>
      <c r="L2684" s="1" t="s">
        <v>6135</v>
      </c>
    </row>
    <row r="2685" spans="1:12">
      <c r="A2685" s="3" t="s">
        <v>3816</v>
      </c>
      <c r="C2685" s="3" t="s">
        <v>3817</v>
      </c>
      <c r="D2685" s="3" t="s">
        <v>3954</v>
      </c>
      <c r="E2685" s="3" t="s">
        <v>4257</v>
      </c>
      <c r="F2685" s="3" t="s">
        <v>4479</v>
      </c>
      <c r="G2685" s="3" t="s">
        <v>4291</v>
      </c>
      <c r="H2685" s="6">
        <v>2.9754100000000001</v>
      </c>
      <c r="I2685" s="6">
        <v>944.95254712028554</v>
      </c>
      <c r="J2685" s="3" t="s">
        <v>3356</v>
      </c>
      <c r="L2685" s="1" t="s">
        <v>6135</v>
      </c>
    </row>
    <row r="2686" spans="1:12">
      <c r="A2686" s="3" t="s">
        <v>3816</v>
      </c>
      <c r="C2686" s="3" t="s">
        <v>3817</v>
      </c>
      <c r="D2686" s="3" t="s">
        <v>3954</v>
      </c>
      <c r="E2686" s="3" t="s">
        <v>4257</v>
      </c>
      <c r="F2686" s="3" t="s">
        <v>4292</v>
      </c>
      <c r="G2686" s="3" t="s">
        <v>3597</v>
      </c>
      <c r="H2686" s="6">
        <v>2.5327500000000001</v>
      </c>
      <c r="I2686" s="6">
        <v>340.99656171336346</v>
      </c>
      <c r="J2686" s="3" t="s">
        <v>3356</v>
      </c>
      <c r="L2686" s="1" t="s">
        <v>6135</v>
      </c>
    </row>
    <row r="2687" spans="1:12">
      <c r="A2687" s="3" t="s">
        <v>3816</v>
      </c>
      <c r="C2687" s="3" t="s">
        <v>3817</v>
      </c>
      <c r="D2687" s="3" t="s">
        <v>3954</v>
      </c>
      <c r="E2687" s="3" t="s">
        <v>4257</v>
      </c>
      <c r="F2687" s="3" t="s">
        <v>4292</v>
      </c>
      <c r="G2687" s="3" t="s">
        <v>4293</v>
      </c>
      <c r="H2687" s="6">
        <v>2.37107</v>
      </c>
      <c r="I2687" s="6">
        <v>235.00115674363673</v>
      </c>
      <c r="J2687" s="3" t="s">
        <v>3356</v>
      </c>
      <c r="L2687" s="1" t="s">
        <v>6135</v>
      </c>
    </row>
    <row r="2688" spans="1:12">
      <c r="A2688" s="3" t="s">
        <v>3816</v>
      </c>
      <c r="C2688" s="3" t="s">
        <v>3817</v>
      </c>
      <c r="D2688" s="3" t="s">
        <v>3954</v>
      </c>
      <c r="E2688" s="3" t="s">
        <v>4257</v>
      </c>
      <c r="F2688" s="3" t="s">
        <v>4294</v>
      </c>
      <c r="G2688" s="3" t="s">
        <v>4295</v>
      </c>
      <c r="H2688" s="6">
        <v>3.8517199999999998</v>
      </c>
      <c r="I2688" s="6">
        <v>7107.5512513855301</v>
      </c>
      <c r="J2688" s="3" t="s">
        <v>3356</v>
      </c>
      <c r="L2688" s="1" t="s">
        <v>6135</v>
      </c>
    </row>
    <row r="2689" spans="1:12">
      <c r="A2689" s="3" t="s">
        <v>3816</v>
      </c>
      <c r="C2689" s="3" t="s">
        <v>3817</v>
      </c>
      <c r="D2689" s="3" t="s">
        <v>3954</v>
      </c>
      <c r="E2689" s="3" t="s">
        <v>2127</v>
      </c>
      <c r="F2689" s="3" t="s">
        <v>2128</v>
      </c>
      <c r="G2689" s="3" t="s">
        <v>2129</v>
      </c>
      <c r="H2689" s="6">
        <v>3.0528900000000001</v>
      </c>
      <c r="I2689" s="6">
        <v>1129.5097912741824</v>
      </c>
      <c r="J2689" s="3" t="s">
        <v>3356</v>
      </c>
      <c r="L2689" s="1" t="s">
        <v>6135</v>
      </c>
    </row>
    <row r="2690" spans="1:12">
      <c r="A2690" s="3" t="s">
        <v>3816</v>
      </c>
      <c r="C2690" s="3" t="s">
        <v>3817</v>
      </c>
      <c r="D2690" s="3" t="s">
        <v>3954</v>
      </c>
      <c r="E2690" s="3" t="s">
        <v>2127</v>
      </c>
      <c r="F2690" s="3" t="s">
        <v>2128</v>
      </c>
      <c r="G2690" s="3" t="s">
        <v>4749</v>
      </c>
      <c r="H2690" s="6">
        <v>2.95424</v>
      </c>
      <c r="I2690" s="6">
        <v>899.99479963720182</v>
      </c>
      <c r="J2690" s="3" t="s">
        <v>3356</v>
      </c>
      <c r="L2690" s="1" t="s">
        <v>6135</v>
      </c>
    </row>
    <row r="2691" spans="1:12">
      <c r="A2691" s="3" t="s">
        <v>3816</v>
      </c>
      <c r="C2691" s="3" t="s">
        <v>3817</v>
      </c>
      <c r="D2691" s="3" t="s">
        <v>3954</v>
      </c>
      <c r="E2691" s="3" t="s">
        <v>2127</v>
      </c>
      <c r="F2691" s="3" t="s">
        <v>4750</v>
      </c>
      <c r="G2691" s="3" t="s">
        <v>7215</v>
      </c>
      <c r="H2691" s="6">
        <v>3.5790799999999998</v>
      </c>
      <c r="I2691" s="6">
        <v>3793.8486381195939</v>
      </c>
      <c r="J2691" s="3" t="s">
        <v>3356</v>
      </c>
      <c r="L2691" s="1" t="s">
        <v>6135</v>
      </c>
    </row>
    <row r="2692" spans="1:12">
      <c r="A2692" s="3" t="s">
        <v>3816</v>
      </c>
      <c r="C2692" s="3" t="s">
        <v>3817</v>
      </c>
      <c r="D2692" s="3" t="s">
        <v>3954</v>
      </c>
      <c r="E2692" s="3" t="s">
        <v>2127</v>
      </c>
      <c r="F2692" s="3" t="s">
        <v>7216</v>
      </c>
      <c r="G2692" s="3" t="s">
        <v>7217</v>
      </c>
      <c r="H2692" s="6">
        <v>3.2135199999999999</v>
      </c>
      <c r="I2692" s="6">
        <v>1635.0084443175422</v>
      </c>
      <c r="J2692" s="3" t="s">
        <v>3356</v>
      </c>
      <c r="L2692" s="1" t="s">
        <v>6135</v>
      </c>
    </row>
    <row r="2693" spans="1:12">
      <c r="A2693" s="3" t="s">
        <v>3816</v>
      </c>
      <c r="C2693" s="3" t="s">
        <v>3817</v>
      </c>
      <c r="D2693" s="3" t="s">
        <v>3954</v>
      </c>
      <c r="E2693" s="3" t="s">
        <v>2127</v>
      </c>
      <c r="F2693" s="3" t="s">
        <v>7218</v>
      </c>
      <c r="G2693" s="3" t="s">
        <v>4085</v>
      </c>
      <c r="H2693" s="6">
        <v>3.7423299999999999</v>
      </c>
      <c r="I2693" s="6">
        <v>5524.9709644247541</v>
      </c>
      <c r="J2693" s="3" t="s">
        <v>3356</v>
      </c>
      <c r="L2693" s="1" t="s">
        <v>6135</v>
      </c>
    </row>
    <row r="2694" spans="1:12">
      <c r="A2694" s="3" t="s">
        <v>3816</v>
      </c>
      <c r="C2694" s="3" t="s">
        <v>3817</v>
      </c>
      <c r="D2694" s="3" t="s">
        <v>3954</v>
      </c>
      <c r="E2694" s="3" t="s">
        <v>2127</v>
      </c>
      <c r="F2694" s="3" t="s">
        <v>7218</v>
      </c>
      <c r="G2694" s="3" t="s">
        <v>7234</v>
      </c>
      <c r="H2694" s="6">
        <v>3.3979400000000002</v>
      </c>
      <c r="I2694" s="6">
        <v>2499.9999500797412</v>
      </c>
      <c r="J2694" s="3" t="s">
        <v>3356</v>
      </c>
      <c r="L2694" s="1" t="s">
        <v>6135</v>
      </c>
    </row>
    <row r="2695" spans="1:12">
      <c r="A2695" s="3" t="s">
        <v>3816</v>
      </c>
      <c r="C2695" s="3" t="s">
        <v>3817</v>
      </c>
      <c r="D2695" s="3" t="s">
        <v>3954</v>
      </c>
      <c r="E2695" s="3" t="s">
        <v>7434</v>
      </c>
      <c r="F2695" s="3" t="s">
        <v>7435</v>
      </c>
      <c r="G2695" s="3" t="s">
        <v>7461</v>
      </c>
      <c r="H2695" s="6">
        <v>4.9997800000000003</v>
      </c>
      <c r="I2695" s="6">
        <v>99949.355956381492</v>
      </c>
      <c r="J2695" s="3" t="s">
        <v>3356</v>
      </c>
      <c r="L2695" s="1" t="s">
        <v>6135</v>
      </c>
    </row>
    <row r="2696" spans="1:12">
      <c r="A2696" s="3" t="s">
        <v>3816</v>
      </c>
      <c r="C2696" s="3" t="s">
        <v>3817</v>
      </c>
      <c r="D2696" s="3" t="s">
        <v>3954</v>
      </c>
      <c r="E2696" s="3" t="s">
        <v>7434</v>
      </c>
      <c r="F2696" s="3" t="s">
        <v>7435</v>
      </c>
      <c r="G2696" s="3" t="s">
        <v>7436</v>
      </c>
      <c r="H2696" s="6">
        <v>5.1443899999999996</v>
      </c>
      <c r="I2696" s="6">
        <v>139440.84310611372</v>
      </c>
      <c r="J2696" s="3" t="s">
        <v>3356</v>
      </c>
      <c r="L2696" s="1" t="s">
        <v>6135</v>
      </c>
    </row>
    <row r="2697" spans="1:12">
      <c r="A2697" s="3" t="s">
        <v>3816</v>
      </c>
      <c r="C2697" s="3" t="s">
        <v>3817</v>
      </c>
      <c r="D2697" s="3" t="s">
        <v>3954</v>
      </c>
      <c r="E2697" s="3" t="s">
        <v>7434</v>
      </c>
      <c r="F2697" s="3" t="s">
        <v>7435</v>
      </c>
      <c r="G2697" s="3" t="s">
        <v>7437</v>
      </c>
      <c r="H2697" s="6">
        <v>5.5471599999999999</v>
      </c>
      <c r="I2697" s="6">
        <v>352500.71318520396</v>
      </c>
      <c r="J2697" s="3" t="s">
        <v>3356</v>
      </c>
      <c r="L2697" s="1" t="s">
        <v>6135</v>
      </c>
    </row>
    <row r="2698" spans="1:12">
      <c r="A2698" s="3" t="s">
        <v>3816</v>
      </c>
      <c r="C2698" s="3" t="s">
        <v>3817</v>
      </c>
      <c r="D2698" s="3" t="s">
        <v>4370</v>
      </c>
      <c r="E2698" s="3" t="s">
        <v>4371</v>
      </c>
      <c r="F2698" s="3" t="s">
        <v>4365</v>
      </c>
      <c r="G2698" s="3" t="s">
        <v>3062</v>
      </c>
      <c r="H2698" s="6">
        <v>2.4727600000000001</v>
      </c>
      <c r="I2698" s="6">
        <v>297.00242820745564</v>
      </c>
      <c r="J2698" s="3" t="s">
        <v>3356</v>
      </c>
      <c r="L2698" s="1" t="s">
        <v>6135</v>
      </c>
    </row>
    <row r="2699" spans="1:12">
      <c r="A2699" s="3" t="s">
        <v>3816</v>
      </c>
      <c r="C2699" s="3" t="s">
        <v>3817</v>
      </c>
      <c r="D2699" s="3" t="s">
        <v>4370</v>
      </c>
      <c r="E2699" s="3" t="s">
        <v>4371</v>
      </c>
      <c r="F2699" s="3" t="s">
        <v>3063</v>
      </c>
      <c r="G2699" s="3" t="s">
        <v>4171</v>
      </c>
      <c r="H2699" s="6">
        <v>2.9758900000000001</v>
      </c>
      <c r="I2699" s="6">
        <v>945.99752464115022</v>
      </c>
      <c r="J2699" s="3" t="s">
        <v>3356</v>
      </c>
      <c r="L2699" s="1" t="s">
        <v>6135</v>
      </c>
    </row>
    <row r="2700" spans="1:12">
      <c r="A2700" s="3" t="s">
        <v>3816</v>
      </c>
      <c r="C2700" s="3" t="s">
        <v>3817</v>
      </c>
      <c r="D2700" s="3" t="s">
        <v>4370</v>
      </c>
      <c r="E2700" s="3" t="s">
        <v>4371</v>
      </c>
      <c r="F2700" s="3" t="s">
        <v>7179</v>
      </c>
      <c r="G2700" s="3" t="s">
        <v>3170</v>
      </c>
      <c r="H2700" s="6">
        <v>3.03789</v>
      </c>
      <c r="I2700" s="6">
        <v>1091.1639266880236</v>
      </c>
      <c r="J2700" s="3" t="s">
        <v>3356</v>
      </c>
      <c r="L2700" s="1" t="s">
        <v>6135</v>
      </c>
    </row>
    <row r="2701" spans="1:12">
      <c r="A2701" s="3" t="s">
        <v>3816</v>
      </c>
      <c r="C2701" s="3" t="s">
        <v>3817</v>
      </c>
      <c r="D2701" s="3" t="s">
        <v>4370</v>
      </c>
      <c r="E2701" s="3" t="s">
        <v>4371</v>
      </c>
      <c r="F2701" s="3" t="s">
        <v>7179</v>
      </c>
      <c r="G2701" s="3" t="s">
        <v>4366</v>
      </c>
      <c r="H2701" s="6">
        <v>3.3415300000000001</v>
      </c>
      <c r="I2701" s="6">
        <v>2195.4826024672425</v>
      </c>
      <c r="J2701" s="3" t="s">
        <v>3356</v>
      </c>
      <c r="L2701" s="1" t="s">
        <v>6135</v>
      </c>
    </row>
    <row r="2702" spans="1:12">
      <c r="A2702" s="3" t="s">
        <v>3816</v>
      </c>
      <c r="C2702" s="3" t="s">
        <v>3817</v>
      </c>
      <c r="D2702" s="3" t="s">
        <v>4370</v>
      </c>
      <c r="E2702" s="3" t="s">
        <v>4371</v>
      </c>
      <c r="F2702" s="3" t="s">
        <v>4373</v>
      </c>
      <c r="G2702" s="3" t="s">
        <v>4374</v>
      </c>
      <c r="H2702" s="6">
        <v>1.7781499999999999</v>
      </c>
      <c r="I2702" s="6">
        <v>59.999827253364401</v>
      </c>
      <c r="J2702" s="3" t="s">
        <v>3356</v>
      </c>
      <c r="L2702" s="1" t="s">
        <v>6135</v>
      </c>
    </row>
    <row r="2703" spans="1:12">
      <c r="A2703" s="3" t="s">
        <v>3816</v>
      </c>
      <c r="C2703" s="3" t="s">
        <v>3817</v>
      </c>
      <c r="D2703" s="3" t="s">
        <v>4370</v>
      </c>
      <c r="E2703" s="3" t="s">
        <v>4371</v>
      </c>
      <c r="F2703" s="3" t="s">
        <v>4373</v>
      </c>
      <c r="G2703" s="3" t="s">
        <v>4375</v>
      </c>
      <c r="H2703" s="6">
        <v>1.69417</v>
      </c>
      <c r="I2703" s="6">
        <v>49.450421757337679</v>
      </c>
      <c r="J2703" s="3" t="s">
        <v>3356</v>
      </c>
      <c r="L2703" s="1" t="s">
        <v>6135</v>
      </c>
    </row>
    <row r="2704" spans="1:12">
      <c r="A2704" s="3" t="s">
        <v>3816</v>
      </c>
      <c r="C2704" s="3" t="s">
        <v>3817</v>
      </c>
      <c r="D2704" s="3" t="s">
        <v>4370</v>
      </c>
      <c r="E2704" s="3" t="s">
        <v>4371</v>
      </c>
      <c r="F2704" s="3" t="s">
        <v>4376</v>
      </c>
      <c r="G2704" s="3" t="s">
        <v>4377</v>
      </c>
      <c r="H2704" s="6">
        <v>2.8750599999999999</v>
      </c>
      <c r="I2704" s="6">
        <v>749.99781820300223</v>
      </c>
      <c r="J2704" s="3" t="s">
        <v>3356</v>
      </c>
      <c r="L2704" s="1" t="s">
        <v>6135</v>
      </c>
    </row>
    <row r="2705" spans="1:12">
      <c r="A2705" s="3" t="s">
        <v>3816</v>
      </c>
      <c r="C2705" s="3" t="s">
        <v>3817</v>
      </c>
      <c r="D2705" s="3" t="s">
        <v>7278</v>
      </c>
      <c r="E2705" s="3" t="s">
        <v>4905</v>
      </c>
      <c r="F2705" s="3" t="s">
        <v>7353</v>
      </c>
      <c r="G2705" s="3" t="s">
        <v>7354</v>
      </c>
      <c r="H2705" s="6">
        <v>1.18041</v>
      </c>
      <c r="I2705" s="6">
        <v>15.149908155914105</v>
      </c>
      <c r="J2705" s="3" t="s">
        <v>3356</v>
      </c>
      <c r="L2705" s="1" t="s">
        <v>6135</v>
      </c>
    </row>
    <row r="2706" spans="1:12">
      <c r="A2706" s="3" t="s">
        <v>3816</v>
      </c>
      <c r="C2706" s="3" t="s">
        <v>3817</v>
      </c>
      <c r="D2706" s="3" t="s">
        <v>7278</v>
      </c>
      <c r="E2706" s="3" t="s">
        <v>4905</v>
      </c>
      <c r="F2706" s="3" t="s">
        <v>7355</v>
      </c>
      <c r="G2706" s="3" t="s">
        <v>7416</v>
      </c>
      <c r="H2706" s="6">
        <v>0.90308999999999995</v>
      </c>
      <c r="I2706" s="6">
        <v>8.0000002396172594</v>
      </c>
      <c r="J2706" s="3" t="s">
        <v>3356</v>
      </c>
      <c r="L2706" s="1" t="s">
        <v>6135</v>
      </c>
    </row>
    <row r="2707" spans="1:12">
      <c r="A2707" s="3" t="s">
        <v>3816</v>
      </c>
      <c r="C2707" s="3" t="s">
        <v>3817</v>
      </c>
      <c r="D2707" s="3" t="s">
        <v>7278</v>
      </c>
      <c r="E2707" s="3" t="s">
        <v>4905</v>
      </c>
      <c r="F2707" s="3" t="s">
        <v>7355</v>
      </c>
      <c r="G2707" s="3" t="s">
        <v>7356</v>
      </c>
      <c r="H2707" s="6">
        <v>0.84509999999999996</v>
      </c>
      <c r="I2707" s="6">
        <v>7.0000315913089688</v>
      </c>
      <c r="J2707" s="3" t="s">
        <v>3356</v>
      </c>
      <c r="L2707" s="1" t="s">
        <v>6135</v>
      </c>
    </row>
    <row r="2708" spans="1:12">
      <c r="A2708" s="3" t="s">
        <v>3816</v>
      </c>
      <c r="C2708" s="3" t="s">
        <v>3817</v>
      </c>
      <c r="D2708" s="3" t="s">
        <v>7278</v>
      </c>
      <c r="E2708" s="3" t="s">
        <v>4905</v>
      </c>
      <c r="F2708" s="3" t="s">
        <v>7355</v>
      </c>
      <c r="G2708" s="3" t="s">
        <v>7357</v>
      </c>
      <c r="H2708" s="6">
        <v>0.84509999999999996</v>
      </c>
      <c r="I2708" s="6">
        <v>7.0000315913089688</v>
      </c>
      <c r="J2708" s="3" t="s">
        <v>3356</v>
      </c>
      <c r="L2708" s="1" t="s">
        <v>6135</v>
      </c>
    </row>
    <row r="2709" spans="1:12">
      <c r="A2709" s="3" t="s">
        <v>3816</v>
      </c>
      <c r="C2709" s="3" t="s">
        <v>3817</v>
      </c>
      <c r="D2709" s="3" t="s">
        <v>7278</v>
      </c>
      <c r="E2709" s="3" t="s">
        <v>4905</v>
      </c>
      <c r="F2709" s="3" t="s">
        <v>7355</v>
      </c>
      <c r="G2709" s="3" t="s">
        <v>4375</v>
      </c>
      <c r="H2709" s="6">
        <v>0.84509999999999996</v>
      </c>
      <c r="I2709" s="6">
        <v>7.0000315913089688</v>
      </c>
      <c r="J2709" s="3" t="s">
        <v>3356</v>
      </c>
      <c r="L2709" s="1" t="s">
        <v>6135</v>
      </c>
    </row>
    <row r="2710" spans="1:12">
      <c r="A2710" s="3" t="s">
        <v>3816</v>
      </c>
      <c r="C2710" s="3" t="s">
        <v>3817</v>
      </c>
      <c r="D2710" s="3" t="s">
        <v>7278</v>
      </c>
      <c r="E2710" s="3" t="s">
        <v>4905</v>
      </c>
      <c r="F2710" s="3" t="s">
        <v>7355</v>
      </c>
      <c r="G2710" s="3" t="s">
        <v>7358</v>
      </c>
      <c r="H2710" s="6">
        <v>0.84509999999999996</v>
      </c>
      <c r="I2710" s="6">
        <v>7.0000315913089688</v>
      </c>
      <c r="J2710" s="3" t="s">
        <v>3356</v>
      </c>
      <c r="L2710" s="1" t="s">
        <v>6135</v>
      </c>
    </row>
    <row r="2711" spans="1:12">
      <c r="A2711" s="3" t="s">
        <v>3816</v>
      </c>
      <c r="C2711" s="3" t="s">
        <v>3817</v>
      </c>
      <c r="D2711" s="3" t="s">
        <v>7278</v>
      </c>
      <c r="E2711" s="3" t="s">
        <v>4905</v>
      </c>
      <c r="F2711" s="3" t="s">
        <v>7355</v>
      </c>
      <c r="G2711" s="3" t="s">
        <v>7359</v>
      </c>
      <c r="H2711" s="6">
        <v>0.69752000000000003</v>
      </c>
      <c r="I2711" s="6">
        <v>4.98333404543488</v>
      </c>
      <c r="J2711" s="3" t="s">
        <v>3356</v>
      </c>
      <c r="L2711" s="1" t="s">
        <v>6135</v>
      </c>
    </row>
    <row r="2712" spans="1:12">
      <c r="A2712" s="3" t="s">
        <v>3816</v>
      </c>
      <c r="C2712" s="3" t="s">
        <v>3817</v>
      </c>
      <c r="D2712" s="3" t="s">
        <v>7278</v>
      </c>
      <c r="E2712" s="3" t="s">
        <v>4905</v>
      </c>
      <c r="F2712" s="3" t="s">
        <v>4653</v>
      </c>
      <c r="G2712" s="3" t="s">
        <v>7405</v>
      </c>
      <c r="H2712" s="6">
        <v>1.3010299999999999</v>
      </c>
      <c r="I2712" s="6">
        <v>20.000000199681054</v>
      </c>
      <c r="J2712" s="3" t="s">
        <v>3356</v>
      </c>
      <c r="L2712" s="1" t="s">
        <v>6135</v>
      </c>
    </row>
    <row r="2713" spans="1:12">
      <c r="A2713" s="3" t="s">
        <v>3816</v>
      </c>
      <c r="C2713" s="3" t="s">
        <v>3817</v>
      </c>
      <c r="D2713" s="3" t="s">
        <v>7278</v>
      </c>
      <c r="E2713" s="3" t="s">
        <v>4905</v>
      </c>
      <c r="F2713" s="3" t="s">
        <v>7406</v>
      </c>
      <c r="G2713" s="3" t="s">
        <v>7198</v>
      </c>
      <c r="H2713" s="6">
        <v>0.64278999999999997</v>
      </c>
      <c r="I2713" s="6">
        <v>4.3932912960096422</v>
      </c>
      <c r="J2713" s="3" t="s">
        <v>3356</v>
      </c>
      <c r="L2713" s="1" t="s">
        <v>6135</v>
      </c>
    </row>
    <row r="2714" spans="1:12">
      <c r="A2714" s="3" t="s">
        <v>3816</v>
      </c>
      <c r="C2714" s="3" t="s">
        <v>3817</v>
      </c>
      <c r="D2714" s="3" t="s">
        <v>7278</v>
      </c>
      <c r="E2714" s="3" t="s">
        <v>4905</v>
      </c>
      <c r="F2714" s="3" t="s">
        <v>7199</v>
      </c>
      <c r="G2714" s="3" t="s">
        <v>7200</v>
      </c>
      <c r="H2714" s="6">
        <v>1.1461300000000001</v>
      </c>
      <c r="I2714" s="6">
        <v>14.000063322395309</v>
      </c>
      <c r="J2714" s="3" t="s">
        <v>3356</v>
      </c>
      <c r="L2714" s="1" t="s">
        <v>6135</v>
      </c>
    </row>
    <row r="2715" spans="1:12">
      <c r="A2715" s="3" t="s">
        <v>3816</v>
      </c>
      <c r="C2715" s="3" t="s">
        <v>3817</v>
      </c>
      <c r="D2715" s="3" t="s">
        <v>7278</v>
      </c>
      <c r="E2715" s="3" t="s">
        <v>4905</v>
      </c>
      <c r="F2715" s="3" t="s">
        <v>7199</v>
      </c>
      <c r="G2715" s="3" t="s">
        <v>7201</v>
      </c>
      <c r="H2715" s="6">
        <v>0.91115999999999997</v>
      </c>
      <c r="I2715" s="6">
        <v>8.150044874672961</v>
      </c>
      <c r="J2715" s="3" t="s">
        <v>3356</v>
      </c>
      <c r="L2715" s="1" t="s">
        <v>6135</v>
      </c>
    </row>
    <row r="2716" spans="1:12">
      <c r="A2716" s="3" t="s">
        <v>3816</v>
      </c>
      <c r="C2716" s="3" t="s">
        <v>3817</v>
      </c>
      <c r="D2716" s="3" t="s">
        <v>7278</v>
      </c>
      <c r="E2716" s="3" t="s">
        <v>4905</v>
      </c>
      <c r="F2716" s="3" t="s">
        <v>7199</v>
      </c>
      <c r="G2716" s="3" t="s">
        <v>4671</v>
      </c>
      <c r="H2716" s="6">
        <v>0.38020999999999999</v>
      </c>
      <c r="I2716" s="6">
        <v>2.3999931380578885</v>
      </c>
      <c r="J2716" s="3" t="s">
        <v>3356</v>
      </c>
      <c r="L2716" s="1" t="s">
        <v>6135</v>
      </c>
    </row>
    <row r="2717" spans="1:12">
      <c r="A2717" s="3" t="s">
        <v>3816</v>
      </c>
      <c r="C2717" s="3" t="s">
        <v>3817</v>
      </c>
      <c r="D2717" s="3" t="s">
        <v>7278</v>
      </c>
      <c r="E2717" s="3" t="s">
        <v>4905</v>
      </c>
      <c r="F2717" s="3" t="s">
        <v>7199</v>
      </c>
      <c r="G2717" s="3" t="s">
        <v>4823</v>
      </c>
      <c r="H2717" s="6">
        <v>1.2068300000000001</v>
      </c>
      <c r="I2717" s="6">
        <v>16.100152882906027</v>
      </c>
      <c r="J2717" s="3" t="s">
        <v>3356</v>
      </c>
      <c r="L2717" s="1" t="s">
        <v>6135</v>
      </c>
    </row>
    <row r="2718" spans="1:12">
      <c r="A2718" s="3" t="s">
        <v>3816</v>
      </c>
      <c r="C2718" s="3" t="s">
        <v>3817</v>
      </c>
      <c r="D2718" s="3" t="s">
        <v>7278</v>
      </c>
      <c r="E2718" s="3" t="s">
        <v>4905</v>
      </c>
      <c r="F2718" s="3" t="s">
        <v>7199</v>
      </c>
      <c r="G2718" s="3" t="s">
        <v>4485</v>
      </c>
      <c r="H2718" s="6">
        <v>0.66822999999999999</v>
      </c>
      <c r="I2718" s="6">
        <v>4.6583273069369167</v>
      </c>
      <c r="J2718" s="3" t="s">
        <v>3356</v>
      </c>
      <c r="L2718" s="1" t="s">
        <v>6135</v>
      </c>
    </row>
    <row r="2719" spans="1:12">
      <c r="A2719" s="3" t="s">
        <v>3816</v>
      </c>
      <c r="C2719" s="3" t="s">
        <v>3817</v>
      </c>
      <c r="D2719" s="3" t="s">
        <v>7278</v>
      </c>
      <c r="E2719" s="3" t="s">
        <v>4905</v>
      </c>
      <c r="F2719" s="3" t="s">
        <v>7199</v>
      </c>
      <c r="G2719" s="3" t="s">
        <v>4824</v>
      </c>
      <c r="H2719" s="6">
        <v>0.69896999999999998</v>
      </c>
      <c r="I2719" s="6">
        <v>4.9999999500797392</v>
      </c>
      <c r="J2719" s="3" t="s">
        <v>3356</v>
      </c>
      <c r="L2719" s="1" t="s">
        <v>6135</v>
      </c>
    </row>
    <row r="2720" spans="1:12">
      <c r="A2720" s="3" t="s">
        <v>3816</v>
      </c>
      <c r="C2720" s="3" t="s">
        <v>3817</v>
      </c>
      <c r="D2720" s="3" t="s">
        <v>7278</v>
      </c>
      <c r="E2720" s="3" t="s">
        <v>4905</v>
      </c>
      <c r="F2720" s="3" t="s">
        <v>7199</v>
      </c>
      <c r="G2720" s="3" t="s">
        <v>4825</v>
      </c>
      <c r="H2720" s="6">
        <v>0.84509999999999996</v>
      </c>
      <c r="I2720" s="6">
        <v>7.0000315913089688</v>
      </c>
      <c r="J2720" s="3" t="s">
        <v>3356</v>
      </c>
      <c r="L2720" s="1" t="s">
        <v>6135</v>
      </c>
    </row>
    <row r="2721" spans="1:12">
      <c r="A2721" s="3" t="s">
        <v>3816</v>
      </c>
      <c r="C2721" s="3" t="s">
        <v>3817</v>
      </c>
      <c r="D2721" s="3" t="s">
        <v>7278</v>
      </c>
      <c r="E2721" s="3" t="s">
        <v>4905</v>
      </c>
      <c r="F2721" s="3" t="s">
        <v>7199</v>
      </c>
      <c r="G2721" s="3" t="s">
        <v>2046</v>
      </c>
      <c r="H2721" s="6">
        <v>0.88649</v>
      </c>
      <c r="I2721" s="6">
        <v>7.6999871427713664</v>
      </c>
      <c r="J2721" s="3" t="s">
        <v>3356</v>
      </c>
      <c r="L2721" s="1" t="s">
        <v>6135</v>
      </c>
    </row>
    <row r="2722" spans="1:12">
      <c r="A2722" s="3" t="s">
        <v>3816</v>
      </c>
      <c r="C2722" s="3" t="s">
        <v>3817</v>
      </c>
      <c r="D2722" s="3" t="s">
        <v>7278</v>
      </c>
      <c r="E2722" s="3" t="s">
        <v>4905</v>
      </c>
      <c r="F2722" s="3" t="s">
        <v>7199</v>
      </c>
      <c r="G2722" s="3" t="s">
        <v>4999</v>
      </c>
      <c r="H2722" s="6">
        <v>0.46089999999999998</v>
      </c>
      <c r="I2722" s="6">
        <v>2.8900143553494697</v>
      </c>
      <c r="J2722" s="3" t="s">
        <v>3356</v>
      </c>
      <c r="L2722" s="1" t="s">
        <v>6135</v>
      </c>
    </row>
    <row r="2723" spans="1:12">
      <c r="A2723" s="3" t="s">
        <v>3816</v>
      </c>
      <c r="C2723" s="3" t="s">
        <v>3817</v>
      </c>
      <c r="D2723" s="3" t="s">
        <v>7278</v>
      </c>
      <c r="E2723" s="3" t="s">
        <v>4905</v>
      </c>
      <c r="F2723" s="3" t="s">
        <v>7199</v>
      </c>
      <c r="G2723" s="3" t="s">
        <v>2464</v>
      </c>
      <c r="H2723" s="6">
        <v>0.41077999999999998</v>
      </c>
      <c r="I2723" s="6">
        <v>2.5750164037920658</v>
      </c>
      <c r="J2723" s="3" t="s">
        <v>3356</v>
      </c>
      <c r="L2723" s="1" t="s">
        <v>6135</v>
      </c>
    </row>
    <row r="2724" spans="1:12">
      <c r="A2724" s="3" t="s">
        <v>3816</v>
      </c>
      <c r="C2724" s="3" t="s">
        <v>3817</v>
      </c>
      <c r="D2724" s="3" t="s">
        <v>7278</v>
      </c>
      <c r="E2724" s="3" t="s">
        <v>4905</v>
      </c>
      <c r="F2724" s="3" t="s">
        <v>7199</v>
      </c>
      <c r="G2724" s="3" t="s">
        <v>2428</v>
      </c>
      <c r="H2724" s="6">
        <v>0.55327999999999999</v>
      </c>
      <c r="I2724" s="6">
        <v>3.5750325473263018</v>
      </c>
      <c r="J2724" s="3" t="s">
        <v>3356</v>
      </c>
      <c r="L2724" s="1" t="s">
        <v>6135</v>
      </c>
    </row>
    <row r="2725" spans="1:12">
      <c r="A2725" s="3" t="s">
        <v>3816</v>
      </c>
      <c r="C2725" s="3" t="s">
        <v>3817</v>
      </c>
      <c r="D2725" s="3" t="s">
        <v>7278</v>
      </c>
      <c r="E2725" s="3" t="s">
        <v>4905</v>
      </c>
      <c r="F2725" s="3" t="s">
        <v>7199</v>
      </c>
      <c r="G2725" s="3" t="s">
        <v>2417</v>
      </c>
      <c r="H2725" s="6">
        <v>0.69896999999999998</v>
      </c>
      <c r="I2725" s="6">
        <v>4.9999999500797392</v>
      </c>
      <c r="J2725" s="3" t="s">
        <v>3356</v>
      </c>
      <c r="L2725" s="1" t="s">
        <v>6135</v>
      </c>
    </row>
    <row r="2726" spans="1:12">
      <c r="A2726" s="3" t="s">
        <v>3816</v>
      </c>
      <c r="C2726" s="3" t="s">
        <v>3817</v>
      </c>
      <c r="D2726" s="3" t="s">
        <v>7278</v>
      </c>
      <c r="E2726" s="3" t="s">
        <v>4905</v>
      </c>
      <c r="F2726" s="3" t="s">
        <v>7199</v>
      </c>
      <c r="G2726" s="3" t="s">
        <v>4984</v>
      </c>
      <c r="H2726" s="6">
        <v>0.84509999999999996</v>
      </c>
      <c r="I2726" s="6">
        <v>7.0000315913089688</v>
      </c>
      <c r="J2726" s="3" t="s">
        <v>3356</v>
      </c>
      <c r="L2726" s="1" t="s">
        <v>6135</v>
      </c>
    </row>
    <row r="2727" spans="1:12">
      <c r="A2727" s="3" t="s">
        <v>3816</v>
      </c>
      <c r="C2727" s="3" t="s">
        <v>3817</v>
      </c>
      <c r="D2727" s="3" t="s">
        <v>7278</v>
      </c>
      <c r="E2727" s="3" t="s">
        <v>4905</v>
      </c>
      <c r="F2727" s="3" t="s">
        <v>7199</v>
      </c>
      <c r="G2727" s="3" t="s">
        <v>2222</v>
      </c>
      <c r="H2727" s="6">
        <v>0.77085000000000004</v>
      </c>
      <c r="I2727" s="6">
        <v>5.8999726713977338</v>
      </c>
      <c r="J2727" s="3" t="s">
        <v>3356</v>
      </c>
      <c r="L2727" s="1" t="s">
        <v>6135</v>
      </c>
    </row>
    <row r="2728" spans="1:12">
      <c r="A2728" s="3" t="s">
        <v>3816</v>
      </c>
      <c r="C2728" s="3" t="s">
        <v>3817</v>
      </c>
      <c r="D2728" s="3" t="s">
        <v>7278</v>
      </c>
      <c r="E2728" s="3" t="s">
        <v>4905</v>
      </c>
      <c r="F2728" s="3" t="s">
        <v>7199</v>
      </c>
      <c r="G2728" s="3" t="s">
        <v>2223</v>
      </c>
      <c r="H2728" s="6">
        <v>0.84509999999999996</v>
      </c>
      <c r="I2728" s="6">
        <v>7.0000315913089688</v>
      </c>
      <c r="J2728" s="3" t="s">
        <v>3356</v>
      </c>
      <c r="L2728" s="1" t="s">
        <v>6135</v>
      </c>
    </row>
    <row r="2729" spans="1:12">
      <c r="A2729" s="3" t="s">
        <v>3816</v>
      </c>
      <c r="C2729" s="3" t="s">
        <v>3817</v>
      </c>
      <c r="D2729" s="3" t="s">
        <v>7278</v>
      </c>
      <c r="E2729" s="3" t="s">
        <v>4905</v>
      </c>
      <c r="F2729" s="3" t="s">
        <v>7199</v>
      </c>
      <c r="G2729" s="3" t="s">
        <v>2414</v>
      </c>
      <c r="H2729" s="6">
        <v>0.72016000000000002</v>
      </c>
      <c r="I2729" s="6">
        <v>5.2500084208338169</v>
      </c>
      <c r="J2729" s="3" t="s">
        <v>3356</v>
      </c>
      <c r="L2729" s="1" t="s">
        <v>6135</v>
      </c>
    </row>
    <row r="2730" spans="1:12">
      <c r="A2730" s="3" t="s">
        <v>3816</v>
      </c>
      <c r="C2730" s="3" t="s">
        <v>3817</v>
      </c>
      <c r="D2730" s="3" t="s">
        <v>7278</v>
      </c>
      <c r="E2730" s="3" t="s">
        <v>4905</v>
      </c>
      <c r="F2730" s="3" t="s">
        <v>7199</v>
      </c>
      <c r="G2730" s="3" t="s">
        <v>2177</v>
      </c>
      <c r="H2730" s="6">
        <v>0.38020999999999999</v>
      </c>
      <c r="I2730" s="6">
        <v>2.3999931380578885</v>
      </c>
      <c r="J2730" s="3" t="s">
        <v>3356</v>
      </c>
      <c r="L2730" s="1" t="s">
        <v>6135</v>
      </c>
    </row>
    <row r="2731" spans="1:12">
      <c r="A2731" s="3" t="s">
        <v>3816</v>
      </c>
      <c r="C2731" s="3" t="s">
        <v>3817</v>
      </c>
      <c r="D2731" s="3" t="s">
        <v>7278</v>
      </c>
      <c r="E2731" s="3" t="s">
        <v>4905</v>
      </c>
      <c r="F2731" s="3" t="s">
        <v>7199</v>
      </c>
      <c r="G2731" s="3" t="s">
        <v>2426</v>
      </c>
      <c r="H2731" s="6">
        <v>0.84509999999999996</v>
      </c>
      <c r="I2731" s="6">
        <v>7.0000315913089688</v>
      </c>
      <c r="J2731" s="3" t="s">
        <v>3356</v>
      </c>
      <c r="L2731" s="1" t="s">
        <v>6135</v>
      </c>
    </row>
    <row r="2732" spans="1:12">
      <c r="A2732" s="3" t="s">
        <v>3816</v>
      </c>
      <c r="C2732" s="3" t="s">
        <v>3817</v>
      </c>
      <c r="D2732" s="3" t="s">
        <v>7278</v>
      </c>
      <c r="E2732" s="3" t="s">
        <v>4905</v>
      </c>
      <c r="F2732" s="3" t="s">
        <v>7199</v>
      </c>
      <c r="G2732" s="3" t="s">
        <v>4907</v>
      </c>
      <c r="H2732" s="6">
        <v>0.69767000000000001</v>
      </c>
      <c r="I2732" s="6">
        <v>4.9850555253097726</v>
      </c>
      <c r="J2732" s="3" t="s">
        <v>3356</v>
      </c>
      <c r="L2732" s="1" t="s">
        <v>6135</v>
      </c>
    </row>
    <row r="2733" spans="1:12">
      <c r="A2733" s="3" t="s">
        <v>3816</v>
      </c>
      <c r="C2733" s="3" t="s">
        <v>3817</v>
      </c>
      <c r="D2733" s="3" t="s">
        <v>7278</v>
      </c>
      <c r="E2733" s="3" t="s">
        <v>4905</v>
      </c>
      <c r="F2733" s="3" t="s">
        <v>7199</v>
      </c>
      <c r="G2733" s="3" t="s">
        <v>2182</v>
      </c>
      <c r="H2733" s="6">
        <v>1.1287199999999999</v>
      </c>
      <c r="I2733" s="6">
        <v>13.44992925475152</v>
      </c>
      <c r="J2733" s="3" t="s">
        <v>3356</v>
      </c>
      <c r="L2733" s="1" t="s">
        <v>6135</v>
      </c>
    </row>
    <row r="2734" spans="1:12">
      <c r="A2734" s="3" t="s">
        <v>3816</v>
      </c>
      <c r="C2734" s="3" t="s">
        <v>3817</v>
      </c>
      <c r="D2734" s="3" t="s">
        <v>7278</v>
      </c>
      <c r="E2734" s="3" t="s">
        <v>4905</v>
      </c>
      <c r="F2734" s="3" t="s">
        <v>7199</v>
      </c>
      <c r="G2734" s="3" t="s">
        <v>2465</v>
      </c>
      <c r="H2734" s="6">
        <v>0.49136000000000002</v>
      </c>
      <c r="I2734" s="6">
        <v>3.0999879094111846</v>
      </c>
      <c r="J2734" s="3" t="s">
        <v>3356</v>
      </c>
      <c r="L2734" s="1" t="s">
        <v>6135</v>
      </c>
    </row>
    <row r="2735" spans="1:12">
      <c r="A2735" s="3" t="s">
        <v>3816</v>
      </c>
      <c r="C2735" s="3" t="s">
        <v>3817</v>
      </c>
      <c r="D2735" s="3" t="s">
        <v>7278</v>
      </c>
      <c r="E2735" s="3" t="s">
        <v>4905</v>
      </c>
      <c r="F2735" s="3" t="s">
        <v>7199</v>
      </c>
      <c r="G2735" s="3" t="s">
        <v>5004</v>
      </c>
      <c r="H2735" s="6">
        <v>0.66744999999999999</v>
      </c>
      <c r="I2735" s="6">
        <v>4.6499683834536754</v>
      </c>
      <c r="J2735" s="3" t="s">
        <v>3356</v>
      </c>
      <c r="L2735" s="1" t="s">
        <v>6135</v>
      </c>
    </row>
    <row r="2736" spans="1:12">
      <c r="A2736" s="3" t="s">
        <v>3816</v>
      </c>
      <c r="C2736" s="3" t="s">
        <v>3817</v>
      </c>
      <c r="D2736" s="3" t="s">
        <v>7278</v>
      </c>
      <c r="E2736" s="3" t="s">
        <v>4905</v>
      </c>
      <c r="F2736" s="3" t="s">
        <v>7199</v>
      </c>
      <c r="G2736" s="3" t="s">
        <v>2425</v>
      </c>
      <c r="H2736" s="6">
        <v>0.84509999999999996</v>
      </c>
      <c r="I2736" s="6">
        <v>7.0000315913089688</v>
      </c>
      <c r="J2736" s="3" t="s">
        <v>3356</v>
      </c>
      <c r="L2736" s="1" t="s">
        <v>6135</v>
      </c>
    </row>
    <row r="2737" spans="1:12">
      <c r="A2737" s="3" t="s">
        <v>3816</v>
      </c>
      <c r="C2737" s="3" t="s">
        <v>3817</v>
      </c>
      <c r="D2737" s="3" t="s">
        <v>7278</v>
      </c>
      <c r="E2737" s="3" t="s">
        <v>4905</v>
      </c>
      <c r="F2737" s="3" t="s">
        <v>7199</v>
      </c>
      <c r="G2737" s="3" t="s">
        <v>2445</v>
      </c>
      <c r="H2737" s="6">
        <v>0.84509999999999996</v>
      </c>
      <c r="I2737" s="6">
        <v>7.0000315913089688</v>
      </c>
      <c r="J2737" s="3" t="s">
        <v>3356</v>
      </c>
      <c r="L2737" s="1" t="s">
        <v>6135</v>
      </c>
    </row>
    <row r="2738" spans="1:12">
      <c r="A2738" s="3" t="s">
        <v>3816</v>
      </c>
      <c r="C2738" s="3" t="s">
        <v>3817</v>
      </c>
      <c r="D2738" s="3" t="s">
        <v>7278</v>
      </c>
      <c r="E2738" s="3" t="s">
        <v>4905</v>
      </c>
      <c r="F2738" s="3" t="s">
        <v>7199</v>
      </c>
      <c r="G2738" s="3" t="s">
        <v>2446</v>
      </c>
      <c r="H2738" s="6">
        <v>0.57403000000000004</v>
      </c>
      <c r="I2738" s="6">
        <v>3.7499890535749247</v>
      </c>
      <c r="J2738" s="3" t="s">
        <v>3356</v>
      </c>
      <c r="L2738" s="1" t="s">
        <v>6135</v>
      </c>
    </row>
    <row r="2739" spans="1:12">
      <c r="A2739" s="3" t="s">
        <v>3816</v>
      </c>
      <c r="C2739" s="3" t="s">
        <v>3817</v>
      </c>
      <c r="D2739" s="3" t="s">
        <v>7278</v>
      </c>
      <c r="E2739" s="3" t="s">
        <v>4905</v>
      </c>
      <c r="F2739" s="3" t="s">
        <v>7199</v>
      </c>
      <c r="G2739" s="3" t="s">
        <v>2309</v>
      </c>
      <c r="H2739" s="6">
        <v>0.57977999999999996</v>
      </c>
      <c r="I2739" s="6">
        <v>3.7999685303685498</v>
      </c>
      <c r="J2739" s="3" t="s">
        <v>3356</v>
      </c>
      <c r="L2739" s="1" t="s">
        <v>6135</v>
      </c>
    </row>
    <row r="2740" spans="1:12">
      <c r="A2740" s="3" t="s">
        <v>3816</v>
      </c>
      <c r="C2740" s="3" t="s">
        <v>3817</v>
      </c>
      <c r="D2740" s="3" t="s">
        <v>7278</v>
      </c>
      <c r="E2740" s="3" t="s">
        <v>4905</v>
      </c>
      <c r="F2740" s="3" t="s">
        <v>7199</v>
      </c>
      <c r="G2740" s="3" t="s">
        <v>2194</v>
      </c>
      <c r="H2740" s="6">
        <v>0.64566999999999997</v>
      </c>
      <c r="I2740" s="6">
        <v>4.42252197962162</v>
      </c>
      <c r="J2740" s="3" t="s">
        <v>3356</v>
      </c>
      <c r="L2740" s="1" t="s">
        <v>6135</v>
      </c>
    </row>
    <row r="2741" spans="1:12">
      <c r="A2741" s="3" t="s">
        <v>3816</v>
      </c>
      <c r="C2741" s="3" t="s">
        <v>3817</v>
      </c>
      <c r="D2741" s="3" t="s">
        <v>7278</v>
      </c>
      <c r="E2741" s="3" t="s">
        <v>4905</v>
      </c>
      <c r="F2741" s="3" t="s">
        <v>7199</v>
      </c>
      <c r="G2741" s="3" t="s">
        <v>2214</v>
      </c>
      <c r="H2741" s="6">
        <v>0.84509999999999996</v>
      </c>
      <c r="I2741" s="6">
        <v>7.0000315913089688</v>
      </c>
      <c r="J2741" s="3" t="s">
        <v>3356</v>
      </c>
      <c r="L2741" s="1" t="s">
        <v>6135</v>
      </c>
    </row>
    <row r="2742" spans="1:12">
      <c r="A2742" s="3" t="s">
        <v>3816</v>
      </c>
      <c r="C2742" s="3" t="s">
        <v>3817</v>
      </c>
      <c r="D2742" s="3" t="s">
        <v>7278</v>
      </c>
      <c r="E2742" s="3" t="s">
        <v>4905</v>
      </c>
      <c r="F2742" s="3" t="s">
        <v>7199</v>
      </c>
      <c r="G2742" s="3" t="s">
        <v>2215</v>
      </c>
      <c r="H2742" s="6">
        <v>0.87505999999999995</v>
      </c>
      <c r="I2742" s="6">
        <v>7.4999781820300226</v>
      </c>
      <c r="J2742" s="3" t="s">
        <v>3356</v>
      </c>
      <c r="L2742" s="1" t="s">
        <v>6135</v>
      </c>
    </row>
    <row r="2743" spans="1:12">
      <c r="A2743" s="3" t="s">
        <v>3816</v>
      </c>
      <c r="C2743" s="3" t="s">
        <v>3817</v>
      </c>
      <c r="D2743" s="3" t="s">
        <v>7278</v>
      </c>
      <c r="E2743" s="3" t="s">
        <v>2180</v>
      </c>
      <c r="F2743" s="3" t="s">
        <v>2188</v>
      </c>
      <c r="G2743" s="3" t="s">
        <v>2461</v>
      </c>
      <c r="H2743" s="6">
        <v>1.61805</v>
      </c>
      <c r="I2743" s="6">
        <v>41.500181873416615</v>
      </c>
      <c r="J2743" s="3" t="s">
        <v>3356</v>
      </c>
      <c r="L2743" s="1" t="s">
        <v>6135</v>
      </c>
    </row>
    <row r="2744" spans="1:12">
      <c r="A2744" s="3" t="s">
        <v>3816</v>
      </c>
      <c r="C2744" s="3" t="s">
        <v>3817</v>
      </c>
      <c r="D2744" s="3" t="s">
        <v>7278</v>
      </c>
      <c r="E2744" s="3" t="s">
        <v>2180</v>
      </c>
      <c r="F2744" s="3" t="s">
        <v>4981</v>
      </c>
      <c r="G2744" s="3" t="s">
        <v>4982</v>
      </c>
      <c r="H2744" s="6">
        <v>0.94938999999999996</v>
      </c>
      <c r="I2744" s="6">
        <v>8.8999998638257569</v>
      </c>
      <c r="J2744" s="3" t="s">
        <v>3356</v>
      </c>
      <c r="L2744" s="1" t="s">
        <v>6135</v>
      </c>
    </row>
    <row r="2745" spans="1:12">
      <c r="A2745" s="3" t="s">
        <v>3816</v>
      </c>
      <c r="C2745" s="3" t="s">
        <v>3817</v>
      </c>
      <c r="D2745" s="3" t="s">
        <v>7278</v>
      </c>
      <c r="E2745" s="3" t="s">
        <v>2180</v>
      </c>
      <c r="F2745" s="3" t="s">
        <v>2493</v>
      </c>
      <c r="G2745" s="3" t="s">
        <v>2334</v>
      </c>
      <c r="H2745" s="6">
        <v>1.70757</v>
      </c>
      <c r="I2745" s="6">
        <v>50.999979320499577</v>
      </c>
      <c r="J2745" s="3" t="s">
        <v>3356</v>
      </c>
      <c r="L2745" s="1" t="s">
        <v>6135</v>
      </c>
    </row>
    <row r="2746" spans="1:12">
      <c r="A2746" s="3" t="s">
        <v>3816</v>
      </c>
      <c r="C2746" s="3" t="s">
        <v>3817</v>
      </c>
      <c r="D2746" s="3" t="s">
        <v>7278</v>
      </c>
      <c r="E2746" s="3" t="s">
        <v>2180</v>
      </c>
      <c r="F2746" s="3" t="s">
        <v>7107</v>
      </c>
      <c r="G2746" s="3" t="s">
        <v>3953</v>
      </c>
      <c r="H2746" s="6">
        <v>1.96027</v>
      </c>
      <c r="I2746" s="6">
        <v>91.257801093445721</v>
      </c>
      <c r="J2746" s="3" t="s">
        <v>3356</v>
      </c>
      <c r="L2746" s="1" t="s">
        <v>6135</v>
      </c>
    </row>
    <row r="2747" spans="1:12">
      <c r="A2747" s="3" t="s">
        <v>3816</v>
      </c>
      <c r="C2747" s="3" t="s">
        <v>3817</v>
      </c>
      <c r="D2747" s="3" t="s">
        <v>7278</v>
      </c>
      <c r="E2747" s="3" t="s">
        <v>2180</v>
      </c>
      <c r="F2747" s="3" t="s">
        <v>4241</v>
      </c>
      <c r="G2747" s="3" t="s">
        <v>4242</v>
      </c>
      <c r="H2747" s="6">
        <v>1.7403599999999999</v>
      </c>
      <c r="I2747" s="6">
        <v>54.999659397640222</v>
      </c>
      <c r="J2747" s="3" t="s">
        <v>3356</v>
      </c>
      <c r="L2747" s="1" t="s">
        <v>6135</v>
      </c>
    </row>
    <row r="2748" spans="1:12">
      <c r="A2748" s="3" t="s">
        <v>3816</v>
      </c>
      <c r="C2748" s="3" t="s">
        <v>3817</v>
      </c>
      <c r="D2748" s="3" t="s">
        <v>7278</v>
      </c>
      <c r="E2748" s="3" t="s">
        <v>2180</v>
      </c>
      <c r="F2748" s="3" t="s">
        <v>4241</v>
      </c>
      <c r="G2748" s="3" t="s">
        <v>5147</v>
      </c>
      <c r="H2748" s="6">
        <v>1.7867500000000001</v>
      </c>
      <c r="I2748" s="6">
        <v>61.199799594124578</v>
      </c>
      <c r="J2748" s="3" t="s">
        <v>3356</v>
      </c>
      <c r="L2748" s="1" t="s">
        <v>6135</v>
      </c>
    </row>
    <row r="2749" spans="1:12">
      <c r="A2749" s="3" t="s">
        <v>3816</v>
      </c>
      <c r="C2749" s="3" t="s">
        <v>3817</v>
      </c>
      <c r="D2749" s="3" t="s">
        <v>7278</v>
      </c>
      <c r="E2749" s="3" t="s">
        <v>2180</v>
      </c>
      <c r="F2749" s="3" t="s">
        <v>4241</v>
      </c>
      <c r="G2749" s="3" t="s">
        <v>5148</v>
      </c>
      <c r="H2749" s="6">
        <v>2.15137</v>
      </c>
      <c r="I2749" s="6">
        <v>141.70004886071422</v>
      </c>
      <c r="J2749" s="3" t="s">
        <v>3356</v>
      </c>
      <c r="L2749" s="1" t="s">
        <v>6135</v>
      </c>
    </row>
    <row r="2750" spans="1:12">
      <c r="A2750" s="3" t="s">
        <v>3816</v>
      </c>
      <c r="C2750" s="3" t="s">
        <v>3817</v>
      </c>
      <c r="D2750" s="3" t="s">
        <v>7345</v>
      </c>
      <c r="E2750" s="3" t="s">
        <v>7346</v>
      </c>
      <c r="F2750" s="3" t="s">
        <v>4564</v>
      </c>
      <c r="G2750" s="3" t="s">
        <v>4209</v>
      </c>
      <c r="H2750" s="6">
        <v>2.6246299999999998</v>
      </c>
      <c r="I2750" s="6">
        <v>421.33738935453766</v>
      </c>
      <c r="J2750" s="3" t="s">
        <v>3356</v>
      </c>
      <c r="L2750" s="1" t="s">
        <v>6135</v>
      </c>
    </row>
    <row r="2751" spans="1:12">
      <c r="A2751" s="3" t="s">
        <v>3816</v>
      </c>
      <c r="C2751" s="3" t="s">
        <v>3817</v>
      </c>
      <c r="D2751" s="3" t="s">
        <v>7345</v>
      </c>
      <c r="E2751" s="3" t="s">
        <v>7346</v>
      </c>
      <c r="F2751" s="3" t="s">
        <v>7340</v>
      </c>
      <c r="G2751" s="3" t="s">
        <v>4087</v>
      </c>
      <c r="H2751" s="6">
        <v>3.5664400000000001</v>
      </c>
      <c r="I2751" s="6">
        <v>3685.0212788516405</v>
      </c>
      <c r="J2751" s="3" t="s">
        <v>3356</v>
      </c>
      <c r="L2751" s="1" t="s">
        <v>6135</v>
      </c>
    </row>
    <row r="2752" spans="1:12">
      <c r="A2752" s="3" t="s">
        <v>3816</v>
      </c>
      <c r="C2752" s="3" t="s">
        <v>3817</v>
      </c>
      <c r="D2752" s="3" t="s">
        <v>7345</v>
      </c>
      <c r="E2752" s="3" t="s">
        <v>7346</v>
      </c>
      <c r="F2752" s="3" t="s">
        <v>7340</v>
      </c>
      <c r="G2752" s="3" t="s">
        <v>7461</v>
      </c>
      <c r="H2752" s="6">
        <v>3.2330000000000001</v>
      </c>
      <c r="I2752" s="6">
        <v>1710.0153150902886</v>
      </c>
      <c r="J2752" s="3" t="s">
        <v>3356</v>
      </c>
      <c r="L2752" s="1" t="s">
        <v>6135</v>
      </c>
    </row>
    <row r="2753" spans="1:12">
      <c r="A2753" s="3" t="s">
        <v>3816</v>
      </c>
      <c r="C2753" s="3" t="s">
        <v>3817</v>
      </c>
      <c r="D2753" s="3" t="s">
        <v>7345</v>
      </c>
      <c r="E2753" s="3" t="s">
        <v>7346</v>
      </c>
      <c r="F2753" s="3" t="s">
        <v>7340</v>
      </c>
      <c r="G2753" s="3" t="s">
        <v>7201</v>
      </c>
      <c r="H2753" s="6">
        <v>3.6439499999999998</v>
      </c>
      <c r="I2753" s="6">
        <v>4405.0414567309508</v>
      </c>
      <c r="J2753" s="3" t="s">
        <v>3356</v>
      </c>
      <c r="L2753" s="1" t="s">
        <v>6135</v>
      </c>
    </row>
    <row r="2754" spans="1:12">
      <c r="A2754" s="3" t="s">
        <v>3816</v>
      </c>
      <c r="C2754" s="3" t="s">
        <v>3817</v>
      </c>
      <c r="D2754" s="3" t="s">
        <v>7345</v>
      </c>
      <c r="E2754" s="3" t="s">
        <v>7346</v>
      </c>
      <c r="F2754" s="3" t="s">
        <v>7340</v>
      </c>
      <c r="G2754" s="3" t="s">
        <v>4404</v>
      </c>
      <c r="H2754" s="6">
        <v>3.3842599999999998</v>
      </c>
      <c r="I2754" s="6">
        <v>2422.4788832833456</v>
      </c>
      <c r="J2754" s="3" t="s">
        <v>3356</v>
      </c>
      <c r="L2754" s="1" t="s">
        <v>6135</v>
      </c>
    </row>
    <row r="2755" spans="1:12">
      <c r="A2755" s="3" t="s">
        <v>3816</v>
      </c>
      <c r="C2755" s="3" t="s">
        <v>3817</v>
      </c>
      <c r="D2755" s="3" t="s">
        <v>7345</v>
      </c>
      <c r="E2755" s="3" t="s">
        <v>7346</v>
      </c>
      <c r="F2755" s="3" t="s">
        <v>7340</v>
      </c>
      <c r="G2755" s="3" t="s">
        <v>4405</v>
      </c>
      <c r="H2755" s="6">
        <v>3.3979400000000002</v>
      </c>
      <c r="I2755" s="6">
        <v>2499.9999500797412</v>
      </c>
      <c r="J2755" s="3" t="s">
        <v>3356</v>
      </c>
      <c r="L2755" s="1" t="s">
        <v>6135</v>
      </c>
    </row>
    <row r="2756" spans="1:12">
      <c r="A2756" s="3" t="s">
        <v>3816</v>
      </c>
      <c r="C2756" s="3" t="s">
        <v>3817</v>
      </c>
      <c r="D2756" s="3" t="s">
        <v>7345</v>
      </c>
      <c r="E2756" s="3" t="s">
        <v>7346</v>
      </c>
      <c r="F2756" s="3" t="s">
        <v>7340</v>
      </c>
      <c r="G2756" s="3" t="s">
        <v>2228</v>
      </c>
      <c r="H2756" s="6">
        <v>3.4771200000000002</v>
      </c>
      <c r="I2756" s="6">
        <v>2999.9913327161544</v>
      </c>
      <c r="J2756" s="3" t="s">
        <v>3356</v>
      </c>
      <c r="L2756" s="1" t="s">
        <v>6135</v>
      </c>
    </row>
    <row r="2757" spans="1:12">
      <c r="A2757" s="3" t="s">
        <v>3816</v>
      </c>
      <c r="C2757" s="3" t="s">
        <v>3817</v>
      </c>
      <c r="D2757" s="3" t="s">
        <v>7345</v>
      </c>
      <c r="E2757" s="3" t="s">
        <v>7346</v>
      </c>
      <c r="F2757" s="3" t="s">
        <v>7340</v>
      </c>
      <c r="G2757" s="3" t="s">
        <v>2229</v>
      </c>
      <c r="H2757" s="6">
        <v>3.6817799999999998</v>
      </c>
      <c r="I2757" s="6">
        <v>4805.9583196036374</v>
      </c>
      <c r="J2757" s="3" t="s">
        <v>3356</v>
      </c>
      <c r="L2757" s="1" t="s">
        <v>6135</v>
      </c>
    </row>
    <row r="2758" spans="1:12">
      <c r="A2758" s="3" t="s">
        <v>3816</v>
      </c>
      <c r="C2758" s="3" t="s">
        <v>3817</v>
      </c>
      <c r="D2758" s="3" t="s">
        <v>7345</v>
      </c>
      <c r="E2758" s="3" t="s">
        <v>7346</v>
      </c>
      <c r="F2758" s="3" t="s">
        <v>7340</v>
      </c>
      <c r="G2758" s="3" t="s">
        <v>5148</v>
      </c>
      <c r="H2758" s="6">
        <v>3.1917300000000002</v>
      </c>
      <c r="I2758" s="6">
        <v>1554.998591557136</v>
      </c>
      <c r="J2758" s="3" t="s">
        <v>3356</v>
      </c>
      <c r="L2758" s="1" t="s">
        <v>6135</v>
      </c>
    </row>
    <row r="2759" spans="1:12">
      <c r="A2759" s="3" t="s">
        <v>3816</v>
      </c>
      <c r="C2759" s="3" t="s">
        <v>3817</v>
      </c>
      <c r="D2759" s="3" t="s">
        <v>7345</v>
      </c>
      <c r="E2759" s="3" t="s">
        <v>7346</v>
      </c>
      <c r="F2759" s="3" t="s">
        <v>2087</v>
      </c>
      <c r="G2759" s="3" t="s">
        <v>2088</v>
      </c>
      <c r="H2759" s="6">
        <v>2.6781999999999999</v>
      </c>
      <c r="I2759" s="6">
        <v>476.65044191055466</v>
      </c>
      <c r="J2759" s="3" t="s">
        <v>3356</v>
      </c>
      <c r="L2759" s="1" t="s">
        <v>6135</v>
      </c>
    </row>
    <row r="2760" spans="1:12">
      <c r="A2760" s="3" t="s">
        <v>3816</v>
      </c>
      <c r="C2760" s="3" t="s">
        <v>3817</v>
      </c>
      <c r="D2760" s="3" t="s">
        <v>7345</v>
      </c>
      <c r="E2760" s="3" t="s">
        <v>7346</v>
      </c>
      <c r="F2760" s="3" t="s">
        <v>2089</v>
      </c>
      <c r="G2760" s="3" t="s">
        <v>3953</v>
      </c>
      <c r="H2760" s="6">
        <v>3.3295599999999999</v>
      </c>
      <c r="I2760" s="6">
        <v>2135.7971369445281</v>
      </c>
      <c r="J2760" s="3" t="s">
        <v>3356</v>
      </c>
      <c r="L2760" s="1" t="s">
        <v>6135</v>
      </c>
    </row>
    <row r="2761" spans="1:12">
      <c r="A2761" s="3" t="s">
        <v>3816</v>
      </c>
      <c r="C2761" s="3" t="s">
        <v>3817</v>
      </c>
      <c r="D2761" s="3" t="s">
        <v>7345</v>
      </c>
      <c r="E2761" s="3" t="s">
        <v>7346</v>
      </c>
      <c r="F2761" s="3" t="s">
        <v>2089</v>
      </c>
      <c r="G2761" s="3" t="s">
        <v>2225</v>
      </c>
      <c r="H2761" s="6">
        <v>2.9492099999999999</v>
      </c>
      <c r="I2761" s="6">
        <v>889.63118868852825</v>
      </c>
      <c r="J2761" s="3" t="s">
        <v>3356</v>
      </c>
      <c r="L2761" s="1" t="s">
        <v>6135</v>
      </c>
    </row>
    <row r="2762" spans="1:12">
      <c r="A2762" s="3" t="s">
        <v>3816</v>
      </c>
      <c r="C2762" s="3" t="s">
        <v>3817</v>
      </c>
      <c r="D2762" s="3" t="s">
        <v>7345</v>
      </c>
      <c r="E2762" s="3" t="s">
        <v>7346</v>
      </c>
      <c r="F2762" s="3" t="s">
        <v>2089</v>
      </c>
      <c r="G2762" s="3" t="s">
        <v>2226</v>
      </c>
      <c r="H2762" s="6">
        <v>2.8083800000000001</v>
      </c>
      <c r="I2762" s="6">
        <v>643.25030380753878</v>
      </c>
      <c r="J2762" s="3" t="s">
        <v>3356</v>
      </c>
      <c r="L2762" s="1" t="s">
        <v>6135</v>
      </c>
    </row>
    <row r="2763" spans="1:12">
      <c r="A2763" s="3" t="s">
        <v>3816</v>
      </c>
      <c r="C2763" s="3" t="s">
        <v>3817</v>
      </c>
      <c r="D2763" s="3" t="s">
        <v>7345</v>
      </c>
      <c r="E2763" s="3" t="s">
        <v>7346</v>
      </c>
      <c r="F2763" s="3" t="s">
        <v>2089</v>
      </c>
      <c r="G2763" s="3" t="s">
        <v>4467</v>
      </c>
      <c r="H2763" s="6">
        <v>2.9777200000000001</v>
      </c>
      <c r="I2763" s="6">
        <v>949.99211362259632</v>
      </c>
      <c r="J2763" s="3" t="s">
        <v>3356</v>
      </c>
      <c r="L2763" s="1" t="s">
        <v>6135</v>
      </c>
    </row>
    <row r="2764" spans="1:12">
      <c r="A2764" s="3" t="s">
        <v>3816</v>
      </c>
      <c r="C2764" s="3" t="s">
        <v>3817</v>
      </c>
      <c r="D2764" s="3" t="s">
        <v>7345</v>
      </c>
      <c r="E2764" s="3" t="s">
        <v>7346</v>
      </c>
      <c r="F2764" s="3" t="s">
        <v>2089</v>
      </c>
      <c r="G2764" s="3" t="s">
        <v>2227</v>
      </c>
      <c r="H2764" s="6">
        <v>3.4771200000000002</v>
      </c>
      <c r="I2764" s="6">
        <v>2999.9913327161544</v>
      </c>
      <c r="J2764" s="3" t="s">
        <v>3356</v>
      </c>
      <c r="L2764" s="1" t="s">
        <v>6135</v>
      </c>
    </row>
    <row r="2765" spans="1:12">
      <c r="A2765" s="3" t="s">
        <v>3816</v>
      </c>
      <c r="C2765" s="3" t="s">
        <v>3817</v>
      </c>
      <c r="D2765" s="3" t="s">
        <v>7345</v>
      </c>
      <c r="E2765" s="3" t="s">
        <v>7346</v>
      </c>
      <c r="F2765" s="3" t="s">
        <v>2089</v>
      </c>
      <c r="G2765" s="3" t="s">
        <v>2190</v>
      </c>
      <c r="H2765" s="6">
        <v>3.0692200000000001</v>
      </c>
      <c r="I2765" s="6">
        <v>1172.7893134796059</v>
      </c>
      <c r="J2765" s="3" t="s">
        <v>3356</v>
      </c>
      <c r="L2765" s="1" t="s">
        <v>6135</v>
      </c>
    </row>
    <row r="2766" spans="1:12">
      <c r="A2766" s="3" t="s">
        <v>3816</v>
      </c>
      <c r="C2766" s="3" t="s">
        <v>3817</v>
      </c>
      <c r="D2766" s="3" t="s">
        <v>7345</v>
      </c>
      <c r="E2766" s="3" t="s">
        <v>7346</v>
      </c>
      <c r="F2766" s="3" t="s">
        <v>2089</v>
      </c>
      <c r="G2766" s="3" t="s">
        <v>2191</v>
      </c>
      <c r="H2766" s="6">
        <v>2.9840800000000001</v>
      </c>
      <c r="I2766" s="6">
        <v>964.00658384472945</v>
      </c>
      <c r="J2766" s="3" t="s">
        <v>3356</v>
      </c>
      <c r="L2766" s="1" t="s">
        <v>6135</v>
      </c>
    </row>
    <row r="2767" spans="1:12">
      <c r="A2767" s="3" t="s">
        <v>3816</v>
      </c>
      <c r="C2767" s="3" t="s">
        <v>3817</v>
      </c>
      <c r="D2767" s="3" t="s">
        <v>7345</v>
      </c>
      <c r="E2767" s="3" t="s">
        <v>7346</v>
      </c>
      <c r="F2767" s="3" t="s">
        <v>2089</v>
      </c>
      <c r="G2767" s="3" t="s">
        <v>2192</v>
      </c>
      <c r="H2767" s="6">
        <v>3.4771200000000002</v>
      </c>
      <c r="I2767" s="6">
        <v>2999.9913327161544</v>
      </c>
      <c r="J2767" s="3" t="s">
        <v>3356</v>
      </c>
      <c r="L2767" s="1" t="s">
        <v>6135</v>
      </c>
    </row>
    <row r="2768" spans="1:12">
      <c r="A2768" s="3" t="s">
        <v>3816</v>
      </c>
      <c r="C2768" s="3" t="s">
        <v>3817</v>
      </c>
      <c r="D2768" s="3" t="s">
        <v>7345</v>
      </c>
      <c r="E2768" s="3" t="s">
        <v>7346</v>
      </c>
      <c r="F2768" s="3" t="s">
        <v>2089</v>
      </c>
      <c r="G2768" s="3" t="s">
        <v>2193</v>
      </c>
      <c r="H2768" s="6">
        <v>2.8780000000000001</v>
      </c>
      <c r="I2768" s="6">
        <v>755.09222766543485</v>
      </c>
      <c r="J2768" s="3" t="s">
        <v>3356</v>
      </c>
      <c r="L2768" s="1" t="s">
        <v>6135</v>
      </c>
    </row>
    <row r="2769" spans="1:12">
      <c r="A2769" s="3" t="s">
        <v>3816</v>
      </c>
      <c r="C2769" s="3" t="s">
        <v>3817</v>
      </c>
      <c r="D2769" s="3" t="s">
        <v>7345</v>
      </c>
      <c r="E2769" s="3" t="s">
        <v>7346</v>
      </c>
      <c r="F2769" s="3" t="s">
        <v>2089</v>
      </c>
      <c r="G2769" s="3" t="s">
        <v>2182</v>
      </c>
      <c r="H2769" s="6">
        <v>3.1760899999999999</v>
      </c>
      <c r="I2769" s="6">
        <v>1499.9956513820403</v>
      </c>
      <c r="J2769" s="3" t="s">
        <v>3356</v>
      </c>
      <c r="L2769" s="1" t="s">
        <v>6135</v>
      </c>
    </row>
    <row r="2770" spans="1:12">
      <c r="A2770" s="3" t="s">
        <v>3816</v>
      </c>
      <c r="C2770" s="3" t="s">
        <v>3817</v>
      </c>
      <c r="D2770" s="3" t="s">
        <v>7345</v>
      </c>
      <c r="E2770" s="3" t="s">
        <v>7346</v>
      </c>
      <c r="F2770" s="3" t="s">
        <v>2089</v>
      </c>
      <c r="G2770" s="3" t="s">
        <v>4990</v>
      </c>
      <c r="H2770" s="6">
        <v>2.8173699999999999</v>
      </c>
      <c r="I2770" s="6">
        <v>656.70451170979504</v>
      </c>
      <c r="J2770" s="3" t="s">
        <v>3356</v>
      </c>
      <c r="L2770" s="1" t="s">
        <v>6135</v>
      </c>
    </row>
    <row r="2771" spans="1:12">
      <c r="A2771" s="3" t="s">
        <v>3816</v>
      </c>
      <c r="C2771" s="3" t="s">
        <v>3817</v>
      </c>
      <c r="D2771" s="3" t="s">
        <v>7345</v>
      </c>
      <c r="E2771" s="3" t="s">
        <v>7542</v>
      </c>
      <c r="F2771" s="3" t="s">
        <v>4239</v>
      </c>
      <c r="G2771" s="3" t="s">
        <v>4240</v>
      </c>
      <c r="H2771" s="6">
        <v>2.1105900000000002</v>
      </c>
      <c r="I2771" s="6">
        <v>129.00008605085017</v>
      </c>
      <c r="J2771" s="3" t="s">
        <v>3356</v>
      </c>
      <c r="L2771" s="1" t="s">
        <v>6135</v>
      </c>
    </row>
    <row r="2772" spans="1:12">
      <c r="A2772" s="3" t="s">
        <v>3816</v>
      </c>
      <c r="C2772" s="3" t="s">
        <v>3817</v>
      </c>
      <c r="D2772" s="3" t="s">
        <v>7345</v>
      </c>
      <c r="E2772" s="3" t="s">
        <v>7542</v>
      </c>
      <c r="F2772" s="3" t="s">
        <v>4239</v>
      </c>
      <c r="G2772" s="3" t="s">
        <v>3790</v>
      </c>
      <c r="H2772" s="6">
        <v>2.1976300000000002</v>
      </c>
      <c r="I2772" s="6">
        <v>157.6267785924374</v>
      </c>
      <c r="J2772" s="3" t="s">
        <v>3356</v>
      </c>
      <c r="L2772" s="1" t="s">
        <v>6135</v>
      </c>
    </row>
    <row r="2773" spans="1:12">
      <c r="A2773" s="3" t="s">
        <v>3816</v>
      </c>
      <c r="C2773" s="3" t="s">
        <v>3817</v>
      </c>
      <c r="D2773" s="3" t="s">
        <v>7273</v>
      </c>
      <c r="E2773" s="3" t="s">
        <v>7157</v>
      </c>
      <c r="F2773" s="3" t="s">
        <v>7158</v>
      </c>
      <c r="G2773" s="3" t="s">
        <v>1944</v>
      </c>
      <c r="H2773" s="6">
        <v>5.4771200000000002</v>
      </c>
      <c r="I2773" s="6">
        <v>299999.1332716156</v>
      </c>
      <c r="J2773" s="3" t="s">
        <v>3356</v>
      </c>
      <c r="L2773" s="1" t="s">
        <v>6135</v>
      </c>
    </row>
    <row r="2774" spans="1:12">
      <c r="A2774" s="3" t="s">
        <v>3816</v>
      </c>
      <c r="C2774" s="3" t="s">
        <v>3817</v>
      </c>
      <c r="D2774" s="3" t="s">
        <v>7250</v>
      </c>
      <c r="E2774" s="3" t="s">
        <v>5057</v>
      </c>
      <c r="F2774" s="3" t="s">
        <v>5058</v>
      </c>
      <c r="G2774" s="3" t="s">
        <v>5059</v>
      </c>
      <c r="H2774" s="6">
        <v>3.8618299999999999</v>
      </c>
      <c r="I2774" s="6">
        <v>7274.9497854861338</v>
      </c>
      <c r="J2774" s="3" t="s">
        <v>3356</v>
      </c>
      <c r="L2774" s="1" t="s">
        <v>6135</v>
      </c>
    </row>
    <row r="2775" spans="1:12">
      <c r="A2775" s="3" t="s">
        <v>3816</v>
      </c>
      <c r="C2775" s="3" t="s">
        <v>3817</v>
      </c>
      <c r="D2775" s="3" t="s">
        <v>7250</v>
      </c>
      <c r="E2775" s="3" t="s">
        <v>5057</v>
      </c>
      <c r="F2775" s="3" t="s">
        <v>5058</v>
      </c>
      <c r="G2775" s="3" t="s">
        <v>7492</v>
      </c>
      <c r="H2775" s="6">
        <v>3.8451</v>
      </c>
      <c r="I2775" s="6">
        <v>7000.0315913089735</v>
      </c>
      <c r="J2775" s="3" t="s">
        <v>3356</v>
      </c>
      <c r="L2775" s="1" t="s">
        <v>6135</v>
      </c>
    </row>
    <row r="2776" spans="1:12">
      <c r="A2776" s="3" t="s">
        <v>3816</v>
      </c>
      <c r="C2776" s="3" t="s">
        <v>3817</v>
      </c>
      <c r="D2776" s="3" t="s">
        <v>7250</v>
      </c>
      <c r="E2776" s="3" t="s">
        <v>5057</v>
      </c>
      <c r="F2776" s="3" t="s">
        <v>7483</v>
      </c>
      <c r="G2776" s="3" t="s">
        <v>3777</v>
      </c>
      <c r="H2776" s="6">
        <v>3.7230400000000001</v>
      </c>
      <c r="I2776" s="6">
        <v>5284.9392562302774</v>
      </c>
      <c r="J2776" s="3" t="s">
        <v>3356</v>
      </c>
      <c r="L2776" s="1" t="s">
        <v>6135</v>
      </c>
    </row>
    <row r="2777" spans="1:12">
      <c r="A2777" s="3" t="s">
        <v>3816</v>
      </c>
      <c r="C2777" s="3" t="s">
        <v>3817</v>
      </c>
      <c r="D2777" s="3" t="s">
        <v>3618</v>
      </c>
      <c r="E2777" s="3" t="s">
        <v>4631</v>
      </c>
      <c r="F2777" s="3" t="s">
        <v>4632</v>
      </c>
      <c r="G2777" s="3" t="s">
        <v>3623</v>
      </c>
      <c r="H2777" s="6">
        <v>3.9030900000000002</v>
      </c>
      <c r="I2777" s="6">
        <v>8000.0002396172686</v>
      </c>
      <c r="J2777" s="3" t="s">
        <v>3356</v>
      </c>
      <c r="L2777" s="1" t="s">
        <v>6135</v>
      </c>
    </row>
    <row r="2778" spans="1:12">
      <c r="A2778" s="3" t="s">
        <v>3816</v>
      </c>
      <c r="C2778" s="3" t="s">
        <v>3817</v>
      </c>
      <c r="D2778" s="3" t="s">
        <v>3618</v>
      </c>
      <c r="E2778" s="3" t="s">
        <v>3644</v>
      </c>
      <c r="F2778" s="3" t="s">
        <v>3645</v>
      </c>
      <c r="G2778" s="3" t="s">
        <v>3408</v>
      </c>
      <c r="H2778" s="6">
        <v>3.0017299999999998</v>
      </c>
      <c r="I2778" s="6">
        <v>1003.9914167817969</v>
      </c>
      <c r="J2778" s="3" t="s">
        <v>3356</v>
      </c>
      <c r="L2778" s="1" t="s">
        <v>6135</v>
      </c>
    </row>
    <row r="2779" spans="1:12">
      <c r="A2779" s="3" t="s">
        <v>3816</v>
      </c>
      <c r="C2779" s="3" t="s">
        <v>3817</v>
      </c>
      <c r="D2779" s="3" t="s">
        <v>3618</v>
      </c>
      <c r="E2779" s="3" t="s">
        <v>6506</v>
      </c>
      <c r="F2779" s="3" t="s">
        <v>6507</v>
      </c>
      <c r="G2779" s="3" t="s">
        <v>4121</v>
      </c>
      <c r="H2779" s="6">
        <v>4.1588599999999998</v>
      </c>
      <c r="I2779" s="6">
        <v>14416.505433836031</v>
      </c>
      <c r="J2779" s="3" t="s">
        <v>3356</v>
      </c>
      <c r="L2779" s="1" t="s">
        <v>6135</v>
      </c>
    </row>
    <row r="2780" spans="1:12">
      <c r="A2780" s="3" t="s">
        <v>3816</v>
      </c>
      <c r="C2780" s="3" t="s">
        <v>3817</v>
      </c>
      <c r="D2780" s="3" t="s">
        <v>3618</v>
      </c>
      <c r="E2780" s="3" t="s">
        <v>3246</v>
      </c>
      <c r="F2780" s="3" t="s">
        <v>2936</v>
      </c>
      <c r="G2780" s="3" t="s">
        <v>4375</v>
      </c>
      <c r="H2780" s="6">
        <v>3.6989700000000001</v>
      </c>
      <c r="I2780" s="6">
        <v>4999.9999500797403</v>
      </c>
      <c r="J2780" s="3" t="s">
        <v>3356</v>
      </c>
      <c r="L2780" s="1" t="s">
        <v>6135</v>
      </c>
    </row>
    <row r="2781" spans="1:12">
      <c r="A2781" s="3" t="s">
        <v>3816</v>
      </c>
      <c r="C2781" s="3" t="s">
        <v>3817</v>
      </c>
      <c r="D2781" s="3" t="s">
        <v>3618</v>
      </c>
      <c r="E2781" s="3" t="s">
        <v>3246</v>
      </c>
      <c r="F2781" s="3" t="s">
        <v>2936</v>
      </c>
      <c r="G2781" s="3" t="s">
        <v>6549</v>
      </c>
      <c r="H2781" s="6">
        <v>3.4273199999999999</v>
      </c>
      <c r="I2781" s="6">
        <v>2674.9766783555733</v>
      </c>
      <c r="J2781" s="3" t="s">
        <v>3356</v>
      </c>
      <c r="L2781" s="1" t="s">
        <v>6135</v>
      </c>
    </row>
    <row r="2782" spans="1:12">
      <c r="A2782" s="3" t="s">
        <v>3816</v>
      </c>
      <c r="C2782" s="3" t="s">
        <v>3817</v>
      </c>
      <c r="D2782" s="3" t="s">
        <v>3618</v>
      </c>
      <c r="E2782" s="3" t="s">
        <v>6223</v>
      </c>
      <c r="F2782" s="3" t="s">
        <v>6459</v>
      </c>
      <c r="G2782" s="3" t="s">
        <v>6460</v>
      </c>
      <c r="H2782" s="6">
        <v>1.3483000000000001</v>
      </c>
      <c r="I2782" s="6">
        <v>22.299750295314972</v>
      </c>
      <c r="J2782" s="3" t="s">
        <v>3356</v>
      </c>
      <c r="L2782" s="1" t="s">
        <v>6135</v>
      </c>
    </row>
    <row r="2783" spans="1:12">
      <c r="A2783" s="3" t="s">
        <v>3816</v>
      </c>
      <c r="C2783" s="3" t="s">
        <v>3817</v>
      </c>
      <c r="D2783" s="3" t="s">
        <v>3618</v>
      </c>
      <c r="E2783" s="3" t="s">
        <v>6223</v>
      </c>
      <c r="F2783" s="3" t="s">
        <v>6461</v>
      </c>
      <c r="G2783" s="3" t="s">
        <v>6462</v>
      </c>
      <c r="H2783" s="6">
        <v>1.23363</v>
      </c>
      <c r="I2783" s="6">
        <v>17.124977123103772</v>
      </c>
      <c r="J2783" s="3" t="s">
        <v>3356</v>
      </c>
      <c r="L2783" s="1" t="s">
        <v>6135</v>
      </c>
    </row>
    <row r="2784" spans="1:12">
      <c r="A2784" s="3" t="s">
        <v>3816</v>
      </c>
      <c r="C2784" s="3" t="s">
        <v>3817</v>
      </c>
      <c r="D2784" s="3" t="s">
        <v>3618</v>
      </c>
      <c r="E2784" s="3" t="s">
        <v>6223</v>
      </c>
      <c r="F2784" s="3" t="s">
        <v>6461</v>
      </c>
      <c r="G2784" s="3" t="s">
        <v>3790</v>
      </c>
      <c r="H2784" s="6">
        <v>1.4623999999999999</v>
      </c>
      <c r="I2784" s="6">
        <v>29.000133690540697</v>
      </c>
      <c r="J2784" s="3" t="s">
        <v>3356</v>
      </c>
      <c r="L2784" s="1" t="s">
        <v>6135</v>
      </c>
    </row>
    <row r="2785" spans="1:12">
      <c r="A2785" s="3" t="s">
        <v>3816</v>
      </c>
      <c r="C2785" s="3" t="s">
        <v>3817</v>
      </c>
      <c r="D2785" s="3" t="s">
        <v>3618</v>
      </c>
      <c r="E2785" s="3" t="s">
        <v>6223</v>
      </c>
      <c r="F2785" s="3" t="s">
        <v>6461</v>
      </c>
      <c r="G2785" s="3" t="s">
        <v>6463</v>
      </c>
      <c r="H2785" s="6">
        <v>1.43933</v>
      </c>
      <c r="I2785" s="6">
        <v>27.499829424260373</v>
      </c>
      <c r="J2785" s="3" t="s">
        <v>3356</v>
      </c>
      <c r="L2785" s="1" t="s">
        <v>6135</v>
      </c>
    </row>
    <row r="2786" spans="1:12">
      <c r="A2786" s="3" t="s">
        <v>3816</v>
      </c>
      <c r="C2786" s="3" t="s">
        <v>3817</v>
      </c>
      <c r="D2786" s="3" t="s">
        <v>3618</v>
      </c>
      <c r="E2786" s="3" t="s">
        <v>5368</v>
      </c>
      <c r="F2786" s="3" t="s">
        <v>5369</v>
      </c>
      <c r="G2786" s="3" t="s">
        <v>6653</v>
      </c>
      <c r="H2786" s="6">
        <v>3.8503599999999998</v>
      </c>
      <c r="I2786" s="6">
        <v>7085.3286562285093</v>
      </c>
      <c r="J2786" s="3" t="s">
        <v>3356</v>
      </c>
      <c r="L2786" s="1" t="s">
        <v>6135</v>
      </c>
    </row>
    <row r="2787" spans="1:12">
      <c r="A2787" s="3" t="s">
        <v>3816</v>
      </c>
      <c r="C2787" s="3" t="s">
        <v>3817</v>
      </c>
      <c r="D2787" s="3" t="s">
        <v>3618</v>
      </c>
      <c r="E2787" s="3" t="s">
        <v>5524</v>
      </c>
      <c r="F2787" s="3" t="s">
        <v>5525</v>
      </c>
      <c r="G2787" s="3" t="s">
        <v>5526</v>
      </c>
      <c r="H2787" s="6">
        <v>2.3138700000000001</v>
      </c>
      <c r="I2787" s="6">
        <v>206.00131847354913</v>
      </c>
      <c r="J2787" s="3" t="s">
        <v>3356</v>
      </c>
      <c r="L2787" s="1" t="s">
        <v>6135</v>
      </c>
    </row>
    <row r="2788" spans="1:12">
      <c r="A2788" s="3" t="s">
        <v>3816</v>
      </c>
      <c r="C2788" s="3" t="s">
        <v>3817</v>
      </c>
      <c r="D2788" s="3" t="s">
        <v>3618</v>
      </c>
      <c r="E2788" s="3" t="s">
        <v>5524</v>
      </c>
      <c r="F2788" s="3" t="s">
        <v>5525</v>
      </c>
      <c r="G2788" s="3" t="s">
        <v>8227</v>
      </c>
      <c r="H2788" s="6">
        <v>2.3090999999999999</v>
      </c>
      <c r="I2788" s="6">
        <v>203.75111779830044</v>
      </c>
      <c r="J2788" s="3" t="s">
        <v>3356</v>
      </c>
      <c r="L2788" s="1" t="s">
        <v>6135</v>
      </c>
    </row>
    <row r="2789" spans="1:12">
      <c r="A2789" s="3" t="s">
        <v>3816</v>
      </c>
      <c r="C2789" s="3" t="s">
        <v>3817</v>
      </c>
      <c r="D2789" s="3" t="s">
        <v>3618</v>
      </c>
      <c r="E2789" s="3" t="s">
        <v>5524</v>
      </c>
      <c r="F2789" s="3" t="s">
        <v>5525</v>
      </c>
      <c r="G2789" s="3" t="s">
        <v>3251</v>
      </c>
      <c r="H2789" s="6">
        <v>2.5987900000000002</v>
      </c>
      <c r="I2789" s="6">
        <v>396.99953675478844</v>
      </c>
      <c r="J2789" s="3" t="s">
        <v>3356</v>
      </c>
      <c r="L2789" s="1" t="s">
        <v>6135</v>
      </c>
    </row>
    <row r="2790" spans="1:12">
      <c r="A2790" s="3" t="s">
        <v>3816</v>
      </c>
      <c r="C2790" s="3" t="s">
        <v>3817</v>
      </c>
      <c r="D2790" s="3" t="s">
        <v>3618</v>
      </c>
      <c r="E2790" s="3" t="s">
        <v>5524</v>
      </c>
      <c r="F2790" s="3" t="s">
        <v>5525</v>
      </c>
      <c r="G2790" s="3" t="s">
        <v>8228</v>
      </c>
      <c r="H2790" s="6">
        <v>2.2174800000000001</v>
      </c>
      <c r="I2790" s="6">
        <v>164.998501495261</v>
      </c>
      <c r="J2790" s="3" t="s">
        <v>3356</v>
      </c>
      <c r="L2790" s="1" t="s">
        <v>6135</v>
      </c>
    </row>
    <row r="2791" spans="1:12">
      <c r="A2791" s="3" t="s">
        <v>3816</v>
      </c>
      <c r="C2791" s="3" t="s">
        <v>3817</v>
      </c>
      <c r="D2791" s="3" t="s">
        <v>3618</v>
      </c>
      <c r="E2791" s="3" t="s">
        <v>5524</v>
      </c>
      <c r="F2791" s="3" t="s">
        <v>5525</v>
      </c>
      <c r="G2791" s="3" t="s">
        <v>4081</v>
      </c>
      <c r="H2791" s="6">
        <v>2.5440700000000001</v>
      </c>
      <c r="I2791" s="6">
        <v>350.00157607101471</v>
      </c>
      <c r="J2791" s="3" t="s">
        <v>3356</v>
      </c>
      <c r="L2791" s="1" t="s">
        <v>6135</v>
      </c>
    </row>
    <row r="2792" spans="1:12">
      <c r="A2792" s="3" t="s">
        <v>3816</v>
      </c>
      <c r="C2792" s="3" t="s">
        <v>3817</v>
      </c>
      <c r="D2792" s="3" t="s">
        <v>3618</v>
      </c>
      <c r="E2792" s="3" t="s">
        <v>5524</v>
      </c>
      <c r="F2792" s="3" t="s">
        <v>8229</v>
      </c>
      <c r="G2792" s="3" t="s">
        <v>4210</v>
      </c>
      <c r="H2792" s="6">
        <v>2.6989700000000001</v>
      </c>
      <c r="I2792" s="6">
        <v>499.99999500797441</v>
      </c>
      <c r="J2792" s="3" t="s">
        <v>3356</v>
      </c>
      <c r="L2792" s="1" t="s">
        <v>6135</v>
      </c>
    </row>
    <row r="2793" spans="1:12">
      <c r="A2793" s="3" t="s">
        <v>3816</v>
      </c>
      <c r="C2793" s="3" t="s">
        <v>3817</v>
      </c>
      <c r="D2793" s="3" t="s">
        <v>3618</v>
      </c>
      <c r="E2793" s="3" t="s">
        <v>5524</v>
      </c>
      <c r="F2793" s="3" t="s">
        <v>8229</v>
      </c>
      <c r="G2793" s="3" t="s">
        <v>6591</v>
      </c>
      <c r="H2793" s="6">
        <v>2.6989700000000001</v>
      </c>
      <c r="I2793" s="6">
        <v>499.99999500797441</v>
      </c>
      <c r="J2793" s="3" t="s">
        <v>3356</v>
      </c>
      <c r="L2793" s="1" t="s">
        <v>6135</v>
      </c>
    </row>
    <row r="2794" spans="1:12">
      <c r="A2794" s="3" t="s">
        <v>3816</v>
      </c>
      <c r="C2794" s="3" t="s">
        <v>3817</v>
      </c>
      <c r="D2794" s="3" t="s">
        <v>3618</v>
      </c>
      <c r="E2794" s="3" t="s">
        <v>5524</v>
      </c>
      <c r="F2794" s="3" t="s">
        <v>8229</v>
      </c>
      <c r="G2794" s="3" t="s">
        <v>4174</v>
      </c>
      <c r="H2794" s="6">
        <v>2.6989700000000001</v>
      </c>
      <c r="I2794" s="6">
        <v>499.99999500797441</v>
      </c>
      <c r="J2794" s="3" t="s">
        <v>3356</v>
      </c>
      <c r="L2794" s="1" t="s">
        <v>6135</v>
      </c>
    </row>
    <row r="2795" spans="1:12">
      <c r="A2795" s="3" t="s">
        <v>3816</v>
      </c>
      <c r="C2795" s="3" t="s">
        <v>3817</v>
      </c>
      <c r="D2795" s="3" t="s">
        <v>3618</v>
      </c>
      <c r="E2795" s="3" t="s">
        <v>5524</v>
      </c>
      <c r="F2795" s="3" t="s">
        <v>8229</v>
      </c>
      <c r="G2795" s="3" t="s">
        <v>8230</v>
      </c>
      <c r="H2795" s="6">
        <v>2.6989700000000001</v>
      </c>
      <c r="I2795" s="6">
        <v>499.99999500797441</v>
      </c>
      <c r="J2795" s="3" t="s">
        <v>3356</v>
      </c>
      <c r="L2795" s="1" t="s">
        <v>6135</v>
      </c>
    </row>
    <row r="2796" spans="1:12">
      <c r="A2796" s="3" t="s">
        <v>3816</v>
      </c>
      <c r="C2796" s="3" t="s">
        <v>3817</v>
      </c>
      <c r="D2796" s="3" t="s">
        <v>3618</v>
      </c>
      <c r="E2796" s="3" t="s">
        <v>5524</v>
      </c>
      <c r="F2796" s="3" t="s">
        <v>8231</v>
      </c>
      <c r="G2796" s="3" t="s">
        <v>8237</v>
      </c>
      <c r="H2796" s="6">
        <v>2.1760899999999999</v>
      </c>
      <c r="I2796" s="6">
        <v>149.99956513820399</v>
      </c>
      <c r="J2796" s="3" t="s">
        <v>3356</v>
      </c>
      <c r="L2796" s="1" t="s">
        <v>6135</v>
      </c>
    </row>
    <row r="2797" spans="1:12">
      <c r="A2797" s="3" t="s">
        <v>3816</v>
      </c>
      <c r="C2797" s="3" t="s">
        <v>3817</v>
      </c>
      <c r="D2797" s="3" t="s">
        <v>3618</v>
      </c>
      <c r="E2797" s="3" t="s">
        <v>5524</v>
      </c>
      <c r="F2797" s="3" t="s">
        <v>8231</v>
      </c>
      <c r="G2797" s="3" t="s">
        <v>3528</v>
      </c>
      <c r="H2797" s="6">
        <v>2.1760899999999999</v>
      </c>
      <c r="I2797" s="6">
        <v>149.99956513820399</v>
      </c>
      <c r="J2797" s="3" t="s">
        <v>3356</v>
      </c>
      <c r="L2797" s="1" t="s">
        <v>6135</v>
      </c>
    </row>
    <row r="2798" spans="1:12">
      <c r="A2798" s="3" t="s">
        <v>3816</v>
      </c>
      <c r="C2798" s="3" t="s">
        <v>3817</v>
      </c>
      <c r="D2798" s="3" t="s">
        <v>3618</v>
      </c>
      <c r="E2798" s="3" t="s">
        <v>5524</v>
      </c>
      <c r="F2798" s="3" t="s">
        <v>8231</v>
      </c>
      <c r="G2798" s="3" t="s">
        <v>3342</v>
      </c>
      <c r="H2798" s="6">
        <v>2.40097</v>
      </c>
      <c r="I2798" s="6">
        <v>251.75030188046443</v>
      </c>
      <c r="J2798" s="3" t="s">
        <v>3356</v>
      </c>
      <c r="L2798" s="1" t="s">
        <v>6135</v>
      </c>
    </row>
    <row r="2799" spans="1:12">
      <c r="A2799" s="3" t="s">
        <v>3816</v>
      </c>
      <c r="C2799" s="3" t="s">
        <v>3817</v>
      </c>
      <c r="D2799" s="3" t="s">
        <v>3618</v>
      </c>
      <c r="E2799" s="3" t="s">
        <v>5524</v>
      </c>
      <c r="F2799" s="3" t="s">
        <v>8231</v>
      </c>
      <c r="G2799" s="3" t="s">
        <v>3343</v>
      </c>
      <c r="H2799" s="6">
        <v>2.1760899999999999</v>
      </c>
      <c r="I2799" s="6">
        <v>149.99956513820399</v>
      </c>
      <c r="J2799" s="3" t="s">
        <v>3356</v>
      </c>
      <c r="L2799" s="1" t="s">
        <v>6135</v>
      </c>
    </row>
    <row r="2800" spans="1:12">
      <c r="A2800" s="3" t="s">
        <v>3816</v>
      </c>
      <c r="C2800" s="3" t="s">
        <v>3817</v>
      </c>
      <c r="D2800" s="3" t="s">
        <v>3618</v>
      </c>
      <c r="E2800" s="3" t="s">
        <v>5524</v>
      </c>
      <c r="F2800" s="3" t="s">
        <v>8231</v>
      </c>
      <c r="G2800" s="3" t="s">
        <v>6421</v>
      </c>
      <c r="H2800" s="6">
        <v>2.7781500000000001</v>
      </c>
      <c r="I2800" s="6">
        <v>599.99827253364413</v>
      </c>
      <c r="J2800" s="3" t="s">
        <v>3356</v>
      </c>
      <c r="L2800" s="1" t="s">
        <v>6135</v>
      </c>
    </row>
    <row r="2801" spans="1:12">
      <c r="A2801" s="3" t="s">
        <v>3816</v>
      </c>
      <c r="C2801" s="3" t="s">
        <v>3817</v>
      </c>
      <c r="D2801" s="3" t="s">
        <v>3618</v>
      </c>
      <c r="E2801" s="3" t="s">
        <v>5524</v>
      </c>
      <c r="F2801" s="3" t="s">
        <v>8231</v>
      </c>
      <c r="G2801" s="3" t="s">
        <v>2222</v>
      </c>
      <c r="H2801" s="6">
        <v>2.6232500000000001</v>
      </c>
      <c r="I2801" s="6">
        <v>420.00068624663163</v>
      </c>
      <c r="J2801" s="3" t="s">
        <v>3356</v>
      </c>
      <c r="L2801" s="1" t="s">
        <v>6135</v>
      </c>
    </row>
    <row r="2802" spans="1:12">
      <c r="A2802" s="3" t="s">
        <v>3816</v>
      </c>
      <c r="C2802" s="3" t="s">
        <v>3817</v>
      </c>
      <c r="D2802" s="3" t="s">
        <v>3618</v>
      </c>
      <c r="E2802" s="3" t="s">
        <v>5524</v>
      </c>
      <c r="F2802" s="3" t="s">
        <v>8231</v>
      </c>
      <c r="G2802" s="3" t="s">
        <v>6144</v>
      </c>
      <c r="H2802" s="6">
        <v>2.1760899999999999</v>
      </c>
      <c r="I2802" s="6">
        <v>149.99956513820399</v>
      </c>
      <c r="J2802" s="3" t="s">
        <v>3356</v>
      </c>
      <c r="L2802" s="1" t="s">
        <v>6135</v>
      </c>
    </row>
    <row r="2803" spans="1:12">
      <c r="A2803" s="3" t="s">
        <v>3816</v>
      </c>
      <c r="C2803" s="3" t="s">
        <v>3817</v>
      </c>
      <c r="D2803" s="3" t="s">
        <v>3618</v>
      </c>
      <c r="E2803" s="3" t="s">
        <v>5524</v>
      </c>
      <c r="F2803" s="3" t="s">
        <v>8231</v>
      </c>
      <c r="G2803" s="3" t="s">
        <v>3344</v>
      </c>
      <c r="H2803" s="6">
        <v>2.39622</v>
      </c>
      <c r="I2803" s="6">
        <v>249.011841493861</v>
      </c>
      <c r="J2803" s="3" t="s">
        <v>3356</v>
      </c>
      <c r="L2803" s="1" t="s">
        <v>6135</v>
      </c>
    </row>
    <row r="2804" spans="1:12">
      <c r="A2804" s="3" t="s">
        <v>3816</v>
      </c>
      <c r="C2804" s="3" t="s">
        <v>3817</v>
      </c>
      <c r="D2804" s="3" t="s">
        <v>3618</v>
      </c>
      <c r="E2804" s="3" t="s">
        <v>5524</v>
      </c>
      <c r="F2804" s="3" t="s">
        <v>8231</v>
      </c>
      <c r="G2804" s="3" t="s">
        <v>3536</v>
      </c>
      <c r="H2804" s="6">
        <v>2.1760899999999999</v>
      </c>
      <c r="I2804" s="6">
        <v>149.99956513820399</v>
      </c>
      <c r="J2804" s="3" t="s">
        <v>3356</v>
      </c>
      <c r="L2804" s="1" t="s">
        <v>6135</v>
      </c>
    </row>
    <row r="2805" spans="1:12">
      <c r="A2805" s="3" t="s">
        <v>3816</v>
      </c>
      <c r="C2805" s="3" t="s">
        <v>3817</v>
      </c>
      <c r="D2805" s="3" t="s">
        <v>3618</v>
      </c>
      <c r="E2805" s="3" t="s">
        <v>5524</v>
      </c>
      <c r="F2805" s="3" t="s">
        <v>3537</v>
      </c>
      <c r="G2805" s="3" t="s">
        <v>4193</v>
      </c>
      <c r="H2805" s="6">
        <v>2.0597500000000002</v>
      </c>
      <c r="I2805" s="6">
        <v>114.74928813381027</v>
      </c>
      <c r="J2805" s="3" t="s">
        <v>3356</v>
      </c>
      <c r="L2805" s="1" t="s">
        <v>6135</v>
      </c>
    </row>
    <row r="2806" spans="1:12">
      <c r="A2806" s="3" t="s">
        <v>3816</v>
      </c>
      <c r="C2806" s="3" t="s">
        <v>3817</v>
      </c>
      <c r="D2806" s="3" t="s">
        <v>3618</v>
      </c>
      <c r="E2806" s="3" t="s">
        <v>5524</v>
      </c>
      <c r="F2806" s="3" t="s">
        <v>3537</v>
      </c>
      <c r="G2806" s="3" t="s">
        <v>4194</v>
      </c>
      <c r="H2806" s="6">
        <v>1.8750599999999999</v>
      </c>
      <c r="I2806" s="6">
        <v>74.9997818203002</v>
      </c>
      <c r="J2806" s="3" t="s">
        <v>3356</v>
      </c>
      <c r="L2806" s="1" t="s">
        <v>6135</v>
      </c>
    </row>
    <row r="2807" spans="1:12">
      <c r="A2807" s="3" t="s">
        <v>3816</v>
      </c>
      <c r="C2807" s="3" t="s">
        <v>3817</v>
      </c>
      <c r="D2807" s="3" t="s">
        <v>3618</v>
      </c>
      <c r="E2807" s="3" t="s">
        <v>5524</v>
      </c>
      <c r="F2807" s="3" t="s">
        <v>3537</v>
      </c>
      <c r="G2807" s="3" t="s">
        <v>4047</v>
      </c>
      <c r="H2807" s="6">
        <v>1.9030899999999999</v>
      </c>
      <c r="I2807" s="6">
        <v>80.000002396172576</v>
      </c>
      <c r="J2807" s="3" t="s">
        <v>3356</v>
      </c>
      <c r="L2807" s="1" t="s">
        <v>6135</v>
      </c>
    </row>
    <row r="2808" spans="1:12">
      <c r="A2808" s="3" t="s">
        <v>3816</v>
      </c>
      <c r="C2808" s="3" t="s">
        <v>3817</v>
      </c>
      <c r="D2808" s="3" t="s">
        <v>3618</v>
      </c>
      <c r="E2808" s="3" t="s">
        <v>5524</v>
      </c>
      <c r="F2808" s="3" t="s">
        <v>3537</v>
      </c>
      <c r="G2808" s="3" t="s">
        <v>4195</v>
      </c>
      <c r="H2808" s="6">
        <v>2.11422</v>
      </c>
      <c r="I2808" s="6">
        <v>130.08283701204593</v>
      </c>
      <c r="J2808" s="3" t="s">
        <v>3356</v>
      </c>
      <c r="L2808" s="1" t="s">
        <v>6135</v>
      </c>
    </row>
    <row r="2809" spans="1:12">
      <c r="A2809" s="3" t="s">
        <v>3816</v>
      </c>
      <c r="C2809" s="3" t="s">
        <v>3817</v>
      </c>
      <c r="D2809" s="3" t="s">
        <v>3618</v>
      </c>
      <c r="E2809" s="3" t="s">
        <v>5524</v>
      </c>
      <c r="F2809" s="3" t="s">
        <v>3537</v>
      </c>
      <c r="G2809" s="3" t="s">
        <v>4196</v>
      </c>
      <c r="H2809" s="6">
        <v>2.22011</v>
      </c>
      <c r="I2809" s="6">
        <v>166.00073080838632</v>
      </c>
      <c r="J2809" s="3" t="s">
        <v>3356</v>
      </c>
      <c r="L2809" s="1" t="s">
        <v>6135</v>
      </c>
    </row>
    <row r="2810" spans="1:12">
      <c r="A2810" s="3" t="s">
        <v>3816</v>
      </c>
      <c r="C2810" s="3" t="s">
        <v>3817</v>
      </c>
      <c r="D2810" s="3" t="s">
        <v>3618</v>
      </c>
      <c r="E2810" s="3" t="s">
        <v>5524</v>
      </c>
      <c r="F2810" s="3" t="s">
        <v>3583</v>
      </c>
      <c r="G2810" s="3" t="s">
        <v>4005</v>
      </c>
      <c r="H2810" s="6">
        <v>2.6989700000000001</v>
      </c>
      <c r="I2810" s="6">
        <v>499.99999500797441</v>
      </c>
      <c r="J2810" s="3" t="s">
        <v>3356</v>
      </c>
      <c r="L2810" s="1" t="s">
        <v>6135</v>
      </c>
    </row>
    <row r="2811" spans="1:12">
      <c r="A2811" s="3" t="s">
        <v>3816</v>
      </c>
      <c r="C2811" s="3" t="s">
        <v>3817</v>
      </c>
      <c r="D2811" s="3" t="s">
        <v>3618</v>
      </c>
      <c r="E2811" s="3" t="s">
        <v>4007</v>
      </c>
      <c r="F2811" s="3" t="s">
        <v>4008</v>
      </c>
      <c r="G2811" s="3" t="s">
        <v>5526</v>
      </c>
      <c r="H2811" s="6">
        <v>1.3617300000000001</v>
      </c>
      <c r="I2811" s="6">
        <v>23.000114603619075</v>
      </c>
      <c r="J2811" s="3" t="s">
        <v>3356</v>
      </c>
      <c r="L2811" s="1" t="s">
        <v>6135</v>
      </c>
    </row>
    <row r="2812" spans="1:12">
      <c r="A2812" s="3" t="s">
        <v>3816</v>
      </c>
      <c r="C2812" s="3" t="s">
        <v>3817</v>
      </c>
      <c r="D2812" s="3" t="s">
        <v>3618</v>
      </c>
      <c r="E2812" s="3" t="s">
        <v>4007</v>
      </c>
      <c r="F2812" s="3" t="s">
        <v>4008</v>
      </c>
      <c r="G2812" s="3" t="s">
        <v>2260</v>
      </c>
      <c r="H2812" s="6">
        <v>1.4207799999999999</v>
      </c>
      <c r="I2812" s="6">
        <v>26.3499624100841</v>
      </c>
      <c r="J2812" s="3" t="s">
        <v>3356</v>
      </c>
      <c r="L2812" s="1" t="s">
        <v>6135</v>
      </c>
    </row>
    <row r="2813" spans="1:12">
      <c r="A2813" s="3" t="s">
        <v>3816</v>
      </c>
      <c r="C2813" s="3" t="s">
        <v>3817</v>
      </c>
      <c r="D2813" s="3" t="s">
        <v>3618</v>
      </c>
      <c r="E2813" s="3" t="s">
        <v>4007</v>
      </c>
      <c r="F2813" s="3" t="s">
        <v>4008</v>
      </c>
      <c r="G2813" s="3" t="s">
        <v>4404</v>
      </c>
      <c r="H2813" s="6">
        <v>1.3424199999999999</v>
      </c>
      <c r="I2813" s="6">
        <v>21.999864198351659</v>
      </c>
      <c r="J2813" s="3" t="s">
        <v>3356</v>
      </c>
      <c r="L2813" s="1" t="s">
        <v>6135</v>
      </c>
    </row>
    <row r="2814" spans="1:12">
      <c r="A2814" s="3" t="s">
        <v>3816</v>
      </c>
      <c r="C2814" s="3" t="s">
        <v>3817</v>
      </c>
      <c r="D2814" s="3" t="s">
        <v>3618</v>
      </c>
      <c r="E2814" s="3" t="s">
        <v>4007</v>
      </c>
      <c r="F2814" s="3" t="s">
        <v>4008</v>
      </c>
      <c r="G2814" s="3" t="s">
        <v>3782</v>
      </c>
      <c r="H2814" s="6">
        <v>1.2718400000000001</v>
      </c>
      <c r="I2814" s="6">
        <v>18.699930825331165</v>
      </c>
      <c r="J2814" s="3" t="s">
        <v>3356</v>
      </c>
      <c r="L2814" s="1" t="s">
        <v>6135</v>
      </c>
    </row>
    <row r="2815" spans="1:12">
      <c r="A2815" s="3" t="s">
        <v>3816</v>
      </c>
      <c r="C2815" s="3" t="s">
        <v>3817</v>
      </c>
      <c r="D2815" s="3" t="s">
        <v>3618</v>
      </c>
      <c r="E2815" s="3" t="s">
        <v>4007</v>
      </c>
      <c r="F2815" s="3" t="s">
        <v>4008</v>
      </c>
      <c r="G2815" s="3" t="s">
        <v>3585</v>
      </c>
      <c r="H2815" s="6">
        <v>1.2889200000000001</v>
      </c>
      <c r="I2815" s="6">
        <v>19.450017660558039</v>
      </c>
      <c r="J2815" s="3" t="s">
        <v>3356</v>
      </c>
      <c r="L2815" s="1" t="s">
        <v>6135</v>
      </c>
    </row>
    <row r="2816" spans="1:12">
      <c r="A2816" s="3" t="s">
        <v>3816</v>
      </c>
      <c r="C2816" s="3" t="s">
        <v>3817</v>
      </c>
      <c r="D2816" s="3" t="s">
        <v>3618</v>
      </c>
      <c r="E2816" s="3" t="s">
        <v>4007</v>
      </c>
      <c r="F2816" s="3" t="s">
        <v>4008</v>
      </c>
      <c r="G2816" s="3" t="s">
        <v>7416</v>
      </c>
      <c r="H2816" s="6">
        <v>1.3617300000000001</v>
      </c>
      <c r="I2816" s="6">
        <v>23.000114603619075</v>
      </c>
      <c r="J2816" s="3" t="s">
        <v>3356</v>
      </c>
      <c r="L2816" s="1" t="s">
        <v>6135</v>
      </c>
    </row>
    <row r="2817" spans="1:12">
      <c r="A2817" s="3" t="s">
        <v>3816</v>
      </c>
      <c r="C2817" s="3" t="s">
        <v>3817</v>
      </c>
      <c r="D2817" s="3" t="s">
        <v>3618</v>
      </c>
      <c r="E2817" s="3" t="s">
        <v>4007</v>
      </c>
      <c r="F2817" s="3" t="s">
        <v>4008</v>
      </c>
      <c r="G2817" s="3" t="s">
        <v>4174</v>
      </c>
      <c r="H2817" s="6">
        <v>1.50515</v>
      </c>
      <c r="I2817" s="6">
        <v>32.000001597448417</v>
      </c>
      <c r="J2817" s="3" t="s">
        <v>3356</v>
      </c>
      <c r="L2817" s="1" t="s">
        <v>6135</v>
      </c>
    </row>
    <row r="2818" spans="1:12">
      <c r="A2818" s="3" t="s">
        <v>3816</v>
      </c>
      <c r="C2818" s="3" t="s">
        <v>3817</v>
      </c>
      <c r="D2818" s="3" t="s">
        <v>3618</v>
      </c>
      <c r="E2818" s="3" t="s">
        <v>4007</v>
      </c>
      <c r="F2818" s="3" t="s">
        <v>4008</v>
      </c>
      <c r="G2818" s="3" t="s">
        <v>3587</v>
      </c>
      <c r="H2818" s="6">
        <v>1.2174799999999999</v>
      </c>
      <c r="I2818" s="6">
        <v>16.499850149526083</v>
      </c>
      <c r="J2818" s="3" t="s">
        <v>3356</v>
      </c>
      <c r="L2818" s="1" t="s">
        <v>6135</v>
      </c>
    </row>
    <row r="2819" spans="1:12">
      <c r="A2819" s="3" t="s">
        <v>3816</v>
      </c>
      <c r="C2819" s="3" t="s">
        <v>3817</v>
      </c>
      <c r="D2819" s="3" t="s">
        <v>3618</v>
      </c>
      <c r="E2819" s="3" t="s">
        <v>4007</v>
      </c>
      <c r="F2819" s="3" t="s">
        <v>4008</v>
      </c>
      <c r="G2819" s="3" t="s">
        <v>3385</v>
      </c>
      <c r="H2819" s="6">
        <v>1.3617300000000001</v>
      </c>
      <c r="I2819" s="6">
        <v>23.000114603619075</v>
      </c>
      <c r="J2819" s="3" t="s">
        <v>3356</v>
      </c>
      <c r="L2819" s="1" t="s">
        <v>6135</v>
      </c>
    </row>
    <row r="2820" spans="1:12">
      <c r="A2820" s="3" t="s">
        <v>3816</v>
      </c>
      <c r="C2820" s="3" t="s">
        <v>3817</v>
      </c>
      <c r="D2820" s="3" t="s">
        <v>3618</v>
      </c>
      <c r="E2820" s="3" t="s">
        <v>4007</v>
      </c>
      <c r="F2820" s="3" t="s">
        <v>4008</v>
      </c>
      <c r="G2820" s="3" t="s">
        <v>3155</v>
      </c>
      <c r="H2820" s="6">
        <v>1.1972799999999999</v>
      </c>
      <c r="I2820" s="6">
        <v>15.749979759188241</v>
      </c>
      <c r="J2820" s="3" t="s">
        <v>3356</v>
      </c>
      <c r="L2820" s="1" t="s">
        <v>6135</v>
      </c>
    </row>
    <row r="2821" spans="1:12">
      <c r="A2821" s="3" t="s">
        <v>3816</v>
      </c>
      <c r="C2821" s="3" t="s">
        <v>3817</v>
      </c>
      <c r="D2821" s="3" t="s">
        <v>3618</v>
      </c>
      <c r="E2821" s="3" t="s">
        <v>4007</v>
      </c>
      <c r="F2821" s="3" t="s">
        <v>4008</v>
      </c>
      <c r="G2821" s="3" t="s">
        <v>3156</v>
      </c>
      <c r="H2821" s="6">
        <v>1.17513</v>
      </c>
      <c r="I2821" s="6">
        <v>14.966836004232878</v>
      </c>
      <c r="J2821" s="3" t="s">
        <v>3356</v>
      </c>
      <c r="L2821" s="1" t="s">
        <v>6135</v>
      </c>
    </row>
    <row r="2822" spans="1:12">
      <c r="A2822" s="3" t="s">
        <v>3816</v>
      </c>
      <c r="C2822" s="3" t="s">
        <v>3817</v>
      </c>
      <c r="D2822" s="3" t="s">
        <v>3618</v>
      </c>
      <c r="E2822" s="3" t="s">
        <v>4007</v>
      </c>
      <c r="F2822" s="3" t="s">
        <v>4008</v>
      </c>
      <c r="G2822" s="3" t="s">
        <v>2986</v>
      </c>
      <c r="H2822" s="6">
        <v>1.23045</v>
      </c>
      <c r="I2822" s="6">
        <v>17.000042221563668</v>
      </c>
      <c r="J2822" s="3" t="s">
        <v>3356</v>
      </c>
      <c r="L2822" s="1" t="s">
        <v>6135</v>
      </c>
    </row>
    <row r="2823" spans="1:12">
      <c r="A2823" s="3" t="s">
        <v>3816</v>
      </c>
      <c r="C2823" s="3" t="s">
        <v>3817</v>
      </c>
      <c r="D2823" s="3" t="s">
        <v>3618</v>
      </c>
      <c r="E2823" s="3" t="s">
        <v>4007</v>
      </c>
      <c r="F2823" s="3" t="s">
        <v>4008</v>
      </c>
      <c r="G2823" s="3" t="s">
        <v>2987</v>
      </c>
      <c r="H2823" s="6">
        <v>1.2135199999999999</v>
      </c>
      <c r="I2823" s="6">
        <v>16.350084443175422</v>
      </c>
      <c r="J2823" s="3" t="s">
        <v>3356</v>
      </c>
      <c r="L2823" s="1" t="s">
        <v>6135</v>
      </c>
    </row>
    <row r="2824" spans="1:12">
      <c r="A2824" s="3" t="s">
        <v>3816</v>
      </c>
      <c r="C2824" s="3" t="s">
        <v>3817</v>
      </c>
      <c r="D2824" s="3" t="s">
        <v>3618</v>
      </c>
      <c r="E2824" s="3" t="s">
        <v>4007</v>
      </c>
      <c r="F2824" s="3" t="s">
        <v>3011</v>
      </c>
      <c r="G2824" s="3" t="s">
        <v>4399</v>
      </c>
      <c r="H2824" s="6">
        <v>1.7623</v>
      </c>
      <c r="I2824" s="6">
        <v>57.849551996508993</v>
      </c>
      <c r="J2824" s="3" t="s">
        <v>3356</v>
      </c>
      <c r="L2824" s="1" t="s">
        <v>6135</v>
      </c>
    </row>
    <row r="2825" spans="1:12">
      <c r="A2825" s="3" t="s">
        <v>3816</v>
      </c>
      <c r="C2825" s="3" t="s">
        <v>3817</v>
      </c>
      <c r="D2825" s="3" t="s">
        <v>3618</v>
      </c>
      <c r="E2825" s="3" t="s">
        <v>4007</v>
      </c>
      <c r="F2825" s="3" t="s">
        <v>3011</v>
      </c>
      <c r="G2825" s="3" t="s">
        <v>3012</v>
      </c>
      <c r="H2825" s="6">
        <v>2.01912</v>
      </c>
      <c r="I2825" s="6">
        <v>104.50089259696503</v>
      </c>
      <c r="J2825" s="3" t="s">
        <v>3356</v>
      </c>
      <c r="L2825" s="1" t="s">
        <v>6135</v>
      </c>
    </row>
    <row r="2826" spans="1:12">
      <c r="A2826" s="3" t="s">
        <v>3816</v>
      </c>
      <c r="C2826" s="3" t="s">
        <v>3817</v>
      </c>
      <c r="D2826" s="3" t="s">
        <v>3618</v>
      </c>
      <c r="E2826" s="3" t="s">
        <v>4007</v>
      </c>
      <c r="F2826" s="3" t="s">
        <v>3011</v>
      </c>
      <c r="G2826" s="3" t="s">
        <v>3389</v>
      </c>
      <c r="H2826" s="6">
        <v>1.8893</v>
      </c>
      <c r="I2826" s="6">
        <v>77.499696187757564</v>
      </c>
      <c r="J2826" s="3" t="s">
        <v>3356</v>
      </c>
      <c r="L2826" s="1" t="s">
        <v>6135</v>
      </c>
    </row>
    <row r="2827" spans="1:12">
      <c r="A2827" s="3" t="s">
        <v>3816</v>
      </c>
      <c r="C2827" s="3" t="s">
        <v>3817</v>
      </c>
      <c r="D2827" s="3" t="s">
        <v>3618</v>
      </c>
      <c r="E2827" s="3" t="s">
        <v>4007</v>
      </c>
      <c r="F2827" s="3" t="s">
        <v>3011</v>
      </c>
      <c r="G2827" s="3" t="s">
        <v>2998</v>
      </c>
      <c r="H2827" s="6">
        <v>1.8573299999999999</v>
      </c>
      <c r="I2827" s="6">
        <v>71.999586127518953</v>
      </c>
      <c r="J2827" s="3" t="s">
        <v>3356</v>
      </c>
      <c r="L2827" s="1" t="s">
        <v>6135</v>
      </c>
    </row>
    <row r="2828" spans="1:12">
      <c r="A2828" s="3" t="s">
        <v>3816</v>
      </c>
      <c r="C2828" s="3" t="s">
        <v>3817</v>
      </c>
      <c r="D2828" s="3" t="s">
        <v>3618</v>
      </c>
      <c r="E2828" s="3" t="s">
        <v>4007</v>
      </c>
      <c r="F2828" s="3" t="s">
        <v>3011</v>
      </c>
      <c r="G2828" s="3" t="s">
        <v>6299</v>
      </c>
      <c r="H2828" s="6">
        <v>1.92415</v>
      </c>
      <c r="I2828" s="6">
        <v>83.974997580355904</v>
      </c>
      <c r="J2828" s="3" t="s">
        <v>3356</v>
      </c>
      <c r="L2828" s="1" t="s">
        <v>6135</v>
      </c>
    </row>
    <row r="2829" spans="1:12">
      <c r="A2829" s="3" t="s">
        <v>3816</v>
      </c>
      <c r="C2829" s="3" t="s">
        <v>3817</v>
      </c>
      <c r="D2829" s="3" t="s">
        <v>3618</v>
      </c>
      <c r="E2829" s="3" t="s">
        <v>4007</v>
      </c>
      <c r="F2829" s="3" t="s">
        <v>3011</v>
      </c>
      <c r="G2829" s="3" t="s">
        <v>3158</v>
      </c>
      <c r="H2829" s="6">
        <v>1.8573299999999999</v>
      </c>
      <c r="I2829" s="6">
        <v>71.999586127518953</v>
      </c>
      <c r="J2829" s="3" t="s">
        <v>3356</v>
      </c>
      <c r="L2829" s="1" t="s">
        <v>6135</v>
      </c>
    </row>
    <row r="2830" spans="1:12">
      <c r="A2830" s="3" t="s">
        <v>3816</v>
      </c>
      <c r="C2830" s="3" t="s">
        <v>3817</v>
      </c>
      <c r="D2830" s="3" t="s">
        <v>3618</v>
      </c>
      <c r="E2830" s="3" t="s">
        <v>4007</v>
      </c>
      <c r="F2830" s="3" t="s">
        <v>3011</v>
      </c>
      <c r="G2830" s="3" t="s">
        <v>3159</v>
      </c>
      <c r="H2830" s="6">
        <v>2.12662</v>
      </c>
      <c r="I2830" s="6">
        <v>133.85050066641114</v>
      </c>
      <c r="J2830" s="3" t="s">
        <v>3356</v>
      </c>
      <c r="L2830" s="1" t="s">
        <v>6135</v>
      </c>
    </row>
    <row r="2831" spans="1:12">
      <c r="A2831" s="3" t="s">
        <v>3816</v>
      </c>
      <c r="C2831" s="3" t="s">
        <v>3817</v>
      </c>
      <c r="D2831" s="3" t="s">
        <v>3618</v>
      </c>
      <c r="E2831" s="3" t="s">
        <v>4007</v>
      </c>
      <c r="F2831" s="3" t="s">
        <v>3011</v>
      </c>
      <c r="G2831" s="3" t="s">
        <v>2222</v>
      </c>
      <c r="H2831" s="6">
        <v>1.4814400000000001</v>
      </c>
      <c r="I2831" s="6">
        <v>30.299816614343175</v>
      </c>
      <c r="J2831" s="3" t="s">
        <v>3356</v>
      </c>
      <c r="L2831" s="1" t="s">
        <v>6135</v>
      </c>
    </row>
    <row r="2832" spans="1:12">
      <c r="A2832" s="3" t="s">
        <v>3816</v>
      </c>
      <c r="C2832" s="3" t="s">
        <v>3817</v>
      </c>
      <c r="D2832" s="3" t="s">
        <v>3618</v>
      </c>
      <c r="E2832" s="3" t="s">
        <v>4007</v>
      </c>
      <c r="F2832" s="3" t="s">
        <v>3011</v>
      </c>
      <c r="G2832" s="3" t="s">
        <v>3160</v>
      </c>
      <c r="H2832" s="6">
        <v>1.73719</v>
      </c>
      <c r="I2832" s="6">
        <v>54.599667757142555</v>
      </c>
      <c r="J2832" s="3" t="s">
        <v>3356</v>
      </c>
      <c r="L2832" s="1" t="s">
        <v>6135</v>
      </c>
    </row>
    <row r="2833" spans="1:12">
      <c r="A2833" s="3" t="s">
        <v>3816</v>
      </c>
      <c r="C2833" s="3" t="s">
        <v>3817</v>
      </c>
      <c r="D2833" s="3" t="s">
        <v>3618</v>
      </c>
      <c r="E2833" s="3" t="s">
        <v>4007</v>
      </c>
      <c r="F2833" s="3" t="s">
        <v>3011</v>
      </c>
      <c r="G2833" s="3" t="s">
        <v>3155</v>
      </c>
      <c r="H2833" s="6">
        <v>1.94743</v>
      </c>
      <c r="I2833" s="6">
        <v>88.599240704652189</v>
      </c>
      <c r="J2833" s="3" t="s">
        <v>3356</v>
      </c>
      <c r="L2833" s="1" t="s">
        <v>6135</v>
      </c>
    </row>
    <row r="2834" spans="1:12">
      <c r="A2834" s="3" t="s">
        <v>3816</v>
      </c>
      <c r="C2834" s="3" t="s">
        <v>3817</v>
      </c>
      <c r="D2834" s="3" t="s">
        <v>3618</v>
      </c>
      <c r="E2834" s="3" t="s">
        <v>4007</v>
      </c>
      <c r="F2834" s="3" t="s">
        <v>3011</v>
      </c>
      <c r="G2834" s="3" t="s">
        <v>3161</v>
      </c>
      <c r="H2834" s="6">
        <v>1.64246</v>
      </c>
      <c r="I2834" s="6">
        <v>43.899543080548575</v>
      </c>
      <c r="J2834" s="3" t="s">
        <v>3356</v>
      </c>
      <c r="L2834" s="1" t="s">
        <v>6135</v>
      </c>
    </row>
    <row r="2835" spans="1:12">
      <c r="A2835" s="3" t="s">
        <v>3816</v>
      </c>
      <c r="C2835" s="3" t="s">
        <v>3817</v>
      </c>
      <c r="D2835" s="3" t="s">
        <v>3618</v>
      </c>
      <c r="E2835" s="3" t="s">
        <v>4007</v>
      </c>
      <c r="F2835" s="3" t="s">
        <v>3011</v>
      </c>
      <c r="G2835" s="3" t="s">
        <v>2982</v>
      </c>
      <c r="H2835" s="6">
        <v>1.78104</v>
      </c>
      <c r="I2835" s="6">
        <v>60.400425766255559</v>
      </c>
      <c r="J2835" s="3" t="s">
        <v>3356</v>
      </c>
      <c r="L2835" s="1" t="s">
        <v>6135</v>
      </c>
    </row>
    <row r="2836" spans="1:12">
      <c r="A2836" s="3" t="s">
        <v>3816</v>
      </c>
      <c r="C2836" s="3" t="s">
        <v>3817</v>
      </c>
      <c r="D2836" s="3" t="s">
        <v>3618</v>
      </c>
      <c r="E2836" s="3" t="s">
        <v>4007</v>
      </c>
      <c r="F2836" s="3" t="s">
        <v>3011</v>
      </c>
      <c r="G2836" s="3" t="s">
        <v>3008</v>
      </c>
      <c r="H2836" s="6">
        <v>1.8733200000000001</v>
      </c>
      <c r="I2836" s="6">
        <v>74.699896485953658</v>
      </c>
      <c r="J2836" s="3" t="s">
        <v>3356</v>
      </c>
      <c r="L2836" s="1" t="s">
        <v>6135</v>
      </c>
    </row>
    <row r="2837" spans="1:12">
      <c r="A2837" s="3" t="s">
        <v>3816</v>
      </c>
      <c r="C2837" s="3" t="s">
        <v>3817</v>
      </c>
      <c r="D2837" s="3" t="s">
        <v>3618</v>
      </c>
      <c r="E2837" s="3" t="s">
        <v>4007</v>
      </c>
      <c r="F2837" s="3" t="s">
        <v>3011</v>
      </c>
      <c r="G2837" s="3" t="s">
        <v>8278</v>
      </c>
      <c r="H2837" s="6">
        <v>1.6127800000000001</v>
      </c>
      <c r="I2837" s="6">
        <v>40.999635904176493</v>
      </c>
      <c r="J2837" s="3" t="s">
        <v>3356</v>
      </c>
      <c r="L2837" s="1" t="s">
        <v>6135</v>
      </c>
    </row>
    <row r="2838" spans="1:12">
      <c r="A2838" s="3" t="s">
        <v>3816</v>
      </c>
      <c r="C2838" s="3" t="s">
        <v>3817</v>
      </c>
      <c r="D2838" s="3" t="s">
        <v>3618</v>
      </c>
      <c r="E2838" s="3" t="s">
        <v>4007</v>
      </c>
      <c r="F2838" s="3" t="s">
        <v>3011</v>
      </c>
      <c r="G2838" s="3" t="s">
        <v>5540</v>
      </c>
      <c r="H2838" s="6">
        <v>2.13314</v>
      </c>
      <c r="I2838" s="6">
        <v>135.87513856919276</v>
      </c>
      <c r="J2838" s="3" t="s">
        <v>3356</v>
      </c>
      <c r="L2838" s="1" t="s">
        <v>6135</v>
      </c>
    </row>
    <row r="2839" spans="1:12">
      <c r="A2839" s="3" t="s">
        <v>3816</v>
      </c>
      <c r="C2839" s="3" t="s">
        <v>3817</v>
      </c>
      <c r="D2839" s="3" t="s">
        <v>3618</v>
      </c>
      <c r="E2839" s="3" t="s">
        <v>4007</v>
      </c>
      <c r="F2839" s="3" t="s">
        <v>3011</v>
      </c>
      <c r="G2839" s="3" t="s">
        <v>6541</v>
      </c>
      <c r="H2839" s="6">
        <v>1.8435600000000001</v>
      </c>
      <c r="I2839" s="6">
        <v>69.752535691459499</v>
      </c>
      <c r="J2839" s="3" t="s">
        <v>3356</v>
      </c>
      <c r="L2839" s="1" t="s">
        <v>6135</v>
      </c>
    </row>
    <row r="2840" spans="1:12">
      <c r="A2840" s="3" t="s">
        <v>3816</v>
      </c>
      <c r="C2840" s="3" t="s">
        <v>3817</v>
      </c>
      <c r="D2840" s="3" t="s">
        <v>3618</v>
      </c>
      <c r="E2840" s="3" t="s">
        <v>4007</v>
      </c>
      <c r="F2840" s="3" t="s">
        <v>3011</v>
      </c>
      <c r="G2840" s="3" t="s">
        <v>6382</v>
      </c>
      <c r="H2840" s="6">
        <v>1.8573299999999999</v>
      </c>
      <c r="I2840" s="6">
        <v>71.999586127518953</v>
      </c>
      <c r="J2840" s="3" t="s">
        <v>3356</v>
      </c>
      <c r="L2840" s="1" t="s">
        <v>6135</v>
      </c>
    </row>
    <row r="2841" spans="1:12">
      <c r="A2841" s="3" t="s">
        <v>3816</v>
      </c>
      <c r="C2841" s="3" t="s">
        <v>3817</v>
      </c>
      <c r="D2841" s="3" t="s">
        <v>3618</v>
      </c>
      <c r="E2841" s="3" t="s">
        <v>4007</v>
      </c>
      <c r="F2841" s="3" t="s">
        <v>6383</v>
      </c>
      <c r="G2841" s="3" t="s">
        <v>5301</v>
      </c>
      <c r="H2841" s="6">
        <v>1.8603400000000001</v>
      </c>
      <c r="I2841" s="6">
        <v>72.500332778657508</v>
      </c>
      <c r="J2841" s="3" t="s">
        <v>3356</v>
      </c>
      <c r="L2841" s="1" t="s">
        <v>6135</v>
      </c>
    </row>
    <row r="2842" spans="1:12">
      <c r="A2842" s="3" t="s">
        <v>3816</v>
      </c>
      <c r="C2842" s="3" t="s">
        <v>3817</v>
      </c>
      <c r="D2842" s="3" t="s">
        <v>3618</v>
      </c>
      <c r="E2842" s="3" t="s">
        <v>4007</v>
      </c>
      <c r="F2842" s="3" t="s">
        <v>6383</v>
      </c>
      <c r="G2842" s="3" t="s">
        <v>8071</v>
      </c>
      <c r="H2842" s="6">
        <v>1.8034600000000001</v>
      </c>
      <c r="I2842" s="6">
        <v>63.60042239857448</v>
      </c>
      <c r="J2842" s="3" t="s">
        <v>3356</v>
      </c>
      <c r="L2842" s="1" t="s">
        <v>6135</v>
      </c>
    </row>
    <row r="2843" spans="1:12">
      <c r="A2843" s="3" t="s">
        <v>3816</v>
      </c>
      <c r="C2843" s="3" t="s">
        <v>3817</v>
      </c>
      <c r="D2843" s="3" t="s">
        <v>3618</v>
      </c>
      <c r="E2843" s="3" t="s">
        <v>4007</v>
      </c>
      <c r="F2843" s="3" t="s">
        <v>6383</v>
      </c>
      <c r="G2843" s="3" t="s">
        <v>7416</v>
      </c>
      <c r="H2843" s="6">
        <v>1.9294199999999999</v>
      </c>
      <c r="I2843" s="6">
        <v>85.000210259171723</v>
      </c>
      <c r="J2843" s="3" t="s">
        <v>3356</v>
      </c>
      <c r="L2843" s="1" t="s">
        <v>6135</v>
      </c>
    </row>
    <row r="2844" spans="1:12">
      <c r="A2844" s="3" t="s">
        <v>3816</v>
      </c>
      <c r="C2844" s="3" t="s">
        <v>3817</v>
      </c>
      <c r="D2844" s="3" t="s">
        <v>3618</v>
      </c>
      <c r="E2844" s="3" t="s">
        <v>4007</v>
      </c>
      <c r="F2844" s="3" t="s">
        <v>6383</v>
      </c>
      <c r="G2844" s="3" t="s">
        <v>3155</v>
      </c>
      <c r="H2844" s="6">
        <v>1.734</v>
      </c>
      <c r="I2844" s="6">
        <v>54.20008904016241</v>
      </c>
      <c r="J2844" s="3" t="s">
        <v>3356</v>
      </c>
      <c r="L2844" s="1" t="s">
        <v>6135</v>
      </c>
    </row>
    <row r="2845" spans="1:12">
      <c r="A2845" s="3" t="s">
        <v>3816</v>
      </c>
      <c r="C2845" s="3" t="s">
        <v>3817</v>
      </c>
      <c r="D2845" s="3" t="s">
        <v>3618</v>
      </c>
      <c r="E2845" s="3" t="s">
        <v>4007</v>
      </c>
      <c r="F2845" s="3" t="s">
        <v>8072</v>
      </c>
      <c r="G2845" s="3" t="s">
        <v>6075</v>
      </c>
      <c r="H2845" s="6">
        <v>2.68215</v>
      </c>
      <c r="I2845" s="6">
        <v>481.00545316072481</v>
      </c>
      <c r="J2845" s="3" t="s">
        <v>3356</v>
      </c>
      <c r="L2845" s="1" t="s">
        <v>6135</v>
      </c>
    </row>
    <row r="2846" spans="1:12">
      <c r="A2846" s="3" t="s">
        <v>3816</v>
      </c>
      <c r="C2846" s="3" t="s">
        <v>3817</v>
      </c>
      <c r="D2846" s="3" t="s">
        <v>3618</v>
      </c>
      <c r="E2846" s="3" t="s">
        <v>4007</v>
      </c>
      <c r="F2846" s="3" t="s">
        <v>8072</v>
      </c>
      <c r="G2846" s="3" t="s">
        <v>7639</v>
      </c>
      <c r="H2846" s="6">
        <v>1.60206</v>
      </c>
      <c r="I2846" s="6">
        <v>40.000000798724201</v>
      </c>
      <c r="J2846" s="3" t="s">
        <v>3356</v>
      </c>
      <c r="L2846" s="1" t="s">
        <v>6135</v>
      </c>
    </row>
    <row r="2847" spans="1:12">
      <c r="A2847" s="3" t="s">
        <v>3816</v>
      </c>
      <c r="C2847" s="3" t="s">
        <v>3817</v>
      </c>
      <c r="D2847" s="3" t="s">
        <v>3618</v>
      </c>
      <c r="E2847" s="3" t="s">
        <v>4007</v>
      </c>
      <c r="F2847" s="3" t="s">
        <v>8072</v>
      </c>
      <c r="G2847" s="3" t="s">
        <v>8076</v>
      </c>
      <c r="H2847" s="6">
        <v>1.6232500000000001</v>
      </c>
      <c r="I2847" s="6">
        <v>42.000068624663172</v>
      </c>
      <c r="J2847" s="3" t="s">
        <v>3356</v>
      </c>
      <c r="L2847" s="1" t="s">
        <v>6135</v>
      </c>
    </row>
    <row r="2848" spans="1:12">
      <c r="A2848" s="3" t="s">
        <v>3816</v>
      </c>
      <c r="C2848" s="3" t="s">
        <v>3817</v>
      </c>
      <c r="D2848" s="3" t="s">
        <v>3618</v>
      </c>
      <c r="E2848" s="3" t="s">
        <v>4007</v>
      </c>
      <c r="F2848" s="3" t="s">
        <v>8072</v>
      </c>
      <c r="G2848" s="3" t="s">
        <v>5540</v>
      </c>
      <c r="H2848" s="6">
        <v>1.81291</v>
      </c>
      <c r="I2848" s="6">
        <v>64.999497619814377</v>
      </c>
      <c r="J2848" s="3" t="s">
        <v>3356</v>
      </c>
      <c r="L2848" s="1" t="s">
        <v>6135</v>
      </c>
    </row>
    <row r="2849" spans="1:12">
      <c r="A2849" s="3" t="s">
        <v>3816</v>
      </c>
      <c r="C2849" s="3" t="s">
        <v>3817</v>
      </c>
      <c r="D2849" s="3" t="s">
        <v>3618</v>
      </c>
      <c r="E2849" s="3" t="s">
        <v>4007</v>
      </c>
      <c r="F2849" s="3" t="s">
        <v>8077</v>
      </c>
      <c r="G2849" s="3" t="s">
        <v>8078</v>
      </c>
      <c r="H2849" s="6">
        <v>1.01912</v>
      </c>
      <c r="I2849" s="6">
        <v>10.450089259696501</v>
      </c>
      <c r="J2849" s="3" t="s">
        <v>3356</v>
      </c>
      <c r="L2849" s="1" t="s">
        <v>6135</v>
      </c>
    </row>
    <row r="2850" spans="1:12">
      <c r="A2850" s="3" t="s">
        <v>3816</v>
      </c>
      <c r="C2850" s="3" t="s">
        <v>3817</v>
      </c>
      <c r="D2850" s="3" t="s">
        <v>3618</v>
      </c>
      <c r="E2850" s="3" t="s">
        <v>4007</v>
      </c>
      <c r="F2850" s="3" t="s">
        <v>8077</v>
      </c>
      <c r="G2850" s="3" t="s">
        <v>5379</v>
      </c>
      <c r="H2850" s="6">
        <v>1.0969100000000001</v>
      </c>
      <c r="I2850" s="6">
        <v>12.499999625598049</v>
      </c>
      <c r="J2850" s="3" t="s">
        <v>3356</v>
      </c>
      <c r="L2850" s="1" t="s">
        <v>6135</v>
      </c>
    </row>
    <row r="2851" spans="1:12">
      <c r="A2851" s="3" t="s">
        <v>3816</v>
      </c>
      <c r="C2851" s="3" t="s">
        <v>3817</v>
      </c>
      <c r="D2851" s="3" t="s">
        <v>3618</v>
      </c>
      <c r="E2851" s="3" t="s">
        <v>4007</v>
      </c>
      <c r="F2851" s="3" t="s">
        <v>5380</v>
      </c>
      <c r="G2851" s="3" t="s">
        <v>5373</v>
      </c>
      <c r="H2851" s="6">
        <v>1.3802099999999999</v>
      </c>
      <c r="I2851" s="6">
        <v>23.999931380578893</v>
      </c>
      <c r="J2851" s="3" t="s">
        <v>3356</v>
      </c>
      <c r="L2851" s="1" t="s">
        <v>6135</v>
      </c>
    </row>
    <row r="2852" spans="1:12">
      <c r="A2852" s="3" t="s">
        <v>3816</v>
      </c>
      <c r="C2852" s="3" t="s">
        <v>3817</v>
      </c>
      <c r="D2852" s="3" t="s">
        <v>3618</v>
      </c>
      <c r="E2852" s="3" t="s">
        <v>4007</v>
      </c>
      <c r="F2852" s="3" t="s">
        <v>5380</v>
      </c>
      <c r="G2852" s="3" t="s">
        <v>8073</v>
      </c>
      <c r="H2852" s="6">
        <v>1.06819</v>
      </c>
      <c r="I2852" s="6">
        <v>11.700111486105868</v>
      </c>
      <c r="J2852" s="3" t="s">
        <v>3356</v>
      </c>
      <c r="L2852" s="1" t="s">
        <v>6135</v>
      </c>
    </row>
    <row r="2853" spans="1:12">
      <c r="A2853" s="3" t="s">
        <v>3816</v>
      </c>
      <c r="C2853" s="3" t="s">
        <v>3817</v>
      </c>
      <c r="D2853" s="3" t="s">
        <v>3618</v>
      </c>
      <c r="E2853" s="3" t="s">
        <v>4007</v>
      </c>
      <c r="F2853" s="3" t="s">
        <v>5380</v>
      </c>
      <c r="G2853" s="3" t="s">
        <v>4369</v>
      </c>
      <c r="H2853" s="6">
        <v>1.0625800000000001</v>
      </c>
      <c r="I2853" s="6">
        <v>11.549947229854666</v>
      </c>
      <c r="J2853" s="3" t="s">
        <v>3356</v>
      </c>
      <c r="L2853" s="1" t="s">
        <v>6135</v>
      </c>
    </row>
    <row r="2854" spans="1:12">
      <c r="A2854" s="3" t="s">
        <v>3816</v>
      </c>
      <c r="C2854" s="3" t="s">
        <v>3817</v>
      </c>
      <c r="D2854" s="3" t="s">
        <v>3618</v>
      </c>
      <c r="E2854" s="3" t="s">
        <v>4007</v>
      </c>
      <c r="F2854" s="3" t="s">
        <v>5380</v>
      </c>
      <c r="G2854" s="3" t="s">
        <v>7584</v>
      </c>
      <c r="H2854" s="6">
        <v>0.94447999999999999</v>
      </c>
      <c r="I2854" s="6">
        <v>8.7999458550589047</v>
      </c>
      <c r="J2854" s="3" t="s">
        <v>3356</v>
      </c>
      <c r="L2854" s="1" t="s">
        <v>6135</v>
      </c>
    </row>
    <row r="2855" spans="1:12">
      <c r="A2855" s="3" t="s">
        <v>3816</v>
      </c>
      <c r="C2855" s="3" t="s">
        <v>3817</v>
      </c>
      <c r="D2855" s="3" t="s">
        <v>3618</v>
      </c>
      <c r="E2855" s="3" t="s">
        <v>4007</v>
      </c>
      <c r="F2855" s="3" t="s">
        <v>5380</v>
      </c>
      <c r="G2855" s="3" t="s">
        <v>7217</v>
      </c>
      <c r="H2855" s="6">
        <v>0.88836999999999999</v>
      </c>
      <c r="I2855" s="6">
        <v>7.7333915582751924</v>
      </c>
      <c r="J2855" s="3" t="s">
        <v>3356</v>
      </c>
      <c r="L2855" s="1" t="s">
        <v>6135</v>
      </c>
    </row>
    <row r="2856" spans="1:12">
      <c r="A2856" s="3" t="s">
        <v>3816</v>
      </c>
      <c r="C2856" s="3" t="s">
        <v>3817</v>
      </c>
      <c r="D2856" s="3" t="s">
        <v>3618</v>
      </c>
      <c r="E2856" s="3" t="s">
        <v>4007</v>
      </c>
      <c r="F2856" s="3" t="s">
        <v>5380</v>
      </c>
      <c r="G2856" s="3" t="s">
        <v>5411</v>
      </c>
      <c r="H2856" s="6">
        <v>1.0367599999999999</v>
      </c>
      <c r="I2856" s="6">
        <v>10.883284945685718</v>
      </c>
      <c r="J2856" s="3" t="s">
        <v>3356</v>
      </c>
      <c r="L2856" s="1" t="s">
        <v>6135</v>
      </c>
    </row>
    <row r="2857" spans="1:12">
      <c r="A2857" s="3" t="s">
        <v>3816</v>
      </c>
      <c r="C2857" s="3" t="s">
        <v>3817</v>
      </c>
      <c r="D2857" s="3" t="s">
        <v>3618</v>
      </c>
      <c r="E2857" s="3" t="s">
        <v>4007</v>
      </c>
      <c r="F2857" s="3" t="s">
        <v>5380</v>
      </c>
      <c r="G2857" s="3" t="s">
        <v>5633</v>
      </c>
      <c r="H2857" s="6">
        <v>0.88080999999999998</v>
      </c>
      <c r="I2857" s="6">
        <v>7.5999371366152699</v>
      </c>
      <c r="J2857" s="3" t="s">
        <v>3356</v>
      </c>
      <c r="L2857" s="1" t="s">
        <v>6135</v>
      </c>
    </row>
    <row r="2858" spans="1:12">
      <c r="A2858" s="3" t="s">
        <v>3816</v>
      </c>
      <c r="C2858" s="3" t="s">
        <v>3817</v>
      </c>
      <c r="D2858" s="3" t="s">
        <v>3618</v>
      </c>
      <c r="E2858" s="3" t="s">
        <v>4007</v>
      </c>
      <c r="F2858" s="3" t="s">
        <v>5380</v>
      </c>
      <c r="G2858" s="3" t="s">
        <v>2222</v>
      </c>
      <c r="H2858" s="6">
        <v>0.83569000000000004</v>
      </c>
      <c r="I2858" s="6">
        <v>6.8499909860228438</v>
      </c>
      <c r="J2858" s="3" t="s">
        <v>3356</v>
      </c>
      <c r="L2858" s="1" t="s">
        <v>6135</v>
      </c>
    </row>
    <row r="2859" spans="1:12">
      <c r="A2859" s="3" t="s">
        <v>3816</v>
      </c>
      <c r="C2859" s="3" t="s">
        <v>3817</v>
      </c>
      <c r="D2859" s="3" t="s">
        <v>3618</v>
      </c>
      <c r="E2859" s="3" t="s">
        <v>4007</v>
      </c>
      <c r="F2859" s="3" t="s">
        <v>5380</v>
      </c>
      <c r="G2859" s="3" t="s">
        <v>7332</v>
      </c>
      <c r="H2859" s="6">
        <v>1.33796</v>
      </c>
      <c r="I2859" s="6">
        <v>21.775092071073249</v>
      </c>
      <c r="J2859" s="3" t="s">
        <v>3356</v>
      </c>
      <c r="L2859" s="1" t="s">
        <v>6135</v>
      </c>
    </row>
    <row r="2860" spans="1:12">
      <c r="A2860" s="3" t="s">
        <v>3816</v>
      </c>
      <c r="C2860" s="3" t="s">
        <v>3817</v>
      </c>
      <c r="D2860" s="3" t="s">
        <v>3618</v>
      </c>
      <c r="E2860" s="3" t="s">
        <v>4007</v>
      </c>
      <c r="F2860" s="3" t="s">
        <v>5380</v>
      </c>
      <c r="G2860" s="3" t="s">
        <v>5634</v>
      </c>
      <c r="H2860" s="6">
        <v>1.3802099999999999</v>
      </c>
      <c r="I2860" s="6">
        <v>23.999931380578893</v>
      </c>
      <c r="J2860" s="3" t="s">
        <v>3356</v>
      </c>
      <c r="L2860" s="1" t="s">
        <v>6135</v>
      </c>
    </row>
    <row r="2861" spans="1:12">
      <c r="A2861" s="3" t="s">
        <v>3816</v>
      </c>
      <c r="C2861" s="3" t="s">
        <v>3817</v>
      </c>
      <c r="D2861" s="3" t="s">
        <v>3618</v>
      </c>
      <c r="E2861" s="3" t="s">
        <v>3638</v>
      </c>
      <c r="F2861" s="3" t="s">
        <v>4031</v>
      </c>
      <c r="G2861" s="3" t="s">
        <v>4032</v>
      </c>
      <c r="H2861" s="6">
        <v>1.3617300000000001</v>
      </c>
      <c r="I2861" s="6">
        <v>23.000114603619075</v>
      </c>
      <c r="J2861" s="3" t="s">
        <v>3356</v>
      </c>
      <c r="L2861" s="1" t="s">
        <v>6135</v>
      </c>
    </row>
    <row r="2862" spans="1:12">
      <c r="A2862" s="3" t="s">
        <v>3816</v>
      </c>
      <c r="C2862" s="3" t="s">
        <v>3817</v>
      </c>
      <c r="D2862" s="3" t="s">
        <v>3618</v>
      </c>
      <c r="E2862" s="3" t="s">
        <v>3638</v>
      </c>
      <c r="F2862" s="3" t="s">
        <v>4031</v>
      </c>
      <c r="G2862" s="3" t="s">
        <v>4222</v>
      </c>
      <c r="H2862" s="6">
        <v>1.33846</v>
      </c>
      <c r="I2862" s="6">
        <v>21.800176008978656</v>
      </c>
      <c r="J2862" s="3" t="s">
        <v>3356</v>
      </c>
      <c r="L2862" s="1" t="s">
        <v>6135</v>
      </c>
    </row>
    <row r="2863" spans="1:12">
      <c r="A2863" s="3" t="s">
        <v>3816</v>
      </c>
      <c r="C2863" s="3" t="s">
        <v>3817</v>
      </c>
      <c r="D2863" s="3" t="s">
        <v>3618</v>
      </c>
      <c r="E2863" s="3" t="s">
        <v>3638</v>
      </c>
      <c r="F2863" s="3" t="s">
        <v>6756</v>
      </c>
      <c r="G2863" s="3" t="s">
        <v>4307</v>
      </c>
      <c r="H2863" s="6">
        <v>0.95423999999999998</v>
      </c>
      <c r="I2863" s="6">
        <v>8.999947996372013</v>
      </c>
      <c r="J2863" s="3" t="s">
        <v>3356</v>
      </c>
      <c r="L2863" s="1" t="s">
        <v>6135</v>
      </c>
    </row>
    <row r="2864" spans="1:12">
      <c r="A2864" s="3" t="s">
        <v>3816</v>
      </c>
      <c r="C2864" s="3" t="s">
        <v>3817</v>
      </c>
      <c r="D2864" s="3" t="s">
        <v>3618</v>
      </c>
      <c r="E2864" s="3" t="s">
        <v>3638</v>
      </c>
      <c r="F2864" s="3" t="s">
        <v>6756</v>
      </c>
      <c r="G2864" s="3" t="s">
        <v>4220</v>
      </c>
      <c r="H2864" s="6">
        <v>0.90308999999999995</v>
      </c>
      <c r="I2864" s="6">
        <v>8.0000002396172594</v>
      </c>
      <c r="J2864" s="3" t="s">
        <v>3356</v>
      </c>
      <c r="L2864" s="1" t="s">
        <v>6135</v>
      </c>
    </row>
    <row r="2865" spans="1:12">
      <c r="A2865" s="3" t="s">
        <v>3816</v>
      </c>
      <c r="C2865" s="3" t="s">
        <v>3817</v>
      </c>
      <c r="D2865" s="3" t="s">
        <v>3618</v>
      </c>
      <c r="E2865" s="3" t="s">
        <v>3638</v>
      </c>
      <c r="F2865" s="3" t="s">
        <v>4221</v>
      </c>
      <c r="G2865" s="3" t="s">
        <v>4404</v>
      </c>
      <c r="H2865" s="6">
        <v>1.2624500000000001</v>
      </c>
      <c r="I2865" s="6">
        <v>18.299954081751743</v>
      </c>
      <c r="J2865" s="3" t="s">
        <v>3356</v>
      </c>
      <c r="L2865" s="1" t="s">
        <v>6135</v>
      </c>
    </row>
    <row r="2866" spans="1:12">
      <c r="A2866" s="3" t="s">
        <v>3816</v>
      </c>
      <c r="C2866" s="3" t="s">
        <v>3817</v>
      </c>
      <c r="D2866" s="3" t="s">
        <v>3618</v>
      </c>
      <c r="E2866" s="3" t="s">
        <v>3638</v>
      </c>
      <c r="F2866" s="3" t="s">
        <v>4221</v>
      </c>
      <c r="G2866" s="3" t="s">
        <v>4406</v>
      </c>
      <c r="H2866" s="6">
        <v>1.27837</v>
      </c>
      <c r="I2866" s="6">
        <v>18.983225206581469</v>
      </c>
      <c r="J2866" s="3" t="s">
        <v>3356</v>
      </c>
      <c r="L2866" s="1" t="s">
        <v>6135</v>
      </c>
    </row>
    <row r="2867" spans="1:12">
      <c r="A2867" s="3" t="s">
        <v>3816</v>
      </c>
      <c r="C2867" s="3" t="s">
        <v>3817</v>
      </c>
      <c r="D2867" s="3" t="s">
        <v>3618</v>
      </c>
      <c r="E2867" s="3" t="s">
        <v>3638</v>
      </c>
      <c r="F2867" s="3" t="s">
        <v>4221</v>
      </c>
      <c r="G2867" s="3" t="s">
        <v>4407</v>
      </c>
      <c r="H2867" s="6">
        <v>1.4623999999999999</v>
      </c>
      <c r="I2867" s="6">
        <v>29.000133690540697</v>
      </c>
      <c r="J2867" s="3" t="s">
        <v>3356</v>
      </c>
      <c r="L2867" s="1" t="s">
        <v>6135</v>
      </c>
    </row>
    <row r="2868" spans="1:12">
      <c r="A2868" s="3" t="s">
        <v>3816</v>
      </c>
      <c r="C2868" s="3" t="s">
        <v>3817</v>
      </c>
      <c r="D2868" s="3" t="s">
        <v>3618</v>
      </c>
      <c r="E2868" s="3" t="s">
        <v>3638</v>
      </c>
      <c r="F2868" s="3" t="s">
        <v>4408</v>
      </c>
      <c r="G2868" s="3" t="s">
        <v>4409</v>
      </c>
      <c r="H2868" s="6">
        <v>1.7356</v>
      </c>
      <c r="I2868" s="6">
        <v>54.400137824672747</v>
      </c>
      <c r="J2868" s="3" t="s">
        <v>3356</v>
      </c>
      <c r="L2868" s="1" t="s">
        <v>6135</v>
      </c>
    </row>
    <row r="2869" spans="1:12">
      <c r="A2869" s="3" t="s">
        <v>3816</v>
      </c>
      <c r="C2869" s="3" t="s">
        <v>3817</v>
      </c>
      <c r="D2869" s="3" t="s">
        <v>3618</v>
      </c>
      <c r="E2869" s="3" t="s">
        <v>3638</v>
      </c>
      <c r="F2869" s="3" t="s">
        <v>4408</v>
      </c>
      <c r="G2869" s="3" t="s">
        <v>6462</v>
      </c>
      <c r="H2869" s="6">
        <v>1.75587</v>
      </c>
      <c r="I2869" s="6">
        <v>56.999362709414271</v>
      </c>
      <c r="J2869" s="3" t="s">
        <v>3356</v>
      </c>
      <c r="L2869" s="1" t="s">
        <v>6135</v>
      </c>
    </row>
    <row r="2870" spans="1:12">
      <c r="A2870" s="3" t="s">
        <v>3816</v>
      </c>
      <c r="C2870" s="3" t="s">
        <v>3817</v>
      </c>
      <c r="D2870" s="3" t="s">
        <v>3618</v>
      </c>
      <c r="E2870" s="3" t="s">
        <v>3638</v>
      </c>
      <c r="F2870" s="3" t="s">
        <v>4410</v>
      </c>
      <c r="G2870" s="3" t="s">
        <v>3974</v>
      </c>
      <c r="H2870" s="6">
        <v>1.60206</v>
      </c>
      <c r="I2870" s="6">
        <v>40.000000798724201</v>
      </c>
      <c r="J2870" s="3" t="s">
        <v>3356</v>
      </c>
      <c r="L2870" s="1" t="s">
        <v>6135</v>
      </c>
    </row>
    <row r="2871" spans="1:12">
      <c r="A2871" s="3" t="s">
        <v>3816</v>
      </c>
      <c r="C2871" s="3" t="s">
        <v>3817</v>
      </c>
      <c r="D2871" s="3" t="s">
        <v>3618</v>
      </c>
      <c r="E2871" s="3" t="s">
        <v>3638</v>
      </c>
      <c r="F2871" s="3" t="s">
        <v>4410</v>
      </c>
      <c r="G2871" s="3" t="s">
        <v>3975</v>
      </c>
      <c r="H2871" s="6">
        <v>1.9294199999999999</v>
      </c>
      <c r="I2871" s="6">
        <v>85.000210259171723</v>
      </c>
      <c r="J2871" s="3" t="s">
        <v>3356</v>
      </c>
      <c r="L2871" s="1" t="s">
        <v>6135</v>
      </c>
    </row>
    <row r="2872" spans="1:12">
      <c r="A2872" s="3" t="s">
        <v>3816</v>
      </c>
      <c r="C2872" s="3" t="s">
        <v>3817</v>
      </c>
      <c r="D2872" s="3" t="s">
        <v>3618</v>
      </c>
      <c r="E2872" s="3" t="s">
        <v>3638</v>
      </c>
      <c r="F2872" s="3" t="s">
        <v>4410</v>
      </c>
      <c r="G2872" s="3" t="s">
        <v>3976</v>
      </c>
      <c r="H2872" s="6">
        <v>1.60206</v>
      </c>
      <c r="I2872" s="6">
        <v>40.000000798724201</v>
      </c>
      <c r="J2872" s="3" t="s">
        <v>3356</v>
      </c>
      <c r="L2872" s="1" t="s">
        <v>6135</v>
      </c>
    </row>
    <row r="2873" spans="1:12">
      <c r="A2873" s="3" t="s">
        <v>3816</v>
      </c>
      <c r="C2873" s="3" t="s">
        <v>3817</v>
      </c>
      <c r="D2873" s="3" t="s">
        <v>3618</v>
      </c>
      <c r="E2873" s="3" t="s">
        <v>3638</v>
      </c>
      <c r="F2873" s="3" t="s">
        <v>4410</v>
      </c>
      <c r="G2873" s="3" t="s">
        <v>3977</v>
      </c>
      <c r="H2873" s="6">
        <v>1.60206</v>
      </c>
      <c r="I2873" s="6">
        <v>40.000000798724201</v>
      </c>
      <c r="J2873" s="3" t="s">
        <v>3356</v>
      </c>
      <c r="L2873" s="1" t="s">
        <v>6135</v>
      </c>
    </row>
    <row r="2874" spans="1:12">
      <c r="A2874" s="3" t="s">
        <v>3816</v>
      </c>
      <c r="C2874" s="3" t="s">
        <v>3817</v>
      </c>
      <c r="D2874" s="3" t="s">
        <v>3618</v>
      </c>
      <c r="E2874" s="3" t="s">
        <v>3638</v>
      </c>
      <c r="F2874" s="3" t="s">
        <v>3978</v>
      </c>
      <c r="G2874" s="3" t="s">
        <v>4087</v>
      </c>
      <c r="H2874" s="6">
        <v>2.5653800000000002</v>
      </c>
      <c r="I2874" s="6">
        <v>367.60380665869661</v>
      </c>
      <c r="J2874" s="3" t="s">
        <v>3356</v>
      </c>
      <c r="L2874" s="1" t="s">
        <v>6135</v>
      </c>
    </row>
    <row r="2875" spans="1:12">
      <c r="A2875" s="3" t="s">
        <v>3816</v>
      </c>
      <c r="C2875" s="3" t="s">
        <v>3817</v>
      </c>
      <c r="D2875" s="3" t="s">
        <v>3618</v>
      </c>
      <c r="E2875" s="3" t="s">
        <v>3638</v>
      </c>
      <c r="F2875" s="3" t="s">
        <v>3979</v>
      </c>
      <c r="G2875" s="3" t="s">
        <v>3980</v>
      </c>
      <c r="H2875" s="6">
        <v>1.4514</v>
      </c>
      <c r="I2875" s="6">
        <v>28.274829840696068</v>
      </c>
      <c r="J2875" s="3" t="s">
        <v>3356</v>
      </c>
      <c r="L2875" s="1" t="s">
        <v>6135</v>
      </c>
    </row>
    <row r="2876" spans="1:12">
      <c r="A2876" s="3" t="s">
        <v>3816</v>
      </c>
      <c r="C2876" s="3" t="s">
        <v>3817</v>
      </c>
      <c r="D2876" s="3" t="s">
        <v>3618</v>
      </c>
      <c r="E2876" s="3" t="s">
        <v>3638</v>
      </c>
      <c r="F2876" s="3" t="s">
        <v>7093</v>
      </c>
      <c r="G2876" s="3" t="s">
        <v>7094</v>
      </c>
      <c r="H2876" s="6">
        <v>1.7182200000000001</v>
      </c>
      <c r="I2876" s="6">
        <v>52.266088560600423</v>
      </c>
      <c r="J2876" s="3" t="s">
        <v>3356</v>
      </c>
      <c r="L2876" s="1" t="s">
        <v>6135</v>
      </c>
    </row>
    <row r="2877" spans="1:12">
      <c r="A2877" s="3" t="s">
        <v>3816</v>
      </c>
      <c r="C2877" s="3" t="s">
        <v>3817</v>
      </c>
      <c r="D2877" s="3" t="s">
        <v>3618</v>
      </c>
      <c r="E2877" s="3" t="s">
        <v>3638</v>
      </c>
      <c r="F2877" s="3" t="s">
        <v>4227</v>
      </c>
      <c r="G2877" s="3" t="s">
        <v>4852</v>
      </c>
      <c r="H2877" s="6">
        <v>2.0453199999999998</v>
      </c>
      <c r="I2877" s="6">
        <v>110.99923866362846</v>
      </c>
      <c r="J2877" s="3" t="s">
        <v>3356</v>
      </c>
      <c r="L2877" s="1" t="s">
        <v>6135</v>
      </c>
    </row>
    <row r="2878" spans="1:12">
      <c r="A2878" s="3" t="s">
        <v>3816</v>
      </c>
      <c r="C2878" s="3" t="s">
        <v>3817</v>
      </c>
      <c r="D2878" s="3" t="s">
        <v>3618</v>
      </c>
      <c r="E2878" s="3" t="s">
        <v>3638</v>
      </c>
      <c r="F2878" s="3" t="s">
        <v>4228</v>
      </c>
      <c r="G2878" s="3" t="s">
        <v>4404</v>
      </c>
      <c r="H2878" s="6">
        <v>1.7591000000000001</v>
      </c>
      <c r="I2878" s="6">
        <v>57.424867262878301</v>
      </c>
      <c r="J2878" s="3" t="s">
        <v>3356</v>
      </c>
      <c r="L2878" s="1" t="s">
        <v>6135</v>
      </c>
    </row>
    <row r="2879" spans="1:12">
      <c r="A2879" s="3" t="s">
        <v>3816</v>
      </c>
      <c r="C2879" s="3" t="s">
        <v>3817</v>
      </c>
      <c r="D2879" s="3" t="s">
        <v>3618</v>
      </c>
      <c r="E2879" s="3" t="s">
        <v>3638</v>
      </c>
      <c r="F2879" s="3" t="s">
        <v>4228</v>
      </c>
      <c r="G2879" s="3" t="s">
        <v>4229</v>
      </c>
      <c r="H2879" s="6">
        <v>1.45408</v>
      </c>
      <c r="I2879" s="6">
        <v>28.449851248097069</v>
      </c>
      <c r="J2879" s="3" t="s">
        <v>3356</v>
      </c>
      <c r="L2879" s="1" t="s">
        <v>6135</v>
      </c>
    </row>
    <row r="2880" spans="1:12">
      <c r="A2880" s="3" t="s">
        <v>3816</v>
      </c>
      <c r="C2880" s="3" t="s">
        <v>3817</v>
      </c>
      <c r="D2880" s="3" t="s">
        <v>3618</v>
      </c>
      <c r="E2880" s="3" t="s">
        <v>3638</v>
      </c>
      <c r="F2880" s="3" t="s">
        <v>4228</v>
      </c>
      <c r="G2880" s="3" t="s">
        <v>4230</v>
      </c>
      <c r="H2880" s="6">
        <v>1.5910599999999999</v>
      </c>
      <c r="I2880" s="6">
        <v>38.999586287443293</v>
      </c>
      <c r="J2880" s="3" t="s">
        <v>3356</v>
      </c>
      <c r="L2880" s="1" t="s">
        <v>6135</v>
      </c>
    </row>
    <row r="2881" spans="1:12">
      <c r="A2881" s="3" t="s">
        <v>3816</v>
      </c>
      <c r="C2881" s="3" t="s">
        <v>3817</v>
      </c>
      <c r="D2881" s="3" t="s">
        <v>3618</v>
      </c>
      <c r="E2881" s="3" t="s">
        <v>3638</v>
      </c>
      <c r="F2881" s="3" t="s">
        <v>4228</v>
      </c>
      <c r="G2881" s="3" t="s">
        <v>4231</v>
      </c>
      <c r="H2881" s="6">
        <v>1.6232500000000001</v>
      </c>
      <c r="I2881" s="6">
        <v>42.000068624663172</v>
      </c>
      <c r="J2881" s="3" t="s">
        <v>3356</v>
      </c>
      <c r="L2881" s="1" t="s">
        <v>6135</v>
      </c>
    </row>
    <row r="2882" spans="1:12">
      <c r="A2882" s="3" t="s">
        <v>3816</v>
      </c>
      <c r="C2882" s="3" t="s">
        <v>3817</v>
      </c>
      <c r="D2882" s="3" t="s">
        <v>3618</v>
      </c>
      <c r="E2882" s="3" t="s">
        <v>3638</v>
      </c>
      <c r="F2882" s="3" t="s">
        <v>4228</v>
      </c>
      <c r="G2882" s="3" t="s">
        <v>4222</v>
      </c>
      <c r="H2882" s="6">
        <v>1.6693899999999999</v>
      </c>
      <c r="I2882" s="6">
        <v>46.707863247577166</v>
      </c>
      <c r="J2882" s="3" t="s">
        <v>3356</v>
      </c>
      <c r="L2882" s="1" t="s">
        <v>6135</v>
      </c>
    </row>
    <row r="2883" spans="1:12">
      <c r="A2883" s="3" t="s">
        <v>3816</v>
      </c>
      <c r="C2883" s="3" t="s">
        <v>3817</v>
      </c>
      <c r="D2883" s="3" t="s">
        <v>3618</v>
      </c>
      <c r="E2883" s="3" t="s">
        <v>3638</v>
      </c>
      <c r="F2883" s="3" t="s">
        <v>4228</v>
      </c>
      <c r="G2883" s="3" t="s">
        <v>4014</v>
      </c>
      <c r="H2883" s="6">
        <v>1.5440700000000001</v>
      </c>
      <c r="I2883" s="6">
        <v>35.000157607101464</v>
      </c>
      <c r="J2883" s="3" t="s">
        <v>3356</v>
      </c>
      <c r="L2883" s="1" t="s">
        <v>6135</v>
      </c>
    </row>
    <row r="2884" spans="1:12">
      <c r="A2884" s="3" t="s">
        <v>3816</v>
      </c>
      <c r="C2884" s="3" t="s">
        <v>3817</v>
      </c>
      <c r="D2884" s="3" t="s">
        <v>3618</v>
      </c>
      <c r="E2884" s="3" t="s">
        <v>3638</v>
      </c>
      <c r="F2884" s="3" t="s">
        <v>4228</v>
      </c>
      <c r="G2884" s="3" t="s">
        <v>4252</v>
      </c>
      <c r="H2884" s="6">
        <v>1.6127800000000001</v>
      </c>
      <c r="I2884" s="6">
        <v>40.999635904176493</v>
      </c>
      <c r="J2884" s="3" t="s">
        <v>3356</v>
      </c>
      <c r="L2884" s="1" t="s">
        <v>6135</v>
      </c>
    </row>
    <row r="2885" spans="1:12">
      <c r="A2885" s="3" t="s">
        <v>3816</v>
      </c>
      <c r="C2885" s="3" t="s">
        <v>3817</v>
      </c>
      <c r="D2885" s="3" t="s">
        <v>3618</v>
      </c>
      <c r="E2885" s="3" t="s">
        <v>3638</v>
      </c>
      <c r="F2885" s="3" t="s">
        <v>4228</v>
      </c>
      <c r="G2885" s="3" t="s">
        <v>3985</v>
      </c>
      <c r="H2885" s="6">
        <v>1.5602100000000001</v>
      </c>
      <c r="I2885" s="6">
        <v>36.325366102772321</v>
      </c>
      <c r="J2885" s="3" t="s">
        <v>3356</v>
      </c>
      <c r="L2885" s="1" t="s">
        <v>6135</v>
      </c>
    </row>
    <row r="2886" spans="1:12">
      <c r="A2886" s="3" t="s">
        <v>3816</v>
      </c>
      <c r="C2886" s="3" t="s">
        <v>3817</v>
      </c>
      <c r="D2886" s="3" t="s">
        <v>3618</v>
      </c>
      <c r="E2886" s="3" t="s">
        <v>3638</v>
      </c>
      <c r="F2886" s="3" t="s">
        <v>4228</v>
      </c>
      <c r="G2886" s="3" t="s">
        <v>4185</v>
      </c>
      <c r="H2886" s="6">
        <v>1.5932900000000001</v>
      </c>
      <c r="I2886" s="6">
        <v>39.20035499759404</v>
      </c>
      <c r="J2886" s="3" t="s">
        <v>3356</v>
      </c>
      <c r="L2886" s="1" t="s">
        <v>6135</v>
      </c>
    </row>
    <row r="2887" spans="1:12">
      <c r="A2887" s="3" t="s">
        <v>3816</v>
      </c>
      <c r="C2887" s="3" t="s">
        <v>3817</v>
      </c>
      <c r="D2887" s="3" t="s">
        <v>3618</v>
      </c>
      <c r="E2887" s="3" t="s">
        <v>3638</v>
      </c>
      <c r="F2887" s="3" t="s">
        <v>4228</v>
      </c>
      <c r="G2887" s="3" t="s">
        <v>7095</v>
      </c>
      <c r="H2887" s="6">
        <v>1.5799300000000001</v>
      </c>
      <c r="I2887" s="6">
        <v>38.012812196826964</v>
      </c>
      <c r="J2887" s="3" t="s">
        <v>3356</v>
      </c>
      <c r="L2887" s="1" t="s">
        <v>6135</v>
      </c>
    </row>
    <row r="2888" spans="1:12">
      <c r="A2888" s="3" t="s">
        <v>3816</v>
      </c>
      <c r="C2888" s="3" t="s">
        <v>3817</v>
      </c>
      <c r="D2888" s="3" t="s">
        <v>3618</v>
      </c>
      <c r="E2888" s="3" t="s">
        <v>3638</v>
      </c>
      <c r="F2888" s="3" t="s">
        <v>4228</v>
      </c>
      <c r="G2888" s="3" t="s">
        <v>3971</v>
      </c>
      <c r="H2888" s="6">
        <v>1.50813</v>
      </c>
      <c r="I2888" s="6">
        <v>32.220331176527651</v>
      </c>
      <c r="J2888" s="3" t="s">
        <v>3356</v>
      </c>
      <c r="L2888" s="1" t="s">
        <v>6135</v>
      </c>
    </row>
    <row r="2889" spans="1:12">
      <c r="A2889" s="3" t="s">
        <v>3816</v>
      </c>
      <c r="C2889" s="3" t="s">
        <v>3817</v>
      </c>
      <c r="D2889" s="3" t="s">
        <v>3618</v>
      </c>
      <c r="E2889" s="3" t="s">
        <v>3638</v>
      </c>
      <c r="F2889" s="3" t="s">
        <v>4228</v>
      </c>
      <c r="G2889" s="3" t="s">
        <v>4039</v>
      </c>
      <c r="H2889" s="6">
        <v>1.3085599999999999</v>
      </c>
      <c r="I2889" s="6">
        <v>20.349793192134438</v>
      </c>
      <c r="J2889" s="3" t="s">
        <v>3356</v>
      </c>
      <c r="L2889" s="1" t="s">
        <v>6135</v>
      </c>
    </row>
    <row r="2890" spans="1:12">
      <c r="A2890" s="3" t="s">
        <v>3816</v>
      </c>
      <c r="C2890" s="3" t="s">
        <v>3817</v>
      </c>
      <c r="D2890" s="3" t="s">
        <v>3618</v>
      </c>
      <c r="E2890" s="3" t="s">
        <v>3638</v>
      </c>
      <c r="F2890" s="3" t="s">
        <v>4228</v>
      </c>
      <c r="G2890" s="3" t="s">
        <v>4040</v>
      </c>
      <c r="H2890" s="6">
        <v>1.5652600000000001</v>
      </c>
      <c r="I2890" s="6">
        <v>36.750224800474854</v>
      </c>
      <c r="J2890" s="3" t="s">
        <v>3356</v>
      </c>
      <c r="L2890" s="1" t="s">
        <v>6135</v>
      </c>
    </row>
    <row r="2891" spans="1:12">
      <c r="A2891" s="3" t="s">
        <v>3816</v>
      </c>
      <c r="C2891" s="3" t="s">
        <v>3817</v>
      </c>
      <c r="D2891" s="3" t="s">
        <v>3618</v>
      </c>
      <c r="E2891" s="3" t="s">
        <v>3638</v>
      </c>
      <c r="F2891" s="3" t="s">
        <v>4228</v>
      </c>
      <c r="G2891" s="3" t="s">
        <v>3780</v>
      </c>
      <c r="H2891" s="6">
        <v>1.4195800000000001</v>
      </c>
      <c r="I2891" s="6">
        <v>26.277255268195344</v>
      </c>
      <c r="J2891" s="3" t="s">
        <v>3356</v>
      </c>
      <c r="L2891" s="1" t="s">
        <v>6135</v>
      </c>
    </row>
    <row r="2892" spans="1:12">
      <c r="A2892" s="3" t="s">
        <v>3816</v>
      </c>
      <c r="C2892" s="3" t="s">
        <v>3817</v>
      </c>
      <c r="D2892" s="3" t="s">
        <v>3618</v>
      </c>
      <c r="E2892" s="3" t="s">
        <v>3638</v>
      </c>
      <c r="F2892" s="3" t="s">
        <v>4228</v>
      </c>
      <c r="G2892" s="3" t="s">
        <v>3781</v>
      </c>
      <c r="H2892" s="6">
        <v>1.60206</v>
      </c>
      <c r="I2892" s="6">
        <v>40.000000798724201</v>
      </c>
      <c r="J2892" s="3" t="s">
        <v>3356</v>
      </c>
      <c r="L2892" s="1" t="s">
        <v>6135</v>
      </c>
    </row>
    <row r="2893" spans="1:12">
      <c r="A2893" s="3" t="s">
        <v>3816</v>
      </c>
      <c r="C2893" s="3" t="s">
        <v>3817</v>
      </c>
      <c r="D2893" s="3" t="s">
        <v>3618</v>
      </c>
      <c r="E2893" s="3" t="s">
        <v>3638</v>
      </c>
      <c r="F2893" s="3" t="s">
        <v>4228</v>
      </c>
      <c r="G2893" s="3" t="s">
        <v>4206</v>
      </c>
      <c r="H2893" s="6">
        <v>2.0837400000000001</v>
      </c>
      <c r="I2893" s="6">
        <v>121.26626457853544</v>
      </c>
      <c r="J2893" s="3" t="s">
        <v>3356</v>
      </c>
      <c r="L2893" s="1" t="s">
        <v>6135</v>
      </c>
    </row>
    <row r="2894" spans="1:12">
      <c r="A2894" s="3" t="s">
        <v>3816</v>
      </c>
      <c r="C2894" s="3" t="s">
        <v>3817</v>
      </c>
      <c r="D2894" s="3" t="s">
        <v>3618</v>
      </c>
      <c r="E2894" s="3" t="s">
        <v>3638</v>
      </c>
      <c r="F2894" s="3" t="s">
        <v>4228</v>
      </c>
      <c r="G2894" s="3" t="s">
        <v>5148</v>
      </c>
      <c r="H2894" s="6">
        <v>1.81124</v>
      </c>
      <c r="I2894" s="6">
        <v>64.750033880762899</v>
      </c>
      <c r="J2894" s="3" t="s">
        <v>3356</v>
      </c>
      <c r="L2894" s="1" t="s">
        <v>6135</v>
      </c>
    </row>
    <row r="2895" spans="1:12">
      <c r="A2895" s="3" t="s">
        <v>3816</v>
      </c>
      <c r="C2895" s="3" t="s">
        <v>3817</v>
      </c>
      <c r="D2895" s="3" t="s">
        <v>3618</v>
      </c>
      <c r="E2895" s="3" t="s">
        <v>3638</v>
      </c>
      <c r="F2895" s="3" t="s">
        <v>4228</v>
      </c>
      <c r="G2895" s="3" t="s">
        <v>4430</v>
      </c>
      <c r="H2895" s="6">
        <v>1.6232500000000001</v>
      </c>
      <c r="I2895" s="6">
        <v>42.000068624663172</v>
      </c>
      <c r="J2895" s="3" t="s">
        <v>3356</v>
      </c>
      <c r="L2895" s="1" t="s">
        <v>6135</v>
      </c>
    </row>
    <row r="2896" spans="1:12">
      <c r="A2896" s="3" t="s">
        <v>3816</v>
      </c>
      <c r="C2896" s="3" t="s">
        <v>3817</v>
      </c>
      <c r="D2896" s="3" t="s">
        <v>3618</v>
      </c>
      <c r="E2896" s="3" t="s">
        <v>3638</v>
      </c>
      <c r="F2896" s="3" t="s">
        <v>4228</v>
      </c>
      <c r="G2896" s="3" t="s">
        <v>3988</v>
      </c>
      <c r="H2896" s="6">
        <v>2.09951</v>
      </c>
      <c r="I2896" s="6">
        <v>125.7505809175609</v>
      </c>
      <c r="J2896" s="3" t="s">
        <v>3356</v>
      </c>
      <c r="L2896" s="1" t="s">
        <v>6135</v>
      </c>
    </row>
    <row r="2897" spans="1:12">
      <c r="A2897" s="3" t="s">
        <v>3816</v>
      </c>
      <c r="C2897" s="3" t="s">
        <v>3817</v>
      </c>
      <c r="D2897" s="3" t="s">
        <v>3618</v>
      </c>
      <c r="E2897" s="3" t="s">
        <v>3638</v>
      </c>
      <c r="F2897" s="3" t="s">
        <v>3383</v>
      </c>
      <c r="G2897" s="3" t="s">
        <v>3384</v>
      </c>
      <c r="H2897" s="6">
        <v>1.9030899999999999</v>
      </c>
      <c r="I2897" s="6">
        <v>80.000002396172576</v>
      </c>
      <c r="J2897" s="3" t="s">
        <v>3356</v>
      </c>
      <c r="L2897" s="1" t="s">
        <v>6135</v>
      </c>
    </row>
    <row r="2898" spans="1:12">
      <c r="A2898" s="3" t="s">
        <v>3816</v>
      </c>
      <c r="C2898" s="3" t="s">
        <v>3817</v>
      </c>
      <c r="D2898" s="3" t="s">
        <v>3618</v>
      </c>
      <c r="E2898" s="3" t="s">
        <v>3638</v>
      </c>
      <c r="F2898" s="3" t="s">
        <v>3591</v>
      </c>
      <c r="G2898" s="3" t="s">
        <v>4087</v>
      </c>
      <c r="H2898" s="6">
        <v>2.4248799999999999</v>
      </c>
      <c r="I2898" s="6">
        <v>265.99899758559781</v>
      </c>
      <c r="J2898" s="3" t="s">
        <v>3356</v>
      </c>
      <c r="L2898" s="1" t="s">
        <v>6135</v>
      </c>
    </row>
    <row r="2899" spans="1:12">
      <c r="A2899" s="3" t="s">
        <v>3816</v>
      </c>
      <c r="C2899" s="3" t="s">
        <v>3817</v>
      </c>
      <c r="D2899" s="3" t="s">
        <v>3618</v>
      </c>
      <c r="E2899" s="3" t="s">
        <v>3638</v>
      </c>
      <c r="F2899" s="3" t="s">
        <v>3154</v>
      </c>
      <c r="G2899" s="3" t="s">
        <v>3599</v>
      </c>
      <c r="H2899" s="6">
        <v>2.31392</v>
      </c>
      <c r="I2899" s="6">
        <v>206.02503661710156</v>
      </c>
      <c r="J2899" s="3" t="s">
        <v>3356</v>
      </c>
      <c r="L2899" s="1" t="s">
        <v>6135</v>
      </c>
    </row>
    <row r="2900" spans="1:12">
      <c r="A2900" s="3" t="s">
        <v>3816</v>
      </c>
      <c r="C2900" s="3" t="s">
        <v>3817</v>
      </c>
      <c r="D2900" s="3" t="s">
        <v>3618</v>
      </c>
      <c r="E2900" s="3" t="s">
        <v>3638</v>
      </c>
      <c r="F2900" s="3" t="s">
        <v>3154</v>
      </c>
      <c r="G2900" s="3" t="s">
        <v>4006</v>
      </c>
      <c r="H2900" s="6">
        <v>2.2966700000000002</v>
      </c>
      <c r="I2900" s="6">
        <v>198.00219282889842</v>
      </c>
      <c r="J2900" s="3" t="s">
        <v>3356</v>
      </c>
      <c r="L2900" s="1" t="s">
        <v>6135</v>
      </c>
    </row>
    <row r="2901" spans="1:12">
      <c r="A2901" s="3" t="s">
        <v>3816</v>
      </c>
      <c r="C2901" s="3" t="s">
        <v>3817</v>
      </c>
      <c r="D2901" s="3" t="s">
        <v>3618</v>
      </c>
      <c r="E2901" s="3" t="s">
        <v>3638</v>
      </c>
      <c r="F2901" s="3" t="s">
        <v>3154</v>
      </c>
      <c r="G2901" s="3" t="s">
        <v>4612</v>
      </c>
      <c r="H2901" s="6">
        <v>2.4758900000000001</v>
      </c>
      <c r="I2901" s="6">
        <v>299.15068387472962</v>
      </c>
      <c r="J2901" s="3" t="s">
        <v>3356</v>
      </c>
      <c r="L2901" s="1" t="s">
        <v>6135</v>
      </c>
    </row>
    <row r="2902" spans="1:12">
      <c r="A2902" s="3" t="s">
        <v>3816</v>
      </c>
      <c r="C2902" s="3" t="s">
        <v>3817</v>
      </c>
      <c r="D2902" s="3" t="s">
        <v>3618</v>
      </c>
      <c r="E2902" s="3" t="s">
        <v>3638</v>
      </c>
      <c r="F2902" s="3" t="s">
        <v>3154</v>
      </c>
      <c r="G2902" s="3" t="s">
        <v>3352</v>
      </c>
      <c r="H2902" s="6">
        <v>2.3010299999999999</v>
      </c>
      <c r="I2902" s="6">
        <v>200.00000199681045</v>
      </c>
      <c r="J2902" s="3" t="s">
        <v>3356</v>
      </c>
      <c r="L2902" s="1" t="s">
        <v>6135</v>
      </c>
    </row>
    <row r="2903" spans="1:12">
      <c r="A2903" s="3" t="s">
        <v>3816</v>
      </c>
      <c r="C2903" s="3" t="s">
        <v>3817</v>
      </c>
      <c r="D2903" s="3" t="s">
        <v>3618</v>
      </c>
      <c r="E2903" s="3" t="s">
        <v>3638</v>
      </c>
      <c r="F2903" s="3" t="s">
        <v>3154</v>
      </c>
      <c r="G2903" s="3" t="s">
        <v>3157</v>
      </c>
      <c r="H2903" s="6">
        <v>2.3887200000000002</v>
      </c>
      <c r="I2903" s="6">
        <v>244.74847813114897</v>
      </c>
      <c r="J2903" s="3" t="s">
        <v>3356</v>
      </c>
      <c r="L2903" s="1" t="s">
        <v>6135</v>
      </c>
    </row>
    <row r="2904" spans="1:12">
      <c r="A2904" s="3" t="s">
        <v>3816</v>
      </c>
      <c r="C2904" s="3" t="s">
        <v>3817</v>
      </c>
      <c r="D2904" s="3" t="s">
        <v>3618</v>
      </c>
      <c r="E2904" s="3" t="s">
        <v>3638</v>
      </c>
      <c r="F2904" s="3" t="s">
        <v>3154</v>
      </c>
      <c r="G2904" s="3" t="s">
        <v>4263</v>
      </c>
      <c r="H2904" s="6">
        <v>2.3614099999999998</v>
      </c>
      <c r="I2904" s="6">
        <v>229.83173734904688</v>
      </c>
      <c r="J2904" s="3" t="s">
        <v>3356</v>
      </c>
      <c r="L2904" s="1" t="s">
        <v>6135</v>
      </c>
    </row>
    <row r="2905" spans="1:12">
      <c r="A2905" s="3" t="s">
        <v>3816</v>
      </c>
      <c r="C2905" s="3" t="s">
        <v>3817</v>
      </c>
      <c r="D2905" s="3" t="s">
        <v>3618</v>
      </c>
      <c r="E2905" s="3" t="s">
        <v>3638</v>
      </c>
      <c r="F2905" s="3" t="s">
        <v>3154</v>
      </c>
      <c r="G2905" s="3" t="s">
        <v>7416</v>
      </c>
      <c r="H2905" s="6">
        <v>2.2966700000000002</v>
      </c>
      <c r="I2905" s="6">
        <v>198.00219282889842</v>
      </c>
      <c r="J2905" s="3" t="s">
        <v>3356</v>
      </c>
      <c r="L2905" s="1" t="s">
        <v>6135</v>
      </c>
    </row>
    <row r="2906" spans="1:12">
      <c r="A2906" s="3" t="s">
        <v>3816</v>
      </c>
      <c r="C2906" s="3" t="s">
        <v>3817</v>
      </c>
      <c r="D2906" s="3" t="s">
        <v>3618</v>
      </c>
      <c r="E2906" s="3" t="s">
        <v>3638</v>
      </c>
      <c r="F2906" s="3" t="s">
        <v>3154</v>
      </c>
      <c r="G2906" s="3" t="s">
        <v>4403</v>
      </c>
      <c r="H2906" s="6">
        <v>2.2141799999999998</v>
      </c>
      <c r="I2906" s="6">
        <v>163.74950657126288</v>
      </c>
      <c r="J2906" s="3" t="s">
        <v>3356</v>
      </c>
      <c r="L2906" s="1" t="s">
        <v>6135</v>
      </c>
    </row>
    <row r="2907" spans="1:12">
      <c r="A2907" s="3" t="s">
        <v>3816</v>
      </c>
      <c r="C2907" s="3" t="s">
        <v>3817</v>
      </c>
      <c r="D2907" s="3" t="s">
        <v>3618</v>
      </c>
      <c r="E2907" s="3" t="s">
        <v>3638</v>
      </c>
      <c r="F2907" s="3" t="s">
        <v>3154</v>
      </c>
      <c r="G2907" s="3" t="s">
        <v>4375</v>
      </c>
      <c r="H2907" s="6">
        <v>2.3075000000000001</v>
      </c>
      <c r="I2907" s="6">
        <v>203.00185198596861</v>
      </c>
      <c r="J2907" s="3" t="s">
        <v>3356</v>
      </c>
      <c r="L2907" s="1" t="s">
        <v>6135</v>
      </c>
    </row>
    <row r="2908" spans="1:12">
      <c r="A2908" s="3" t="s">
        <v>3816</v>
      </c>
      <c r="C2908" s="3" t="s">
        <v>3817</v>
      </c>
      <c r="D2908" s="3" t="s">
        <v>3618</v>
      </c>
      <c r="E2908" s="3" t="s">
        <v>3638</v>
      </c>
      <c r="F2908" s="3" t="s">
        <v>3154</v>
      </c>
      <c r="G2908" s="3" t="s">
        <v>3596</v>
      </c>
      <c r="H2908" s="6">
        <v>2.3756599999999999</v>
      </c>
      <c r="I2908" s="6">
        <v>237.49802366326344</v>
      </c>
      <c r="J2908" s="3" t="s">
        <v>3356</v>
      </c>
      <c r="L2908" s="1" t="s">
        <v>6135</v>
      </c>
    </row>
    <row r="2909" spans="1:12">
      <c r="A2909" s="3" t="s">
        <v>3816</v>
      </c>
      <c r="C2909" s="3" t="s">
        <v>3817</v>
      </c>
      <c r="D2909" s="3" t="s">
        <v>3618</v>
      </c>
      <c r="E2909" s="3" t="s">
        <v>3638</v>
      </c>
      <c r="F2909" s="3" t="s">
        <v>3154</v>
      </c>
      <c r="G2909" s="3" t="s">
        <v>3155</v>
      </c>
      <c r="H2909" s="6">
        <v>2.2966700000000002</v>
      </c>
      <c r="I2909" s="6">
        <v>198.00219282889842</v>
      </c>
      <c r="J2909" s="3" t="s">
        <v>3356</v>
      </c>
      <c r="L2909" s="1" t="s">
        <v>6135</v>
      </c>
    </row>
    <row r="2910" spans="1:12">
      <c r="A2910" s="3" t="s">
        <v>3816</v>
      </c>
      <c r="C2910" s="3" t="s">
        <v>3817</v>
      </c>
      <c r="D2910" s="3" t="s">
        <v>3618</v>
      </c>
      <c r="E2910" s="3" t="s">
        <v>3638</v>
      </c>
      <c r="F2910" s="3" t="s">
        <v>3154</v>
      </c>
      <c r="G2910" s="3" t="s">
        <v>3586</v>
      </c>
      <c r="H2910" s="6">
        <v>2.2966700000000002</v>
      </c>
      <c r="I2910" s="6">
        <v>198.00219282889842</v>
      </c>
      <c r="J2910" s="3" t="s">
        <v>3356</v>
      </c>
      <c r="L2910" s="1" t="s">
        <v>6135</v>
      </c>
    </row>
    <row r="2911" spans="1:12">
      <c r="A2911" s="3" t="s">
        <v>3816</v>
      </c>
      <c r="C2911" s="3" t="s">
        <v>3817</v>
      </c>
      <c r="D2911" s="3" t="s">
        <v>3618</v>
      </c>
      <c r="E2911" s="3" t="s">
        <v>3638</v>
      </c>
      <c r="F2911" s="3" t="s">
        <v>3154</v>
      </c>
      <c r="G2911" s="3" t="s">
        <v>2983</v>
      </c>
      <c r="H2911" s="6">
        <v>2.3569800000000001</v>
      </c>
      <c r="I2911" s="6">
        <v>227.49926610759189</v>
      </c>
      <c r="J2911" s="3" t="s">
        <v>3356</v>
      </c>
      <c r="L2911" s="1" t="s">
        <v>6135</v>
      </c>
    </row>
    <row r="2912" spans="1:12">
      <c r="A2912" s="3" t="s">
        <v>3816</v>
      </c>
      <c r="C2912" s="3" t="s">
        <v>3817</v>
      </c>
      <c r="D2912" s="3" t="s">
        <v>3618</v>
      </c>
      <c r="E2912" s="3" t="s">
        <v>3638</v>
      </c>
      <c r="F2912" s="3" t="s">
        <v>3154</v>
      </c>
      <c r="G2912" s="3" t="s">
        <v>6541</v>
      </c>
      <c r="H2912" s="6">
        <v>2.1832699999999998</v>
      </c>
      <c r="I2912" s="6">
        <v>152.50005488989058</v>
      </c>
      <c r="J2912" s="3" t="s">
        <v>3356</v>
      </c>
      <c r="L2912" s="1" t="s">
        <v>6135</v>
      </c>
    </row>
    <row r="2913" spans="1:12">
      <c r="A2913" s="3" t="s">
        <v>3816</v>
      </c>
      <c r="C2913" s="3" t="s">
        <v>3817</v>
      </c>
      <c r="D2913" s="3" t="s">
        <v>3618</v>
      </c>
      <c r="E2913" s="3" t="s">
        <v>3638</v>
      </c>
      <c r="F2913" s="3" t="s">
        <v>2984</v>
      </c>
      <c r="G2913" s="3" t="s">
        <v>2328</v>
      </c>
      <c r="H2913" s="6">
        <v>1.60206</v>
      </c>
      <c r="I2913" s="6">
        <v>40.000000798724201</v>
      </c>
      <c r="J2913" s="3" t="s">
        <v>3356</v>
      </c>
      <c r="L2913" s="1" t="s">
        <v>6135</v>
      </c>
    </row>
    <row r="2914" spans="1:12">
      <c r="A2914" s="3" t="s">
        <v>3816</v>
      </c>
      <c r="C2914" s="3" t="s">
        <v>3817</v>
      </c>
      <c r="D2914" s="3" t="s">
        <v>3618</v>
      </c>
      <c r="E2914" s="3" t="s">
        <v>3638</v>
      </c>
      <c r="F2914" s="3" t="s">
        <v>2985</v>
      </c>
      <c r="G2914" s="3" t="s">
        <v>4749</v>
      </c>
      <c r="H2914" s="6">
        <v>1.7781499999999999</v>
      </c>
      <c r="I2914" s="6">
        <v>59.999827253364401</v>
      </c>
      <c r="J2914" s="3" t="s">
        <v>3356</v>
      </c>
      <c r="L2914" s="1" t="s">
        <v>6135</v>
      </c>
    </row>
    <row r="2915" spans="1:12">
      <c r="A2915" s="3" t="s">
        <v>3816</v>
      </c>
      <c r="C2915" s="3" t="s">
        <v>3817</v>
      </c>
      <c r="D2915" s="3" t="s">
        <v>3618</v>
      </c>
      <c r="E2915" s="3" t="s">
        <v>3638</v>
      </c>
      <c r="F2915" s="3" t="s">
        <v>3825</v>
      </c>
      <c r="G2915" s="3" t="s">
        <v>3826</v>
      </c>
      <c r="H2915" s="6">
        <v>1.3497600000000001</v>
      </c>
      <c r="I2915" s="6">
        <v>22.374843173251058</v>
      </c>
      <c r="J2915" s="3" t="s">
        <v>3356</v>
      </c>
      <c r="L2915" s="1" t="s">
        <v>6135</v>
      </c>
    </row>
    <row r="2916" spans="1:12">
      <c r="A2916" s="3" t="s">
        <v>3816</v>
      </c>
      <c r="C2916" s="3" t="s">
        <v>3817</v>
      </c>
      <c r="D2916" s="3" t="s">
        <v>3618</v>
      </c>
      <c r="E2916" s="3" t="s">
        <v>3638</v>
      </c>
      <c r="F2916" s="3" t="s">
        <v>3827</v>
      </c>
      <c r="G2916" s="3" t="s">
        <v>3368</v>
      </c>
      <c r="H2916" s="6">
        <v>1.39794</v>
      </c>
      <c r="I2916" s="6">
        <v>24.999999500797397</v>
      </c>
      <c r="J2916" s="3" t="s">
        <v>3356</v>
      </c>
      <c r="L2916" s="1" t="s">
        <v>6135</v>
      </c>
    </row>
    <row r="2917" spans="1:12">
      <c r="A2917" s="3" t="s">
        <v>3816</v>
      </c>
      <c r="C2917" s="3" t="s">
        <v>3817</v>
      </c>
      <c r="D2917" s="3" t="s">
        <v>3618</v>
      </c>
      <c r="E2917" s="3" t="s">
        <v>3638</v>
      </c>
      <c r="F2917" s="3" t="s">
        <v>3369</v>
      </c>
      <c r="G2917" s="3" t="s">
        <v>3370</v>
      </c>
      <c r="H2917" s="6">
        <v>2.9918900000000002</v>
      </c>
      <c r="I2917" s="6">
        <v>981.49931310869442</v>
      </c>
      <c r="J2917" s="3" t="s">
        <v>3356</v>
      </c>
      <c r="L2917" s="1" t="s">
        <v>6135</v>
      </c>
    </row>
    <row r="2918" spans="1:12">
      <c r="A2918" s="3" t="s">
        <v>3816</v>
      </c>
      <c r="C2918" s="3" t="s">
        <v>3817</v>
      </c>
      <c r="D2918" s="3" t="s">
        <v>3618</v>
      </c>
      <c r="E2918" s="3" t="s">
        <v>3638</v>
      </c>
      <c r="F2918" s="3" t="s">
        <v>3196</v>
      </c>
      <c r="G2918" s="3" t="s">
        <v>3009</v>
      </c>
      <c r="H2918" s="6">
        <v>1.47712</v>
      </c>
      <c r="I2918" s="6">
        <v>29.999913327161494</v>
      </c>
      <c r="J2918" s="3" t="s">
        <v>3356</v>
      </c>
      <c r="L2918" s="1" t="s">
        <v>6135</v>
      </c>
    </row>
    <row r="2919" spans="1:12">
      <c r="A2919" s="3" t="s">
        <v>3816</v>
      </c>
      <c r="C2919" s="3" t="s">
        <v>3817</v>
      </c>
      <c r="D2919" s="3" t="s">
        <v>3618</v>
      </c>
      <c r="E2919" s="3" t="s">
        <v>3638</v>
      </c>
      <c r="F2919" s="3" t="s">
        <v>3196</v>
      </c>
      <c r="G2919" s="3" t="s">
        <v>4045</v>
      </c>
      <c r="H2919" s="6">
        <v>1.4459900000000001</v>
      </c>
      <c r="I2919" s="6">
        <v>27.924795412794197</v>
      </c>
      <c r="J2919" s="3" t="s">
        <v>3356</v>
      </c>
      <c r="L2919" s="1" t="s">
        <v>6135</v>
      </c>
    </row>
    <row r="2920" spans="1:12">
      <c r="A2920" s="3" t="s">
        <v>3816</v>
      </c>
      <c r="C2920" s="3" t="s">
        <v>3817</v>
      </c>
      <c r="D2920" s="3" t="s">
        <v>3618</v>
      </c>
      <c r="E2920" s="3" t="s">
        <v>3638</v>
      </c>
      <c r="F2920" s="3" t="s">
        <v>3196</v>
      </c>
      <c r="G2920" s="3" t="s">
        <v>3010</v>
      </c>
      <c r="H2920" s="6">
        <v>1.3973599999999999</v>
      </c>
      <c r="I2920" s="6">
        <v>24.966634302175336</v>
      </c>
      <c r="J2920" s="3" t="s">
        <v>3356</v>
      </c>
      <c r="L2920" s="1" t="s">
        <v>6135</v>
      </c>
    </row>
    <row r="2921" spans="1:12">
      <c r="A2921" s="3" t="s">
        <v>3816</v>
      </c>
      <c r="C2921" s="3" t="s">
        <v>3817</v>
      </c>
      <c r="D2921" s="3" t="s">
        <v>3618</v>
      </c>
      <c r="E2921" s="3" t="s">
        <v>3638</v>
      </c>
      <c r="F2921" s="3" t="s">
        <v>3398</v>
      </c>
      <c r="G2921" s="3" t="s">
        <v>3399</v>
      </c>
      <c r="H2921" s="6">
        <v>1.52244</v>
      </c>
      <c r="I2921" s="6">
        <v>33.299675392897669</v>
      </c>
      <c r="J2921" s="3" t="s">
        <v>3356</v>
      </c>
      <c r="L2921" s="1" t="s">
        <v>6135</v>
      </c>
    </row>
    <row r="2922" spans="1:12">
      <c r="A2922" s="3" t="s">
        <v>3816</v>
      </c>
      <c r="C2922" s="3" t="s">
        <v>3817</v>
      </c>
      <c r="D2922" s="3" t="s">
        <v>3618</v>
      </c>
      <c r="E2922" s="3" t="s">
        <v>3638</v>
      </c>
      <c r="F2922" s="3" t="s">
        <v>3398</v>
      </c>
      <c r="G2922" s="3" t="s">
        <v>7637</v>
      </c>
      <c r="H2922" s="6">
        <v>1.6989700000000001</v>
      </c>
      <c r="I2922" s="6">
        <v>49.999999500797408</v>
      </c>
      <c r="J2922" s="3" t="s">
        <v>3356</v>
      </c>
      <c r="L2922" s="1" t="s">
        <v>6135</v>
      </c>
    </row>
    <row r="2923" spans="1:12">
      <c r="A2923" s="3" t="s">
        <v>3816</v>
      </c>
      <c r="C2923" s="3" t="s">
        <v>3817</v>
      </c>
      <c r="D2923" s="3" t="s">
        <v>3618</v>
      </c>
      <c r="E2923" s="3" t="s">
        <v>3638</v>
      </c>
      <c r="F2923" s="3" t="s">
        <v>3398</v>
      </c>
      <c r="G2923" s="3" t="s">
        <v>3162</v>
      </c>
      <c r="H2923" s="6">
        <v>1.84073</v>
      </c>
      <c r="I2923" s="6">
        <v>69.299483857675455</v>
      </c>
      <c r="J2923" s="3" t="s">
        <v>3356</v>
      </c>
      <c r="L2923" s="1" t="s">
        <v>6135</v>
      </c>
    </row>
    <row r="2924" spans="1:12">
      <c r="A2924" s="3" t="s">
        <v>3816</v>
      </c>
      <c r="C2924" s="3" t="s">
        <v>3817</v>
      </c>
      <c r="D2924" s="3" t="s">
        <v>3618</v>
      </c>
      <c r="E2924" s="3" t="s">
        <v>3638</v>
      </c>
      <c r="F2924" s="3" t="s">
        <v>3398</v>
      </c>
      <c r="G2924" s="3" t="s">
        <v>4633</v>
      </c>
      <c r="H2924" s="6">
        <v>1.6989700000000001</v>
      </c>
      <c r="I2924" s="6">
        <v>49.999999500797408</v>
      </c>
      <c r="J2924" s="3" t="s">
        <v>3356</v>
      </c>
      <c r="L2924" s="1" t="s">
        <v>6135</v>
      </c>
    </row>
    <row r="2925" spans="1:12">
      <c r="A2925" s="3" t="s">
        <v>3816</v>
      </c>
      <c r="C2925" s="3" t="s">
        <v>3817</v>
      </c>
      <c r="D2925" s="3" t="s">
        <v>3618</v>
      </c>
      <c r="E2925" s="3" t="s">
        <v>3638</v>
      </c>
      <c r="F2925" s="3" t="s">
        <v>3398</v>
      </c>
      <c r="G2925" s="3" t="s">
        <v>2182</v>
      </c>
      <c r="H2925" s="6">
        <v>1.73139</v>
      </c>
      <c r="I2925" s="6">
        <v>53.87533702877996</v>
      </c>
      <c r="J2925" s="3" t="s">
        <v>3356</v>
      </c>
      <c r="L2925" s="1" t="s">
        <v>6135</v>
      </c>
    </row>
    <row r="2926" spans="1:12">
      <c r="A2926" s="3" t="s">
        <v>3816</v>
      </c>
      <c r="C2926" s="3" t="s">
        <v>3817</v>
      </c>
      <c r="D2926" s="3" t="s">
        <v>3618</v>
      </c>
      <c r="E2926" s="3" t="s">
        <v>3638</v>
      </c>
      <c r="F2926" s="3" t="s">
        <v>3163</v>
      </c>
      <c r="G2926" s="3" t="s">
        <v>3632</v>
      </c>
      <c r="H2926" s="6">
        <v>1.6989700000000001</v>
      </c>
      <c r="I2926" s="6">
        <v>49.999999500797408</v>
      </c>
      <c r="J2926" s="3" t="s">
        <v>3356</v>
      </c>
      <c r="L2926" s="1" t="s">
        <v>6135</v>
      </c>
    </row>
    <row r="2927" spans="1:12">
      <c r="A2927" s="3" t="s">
        <v>3816</v>
      </c>
      <c r="C2927" s="3" t="s">
        <v>3817</v>
      </c>
      <c r="D2927" s="3" t="s">
        <v>3618</v>
      </c>
      <c r="E2927" s="3" t="s">
        <v>3638</v>
      </c>
      <c r="F2927" s="3" t="s">
        <v>3633</v>
      </c>
      <c r="G2927" s="3" t="s">
        <v>3634</v>
      </c>
      <c r="H2927" s="6">
        <v>1.55871</v>
      </c>
      <c r="I2927" s="6">
        <v>36.200119151374764</v>
      </c>
      <c r="J2927" s="3" t="s">
        <v>3356</v>
      </c>
      <c r="L2927" s="1" t="s">
        <v>6135</v>
      </c>
    </row>
    <row r="2928" spans="1:12">
      <c r="A2928" s="3" t="s">
        <v>3816</v>
      </c>
      <c r="C2928" s="3" t="s">
        <v>3817</v>
      </c>
      <c r="D2928" s="3" t="s">
        <v>3618</v>
      </c>
      <c r="E2928" s="3" t="s">
        <v>3638</v>
      </c>
      <c r="F2928" s="3" t="s">
        <v>3168</v>
      </c>
      <c r="G2928" s="3" t="s">
        <v>3169</v>
      </c>
      <c r="H2928" s="6">
        <v>1.7993399999999999</v>
      </c>
      <c r="I2928" s="6">
        <v>62.999920294741955</v>
      </c>
      <c r="J2928" s="3" t="s">
        <v>3356</v>
      </c>
      <c r="L2928" s="1" t="s">
        <v>6135</v>
      </c>
    </row>
    <row r="2929" spans="1:12">
      <c r="A2929" s="3" t="s">
        <v>3816</v>
      </c>
      <c r="C2929" s="3" t="s">
        <v>3817</v>
      </c>
      <c r="D2929" s="3" t="s">
        <v>3618</v>
      </c>
      <c r="E2929" s="3" t="s">
        <v>3638</v>
      </c>
      <c r="F2929" s="3" t="s">
        <v>3167</v>
      </c>
      <c r="G2929" s="3" t="s">
        <v>3209</v>
      </c>
      <c r="H2929" s="6">
        <v>1.4456</v>
      </c>
      <c r="I2929" s="6">
        <v>27.899729974082664</v>
      </c>
      <c r="J2929" s="3" t="s">
        <v>3356</v>
      </c>
      <c r="L2929" s="1" t="s">
        <v>6135</v>
      </c>
    </row>
    <row r="2930" spans="1:12">
      <c r="A2930" s="3" t="s">
        <v>3816</v>
      </c>
      <c r="C2930" s="3" t="s">
        <v>3817</v>
      </c>
      <c r="D2930" s="3" t="s">
        <v>3618</v>
      </c>
      <c r="E2930" s="3" t="s">
        <v>3638</v>
      </c>
      <c r="F2930" s="3" t="s">
        <v>3167</v>
      </c>
      <c r="G2930" s="3" t="s">
        <v>7237</v>
      </c>
      <c r="H2930" s="6">
        <v>1.60206</v>
      </c>
      <c r="I2930" s="6">
        <v>40.000000798724201</v>
      </c>
      <c r="J2930" s="3" t="s">
        <v>3356</v>
      </c>
      <c r="L2930" s="1" t="s">
        <v>6135</v>
      </c>
    </row>
    <row r="2931" spans="1:12">
      <c r="A2931" s="3" t="s">
        <v>3816</v>
      </c>
      <c r="C2931" s="3" t="s">
        <v>3817</v>
      </c>
      <c r="D2931" s="3" t="s">
        <v>3618</v>
      </c>
      <c r="E2931" s="3" t="s">
        <v>3638</v>
      </c>
      <c r="F2931" s="3" t="s">
        <v>3167</v>
      </c>
      <c r="G2931" s="3" t="s">
        <v>3208</v>
      </c>
      <c r="H2931" s="6">
        <v>1.3293999999999999</v>
      </c>
      <c r="I2931" s="6">
        <v>21.350104251272274</v>
      </c>
      <c r="J2931" s="3" t="s">
        <v>3356</v>
      </c>
      <c r="L2931" s="1" t="s">
        <v>6135</v>
      </c>
    </row>
    <row r="2932" spans="1:12">
      <c r="A2932" s="3" t="s">
        <v>3816</v>
      </c>
      <c r="C2932" s="3" t="s">
        <v>3817</v>
      </c>
      <c r="D2932" s="3" t="s">
        <v>3618</v>
      </c>
      <c r="E2932" s="3" t="s">
        <v>3638</v>
      </c>
      <c r="F2932" s="3" t="s">
        <v>3167</v>
      </c>
      <c r="G2932" s="3" t="s">
        <v>3834</v>
      </c>
      <c r="H2932" s="6">
        <v>1.60206</v>
      </c>
      <c r="I2932" s="6">
        <v>40.000000798724201</v>
      </c>
      <c r="J2932" s="3" t="s">
        <v>3356</v>
      </c>
      <c r="L2932" s="1" t="s">
        <v>6135</v>
      </c>
    </row>
    <row r="2933" spans="1:12">
      <c r="A2933" s="3" t="s">
        <v>3816</v>
      </c>
      <c r="C2933" s="3" t="s">
        <v>3817</v>
      </c>
      <c r="D2933" s="3" t="s">
        <v>3618</v>
      </c>
      <c r="E2933" s="3" t="s">
        <v>3638</v>
      </c>
      <c r="F2933" s="3" t="s">
        <v>3167</v>
      </c>
      <c r="G2933" s="3" t="s">
        <v>4404</v>
      </c>
      <c r="H2933" s="6">
        <v>1.6388199999999999</v>
      </c>
      <c r="I2933" s="6">
        <v>43.533140652017195</v>
      </c>
      <c r="J2933" s="3" t="s">
        <v>3356</v>
      </c>
      <c r="L2933" s="1" t="s">
        <v>6135</v>
      </c>
    </row>
    <row r="2934" spans="1:12">
      <c r="A2934" s="3" t="s">
        <v>3816</v>
      </c>
      <c r="C2934" s="3" t="s">
        <v>3817</v>
      </c>
      <c r="D2934" s="3" t="s">
        <v>3618</v>
      </c>
      <c r="E2934" s="3" t="s">
        <v>3638</v>
      </c>
      <c r="F2934" s="3" t="s">
        <v>3167</v>
      </c>
      <c r="G2934" s="3" t="s">
        <v>3835</v>
      </c>
      <c r="H2934" s="6">
        <v>1.25491</v>
      </c>
      <c r="I2934" s="6">
        <v>17.984981689509077</v>
      </c>
      <c r="J2934" s="3" t="s">
        <v>3356</v>
      </c>
      <c r="L2934" s="1" t="s">
        <v>6135</v>
      </c>
    </row>
    <row r="2935" spans="1:12">
      <c r="A2935" s="3" t="s">
        <v>3816</v>
      </c>
      <c r="C2935" s="3" t="s">
        <v>3817</v>
      </c>
      <c r="D2935" s="3" t="s">
        <v>3618</v>
      </c>
      <c r="E2935" s="3" t="s">
        <v>3638</v>
      </c>
      <c r="F2935" s="3" t="s">
        <v>3167</v>
      </c>
      <c r="G2935" s="3" t="s">
        <v>3836</v>
      </c>
      <c r="H2935" s="6">
        <v>1.44716</v>
      </c>
      <c r="I2935" s="6">
        <v>28.000126924345338</v>
      </c>
      <c r="J2935" s="3" t="s">
        <v>3356</v>
      </c>
      <c r="L2935" s="1" t="s">
        <v>6135</v>
      </c>
    </row>
    <row r="2936" spans="1:12">
      <c r="A2936" s="3" t="s">
        <v>3816</v>
      </c>
      <c r="C2936" s="3" t="s">
        <v>3817</v>
      </c>
      <c r="D2936" s="3" t="s">
        <v>3618</v>
      </c>
      <c r="E2936" s="3" t="s">
        <v>3638</v>
      </c>
      <c r="F2936" s="3" t="s">
        <v>3167</v>
      </c>
      <c r="G2936" s="3" t="s">
        <v>3210</v>
      </c>
      <c r="H2936" s="6">
        <v>1.3738300000000001</v>
      </c>
      <c r="I2936" s="6">
        <v>23.649937643784327</v>
      </c>
      <c r="J2936" s="3" t="s">
        <v>3356</v>
      </c>
      <c r="L2936" s="1" t="s">
        <v>6135</v>
      </c>
    </row>
    <row r="2937" spans="1:12">
      <c r="A2937" s="3" t="s">
        <v>3816</v>
      </c>
      <c r="C2937" s="3" t="s">
        <v>3817</v>
      </c>
      <c r="D2937" s="3" t="s">
        <v>3618</v>
      </c>
      <c r="E2937" s="3" t="s">
        <v>3638</v>
      </c>
      <c r="F2937" s="3" t="s">
        <v>3167</v>
      </c>
      <c r="G2937" s="3" t="s">
        <v>3211</v>
      </c>
      <c r="H2937" s="6">
        <v>1.3424199999999999</v>
      </c>
      <c r="I2937" s="6">
        <v>21.999864198351659</v>
      </c>
      <c r="J2937" s="3" t="s">
        <v>3356</v>
      </c>
      <c r="L2937" s="1" t="s">
        <v>6135</v>
      </c>
    </row>
    <row r="2938" spans="1:12">
      <c r="A2938" s="3" t="s">
        <v>3816</v>
      </c>
      <c r="C2938" s="3" t="s">
        <v>3817</v>
      </c>
      <c r="D2938" s="3" t="s">
        <v>3618</v>
      </c>
      <c r="E2938" s="3" t="s">
        <v>3638</v>
      </c>
      <c r="F2938" s="3" t="s">
        <v>3167</v>
      </c>
      <c r="G2938" s="3" t="s">
        <v>3212</v>
      </c>
      <c r="H2938" s="6">
        <v>1.51851</v>
      </c>
      <c r="I2938" s="6">
        <v>32.999700628522916</v>
      </c>
      <c r="J2938" s="3" t="s">
        <v>3356</v>
      </c>
      <c r="L2938" s="1" t="s">
        <v>6135</v>
      </c>
    </row>
    <row r="2939" spans="1:12">
      <c r="A2939" s="3" t="s">
        <v>3816</v>
      </c>
      <c r="C2939" s="3" t="s">
        <v>3817</v>
      </c>
      <c r="D2939" s="3" t="s">
        <v>3618</v>
      </c>
      <c r="E2939" s="3" t="s">
        <v>3638</v>
      </c>
      <c r="F2939" s="3" t="s">
        <v>3167</v>
      </c>
      <c r="G2939" s="3" t="s">
        <v>3213</v>
      </c>
      <c r="H2939" s="6">
        <v>1.4681599999999999</v>
      </c>
      <c r="I2939" s="6">
        <v>29.387321214750685</v>
      </c>
      <c r="J2939" s="3" t="s">
        <v>3356</v>
      </c>
      <c r="L2939" s="1" t="s">
        <v>6135</v>
      </c>
    </row>
    <row r="2940" spans="1:12">
      <c r="A2940" s="3" t="s">
        <v>3816</v>
      </c>
      <c r="C2940" s="3" t="s">
        <v>3817</v>
      </c>
      <c r="D2940" s="3" t="s">
        <v>3618</v>
      </c>
      <c r="E2940" s="3" t="s">
        <v>3638</v>
      </c>
      <c r="F2940" s="3" t="s">
        <v>3167</v>
      </c>
      <c r="G2940" s="3" t="s">
        <v>6591</v>
      </c>
      <c r="H2940" s="6">
        <v>0.78885000000000005</v>
      </c>
      <c r="I2940" s="6">
        <v>6.149644348342032</v>
      </c>
      <c r="J2940" s="3" t="s">
        <v>3356</v>
      </c>
      <c r="L2940" s="1" t="s">
        <v>6135</v>
      </c>
    </row>
    <row r="2941" spans="1:12">
      <c r="A2941" s="3" t="s">
        <v>3816</v>
      </c>
      <c r="C2941" s="3" t="s">
        <v>3817</v>
      </c>
      <c r="D2941" s="3" t="s">
        <v>3618</v>
      </c>
      <c r="E2941" s="3" t="s">
        <v>3638</v>
      </c>
      <c r="F2941" s="3" t="s">
        <v>3167</v>
      </c>
      <c r="G2941" s="3" t="s">
        <v>4231</v>
      </c>
      <c r="H2941" s="6">
        <v>1.60206</v>
      </c>
      <c r="I2941" s="6">
        <v>40.000000798724201</v>
      </c>
      <c r="J2941" s="3" t="s">
        <v>3356</v>
      </c>
      <c r="L2941" s="1" t="s">
        <v>6135</v>
      </c>
    </row>
    <row r="2942" spans="1:12">
      <c r="A2942" s="3" t="s">
        <v>3816</v>
      </c>
      <c r="C2942" s="3" t="s">
        <v>3817</v>
      </c>
      <c r="D2942" s="3" t="s">
        <v>3618</v>
      </c>
      <c r="E2942" s="3" t="s">
        <v>3638</v>
      </c>
      <c r="F2942" s="3" t="s">
        <v>3167</v>
      </c>
      <c r="G2942" s="3" t="s">
        <v>3214</v>
      </c>
      <c r="H2942" s="6">
        <v>1.60206</v>
      </c>
      <c r="I2942" s="6">
        <v>40.000000798724201</v>
      </c>
      <c r="J2942" s="3" t="s">
        <v>3356</v>
      </c>
      <c r="L2942" s="1" t="s">
        <v>6135</v>
      </c>
    </row>
    <row r="2943" spans="1:12">
      <c r="A2943" s="3" t="s">
        <v>3816</v>
      </c>
      <c r="C2943" s="3" t="s">
        <v>3817</v>
      </c>
      <c r="D2943" s="3" t="s">
        <v>3618</v>
      </c>
      <c r="E2943" s="3" t="s">
        <v>3638</v>
      </c>
      <c r="F2943" s="3" t="s">
        <v>3167</v>
      </c>
      <c r="G2943" s="3" t="s">
        <v>3215</v>
      </c>
      <c r="H2943" s="6">
        <v>1.5563</v>
      </c>
      <c r="I2943" s="6">
        <v>35.999792704335675</v>
      </c>
      <c r="J2943" s="3" t="s">
        <v>3356</v>
      </c>
      <c r="L2943" s="1" t="s">
        <v>6135</v>
      </c>
    </row>
    <row r="2944" spans="1:12">
      <c r="A2944" s="3" t="s">
        <v>3816</v>
      </c>
      <c r="C2944" s="3" t="s">
        <v>3817</v>
      </c>
      <c r="D2944" s="3" t="s">
        <v>3618</v>
      </c>
      <c r="E2944" s="3" t="s">
        <v>3638</v>
      </c>
      <c r="F2944" s="3" t="s">
        <v>3167</v>
      </c>
      <c r="G2944" s="3" t="s">
        <v>7491</v>
      </c>
      <c r="H2944" s="6">
        <v>1.32582</v>
      </c>
      <c r="I2944" s="6">
        <v>21.174833299521055</v>
      </c>
      <c r="J2944" s="3" t="s">
        <v>3356</v>
      </c>
      <c r="L2944" s="1" t="s">
        <v>6135</v>
      </c>
    </row>
    <row r="2945" spans="1:12">
      <c r="A2945" s="3" t="s">
        <v>3816</v>
      </c>
      <c r="C2945" s="3" t="s">
        <v>3817</v>
      </c>
      <c r="D2945" s="3" t="s">
        <v>3618</v>
      </c>
      <c r="E2945" s="3" t="s">
        <v>3638</v>
      </c>
      <c r="F2945" s="3" t="s">
        <v>3167</v>
      </c>
      <c r="G2945" s="3" t="s">
        <v>3602</v>
      </c>
      <c r="H2945" s="6">
        <v>1.3280400000000001</v>
      </c>
      <c r="I2945" s="6">
        <v>21.283350638592552</v>
      </c>
      <c r="J2945" s="3" t="s">
        <v>3356</v>
      </c>
      <c r="L2945" s="1" t="s">
        <v>6135</v>
      </c>
    </row>
    <row r="2946" spans="1:12">
      <c r="A2946" s="3" t="s">
        <v>3816</v>
      </c>
      <c r="C2946" s="3" t="s">
        <v>3817</v>
      </c>
      <c r="D2946" s="3" t="s">
        <v>3618</v>
      </c>
      <c r="E2946" s="3" t="s">
        <v>3638</v>
      </c>
      <c r="F2946" s="3" t="s">
        <v>3167</v>
      </c>
      <c r="G2946" s="3" t="s">
        <v>3603</v>
      </c>
      <c r="H2946" s="6">
        <v>1.8208599999999999</v>
      </c>
      <c r="I2946" s="6">
        <v>66.200306472694223</v>
      </c>
      <c r="J2946" s="3" t="s">
        <v>3356</v>
      </c>
      <c r="L2946" s="1" t="s">
        <v>6135</v>
      </c>
    </row>
    <row r="2947" spans="1:12">
      <c r="A2947" s="3" t="s">
        <v>3816</v>
      </c>
      <c r="C2947" s="3" t="s">
        <v>3817</v>
      </c>
      <c r="D2947" s="3" t="s">
        <v>3618</v>
      </c>
      <c r="E2947" s="3" t="s">
        <v>3638</v>
      </c>
      <c r="F2947" s="3" t="s">
        <v>3167</v>
      </c>
      <c r="G2947" s="3" t="s">
        <v>3604</v>
      </c>
      <c r="H2947" s="6">
        <v>1.7781499999999999</v>
      </c>
      <c r="I2947" s="6">
        <v>59.999827253364401</v>
      </c>
      <c r="J2947" s="3" t="s">
        <v>3356</v>
      </c>
      <c r="L2947" s="1" t="s">
        <v>6135</v>
      </c>
    </row>
    <row r="2948" spans="1:12">
      <c r="A2948" s="3" t="s">
        <v>3816</v>
      </c>
      <c r="C2948" s="3" t="s">
        <v>3817</v>
      </c>
      <c r="D2948" s="3" t="s">
        <v>3618</v>
      </c>
      <c r="E2948" s="3" t="s">
        <v>3638</v>
      </c>
      <c r="F2948" s="3" t="s">
        <v>3167</v>
      </c>
      <c r="G2948" s="3" t="s">
        <v>3605</v>
      </c>
      <c r="H2948" s="6">
        <v>1.77085</v>
      </c>
      <c r="I2948" s="6">
        <v>58.999726713977353</v>
      </c>
      <c r="J2948" s="3" t="s">
        <v>3356</v>
      </c>
      <c r="L2948" s="1" t="s">
        <v>6135</v>
      </c>
    </row>
    <row r="2949" spans="1:12">
      <c r="A2949" s="3" t="s">
        <v>3816</v>
      </c>
      <c r="C2949" s="3" t="s">
        <v>3817</v>
      </c>
      <c r="D2949" s="3" t="s">
        <v>3618</v>
      </c>
      <c r="E2949" s="3" t="s">
        <v>3638</v>
      </c>
      <c r="F2949" s="3" t="s">
        <v>3167</v>
      </c>
      <c r="G2949" s="3" t="s">
        <v>3606</v>
      </c>
      <c r="H2949" s="6">
        <v>1.60206</v>
      </c>
      <c r="I2949" s="6">
        <v>40.000000798724201</v>
      </c>
      <c r="J2949" s="3" t="s">
        <v>3356</v>
      </c>
      <c r="L2949" s="1" t="s">
        <v>6135</v>
      </c>
    </row>
    <row r="2950" spans="1:12">
      <c r="A2950" s="3" t="s">
        <v>3816</v>
      </c>
      <c r="C2950" s="3" t="s">
        <v>3817</v>
      </c>
      <c r="D2950" s="3" t="s">
        <v>3618</v>
      </c>
      <c r="E2950" s="3" t="s">
        <v>3638</v>
      </c>
      <c r="F2950" s="3" t="s">
        <v>3167</v>
      </c>
      <c r="G2950" s="3" t="s">
        <v>4633</v>
      </c>
      <c r="H2950" s="6">
        <v>1.5976999999999999</v>
      </c>
      <c r="I2950" s="6">
        <v>39.600438961152513</v>
      </c>
      <c r="J2950" s="3" t="s">
        <v>3356</v>
      </c>
      <c r="L2950" s="1" t="s">
        <v>6135</v>
      </c>
    </row>
    <row r="2951" spans="1:12">
      <c r="A2951" s="3" t="s">
        <v>3816</v>
      </c>
      <c r="C2951" s="3" t="s">
        <v>3817</v>
      </c>
      <c r="D2951" s="3" t="s">
        <v>3618</v>
      </c>
      <c r="E2951" s="3" t="s">
        <v>3638</v>
      </c>
      <c r="F2951" s="3" t="s">
        <v>3167</v>
      </c>
      <c r="G2951" s="3" t="s">
        <v>3607</v>
      </c>
      <c r="H2951" s="6">
        <v>1.60206</v>
      </c>
      <c r="I2951" s="6">
        <v>40.000000798724201</v>
      </c>
      <c r="J2951" s="3" t="s">
        <v>3356</v>
      </c>
      <c r="L2951" s="1" t="s">
        <v>6135</v>
      </c>
    </row>
    <row r="2952" spans="1:12">
      <c r="A2952" s="3" t="s">
        <v>3816</v>
      </c>
      <c r="C2952" s="3" t="s">
        <v>3817</v>
      </c>
      <c r="D2952" s="3" t="s">
        <v>3618</v>
      </c>
      <c r="E2952" s="3" t="s">
        <v>3638</v>
      </c>
      <c r="F2952" s="3" t="s">
        <v>3167</v>
      </c>
      <c r="G2952" s="3" t="s">
        <v>2222</v>
      </c>
      <c r="H2952" s="6">
        <v>1.60206</v>
      </c>
      <c r="I2952" s="6">
        <v>40.000000798724201</v>
      </c>
      <c r="J2952" s="3" t="s">
        <v>3356</v>
      </c>
      <c r="L2952" s="1" t="s">
        <v>6135</v>
      </c>
    </row>
    <row r="2953" spans="1:12">
      <c r="A2953" s="3" t="s">
        <v>3816</v>
      </c>
      <c r="C2953" s="3" t="s">
        <v>3817</v>
      </c>
      <c r="D2953" s="3" t="s">
        <v>3618</v>
      </c>
      <c r="E2953" s="3" t="s">
        <v>3638</v>
      </c>
      <c r="F2953" s="3" t="s">
        <v>3167</v>
      </c>
      <c r="G2953" s="3" t="s">
        <v>4014</v>
      </c>
      <c r="H2953" s="6">
        <v>1.51322</v>
      </c>
      <c r="I2953" s="6">
        <v>32.60018014965565</v>
      </c>
      <c r="J2953" s="3" t="s">
        <v>3356</v>
      </c>
      <c r="L2953" s="1" t="s">
        <v>6135</v>
      </c>
    </row>
    <row r="2954" spans="1:12">
      <c r="A2954" s="3" t="s">
        <v>3816</v>
      </c>
      <c r="C2954" s="3" t="s">
        <v>3817</v>
      </c>
      <c r="D2954" s="3" t="s">
        <v>3618</v>
      </c>
      <c r="E2954" s="3" t="s">
        <v>3638</v>
      </c>
      <c r="F2954" s="3" t="s">
        <v>3167</v>
      </c>
      <c r="G2954" s="3" t="s">
        <v>4083</v>
      </c>
      <c r="H2954" s="6">
        <v>1.60206</v>
      </c>
      <c r="I2954" s="6">
        <v>40.000000798724201</v>
      </c>
      <c r="J2954" s="3" t="s">
        <v>3356</v>
      </c>
      <c r="L2954" s="1" t="s">
        <v>6135</v>
      </c>
    </row>
    <row r="2955" spans="1:12">
      <c r="A2955" s="3" t="s">
        <v>3816</v>
      </c>
      <c r="C2955" s="3" t="s">
        <v>3817</v>
      </c>
      <c r="D2955" s="3" t="s">
        <v>3618</v>
      </c>
      <c r="E2955" s="3" t="s">
        <v>3638</v>
      </c>
      <c r="F2955" s="3" t="s">
        <v>3167</v>
      </c>
      <c r="G2955" s="3" t="s">
        <v>4621</v>
      </c>
      <c r="H2955" s="6">
        <v>1.5910599999999999</v>
      </c>
      <c r="I2955" s="6">
        <v>38.999586287443293</v>
      </c>
      <c r="J2955" s="3" t="s">
        <v>3356</v>
      </c>
      <c r="L2955" s="1" t="s">
        <v>6135</v>
      </c>
    </row>
    <row r="2956" spans="1:12">
      <c r="A2956" s="3" t="s">
        <v>3816</v>
      </c>
      <c r="C2956" s="3" t="s">
        <v>3817</v>
      </c>
      <c r="D2956" s="3" t="s">
        <v>3618</v>
      </c>
      <c r="E2956" s="3" t="s">
        <v>3638</v>
      </c>
      <c r="F2956" s="3" t="s">
        <v>3167</v>
      </c>
      <c r="G2956" s="3" t="s">
        <v>4622</v>
      </c>
      <c r="H2956" s="6">
        <v>1.60206</v>
      </c>
      <c r="I2956" s="6">
        <v>40.000000798724201</v>
      </c>
      <c r="J2956" s="3" t="s">
        <v>3356</v>
      </c>
      <c r="L2956" s="1" t="s">
        <v>6135</v>
      </c>
    </row>
    <row r="2957" spans="1:12">
      <c r="A2957" s="3" t="s">
        <v>3816</v>
      </c>
      <c r="C2957" s="3" t="s">
        <v>3817</v>
      </c>
      <c r="D2957" s="3" t="s">
        <v>3618</v>
      </c>
      <c r="E2957" s="3" t="s">
        <v>3638</v>
      </c>
      <c r="F2957" s="3" t="s">
        <v>3167</v>
      </c>
      <c r="G2957" s="3" t="s">
        <v>4623</v>
      </c>
      <c r="H2957" s="6">
        <v>1.1122700000000001</v>
      </c>
      <c r="I2957" s="6">
        <v>12.950006905446124</v>
      </c>
      <c r="J2957" s="3" t="s">
        <v>3356</v>
      </c>
      <c r="L2957" s="1" t="s">
        <v>6135</v>
      </c>
    </row>
    <row r="2958" spans="1:12">
      <c r="A2958" s="3" t="s">
        <v>3816</v>
      </c>
      <c r="C2958" s="3" t="s">
        <v>3817</v>
      </c>
      <c r="D2958" s="3" t="s">
        <v>3618</v>
      </c>
      <c r="E2958" s="3" t="s">
        <v>3638</v>
      </c>
      <c r="F2958" s="3" t="s">
        <v>3167</v>
      </c>
      <c r="G2958" s="3" t="s">
        <v>4624</v>
      </c>
      <c r="H2958" s="6">
        <v>1.60206</v>
      </c>
      <c r="I2958" s="6">
        <v>40.000000798724201</v>
      </c>
      <c r="J2958" s="3" t="s">
        <v>3356</v>
      </c>
      <c r="L2958" s="1" t="s">
        <v>6135</v>
      </c>
    </row>
    <row r="2959" spans="1:12">
      <c r="A2959" s="3" t="s">
        <v>3816</v>
      </c>
      <c r="C2959" s="3" t="s">
        <v>3817</v>
      </c>
      <c r="D2959" s="3" t="s">
        <v>3618</v>
      </c>
      <c r="E2959" s="3" t="s">
        <v>3638</v>
      </c>
      <c r="F2959" s="3" t="s">
        <v>3167</v>
      </c>
      <c r="G2959" s="3" t="s">
        <v>4615</v>
      </c>
      <c r="H2959" s="6">
        <v>1.60206</v>
      </c>
      <c r="I2959" s="6">
        <v>40.000000798724201</v>
      </c>
      <c r="J2959" s="3" t="s">
        <v>3356</v>
      </c>
      <c r="L2959" s="1" t="s">
        <v>6135</v>
      </c>
    </row>
    <row r="2960" spans="1:12">
      <c r="A2960" s="3" t="s">
        <v>3816</v>
      </c>
      <c r="C2960" s="3" t="s">
        <v>3817</v>
      </c>
      <c r="D2960" s="3" t="s">
        <v>3618</v>
      </c>
      <c r="E2960" s="3" t="s">
        <v>3638</v>
      </c>
      <c r="F2960" s="3" t="s">
        <v>3167</v>
      </c>
      <c r="G2960" s="3" t="s">
        <v>3195</v>
      </c>
      <c r="H2960" s="6">
        <v>1.5563</v>
      </c>
      <c r="I2960" s="6">
        <v>35.999792704335675</v>
      </c>
      <c r="J2960" s="3" t="s">
        <v>3356</v>
      </c>
      <c r="L2960" s="1" t="s">
        <v>6135</v>
      </c>
    </row>
    <row r="2961" spans="1:12">
      <c r="A2961" s="3" t="s">
        <v>3816</v>
      </c>
      <c r="C2961" s="3" t="s">
        <v>3817</v>
      </c>
      <c r="D2961" s="3" t="s">
        <v>3618</v>
      </c>
      <c r="E2961" s="3" t="s">
        <v>3638</v>
      </c>
      <c r="F2961" s="3" t="s">
        <v>3167</v>
      </c>
      <c r="G2961" s="3" t="s">
        <v>6326</v>
      </c>
      <c r="H2961" s="6">
        <v>1.43696</v>
      </c>
      <c r="I2961" s="6">
        <v>27.350168103482694</v>
      </c>
      <c r="J2961" s="3" t="s">
        <v>3356</v>
      </c>
      <c r="L2961" s="1" t="s">
        <v>6135</v>
      </c>
    </row>
    <row r="2962" spans="1:12">
      <c r="A2962" s="3" t="s">
        <v>3816</v>
      </c>
      <c r="C2962" s="3" t="s">
        <v>3817</v>
      </c>
      <c r="D2962" s="3" t="s">
        <v>3618</v>
      </c>
      <c r="E2962" s="3" t="s">
        <v>3638</v>
      </c>
      <c r="F2962" s="3" t="s">
        <v>3167</v>
      </c>
      <c r="G2962" s="3" t="s">
        <v>6327</v>
      </c>
      <c r="H2962" s="6">
        <v>1.60206</v>
      </c>
      <c r="I2962" s="6">
        <v>40.000000798724201</v>
      </c>
      <c r="J2962" s="3" t="s">
        <v>3356</v>
      </c>
      <c r="L2962" s="1" t="s">
        <v>6135</v>
      </c>
    </row>
    <row r="2963" spans="1:12">
      <c r="A2963" s="3" t="s">
        <v>3816</v>
      </c>
      <c r="C2963" s="3" t="s">
        <v>3817</v>
      </c>
      <c r="D2963" s="3" t="s">
        <v>3618</v>
      </c>
      <c r="E2963" s="3" t="s">
        <v>3638</v>
      </c>
      <c r="F2963" s="3" t="s">
        <v>3167</v>
      </c>
      <c r="G2963" s="3" t="s">
        <v>3647</v>
      </c>
      <c r="H2963" s="6">
        <v>1.4199600000000001</v>
      </c>
      <c r="I2963" s="6">
        <v>26.300257464166226</v>
      </c>
      <c r="J2963" s="3" t="s">
        <v>3356</v>
      </c>
      <c r="L2963" s="1" t="s">
        <v>6135</v>
      </c>
    </row>
    <row r="2964" spans="1:12">
      <c r="A2964" s="3" t="s">
        <v>3816</v>
      </c>
      <c r="C2964" s="3" t="s">
        <v>3817</v>
      </c>
      <c r="D2964" s="3" t="s">
        <v>3618</v>
      </c>
      <c r="E2964" s="3" t="s">
        <v>3638</v>
      </c>
      <c r="F2964" s="3" t="s">
        <v>3167</v>
      </c>
      <c r="G2964" s="3" t="s">
        <v>3390</v>
      </c>
      <c r="H2964" s="6">
        <v>1.60206</v>
      </c>
      <c r="I2964" s="6">
        <v>40.000000798724201</v>
      </c>
      <c r="J2964" s="3" t="s">
        <v>3356</v>
      </c>
      <c r="L2964" s="1" t="s">
        <v>6135</v>
      </c>
    </row>
    <row r="2965" spans="1:12">
      <c r="A2965" s="3" t="s">
        <v>3816</v>
      </c>
      <c r="C2965" s="3" t="s">
        <v>3817</v>
      </c>
      <c r="D2965" s="3" t="s">
        <v>3618</v>
      </c>
      <c r="E2965" s="3" t="s">
        <v>3638</v>
      </c>
      <c r="F2965" s="3" t="s">
        <v>7221</v>
      </c>
      <c r="G2965" s="3" t="s">
        <v>3587</v>
      </c>
      <c r="H2965" s="6">
        <v>1.4014</v>
      </c>
      <c r="I2965" s="6">
        <v>25.199968621092381</v>
      </c>
      <c r="J2965" s="3" t="s">
        <v>3356</v>
      </c>
      <c r="L2965" s="1" t="s">
        <v>6135</v>
      </c>
    </row>
    <row r="2966" spans="1:12">
      <c r="A2966" s="3" t="s">
        <v>3816</v>
      </c>
      <c r="C2966" s="3" t="s">
        <v>3817</v>
      </c>
      <c r="D2966" s="3" t="s">
        <v>3618</v>
      </c>
      <c r="E2966" s="3" t="s">
        <v>3638</v>
      </c>
      <c r="F2966" s="3" t="s">
        <v>4889</v>
      </c>
      <c r="G2966" s="3" t="s">
        <v>2190</v>
      </c>
      <c r="H2966" s="6">
        <v>1.48855</v>
      </c>
      <c r="I2966" s="6">
        <v>30.799949186102069</v>
      </c>
      <c r="J2966" s="3" t="s">
        <v>3356</v>
      </c>
      <c r="L2966" s="1" t="s">
        <v>6135</v>
      </c>
    </row>
    <row r="2967" spans="1:12">
      <c r="A2967" s="3" t="s">
        <v>3816</v>
      </c>
      <c r="C2967" s="3" t="s">
        <v>3817</v>
      </c>
      <c r="D2967" s="3" t="s">
        <v>3618</v>
      </c>
      <c r="E2967" s="3" t="s">
        <v>3638</v>
      </c>
      <c r="F2967" s="3" t="s">
        <v>4890</v>
      </c>
      <c r="G2967" s="3" t="s">
        <v>3434</v>
      </c>
      <c r="H2967" s="6">
        <v>1.3010299999999999</v>
      </c>
      <c r="I2967" s="6">
        <v>20.000000199681054</v>
      </c>
      <c r="J2967" s="3" t="s">
        <v>3356</v>
      </c>
      <c r="L2967" s="1" t="s">
        <v>6135</v>
      </c>
    </row>
    <row r="2968" spans="1:12">
      <c r="A2968" s="3" t="s">
        <v>3816</v>
      </c>
      <c r="C2968" s="3" t="s">
        <v>3817</v>
      </c>
      <c r="D2968" s="3" t="s">
        <v>3618</v>
      </c>
      <c r="E2968" s="3" t="s">
        <v>3638</v>
      </c>
      <c r="F2968" s="3" t="s">
        <v>4890</v>
      </c>
      <c r="G2968" s="3" t="s">
        <v>3646</v>
      </c>
      <c r="H2968" s="6">
        <v>1.2787500000000001</v>
      </c>
      <c r="I2968" s="6">
        <v>18.999842462147331</v>
      </c>
      <c r="J2968" s="3" t="s">
        <v>3356</v>
      </c>
      <c r="L2968" s="1" t="s">
        <v>6135</v>
      </c>
    </row>
    <row r="2969" spans="1:12">
      <c r="A2969" s="3" t="s">
        <v>3816</v>
      </c>
      <c r="C2969" s="3" t="s">
        <v>3817</v>
      </c>
      <c r="D2969" s="3" t="s">
        <v>3618</v>
      </c>
      <c r="E2969" s="3" t="s">
        <v>3638</v>
      </c>
      <c r="F2969" s="3" t="s">
        <v>4890</v>
      </c>
      <c r="G2969" s="3" t="s">
        <v>3368</v>
      </c>
      <c r="H2969" s="6">
        <v>1.0569</v>
      </c>
      <c r="I2969" s="6">
        <v>11.39987265569977</v>
      </c>
      <c r="J2969" s="3" t="s">
        <v>3356</v>
      </c>
      <c r="L2969" s="1" t="s">
        <v>6135</v>
      </c>
    </row>
    <row r="2970" spans="1:12">
      <c r="A2970" s="3" t="s">
        <v>3816</v>
      </c>
      <c r="C2970" s="3" t="s">
        <v>3817</v>
      </c>
      <c r="D2970" s="3" t="s">
        <v>3618</v>
      </c>
      <c r="E2970" s="3" t="s">
        <v>3638</v>
      </c>
      <c r="F2970" s="3" t="s">
        <v>4890</v>
      </c>
      <c r="G2970" s="3" t="s">
        <v>3786</v>
      </c>
      <c r="H2970" s="6">
        <v>1.0890200000000001</v>
      </c>
      <c r="I2970" s="6">
        <v>12.274957581255038</v>
      </c>
      <c r="J2970" s="3" t="s">
        <v>3356</v>
      </c>
      <c r="L2970" s="1" t="s">
        <v>6135</v>
      </c>
    </row>
    <row r="2971" spans="1:12">
      <c r="A2971" s="3" t="s">
        <v>3816</v>
      </c>
      <c r="C2971" s="3" t="s">
        <v>3817</v>
      </c>
      <c r="D2971" s="3" t="s">
        <v>3618</v>
      </c>
      <c r="E2971" s="3" t="s">
        <v>3638</v>
      </c>
      <c r="F2971" s="3" t="s">
        <v>4890</v>
      </c>
      <c r="G2971" s="3" t="s">
        <v>3776</v>
      </c>
      <c r="H2971" s="6">
        <v>1.3010299999999999</v>
      </c>
      <c r="I2971" s="6">
        <v>20.000000199681054</v>
      </c>
      <c r="J2971" s="3" t="s">
        <v>3356</v>
      </c>
      <c r="L2971" s="1" t="s">
        <v>6135</v>
      </c>
    </row>
    <row r="2972" spans="1:12">
      <c r="A2972" s="3" t="s">
        <v>3816</v>
      </c>
      <c r="C2972" s="3" t="s">
        <v>3817</v>
      </c>
      <c r="D2972" s="3" t="s">
        <v>3618</v>
      </c>
      <c r="E2972" s="3" t="s">
        <v>3638</v>
      </c>
      <c r="F2972" s="3" t="s">
        <v>4890</v>
      </c>
      <c r="G2972" s="3" t="s">
        <v>4892</v>
      </c>
      <c r="H2972" s="6">
        <v>0.91942999999999997</v>
      </c>
      <c r="I2972" s="6">
        <v>8.3067281927162853</v>
      </c>
      <c r="J2972" s="3" t="s">
        <v>3356</v>
      </c>
      <c r="L2972" s="1" t="s">
        <v>6135</v>
      </c>
    </row>
    <row r="2973" spans="1:12">
      <c r="A2973" s="3" t="s">
        <v>3816</v>
      </c>
      <c r="C2973" s="3" t="s">
        <v>3817</v>
      </c>
      <c r="D2973" s="3" t="s">
        <v>3618</v>
      </c>
      <c r="E2973" s="3" t="s">
        <v>3638</v>
      </c>
      <c r="F2973" s="3" t="s">
        <v>4890</v>
      </c>
      <c r="G2973" s="3" t="s">
        <v>2000</v>
      </c>
      <c r="H2973" s="6">
        <v>0.97197</v>
      </c>
      <c r="I2973" s="6">
        <v>9.3749724467368782</v>
      </c>
      <c r="J2973" s="3" t="s">
        <v>3356</v>
      </c>
      <c r="L2973" s="1" t="s">
        <v>6135</v>
      </c>
    </row>
    <row r="2974" spans="1:12">
      <c r="A2974" s="3" t="s">
        <v>3816</v>
      </c>
      <c r="C2974" s="3" t="s">
        <v>3817</v>
      </c>
      <c r="D2974" s="3" t="s">
        <v>3618</v>
      </c>
      <c r="E2974" s="3" t="s">
        <v>3638</v>
      </c>
      <c r="F2974" s="3" t="s">
        <v>4890</v>
      </c>
      <c r="G2974" s="3" t="s">
        <v>4014</v>
      </c>
      <c r="H2974" s="6">
        <v>1.2787500000000001</v>
      </c>
      <c r="I2974" s="6">
        <v>18.999842462147331</v>
      </c>
      <c r="J2974" s="3" t="s">
        <v>3356</v>
      </c>
      <c r="L2974" s="1" t="s">
        <v>6135</v>
      </c>
    </row>
    <row r="2975" spans="1:12">
      <c r="A2975" s="3" t="s">
        <v>3816</v>
      </c>
      <c r="C2975" s="3" t="s">
        <v>3817</v>
      </c>
      <c r="D2975" s="3" t="s">
        <v>3618</v>
      </c>
      <c r="E2975" s="3" t="s">
        <v>3638</v>
      </c>
      <c r="F2975" s="3" t="s">
        <v>4890</v>
      </c>
      <c r="G2975" s="3" t="s">
        <v>1995</v>
      </c>
      <c r="H2975" s="6">
        <v>1.3010299999999999</v>
      </c>
      <c r="I2975" s="6">
        <v>20.000000199681054</v>
      </c>
      <c r="J2975" s="3" t="s">
        <v>3356</v>
      </c>
      <c r="L2975" s="1" t="s">
        <v>6135</v>
      </c>
    </row>
    <row r="2976" spans="1:12">
      <c r="A2976" s="3" t="s">
        <v>3816</v>
      </c>
      <c r="C2976" s="3" t="s">
        <v>3817</v>
      </c>
      <c r="D2976" s="3" t="s">
        <v>3618</v>
      </c>
      <c r="E2976" s="3" t="s">
        <v>3638</v>
      </c>
      <c r="F2976" s="3" t="s">
        <v>4890</v>
      </c>
      <c r="G2976" s="3" t="s">
        <v>3985</v>
      </c>
      <c r="H2976" s="6">
        <v>1.0374300000000001</v>
      </c>
      <c r="I2976" s="6">
        <v>10.90008789566228</v>
      </c>
      <c r="J2976" s="3" t="s">
        <v>3356</v>
      </c>
      <c r="L2976" s="1" t="s">
        <v>6135</v>
      </c>
    </row>
    <row r="2977" spans="1:12">
      <c r="A2977" s="3" t="s">
        <v>3816</v>
      </c>
      <c r="C2977" s="3" t="s">
        <v>3817</v>
      </c>
      <c r="D2977" s="3" t="s">
        <v>3618</v>
      </c>
      <c r="E2977" s="3" t="s">
        <v>3638</v>
      </c>
      <c r="F2977" s="3" t="s">
        <v>4890</v>
      </c>
      <c r="G2977" s="3" t="s">
        <v>1996</v>
      </c>
      <c r="H2977" s="6">
        <v>1.0433600000000001</v>
      </c>
      <c r="I2977" s="6">
        <v>11.049942039172706</v>
      </c>
      <c r="J2977" s="3" t="s">
        <v>3356</v>
      </c>
      <c r="L2977" s="1" t="s">
        <v>6135</v>
      </c>
    </row>
    <row r="2978" spans="1:12">
      <c r="A2978" s="3" t="s">
        <v>3816</v>
      </c>
      <c r="C2978" s="3" t="s">
        <v>3817</v>
      </c>
      <c r="D2978" s="3" t="s">
        <v>3618</v>
      </c>
      <c r="E2978" s="3" t="s">
        <v>3638</v>
      </c>
      <c r="F2978" s="3" t="s">
        <v>4890</v>
      </c>
      <c r="G2978" s="3" t="s">
        <v>4749</v>
      </c>
      <c r="H2978" s="6">
        <v>1.2787500000000001</v>
      </c>
      <c r="I2978" s="6">
        <v>18.999842462147331</v>
      </c>
      <c r="J2978" s="3" t="s">
        <v>3356</v>
      </c>
      <c r="L2978" s="1" t="s">
        <v>6135</v>
      </c>
    </row>
    <row r="2979" spans="1:12">
      <c r="A2979" s="3" t="s">
        <v>3816</v>
      </c>
      <c r="C2979" s="3" t="s">
        <v>3817</v>
      </c>
      <c r="D2979" s="3" t="s">
        <v>3618</v>
      </c>
      <c r="E2979" s="3" t="s">
        <v>3638</v>
      </c>
      <c r="F2979" s="3" t="s">
        <v>4890</v>
      </c>
      <c r="G2979" s="3" t="s">
        <v>4496</v>
      </c>
      <c r="H2979" s="6">
        <v>1.3010299999999999</v>
      </c>
      <c r="I2979" s="6">
        <v>20.000000199681054</v>
      </c>
      <c r="J2979" s="3" t="s">
        <v>3356</v>
      </c>
      <c r="L2979" s="1" t="s">
        <v>6135</v>
      </c>
    </row>
    <row r="2980" spans="1:12">
      <c r="A2980" s="3" t="s">
        <v>3816</v>
      </c>
      <c r="C2980" s="3" t="s">
        <v>3817</v>
      </c>
      <c r="D2980" s="3" t="s">
        <v>3618</v>
      </c>
      <c r="E2980" s="3" t="s">
        <v>3638</v>
      </c>
      <c r="F2980" s="3" t="s">
        <v>1997</v>
      </c>
      <c r="G2980" s="3" t="s">
        <v>4014</v>
      </c>
      <c r="H2980" s="6">
        <v>1.60206</v>
      </c>
      <c r="I2980" s="6">
        <v>40.000000798724201</v>
      </c>
      <c r="J2980" s="3" t="s">
        <v>3356</v>
      </c>
      <c r="L2980" s="1" t="s">
        <v>6135</v>
      </c>
    </row>
    <row r="2981" spans="1:12">
      <c r="A2981" s="3" t="s">
        <v>3816</v>
      </c>
      <c r="C2981" s="3" t="s">
        <v>3817</v>
      </c>
      <c r="D2981" s="3" t="s">
        <v>3618</v>
      </c>
      <c r="E2981" s="3" t="s">
        <v>3638</v>
      </c>
      <c r="F2981" s="3" t="s">
        <v>1997</v>
      </c>
      <c r="G2981" s="3" t="s">
        <v>4852</v>
      </c>
      <c r="H2981" s="6">
        <v>1.60206</v>
      </c>
      <c r="I2981" s="6">
        <v>40.000000798724201</v>
      </c>
      <c r="J2981" s="3" t="s">
        <v>3356</v>
      </c>
      <c r="L2981" s="1" t="s">
        <v>6135</v>
      </c>
    </row>
    <row r="2982" spans="1:12">
      <c r="A2982" s="3" t="s">
        <v>3816</v>
      </c>
      <c r="C2982" s="3" t="s">
        <v>3817</v>
      </c>
      <c r="D2982" s="3" t="s">
        <v>3618</v>
      </c>
      <c r="E2982" s="3" t="s">
        <v>3638</v>
      </c>
      <c r="F2982" s="3" t="s">
        <v>4745</v>
      </c>
      <c r="G2982" s="3" t="s">
        <v>4746</v>
      </c>
      <c r="H2982" s="6">
        <v>1.05115</v>
      </c>
      <c r="I2982" s="6">
        <v>11.249934658505206</v>
      </c>
      <c r="J2982" s="3" t="s">
        <v>3356</v>
      </c>
      <c r="L2982" s="1" t="s">
        <v>6135</v>
      </c>
    </row>
    <row r="2983" spans="1:12">
      <c r="A2983" s="3" t="s">
        <v>3816</v>
      </c>
      <c r="C2983" s="3" t="s">
        <v>3817</v>
      </c>
      <c r="D2983" s="3" t="s">
        <v>3618</v>
      </c>
      <c r="E2983" s="3" t="s">
        <v>3638</v>
      </c>
      <c r="F2983" s="3" t="s">
        <v>4747</v>
      </c>
      <c r="G2983" s="3" t="s">
        <v>4087</v>
      </c>
      <c r="H2983" s="6">
        <v>2.25285</v>
      </c>
      <c r="I2983" s="6">
        <v>178.99875074740714</v>
      </c>
      <c r="J2983" s="3" t="s">
        <v>3356</v>
      </c>
      <c r="L2983" s="1" t="s">
        <v>6135</v>
      </c>
    </row>
    <row r="2984" spans="1:12">
      <c r="A2984" s="3" t="s">
        <v>3816</v>
      </c>
      <c r="C2984" s="3" t="s">
        <v>3817</v>
      </c>
      <c r="D2984" s="3" t="s">
        <v>3618</v>
      </c>
      <c r="E2984" s="3" t="s">
        <v>3638</v>
      </c>
      <c r="F2984" s="3" t="s">
        <v>4747</v>
      </c>
      <c r="G2984" s="3" t="s">
        <v>4671</v>
      </c>
      <c r="H2984" s="6">
        <v>2.2966700000000002</v>
      </c>
      <c r="I2984" s="6">
        <v>198.00219282889842</v>
      </c>
      <c r="J2984" s="3" t="s">
        <v>3356</v>
      </c>
      <c r="L2984" s="1" t="s">
        <v>6135</v>
      </c>
    </row>
    <row r="2985" spans="1:12">
      <c r="A2985" s="3" t="s">
        <v>3816</v>
      </c>
      <c r="C2985" s="3" t="s">
        <v>3817</v>
      </c>
      <c r="D2985" s="3" t="s">
        <v>3618</v>
      </c>
      <c r="E2985" s="3" t="s">
        <v>3638</v>
      </c>
      <c r="F2985" s="3" t="s">
        <v>4747</v>
      </c>
      <c r="G2985" s="3" t="s">
        <v>2002</v>
      </c>
      <c r="H2985" s="6">
        <v>2.3304100000000001</v>
      </c>
      <c r="I2985" s="6">
        <v>213.99814067815171</v>
      </c>
      <c r="J2985" s="3" t="s">
        <v>3356</v>
      </c>
      <c r="L2985" s="1" t="s">
        <v>6135</v>
      </c>
    </row>
    <row r="2986" spans="1:12">
      <c r="A2986" s="3" t="s">
        <v>3816</v>
      </c>
      <c r="C2986" s="3" t="s">
        <v>3817</v>
      </c>
      <c r="D2986" s="3" t="s">
        <v>3618</v>
      </c>
      <c r="E2986" s="3" t="s">
        <v>3638</v>
      </c>
      <c r="F2986" s="3" t="s">
        <v>4747</v>
      </c>
      <c r="G2986" s="3" t="s">
        <v>4174</v>
      </c>
      <c r="H2986" s="6">
        <v>1.9655899999999999</v>
      </c>
      <c r="I2986" s="6">
        <v>92.382561542213608</v>
      </c>
      <c r="J2986" s="3" t="s">
        <v>3356</v>
      </c>
      <c r="L2986" s="1" t="s">
        <v>6135</v>
      </c>
    </row>
    <row r="2987" spans="1:12">
      <c r="A2987" s="3" t="s">
        <v>3816</v>
      </c>
      <c r="C2987" s="3" t="s">
        <v>3817</v>
      </c>
      <c r="D2987" s="3" t="s">
        <v>3618</v>
      </c>
      <c r="E2987" s="3" t="s">
        <v>3638</v>
      </c>
      <c r="F2987" s="3" t="s">
        <v>4747</v>
      </c>
      <c r="G2987" s="3" t="s">
        <v>7245</v>
      </c>
      <c r="H2987" s="6">
        <v>2.1319400000000002</v>
      </c>
      <c r="I2987" s="6">
        <v>135.50021989472347</v>
      </c>
      <c r="J2987" s="3" t="s">
        <v>3356</v>
      </c>
      <c r="L2987" s="1" t="s">
        <v>6135</v>
      </c>
    </row>
    <row r="2988" spans="1:12">
      <c r="A2988" s="3" t="s">
        <v>3816</v>
      </c>
      <c r="C2988" s="3" t="s">
        <v>3817</v>
      </c>
      <c r="D2988" s="3" t="s">
        <v>3618</v>
      </c>
      <c r="E2988" s="3" t="s">
        <v>3638</v>
      </c>
      <c r="F2988" s="3" t="s">
        <v>4747</v>
      </c>
      <c r="G2988" s="3" t="s">
        <v>7246</v>
      </c>
      <c r="H2988" s="6">
        <v>2.07918</v>
      </c>
      <c r="I2988" s="6">
        <v>119.99965570481169</v>
      </c>
      <c r="J2988" s="3" t="s">
        <v>3356</v>
      </c>
      <c r="L2988" s="1" t="s">
        <v>6135</v>
      </c>
    </row>
    <row r="2989" spans="1:12">
      <c r="A2989" s="3" t="s">
        <v>3816</v>
      </c>
      <c r="C2989" s="3" t="s">
        <v>3817</v>
      </c>
      <c r="D2989" s="3" t="s">
        <v>3618</v>
      </c>
      <c r="E2989" s="3" t="s">
        <v>3638</v>
      </c>
      <c r="F2989" s="3" t="s">
        <v>4747</v>
      </c>
      <c r="G2989" s="3" t="s">
        <v>7247</v>
      </c>
      <c r="H2989" s="6">
        <v>2.08636</v>
      </c>
      <c r="I2989" s="6">
        <v>122.00004756607701</v>
      </c>
      <c r="J2989" s="3" t="s">
        <v>3356</v>
      </c>
      <c r="L2989" s="1" t="s">
        <v>6135</v>
      </c>
    </row>
    <row r="2990" spans="1:12">
      <c r="A2990" s="3" t="s">
        <v>3816</v>
      </c>
      <c r="C2990" s="3" t="s">
        <v>3817</v>
      </c>
      <c r="D2990" s="3" t="s">
        <v>3618</v>
      </c>
      <c r="E2990" s="3" t="s">
        <v>3638</v>
      </c>
      <c r="F2990" s="3" t="s">
        <v>7685</v>
      </c>
      <c r="G2990" s="3" t="s">
        <v>4627</v>
      </c>
      <c r="H2990" s="6">
        <v>1.3283799999999999</v>
      </c>
      <c r="I2990" s="6">
        <v>21.300019449380763</v>
      </c>
      <c r="J2990" s="3" t="s">
        <v>3356</v>
      </c>
      <c r="L2990" s="1" t="s">
        <v>6135</v>
      </c>
    </row>
    <row r="2991" spans="1:12">
      <c r="A2991" s="3" t="s">
        <v>3816</v>
      </c>
      <c r="C2991" s="3" t="s">
        <v>3817</v>
      </c>
      <c r="D2991" s="3" t="s">
        <v>3618</v>
      </c>
      <c r="E2991" s="3" t="s">
        <v>3638</v>
      </c>
      <c r="F2991" s="3" t="s">
        <v>7685</v>
      </c>
      <c r="G2991" s="3" t="s">
        <v>4610</v>
      </c>
      <c r="H2991" s="6">
        <v>1.50413</v>
      </c>
      <c r="I2991" s="6">
        <v>31.924933404727962</v>
      </c>
      <c r="J2991" s="3" t="s">
        <v>3356</v>
      </c>
      <c r="L2991" s="1" t="s">
        <v>6135</v>
      </c>
    </row>
    <row r="2992" spans="1:12">
      <c r="A2992" s="3" t="s">
        <v>3816</v>
      </c>
      <c r="C2992" s="3" t="s">
        <v>3817</v>
      </c>
      <c r="D2992" s="3" t="s">
        <v>3618</v>
      </c>
      <c r="E2992" s="3" t="s">
        <v>3638</v>
      </c>
      <c r="F2992" s="3" t="s">
        <v>4611</v>
      </c>
      <c r="G2992" s="3" t="s">
        <v>4090</v>
      </c>
      <c r="H2992" s="6">
        <v>2.4471599999999998</v>
      </c>
      <c r="I2992" s="6">
        <v>280.00126924345341</v>
      </c>
      <c r="J2992" s="3" t="s">
        <v>3356</v>
      </c>
      <c r="L2992" s="1" t="s">
        <v>6135</v>
      </c>
    </row>
    <row r="2993" spans="1:12">
      <c r="A2993" s="3" t="s">
        <v>3816</v>
      </c>
      <c r="C2993" s="3" t="s">
        <v>3817</v>
      </c>
      <c r="D2993" s="3" t="s">
        <v>3618</v>
      </c>
      <c r="E2993" s="3" t="s">
        <v>3638</v>
      </c>
      <c r="F2993" s="3" t="s">
        <v>4611</v>
      </c>
      <c r="G2993" s="3" t="s">
        <v>4091</v>
      </c>
      <c r="H2993" s="6">
        <v>2</v>
      </c>
      <c r="I2993" s="6">
        <v>100</v>
      </c>
      <c r="J2993" s="3" t="s">
        <v>3356</v>
      </c>
      <c r="L2993" s="1" t="s">
        <v>6135</v>
      </c>
    </row>
    <row r="2994" spans="1:12">
      <c r="A2994" s="3" t="s">
        <v>3816</v>
      </c>
      <c r="C2994" s="3" t="s">
        <v>3817</v>
      </c>
      <c r="D2994" s="3" t="s">
        <v>3618</v>
      </c>
      <c r="E2994" s="3" t="s">
        <v>3638</v>
      </c>
      <c r="F2994" s="3" t="s">
        <v>4611</v>
      </c>
      <c r="G2994" s="3" t="s">
        <v>3894</v>
      </c>
      <c r="H2994" s="6">
        <v>2.4471599999999998</v>
      </c>
      <c r="I2994" s="6">
        <v>280.00126924345341</v>
      </c>
      <c r="J2994" s="3" t="s">
        <v>3356</v>
      </c>
      <c r="L2994" s="1" t="s">
        <v>6135</v>
      </c>
    </row>
    <row r="2995" spans="1:12">
      <c r="A2995" s="3" t="s">
        <v>3816</v>
      </c>
      <c r="C2995" s="3" t="s">
        <v>3817</v>
      </c>
      <c r="D2995" s="3" t="s">
        <v>3618</v>
      </c>
      <c r="E2995" s="3" t="s">
        <v>3638</v>
      </c>
      <c r="F2995" s="3" t="s">
        <v>4776</v>
      </c>
      <c r="G2995" s="3" t="s">
        <v>3155</v>
      </c>
      <c r="H2995" s="6">
        <v>2.1139399999999999</v>
      </c>
      <c r="I2995" s="6">
        <v>129.99899653754548</v>
      </c>
      <c r="J2995" s="3" t="s">
        <v>3356</v>
      </c>
      <c r="L2995" s="1" t="s">
        <v>6135</v>
      </c>
    </row>
    <row r="2996" spans="1:12">
      <c r="A2996" s="3" t="s">
        <v>3816</v>
      </c>
      <c r="C2996" s="3" t="s">
        <v>3817</v>
      </c>
      <c r="D2996" s="3" t="s">
        <v>3618</v>
      </c>
      <c r="E2996" s="3" t="s">
        <v>3438</v>
      </c>
      <c r="F2996" s="3" t="s">
        <v>5915</v>
      </c>
      <c r="G2996" s="3" t="s">
        <v>6789</v>
      </c>
      <c r="H2996" s="6">
        <v>2.08636</v>
      </c>
      <c r="I2996" s="6">
        <v>122.00004756607701</v>
      </c>
      <c r="J2996" s="3" t="s">
        <v>3356</v>
      </c>
      <c r="L2996" s="1" t="s">
        <v>6135</v>
      </c>
    </row>
    <row r="2997" spans="1:12">
      <c r="A2997" s="3" t="s">
        <v>3816</v>
      </c>
      <c r="C2997" s="3" t="s">
        <v>3817</v>
      </c>
      <c r="D2997" s="3" t="s">
        <v>3618</v>
      </c>
      <c r="E2997" s="3" t="s">
        <v>3438</v>
      </c>
      <c r="F2997" s="3" t="s">
        <v>5915</v>
      </c>
      <c r="G2997" s="3" t="s">
        <v>6518</v>
      </c>
      <c r="H2997" s="6">
        <v>2.0425800000000001</v>
      </c>
      <c r="I2997" s="6">
        <v>110.30113973450034</v>
      </c>
      <c r="J2997" s="3" t="s">
        <v>3356</v>
      </c>
      <c r="L2997" s="1" t="s">
        <v>6135</v>
      </c>
    </row>
    <row r="2998" spans="1:12">
      <c r="A2998" s="3" t="s">
        <v>3816</v>
      </c>
      <c r="C2998" s="3" t="s">
        <v>3817</v>
      </c>
      <c r="D2998" s="3" t="s">
        <v>3618</v>
      </c>
      <c r="E2998" s="3" t="s">
        <v>3438</v>
      </c>
      <c r="F2998" s="3" t="s">
        <v>5915</v>
      </c>
      <c r="G2998" s="3" t="s">
        <v>6796</v>
      </c>
      <c r="H2998" s="6">
        <v>2.0156700000000001</v>
      </c>
      <c r="I2998" s="6">
        <v>103.67403461014715</v>
      </c>
      <c r="J2998" s="3" t="s">
        <v>3356</v>
      </c>
      <c r="L2998" s="1" t="s">
        <v>6135</v>
      </c>
    </row>
    <row r="2999" spans="1:12">
      <c r="A2999" s="3" t="s">
        <v>3816</v>
      </c>
      <c r="C2999" s="3" t="s">
        <v>3817</v>
      </c>
      <c r="D2999" s="3" t="s">
        <v>3618</v>
      </c>
      <c r="E2999" s="3" t="s">
        <v>3438</v>
      </c>
      <c r="F2999" s="3" t="s">
        <v>5915</v>
      </c>
      <c r="G2999" s="3" t="s">
        <v>3155</v>
      </c>
      <c r="H2999" s="6">
        <v>2.2052</v>
      </c>
      <c r="I2999" s="6">
        <v>160.39838825084189</v>
      </c>
      <c r="J2999" s="3" t="s">
        <v>3356</v>
      </c>
      <c r="L2999" s="1" t="s">
        <v>6135</v>
      </c>
    </row>
    <row r="3000" spans="1:12">
      <c r="A3000" s="3" t="s">
        <v>3816</v>
      </c>
      <c r="C3000" s="3" t="s">
        <v>3817</v>
      </c>
      <c r="D3000" s="3" t="s">
        <v>3618</v>
      </c>
      <c r="E3000" s="3" t="s">
        <v>3438</v>
      </c>
      <c r="F3000" s="3" t="s">
        <v>6800</v>
      </c>
      <c r="G3000" s="3" t="s">
        <v>3462</v>
      </c>
      <c r="H3000" s="6">
        <v>2.9661400000000002</v>
      </c>
      <c r="I3000" s="6">
        <v>924.99630946172647</v>
      </c>
      <c r="J3000" s="3" t="s">
        <v>3356</v>
      </c>
      <c r="L3000" s="1" t="s">
        <v>6135</v>
      </c>
    </row>
    <row r="3001" spans="1:12">
      <c r="A3001" s="3" t="s">
        <v>3816</v>
      </c>
      <c r="C3001" s="3" t="s">
        <v>3817</v>
      </c>
      <c r="D3001" s="3" t="s">
        <v>3618</v>
      </c>
      <c r="E3001" s="3" t="s">
        <v>3438</v>
      </c>
      <c r="F3001" s="3" t="s">
        <v>6800</v>
      </c>
      <c r="G3001" s="3" t="s">
        <v>6796</v>
      </c>
      <c r="H3001" s="6">
        <v>2.9583200000000001</v>
      </c>
      <c r="I3001" s="6">
        <v>908.48968355949683</v>
      </c>
      <c r="J3001" s="3" t="s">
        <v>3356</v>
      </c>
      <c r="L3001" s="1" t="s">
        <v>6135</v>
      </c>
    </row>
    <row r="3002" spans="1:12">
      <c r="A3002" s="3" t="s">
        <v>3816</v>
      </c>
      <c r="C3002" s="3" t="s">
        <v>3817</v>
      </c>
      <c r="D3002" s="3" t="s">
        <v>3618</v>
      </c>
      <c r="E3002" s="3" t="s">
        <v>3438</v>
      </c>
      <c r="F3002" s="3" t="s">
        <v>6800</v>
      </c>
      <c r="G3002" s="3" t="s">
        <v>3463</v>
      </c>
      <c r="H3002" s="6">
        <v>2.87385</v>
      </c>
      <c r="I3002" s="6">
        <v>747.91113654076412</v>
      </c>
      <c r="J3002" s="3" t="s">
        <v>3356</v>
      </c>
      <c r="L3002" s="1" t="s">
        <v>6135</v>
      </c>
    </row>
    <row r="3003" spans="1:12">
      <c r="A3003" s="3" t="s">
        <v>3816</v>
      </c>
      <c r="C3003" s="3" t="s">
        <v>3817</v>
      </c>
      <c r="D3003" s="3" t="s">
        <v>3618</v>
      </c>
      <c r="E3003" s="3" t="s">
        <v>3438</v>
      </c>
      <c r="F3003" s="3" t="s">
        <v>6800</v>
      </c>
      <c r="G3003" s="3" t="s">
        <v>4014</v>
      </c>
      <c r="H3003" s="6">
        <v>2.95424</v>
      </c>
      <c r="I3003" s="6">
        <v>899.99479963720182</v>
      </c>
      <c r="J3003" s="3" t="s">
        <v>3356</v>
      </c>
      <c r="L3003" s="1" t="s">
        <v>6135</v>
      </c>
    </row>
    <row r="3004" spans="1:12">
      <c r="A3004" s="3" t="s">
        <v>3816</v>
      </c>
      <c r="C3004" s="3" t="s">
        <v>3817</v>
      </c>
      <c r="D3004" s="3" t="s">
        <v>3618</v>
      </c>
      <c r="E3004" s="3" t="s">
        <v>3438</v>
      </c>
      <c r="F3004" s="3" t="s">
        <v>6800</v>
      </c>
      <c r="G3004" s="3" t="s">
        <v>2490</v>
      </c>
      <c r="H3004" s="6">
        <v>2.95424</v>
      </c>
      <c r="I3004" s="6">
        <v>899.99479963720182</v>
      </c>
      <c r="J3004" s="3" t="s">
        <v>3356</v>
      </c>
      <c r="L3004" s="1" t="s">
        <v>6135</v>
      </c>
    </row>
    <row r="3005" spans="1:12">
      <c r="A3005" s="3" t="s">
        <v>3816</v>
      </c>
      <c r="C3005" s="3" t="s">
        <v>3817</v>
      </c>
      <c r="D3005" s="3" t="s">
        <v>3618</v>
      </c>
      <c r="E3005" s="3" t="s">
        <v>3438</v>
      </c>
      <c r="F3005" s="3" t="s">
        <v>3464</v>
      </c>
      <c r="G3005" s="3" t="s">
        <v>3465</v>
      </c>
      <c r="H3005" s="6">
        <v>2.22011</v>
      </c>
      <c r="I3005" s="6">
        <v>166.00073080838632</v>
      </c>
      <c r="J3005" s="3" t="s">
        <v>3356</v>
      </c>
      <c r="L3005" s="1" t="s">
        <v>6135</v>
      </c>
    </row>
    <row r="3006" spans="1:12">
      <c r="A3006" s="3" t="s">
        <v>3816</v>
      </c>
      <c r="C3006" s="3" t="s">
        <v>3817</v>
      </c>
      <c r="D3006" s="3" t="s">
        <v>3618</v>
      </c>
      <c r="E3006" s="3" t="s">
        <v>3438</v>
      </c>
      <c r="F3006" s="3" t="s">
        <v>3464</v>
      </c>
      <c r="G3006" s="3" t="s">
        <v>4449</v>
      </c>
      <c r="H3006" s="6">
        <v>1.8052699999999999</v>
      </c>
      <c r="I3006" s="6">
        <v>63.866041668015491</v>
      </c>
      <c r="J3006" s="3" t="s">
        <v>3356</v>
      </c>
      <c r="L3006" s="1" t="s">
        <v>6135</v>
      </c>
    </row>
    <row r="3007" spans="1:12">
      <c r="A3007" s="3" t="s">
        <v>3816</v>
      </c>
      <c r="C3007" s="3" t="s">
        <v>3817</v>
      </c>
      <c r="D3007" s="3" t="s">
        <v>3618</v>
      </c>
      <c r="E3007" s="3" t="s">
        <v>3438</v>
      </c>
      <c r="F3007" s="3" t="s">
        <v>6825</v>
      </c>
      <c r="G3007" s="3" t="s">
        <v>3466</v>
      </c>
      <c r="H3007" s="6">
        <v>3.85914</v>
      </c>
      <c r="I3007" s="6">
        <v>7230.0283461687695</v>
      </c>
      <c r="J3007" s="3" t="s">
        <v>3356</v>
      </c>
      <c r="L3007" s="1" t="s">
        <v>6135</v>
      </c>
    </row>
    <row r="3008" spans="1:12">
      <c r="A3008" s="3" t="s">
        <v>3816</v>
      </c>
      <c r="C3008" s="3" t="s">
        <v>3817</v>
      </c>
      <c r="D3008" s="3" t="s">
        <v>3618</v>
      </c>
      <c r="E3008" s="3" t="s">
        <v>3438</v>
      </c>
      <c r="F3008" s="3" t="s">
        <v>6825</v>
      </c>
      <c r="G3008" s="3" t="s">
        <v>3693</v>
      </c>
      <c r="H3008" s="6">
        <v>3.5250400000000002</v>
      </c>
      <c r="I3008" s="6">
        <v>3349.9629203570894</v>
      </c>
      <c r="J3008" s="3" t="s">
        <v>3356</v>
      </c>
      <c r="L3008" s="1" t="s">
        <v>6135</v>
      </c>
    </row>
    <row r="3009" spans="1:12">
      <c r="A3009" s="3" t="s">
        <v>3816</v>
      </c>
      <c r="C3009" s="3" t="s">
        <v>3817</v>
      </c>
      <c r="D3009" s="3" t="s">
        <v>3618</v>
      </c>
      <c r="E3009" s="3" t="s">
        <v>3438</v>
      </c>
      <c r="F3009" s="3" t="s">
        <v>6825</v>
      </c>
      <c r="G3009" s="3" t="s">
        <v>7479</v>
      </c>
      <c r="H3009" s="6">
        <v>3.5799799999999999</v>
      </c>
      <c r="I3009" s="6">
        <v>3801.7188835497095</v>
      </c>
      <c r="J3009" s="3" t="s">
        <v>3356</v>
      </c>
      <c r="L3009" s="1" t="s">
        <v>6135</v>
      </c>
    </row>
    <row r="3010" spans="1:12">
      <c r="A3010" s="3" t="s">
        <v>3816</v>
      </c>
      <c r="C3010" s="3" t="s">
        <v>3817</v>
      </c>
      <c r="D3010" s="3" t="s">
        <v>3618</v>
      </c>
      <c r="E3010" s="3" t="s">
        <v>3438</v>
      </c>
      <c r="F3010" s="3" t="s">
        <v>6825</v>
      </c>
      <c r="G3010" s="3" t="s">
        <v>3694</v>
      </c>
      <c r="H3010" s="6">
        <v>3.7993399999999999</v>
      </c>
      <c r="I3010" s="6">
        <v>6299.9920294741987</v>
      </c>
      <c r="J3010" s="3" t="s">
        <v>3356</v>
      </c>
      <c r="L3010" s="1" t="s">
        <v>6135</v>
      </c>
    </row>
    <row r="3011" spans="1:12">
      <c r="A3011" s="3" t="s">
        <v>3816</v>
      </c>
      <c r="C3011" s="3" t="s">
        <v>3817</v>
      </c>
      <c r="D3011" s="3" t="s">
        <v>3618</v>
      </c>
      <c r="E3011" s="3" t="s">
        <v>3438</v>
      </c>
      <c r="F3011" s="3" t="s">
        <v>6825</v>
      </c>
      <c r="G3011" s="3" t="s">
        <v>4320</v>
      </c>
      <c r="H3011" s="6">
        <v>3.7993399999999999</v>
      </c>
      <c r="I3011" s="6">
        <v>6299.9920294741987</v>
      </c>
      <c r="J3011" s="3" t="s">
        <v>3356</v>
      </c>
      <c r="L3011" s="1" t="s">
        <v>6135</v>
      </c>
    </row>
    <row r="3012" spans="1:12">
      <c r="A3012" s="3" t="s">
        <v>3816</v>
      </c>
      <c r="C3012" s="3" t="s">
        <v>3817</v>
      </c>
      <c r="D3012" s="3" t="s">
        <v>3618</v>
      </c>
      <c r="E3012" s="3" t="s">
        <v>3438</v>
      </c>
      <c r="F3012" s="3" t="s">
        <v>3468</v>
      </c>
      <c r="G3012" s="3" t="s">
        <v>3469</v>
      </c>
      <c r="H3012" s="6">
        <v>2.7951800000000002</v>
      </c>
      <c r="I3012" s="6">
        <v>623.99340551902378</v>
      </c>
      <c r="J3012" s="3" t="s">
        <v>3356</v>
      </c>
      <c r="L3012" s="1" t="s">
        <v>6135</v>
      </c>
    </row>
    <row r="3013" spans="1:12">
      <c r="A3013" s="3" t="s">
        <v>3816</v>
      </c>
      <c r="C3013" s="3" t="s">
        <v>3817</v>
      </c>
      <c r="D3013" s="3" t="s">
        <v>3618</v>
      </c>
      <c r="E3013" s="3" t="s">
        <v>3438</v>
      </c>
      <c r="F3013" s="3" t="s">
        <v>3468</v>
      </c>
      <c r="G3013" s="3" t="s">
        <v>4087</v>
      </c>
      <c r="H3013" s="6">
        <v>2.6379899999999998</v>
      </c>
      <c r="I3013" s="6">
        <v>434.50021931910777</v>
      </c>
      <c r="J3013" s="3" t="s">
        <v>3356</v>
      </c>
      <c r="L3013" s="1" t="s">
        <v>6135</v>
      </c>
    </row>
    <row r="3014" spans="1:12">
      <c r="A3014" s="3" t="s">
        <v>3816</v>
      </c>
      <c r="C3014" s="3" t="s">
        <v>3817</v>
      </c>
      <c r="D3014" s="3" t="s">
        <v>3618</v>
      </c>
      <c r="E3014" s="3" t="s">
        <v>3438</v>
      </c>
      <c r="F3014" s="3" t="s">
        <v>3468</v>
      </c>
      <c r="G3014" s="3" t="s">
        <v>3695</v>
      </c>
      <c r="H3014" s="6">
        <v>2.8109000000000002</v>
      </c>
      <c r="I3014" s="6">
        <v>646.99362280868195</v>
      </c>
      <c r="J3014" s="3" t="s">
        <v>3356</v>
      </c>
      <c r="L3014" s="1" t="s">
        <v>6135</v>
      </c>
    </row>
    <row r="3015" spans="1:12">
      <c r="A3015" s="3" t="s">
        <v>3816</v>
      </c>
      <c r="C3015" s="3" t="s">
        <v>3817</v>
      </c>
      <c r="D3015" s="3" t="s">
        <v>3618</v>
      </c>
      <c r="E3015" s="3" t="s">
        <v>3438</v>
      </c>
      <c r="F3015" s="3" t="s">
        <v>3468</v>
      </c>
      <c r="G3015" s="3" t="s">
        <v>4324</v>
      </c>
      <c r="H3015" s="6">
        <v>2.7745199999999999</v>
      </c>
      <c r="I3015" s="6">
        <v>595.00415708210733</v>
      </c>
      <c r="J3015" s="3" t="s">
        <v>3356</v>
      </c>
      <c r="L3015" s="1" t="s">
        <v>6135</v>
      </c>
    </row>
    <row r="3016" spans="1:12">
      <c r="A3016" s="3" t="s">
        <v>3816</v>
      </c>
      <c r="C3016" s="3" t="s">
        <v>3817</v>
      </c>
      <c r="D3016" s="3" t="s">
        <v>3618</v>
      </c>
      <c r="E3016" s="3" t="s">
        <v>3438</v>
      </c>
      <c r="F3016" s="3" t="s">
        <v>3468</v>
      </c>
      <c r="G3016" s="3" t="s">
        <v>4106</v>
      </c>
      <c r="H3016" s="6">
        <v>2.70458</v>
      </c>
      <c r="I3016" s="6">
        <v>506.50064179724302</v>
      </c>
      <c r="J3016" s="3" t="s">
        <v>3356</v>
      </c>
      <c r="L3016" s="1" t="s">
        <v>6135</v>
      </c>
    </row>
    <row r="3017" spans="1:12">
      <c r="A3017" s="3" t="s">
        <v>3816</v>
      </c>
      <c r="C3017" s="3" t="s">
        <v>3817</v>
      </c>
      <c r="D3017" s="3" t="s">
        <v>3618</v>
      </c>
      <c r="E3017" s="3" t="s">
        <v>3438</v>
      </c>
      <c r="F3017" s="3" t="s">
        <v>3468</v>
      </c>
      <c r="G3017" s="3" t="s">
        <v>4148</v>
      </c>
      <c r="H3017" s="6">
        <v>2.6972299999999998</v>
      </c>
      <c r="I3017" s="6">
        <v>498.00075364970525</v>
      </c>
      <c r="J3017" s="3" t="s">
        <v>3356</v>
      </c>
      <c r="L3017" s="1" t="s">
        <v>6135</v>
      </c>
    </row>
    <row r="3018" spans="1:12">
      <c r="A3018" s="3" t="s">
        <v>3816</v>
      </c>
      <c r="C3018" s="3" t="s">
        <v>3817</v>
      </c>
      <c r="D3018" s="3" t="s">
        <v>3618</v>
      </c>
      <c r="E3018" s="3" t="s">
        <v>3438</v>
      </c>
      <c r="F3018" s="3" t="s">
        <v>3468</v>
      </c>
      <c r="G3018" s="3" t="s">
        <v>6568</v>
      </c>
      <c r="H3018" s="6">
        <v>2.2787500000000001</v>
      </c>
      <c r="I3018" s="6">
        <v>189.99842462147336</v>
      </c>
      <c r="J3018" s="3" t="s">
        <v>3356</v>
      </c>
      <c r="L3018" s="1" t="s">
        <v>6135</v>
      </c>
    </row>
    <row r="3019" spans="1:12">
      <c r="A3019" s="3" t="s">
        <v>3816</v>
      </c>
      <c r="C3019" s="3" t="s">
        <v>3817</v>
      </c>
      <c r="D3019" s="3" t="s">
        <v>3618</v>
      </c>
      <c r="E3019" s="3" t="s">
        <v>3438</v>
      </c>
      <c r="F3019" s="3" t="s">
        <v>3468</v>
      </c>
      <c r="G3019" s="3" t="s">
        <v>2210</v>
      </c>
      <c r="H3019" s="6">
        <v>2.8639199999999998</v>
      </c>
      <c r="I3019" s="6">
        <v>731.00441509085294</v>
      </c>
      <c r="J3019" s="3" t="s">
        <v>3356</v>
      </c>
      <c r="L3019" s="1" t="s">
        <v>6135</v>
      </c>
    </row>
    <row r="3020" spans="1:12">
      <c r="A3020" s="3" t="s">
        <v>3816</v>
      </c>
      <c r="C3020" s="3" t="s">
        <v>3817</v>
      </c>
      <c r="D3020" s="3" t="s">
        <v>3618</v>
      </c>
      <c r="E3020" s="3" t="s">
        <v>3438</v>
      </c>
      <c r="F3020" s="3" t="s">
        <v>3468</v>
      </c>
      <c r="G3020" s="3" t="s">
        <v>6569</v>
      </c>
      <c r="H3020" s="6">
        <v>2.8432300000000001</v>
      </c>
      <c r="I3020" s="6">
        <v>696.99554143973774</v>
      </c>
      <c r="J3020" s="3" t="s">
        <v>3356</v>
      </c>
      <c r="L3020" s="1" t="s">
        <v>6135</v>
      </c>
    </row>
    <row r="3021" spans="1:12">
      <c r="A3021" s="3" t="s">
        <v>3816</v>
      </c>
      <c r="C3021" s="3" t="s">
        <v>3817</v>
      </c>
      <c r="D3021" s="3" t="s">
        <v>3618</v>
      </c>
      <c r="E3021" s="3" t="s">
        <v>3438</v>
      </c>
      <c r="F3021" s="3" t="s">
        <v>3468</v>
      </c>
      <c r="G3021" s="3" t="s">
        <v>3837</v>
      </c>
      <c r="H3021" s="6">
        <v>2.8818999999999999</v>
      </c>
      <c r="I3021" s="6">
        <v>761.90355504937133</v>
      </c>
      <c r="J3021" s="3" t="s">
        <v>3356</v>
      </c>
      <c r="L3021" s="1" t="s">
        <v>6135</v>
      </c>
    </row>
    <row r="3022" spans="1:12">
      <c r="A3022" s="3" t="s">
        <v>3816</v>
      </c>
      <c r="C3022" s="3" t="s">
        <v>3817</v>
      </c>
      <c r="D3022" s="3" t="s">
        <v>3618</v>
      </c>
      <c r="E3022" s="3" t="s">
        <v>3438</v>
      </c>
      <c r="F3022" s="3" t="s">
        <v>3468</v>
      </c>
      <c r="G3022" s="3" t="s">
        <v>3879</v>
      </c>
      <c r="H3022" s="6">
        <v>2.81291</v>
      </c>
      <c r="I3022" s="6">
        <v>649.99497619814383</v>
      </c>
      <c r="J3022" s="3" t="s">
        <v>3356</v>
      </c>
      <c r="L3022" s="1" t="s">
        <v>6135</v>
      </c>
    </row>
    <row r="3023" spans="1:12">
      <c r="A3023" s="3" t="s">
        <v>3816</v>
      </c>
      <c r="C3023" s="3" t="s">
        <v>3817</v>
      </c>
      <c r="D3023" s="3" t="s">
        <v>3618</v>
      </c>
      <c r="E3023" s="3" t="s">
        <v>3438</v>
      </c>
      <c r="F3023" s="3" t="s">
        <v>3468</v>
      </c>
      <c r="G3023" s="3" t="s">
        <v>4384</v>
      </c>
      <c r="H3023" s="6">
        <v>2.68574</v>
      </c>
      <c r="I3023" s="6">
        <v>484.998058413254</v>
      </c>
      <c r="J3023" s="3" t="s">
        <v>3356</v>
      </c>
      <c r="L3023" s="1" t="s">
        <v>6135</v>
      </c>
    </row>
    <row r="3024" spans="1:12">
      <c r="A3024" s="3" t="s">
        <v>3816</v>
      </c>
      <c r="C3024" s="3" t="s">
        <v>3817</v>
      </c>
      <c r="D3024" s="3" t="s">
        <v>3618</v>
      </c>
      <c r="E3024" s="3" t="s">
        <v>3438</v>
      </c>
      <c r="F3024" s="3" t="s">
        <v>3468</v>
      </c>
      <c r="G3024" s="3" t="s">
        <v>4385</v>
      </c>
      <c r="H3024" s="6">
        <v>2.3521800000000002</v>
      </c>
      <c r="I3024" s="6">
        <v>224.9986954165031</v>
      </c>
      <c r="J3024" s="3" t="s">
        <v>3356</v>
      </c>
      <c r="L3024" s="1" t="s">
        <v>6135</v>
      </c>
    </row>
    <row r="3025" spans="1:12">
      <c r="A3025" s="3" t="s">
        <v>3816</v>
      </c>
      <c r="C3025" s="3" t="s">
        <v>3817</v>
      </c>
      <c r="D3025" s="3" t="s">
        <v>3618</v>
      </c>
      <c r="E3025" s="3" t="s">
        <v>3438</v>
      </c>
      <c r="F3025" s="3" t="s">
        <v>2933</v>
      </c>
      <c r="G3025" s="3" t="s">
        <v>2934</v>
      </c>
      <c r="H3025" s="6">
        <v>2.0969099999999998</v>
      </c>
      <c r="I3025" s="6">
        <v>124.99999625598045</v>
      </c>
      <c r="J3025" s="3" t="s">
        <v>3356</v>
      </c>
      <c r="L3025" s="1" t="s">
        <v>6135</v>
      </c>
    </row>
    <row r="3026" spans="1:12">
      <c r="A3026" s="3" t="s">
        <v>3816</v>
      </c>
      <c r="C3026" s="3" t="s">
        <v>3817</v>
      </c>
      <c r="D3026" s="3" t="s">
        <v>3618</v>
      </c>
      <c r="E3026" s="3" t="s">
        <v>3438</v>
      </c>
      <c r="F3026" s="3" t="s">
        <v>2933</v>
      </c>
      <c r="G3026" s="3" t="s">
        <v>2935</v>
      </c>
      <c r="H3026" s="6">
        <v>2.6989700000000001</v>
      </c>
      <c r="I3026" s="6">
        <v>499.99999500797441</v>
      </c>
      <c r="J3026" s="3" t="s">
        <v>3356</v>
      </c>
      <c r="L3026" s="1" t="s">
        <v>6135</v>
      </c>
    </row>
    <row r="3027" spans="1:12">
      <c r="A3027" s="3" t="s">
        <v>3816</v>
      </c>
      <c r="C3027" s="3" t="s">
        <v>3817</v>
      </c>
      <c r="D3027" s="3" t="s">
        <v>3618</v>
      </c>
      <c r="E3027" s="3" t="s">
        <v>3438</v>
      </c>
      <c r="F3027" s="3" t="s">
        <v>2933</v>
      </c>
      <c r="G3027" s="3" t="s">
        <v>6386</v>
      </c>
      <c r="H3027" s="6">
        <v>2.4955400000000001</v>
      </c>
      <c r="I3027" s="6">
        <v>312.99687390626622</v>
      </c>
      <c r="J3027" s="3" t="s">
        <v>3356</v>
      </c>
      <c r="L3027" s="1" t="s">
        <v>6135</v>
      </c>
    </row>
    <row r="3028" spans="1:12">
      <c r="A3028" s="3" t="s">
        <v>3816</v>
      </c>
      <c r="C3028" s="3" t="s">
        <v>3817</v>
      </c>
      <c r="D3028" s="3" t="s">
        <v>3618</v>
      </c>
      <c r="E3028" s="3" t="s">
        <v>3438</v>
      </c>
      <c r="F3028" s="3" t="s">
        <v>2933</v>
      </c>
      <c r="G3028" s="3" t="s">
        <v>6390</v>
      </c>
      <c r="H3028" s="6">
        <v>2.7411500000000002</v>
      </c>
      <c r="I3028" s="6">
        <v>550.99797150148493</v>
      </c>
      <c r="J3028" s="3" t="s">
        <v>3356</v>
      </c>
      <c r="L3028" s="1" t="s">
        <v>6135</v>
      </c>
    </row>
    <row r="3029" spans="1:12">
      <c r="A3029" s="3" t="s">
        <v>3816</v>
      </c>
      <c r="C3029" s="3" t="s">
        <v>3817</v>
      </c>
      <c r="D3029" s="3" t="s">
        <v>3618</v>
      </c>
      <c r="E3029" s="3" t="s">
        <v>3438</v>
      </c>
      <c r="F3029" s="3" t="s">
        <v>2933</v>
      </c>
      <c r="G3029" s="3" t="s">
        <v>3071</v>
      </c>
      <c r="H3029" s="6">
        <v>2.7623000000000002</v>
      </c>
      <c r="I3029" s="6">
        <v>578.49551996509058</v>
      </c>
      <c r="J3029" s="3" t="s">
        <v>3356</v>
      </c>
      <c r="L3029" s="1" t="s">
        <v>6135</v>
      </c>
    </row>
    <row r="3030" spans="1:12">
      <c r="A3030" s="3" t="s">
        <v>3816</v>
      </c>
      <c r="C3030" s="3" t="s">
        <v>3817</v>
      </c>
      <c r="D3030" s="3" t="s">
        <v>3618</v>
      </c>
      <c r="E3030" s="3" t="s">
        <v>3438</v>
      </c>
      <c r="F3030" s="3" t="s">
        <v>2933</v>
      </c>
      <c r="G3030" s="3" t="s">
        <v>3093</v>
      </c>
      <c r="H3030" s="6">
        <v>2.4479299999999999</v>
      </c>
      <c r="I3030" s="6">
        <v>280.49814919141687</v>
      </c>
      <c r="J3030" s="3" t="s">
        <v>3356</v>
      </c>
      <c r="L3030" s="1" t="s">
        <v>6135</v>
      </c>
    </row>
    <row r="3031" spans="1:12">
      <c r="A3031" s="3" t="s">
        <v>3816</v>
      </c>
      <c r="C3031" s="3" t="s">
        <v>3817</v>
      </c>
      <c r="D3031" s="3" t="s">
        <v>3618</v>
      </c>
      <c r="E3031" s="3" t="s">
        <v>3438</v>
      </c>
      <c r="F3031" s="3" t="s">
        <v>2933</v>
      </c>
      <c r="G3031" s="3" t="s">
        <v>4781</v>
      </c>
      <c r="H3031" s="6">
        <v>2.4771200000000002</v>
      </c>
      <c r="I3031" s="6">
        <v>299.99913327161516</v>
      </c>
      <c r="J3031" s="3" t="s">
        <v>3356</v>
      </c>
      <c r="L3031" s="1" t="s">
        <v>6135</v>
      </c>
    </row>
    <row r="3032" spans="1:12">
      <c r="A3032" s="3" t="s">
        <v>3816</v>
      </c>
      <c r="C3032" s="3" t="s">
        <v>3817</v>
      </c>
      <c r="D3032" s="3" t="s">
        <v>3618</v>
      </c>
      <c r="E3032" s="3" t="s">
        <v>3438</v>
      </c>
      <c r="F3032" s="3" t="s">
        <v>2933</v>
      </c>
      <c r="G3032" s="3" t="s">
        <v>3094</v>
      </c>
      <c r="H3032" s="6">
        <v>2.69285</v>
      </c>
      <c r="I3032" s="6">
        <v>493.00349717018258</v>
      </c>
      <c r="J3032" s="3" t="s">
        <v>3356</v>
      </c>
      <c r="L3032" s="1" t="s">
        <v>6135</v>
      </c>
    </row>
    <row r="3033" spans="1:12">
      <c r="A3033" s="3" t="s">
        <v>3816</v>
      </c>
      <c r="C3033" s="3" t="s">
        <v>3817</v>
      </c>
      <c r="D3033" s="3" t="s">
        <v>3618</v>
      </c>
      <c r="E3033" s="3" t="s">
        <v>3438</v>
      </c>
      <c r="F3033" s="3" t="s">
        <v>2933</v>
      </c>
      <c r="G3033" s="3" t="s">
        <v>6218</v>
      </c>
      <c r="H3033" s="6">
        <v>2.5599099999999999</v>
      </c>
      <c r="I3033" s="6">
        <v>363.00282093533883</v>
      </c>
      <c r="J3033" s="3" t="s">
        <v>3356</v>
      </c>
      <c r="L3033" s="1" t="s">
        <v>6135</v>
      </c>
    </row>
    <row r="3034" spans="1:12">
      <c r="A3034" s="3" t="s">
        <v>3816</v>
      </c>
      <c r="C3034" s="3" t="s">
        <v>3817</v>
      </c>
      <c r="D3034" s="3" t="s">
        <v>3618</v>
      </c>
      <c r="E3034" s="3" t="s">
        <v>3438</v>
      </c>
      <c r="F3034" s="3" t="s">
        <v>2933</v>
      </c>
      <c r="G3034" s="3" t="s">
        <v>4411</v>
      </c>
      <c r="H3034" s="6">
        <v>2.2810299999999999</v>
      </c>
      <c r="I3034" s="6">
        <v>190.99851911122641</v>
      </c>
      <c r="J3034" s="3" t="s">
        <v>3356</v>
      </c>
      <c r="L3034" s="1" t="s">
        <v>6135</v>
      </c>
    </row>
    <row r="3035" spans="1:12">
      <c r="A3035" s="3" t="s">
        <v>3816</v>
      </c>
      <c r="C3035" s="3" t="s">
        <v>3817</v>
      </c>
      <c r="D3035" s="3" t="s">
        <v>3618</v>
      </c>
      <c r="E3035" s="3" t="s">
        <v>3438</v>
      </c>
      <c r="F3035" s="3" t="s">
        <v>2933</v>
      </c>
      <c r="G3035" s="3" t="s">
        <v>6219</v>
      </c>
      <c r="H3035" s="6">
        <v>2.43933</v>
      </c>
      <c r="I3035" s="6">
        <v>274.99829424260366</v>
      </c>
      <c r="J3035" s="3" t="s">
        <v>3356</v>
      </c>
      <c r="L3035" s="1" t="s">
        <v>6135</v>
      </c>
    </row>
    <row r="3036" spans="1:12">
      <c r="A3036" s="3" t="s">
        <v>3816</v>
      </c>
      <c r="C3036" s="3" t="s">
        <v>3817</v>
      </c>
      <c r="D3036" s="3" t="s">
        <v>3618</v>
      </c>
      <c r="E3036" s="3" t="s">
        <v>3438</v>
      </c>
      <c r="F3036" s="3" t="s">
        <v>2933</v>
      </c>
      <c r="G3036" s="3" t="s">
        <v>4014</v>
      </c>
      <c r="H3036" s="6">
        <v>2.2779199999999999</v>
      </c>
      <c r="I3036" s="6">
        <v>189.63565672464267</v>
      </c>
      <c r="J3036" s="3" t="s">
        <v>3356</v>
      </c>
      <c r="L3036" s="1" t="s">
        <v>6135</v>
      </c>
    </row>
    <row r="3037" spans="1:12">
      <c r="A3037" s="3" t="s">
        <v>3816</v>
      </c>
      <c r="C3037" s="3" t="s">
        <v>3817</v>
      </c>
      <c r="D3037" s="3" t="s">
        <v>3618</v>
      </c>
      <c r="E3037" s="3" t="s">
        <v>3438</v>
      </c>
      <c r="F3037" s="3" t="s">
        <v>2933</v>
      </c>
      <c r="G3037" s="3" t="s">
        <v>6220</v>
      </c>
      <c r="H3037" s="6">
        <v>2.8808099999999999</v>
      </c>
      <c r="I3037" s="6">
        <v>759.99371366152729</v>
      </c>
      <c r="J3037" s="3" t="s">
        <v>3356</v>
      </c>
      <c r="L3037" s="1" t="s">
        <v>6135</v>
      </c>
    </row>
    <row r="3038" spans="1:12">
      <c r="A3038" s="3" t="s">
        <v>3816</v>
      </c>
      <c r="C3038" s="3" t="s">
        <v>3817</v>
      </c>
      <c r="D3038" s="3" t="s">
        <v>3618</v>
      </c>
      <c r="E3038" s="3" t="s">
        <v>3438</v>
      </c>
      <c r="F3038" s="3" t="s">
        <v>2933</v>
      </c>
      <c r="G3038" s="3" t="s">
        <v>6397</v>
      </c>
      <c r="H3038" s="6">
        <v>2.1461299999999999</v>
      </c>
      <c r="I3038" s="6">
        <v>140.000633223953</v>
      </c>
      <c r="J3038" s="3" t="s">
        <v>3356</v>
      </c>
      <c r="L3038" s="1" t="s">
        <v>6135</v>
      </c>
    </row>
    <row r="3039" spans="1:12">
      <c r="A3039" s="3" t="s">
        <v>3816</v>
      </c>
      <c r="C3039" s="3" t="s">
        <v>3817</v>
      </c>
      <c r="D3039" s="3" t="s">
        <v>3618</v>
      </c>
      <c r="E3039" s="3" t="s">
        <v>3438</v>
      </c>
      <c r="F3039" s="3" t="s">
        <v>2933</v>
      </c>
      <c r="G3039" s="3" t="s">
        <v>3422</v>
      </c>
      <c r="H3039" s="6">
        <v>2.4544600000000001</v>
      </c>
      <c r="I3039" s="6">
        <v>284.74755259078137</v>
      </c>
      <c r="J3039" s="3" t="s">
        <v>3356</v>
      </c>
      <c r="L3039" s="1" t="s">
        <v>6135</v>
      </c>
    </row>
    <row r="3040" spans="1:12">
      <c r="A3040" s="3" t="s">
        <v>3816</v>
      </c>
      <c r="C3040" s="3" t="s">
        <v>3817</v>
      </c>
      <c r="D3040" s="3" t="s">
        <v>3618</v>
      </c>
      <c r="E3040" s="3" t="s">
        <v>3438</v>
      </c>
      <c r="F3040" s="3" t="s">
        <v>2933</v>
      </c>
      <c r="G3040" s="3" t="s">
        <v>3085</v>
      </c>
      <c r="H3040" s="6">
        <v>2.3424200000000002</v>
      </c>
      <c r="I3040" s="6">
        <v>219.99864198351676</v>
      </c>
      <c r="J3040" s="3" t="s">
        <v>3356</v>
      </c>
      <c r="L3040" s="1" t="s">
        <v>6135</v>
      </c>
    </row>
    <row r="3041" spans="1:12">
      <c r="A3041" s="3" t="s">
        <v>3816</v>
      </c>
      <c r="C3041" s="3" t="s">
        <v>3817</v>
      </c>
      <c r="D3041" s="3" t="s">
        <v>3618</v>
      </c>
      <c r="E3041" s="3" t="s">
        <v>3438</v>
      </c>
      <c r="F3041" s="3" t="s">
        <v>2933</v>
      </c>
      <c r="G3041" s="3" t="s">
        <v>3086</v>
      </c>
      <c r="H3041" s="6">
        <v>1.94939</v>
      </c>
      <c r="I3041" s="6">
        <v>88.99999863825758</v>
      </c>
      <c r="J3041" s="3" t="s">
        <v>3356</v>
      </c>
      <c r="L3041" s="1" t="s">
        <v>6135</v>
      </c>
    </row>
    <row r="3042" spans="1:12">
      <c r="A3042" s="3" t="s">
        <v>3816</v>
      </c>
      <c r="C3042" s="3" t="s">
        <v>3817</v>
      </c>
      <c r="D3042" s="3" t="s">
        <v>3618</v>
      </c>
      <c r="E3042" s="3" t="s">
        <v>3438</v>
      </c>
      <c r="F3042" s="3" t="s">
        <v>2933</v>
      </c>
      <c r="G3042" s="3" t="s">
        <v>3087</v>
      </c>
      <c r="H3042" s="6">
        <v>2.1945100000000002</v>
      </c>
      <c r="I3042" s="6">
        <v>156.4984353906446</v>
      </c>
      <c r="J3042" s="3" t="s">
        <v>3356</v>
      </c>
      <c r="L3042" s="1" t="s">
        <v>6135</v>
      </c>
    </row>
    <row r="3043" spans="1:12">
      <c r="A3043" s="3" t="s">
        <v>3816</v>
      </c>
      <c r="C3043" s="3" t="s">
        <v>3817</v>
      </c>
      <c r="D3043" s="3" t="s">
        <v>3618</v>
      </c>
      <c r="E3043" s="3" t="s">
        <v>3438</v>
      </c>
      <c r="F3043" s="3" t="s">
        <v>2933</v>
      </c>
      <c r="G3043" s="3" t="s">
        <v>5148</v>
      </c>
      <c r="H3043" s="6">
        <v>2.3283800000000001</v>
      </c>
      <c r="I3043" s="6">
        <v>213.00019449380778</v>
      </c>
      <c r="J3043" s="3" t="s">
        <v>3356</v>
      </c>
      <c r="L3043" s="1" t="s">
        <v>6135</v>
      </c>
    </row>
    <row r="3044" spans="1:12">
      <c r="A3044" s="3" t="s">
        <v>3816</v>
      </c>
      <c r="C3044" s="3" t="s">
        <v>3817</v>
      </c>
      <c r="D3044" s="3" t="s">
        <v>3618</v>
      </c>
      <c r="E3044" s="3" t="s">
        <v>3438</v>
      </c>
      <c r="F3044" s="3" t="s">
        <v>2933</v>
      </c>
      <c r="G3044" s="3" t="s">
        <v>3088</v>
      </c>
      <c r="H3044" s="6">
        <v>2.1194799999999998</v>
      </c>
      <c r="I3044" s="6">
        <v>131.66792760039542</v>
      </c>
      <c r="J3044" s="3" t="s">
        <v>3356</v>
      </c>
      <c r="L3044" s="1" t="s">
        <v>6135</v>
      </c>
    </row>
    <row r="3045" spans="1:12">
      <c r="A3045" s="3" t="s">
        <v>3816</v>
      </c>
      <c r="C3045" s="3" t="s">
        <v>3817</v>
      </c>
      <c r="D3045" s="3" t="s">
        <v>3618</v>
      </c>
      <c r="E3045" s="3" t="s">
        <v>3438</v>
      </c>
      <c r="F3045" s="3" t="s">
        <v>2933</v>
      </c>
      <c r="G3045" s="3" t="s">
        <v>3089</v>
      </c>
      <c r="H3045" s="6">
        <v>2.83988</v>
      </c>
      <c r="I3045" s="6">
        <v>691.63983736456794</v>
      </c>
      <c r="J3045" s="3" t="s">
        <v>3356</v>
      </c>
      <c r="L3045" s="1" t="s">
        <v>6135</v>
      </c>
    </row>
    <row r="3046" spans="1:12">
      <c r="A3046" s="3" t="s">
        <v>3816</v>
      </c>
      <c r="C3046" s="3" t="s">
        <v>3817</v>
      </c>
      <c r="D3046" s="3" t="s">
        <v>3618</v>
      </c>
      <c r="E3046" s="3" t="s">
        <v>3438</v>
      </c>
      <c r="F3046" s="3" t="s">
        <v>2933</v>
      </c>
      <c r="G3046" s="3" t="s">
        <v>3090</v>
      </c>
      <c r="H3046" s="6">
        <v>2.3170199999999999</v>
      </c>
      <c r="I3046" s="6">
        <v>207.50090729538317</v>
      </c>
      <c r="J3046" s="3" t="s">
        <v>3356</v>
      </c>
      <c r="L3046" s="1" t="s">
        <v>6135</v>
      </c>
    </row>
    <row r="3047" spans="1:12">
      <c r="A3047" s="3" t="s">
        <v>3816</v>
      </c>
      <c r="C3047" s="3" t="s">
        <v>3817</v>
      </c>
      <c r="D3047" s="3" t="s">
        <v>3618</v>
      </c>
      <c r="E3047" s="3" t="s">
        <v>3438</v>
      </c>
      <c r="F3047" s="3" t="s">
        <v>3091</v>
      </c>
      <c r="G3047" s="3" t="s">
        <v>3092</v>
      </c>
      <c r="H3047" s="6">
        <v>1.5628899999999999</v>
      </c>
      <c r="I3047" s="6">
        <v>36.550220389623334</v>
      </c>
      <c r="J3047" s="3" t="s">
        <v>3356</v>
      </c>
      <c r="L3047" s="1" t="s">
        <v>6135</v>
      </c>
    </row>
    <row r="3048" spans="1:12">
      <c r="A3048" s="3" t="s">
        <v>3816</v>
      </c>
      <c r="C3048" s="3" t="s">
        <v>3817</v>
      </c>
      <c r="D3048" s="3" t="s">
        <v>3618</v>
      </c>
      <c r="E3048" s="3" t="s">
        <v>3438</v>
      </c>
      <c r="F3048" s="3" t="s">
        <v>3091</v>
      </c>
      <c r="G3048" s="3" t="s">
        <v>4137</v>
      </c>
      <c r="H3048" s="6">
        <v>1.70329</v>
      </c>
      <c r="I3048" s="6">
        <v>50.499839751862218</v>
      </c>
      <c r="J3048" s="3" t="s">
        <v>3356</v>
      </c>
      <c r="L3048" s="1" t="s">
        <v>6135</v>
      </c>
    </row>
    <row r="3049" spans="1:12">
      <c r="A3049" s="3" t="s">
        <v>3816</v>
      </c>
      <c r="C3049" s="3" t="s">
        <v>3817</v>
      </c>
      <c r="D3049" s="3" t="s">
        <v>3618</v>
      </c>
      <c r="E3049" s="3" t="s">
        <v>3438</v>
      </c>
      <c r="F3049" s="3" t="s">
        <v>3091</v>
      </c>
      <c r="G3049" s="3" t="s">
        <v>3528</v>
      </c>
      <c r="H3049" s="6">
        <v>2</v>
      </c>
      <c r="I3049" s="6">
        <v>100</v>
      </c>
      <c r="J3049" s="3" t="s">
        <v>3356</v>
      </c>
      <c r="L3049" s="1" t="s">
        <v>6135</v>
      </c>
    </row>
    <row r="3050" spans="1:12">
      <c r="A3050" s="3" t="s">
        <v>3816</v>
      </c>
      <c r="C3050" s="3" t="s">
        <v>3817</v>
      </c>
      <c r="D3050" s="3" t="s">
        <v>3618</v>
      </c>
      <c r="E3050" s="3" t="s">
        <v>3438</v>
      </c>
      <c r="F3050" s="3" t="s">
        <v>3091</v>
      </c>
      <c r="G3050" s="3" t="s">
        <v>6216</v>
      </c>
      <c r="H3050" s="6">
        <v>1.7902899999999999</v>
      </c>
      <c r="I3050" s="6">
        <v>61.700687047205726</v>
      </c>
      <c r="J3050" s="3" t="s">
        <v>3356</v>
      </c>
      <c r="L3050" s="1" t="s">
        <v>6135</v>
      </c>
    </row>
    <row r="3051" spans="1:12">
      <c r="A3051" s="3" t="s">
        <v>3816</v>
      </c>
      <c r="C3051" s="3" t="s">
        <v>3817</v>
      </c>
      <c r="D3051" s="3" t="s">
        <v>3618</v>
      </c>
      <c r="E3051" s="3" t="s">
        <v>3438</v>
      </c>
      <c r="F3051" s="3" t="s">
        <v>3091</v>
      </c>
      <c r="G3051" s="3" t="s">
        <v>3630</v>
      </c>
      <c r="H3051" s="6">
        <v>1.8518699999999999</v>
      </c>
      <c r="I3051" s="6">
        <v>71.100065366077317</v>
      </c>
      <c r="J3051" s="3" t="s">
        <v>3356</v>
      </c>
      <c r="L3051" s="1" t="s">
        <v>6135</v>
      </c>
    </row>
    <row r="3052" spans="1:12">
      <c r="A3052" s="3" t="s">
        <v>3816</v>
      </c>
      <c r="C3052" s="3" t="s">
        <v>3817</v>
      </c>
      <c r="D3052" s="3" t="s">
        <v>3618</v>
      </c>
      <c r="E3052" s="3" t="s">
        <v>3438</v>
      </c>
      <c r="F3052" s="3" t="s">
        <v>3091</v>
      </c>
      <c r="G3052" s="3" t="s">
        <v>6217</v>
      </c>
      <c r="H3052" s="6">
        <v>1.9294199999999999</v>
      </c>
      <c r="I3052" s="6">
        <v>85.000210259171723</v>
      </c>
      <c r="J3052" s="3" t="s">
        <v>3356</v>
      </c>
      <c r="L3052" s="1" t="s">
        <v>6135</v>
      </c>
    </row>
    <row r="3053" spans="1:12">
      <c r="A3053" s="3" t="s">
        <v>3816</v>
      </c>
      <c r="C3053" s="3" t="s">
        <v>3817</v>
      </c>
      <c r="D3053" s="3" t="s">
        <v>3618</v>
      </c>
      <c r="E3053" s="3" t="s">
        <v>3438</v>
      </c>
      <c r="F3053" s="3" t="s">
        <v>3091</v>
      </c>
      <c r="G3053" s="3" t="s">
        <v>2222</v>
      </c>
      <c r="H3053" s="6">
        <v>1.8738999999999999</v>
      </c>
      <c r="I3053" s="6">
        <v>74.799724794933354</v>
      </c>
      <c r="J3053" s="3" t="s">
        <v>3356</v>
      </c>
      <c r="L3053" s="1" t="s">
        <v>6135</v>
      </c>
    </row>
    <row r="3054" spans="1:12">
      <c r="A3054" s="3" t="s">
        <v>3816</v>
      </c>
      <c r="C3054" s="3" t="s">
        <v>3817</v>
      </c>
      <c r="D3054" s="3" t="s">
        <v>3618</v>
      </c>
      <c r="E3054" s="3" t="s">
        <v>3438</v>
      </c>
      <c r="F3054" s="3" t="s">
        <v>3091</v>
      </c>
      <c r="G3054" s="3" t="s">
        <v>4171</v>
      </c>
      <c r="H3054" s="6">
        <v>2.1311900000000001</v>
      </c>
      <c r="I3054" s="6">
        <v>135.26642124099396</v>
      </c>
      <c r="J3054" s="3" t="s">
        <v>3356</v>
      </c>
      <c r="L3054" s="1" t="s">
        <v>6135</v>
      </c>
    </row>
    <row r="3055" spans="1:12">
      <c r="A3055" s="3" t="s">
        <v>3816</v>
      </c>
      <c r="C3055" s="3" t="s">
        <v>3817</v>
      </c>
      <c r="D3055" s="3" t="s">
        <v>3618</v>
      </c>
      <c r="E3055" s="3" t="s">
        <v>3438</v>
      </c>
      <c r="F3055" s="3" t="s">
        <v>3091</v>
      </c>
      <c r="G3055" s="3" t="s">
        <v>7543</v>
      </c>
      <c r="H3055" s="6">
        <v>1.8633200000000001</v>
      </c>
      <c r="I3055" s="6">
        <v>72.999519247620086</v>
      </c>
      <c r="J3055" s="3" t="s">
        <v>3356</v>
      </c>
      <c r="L3055" s="1" t="s">
        <v>6135</v>
      </c>
    </row>
    <row r="3056" spans="1:12">
      <c r="A3056" s="3" t="s">
        <v>3816</v>
      </c>
      <c r="C3056" s="3" t="s">
        <v>3817</v>
      </c>
      <c r="D3056" s="3" t="s">
        <v>3618</v>
      </c>
      <c r="E3056" s="3" t="s">
        <v>3438</v>
      </c>
      <c r="F3056" s="3" t="s">
        <v>3091</v>
      </c>
      <c r="G3056" s="3" t="s">
        <v>6261</v>
      </c>
      <c r="H3056" s="6">
        <v>1.9623699999999999</v>
      </c>
      <c r="I3056" s="6">
        <v>91.70014027142463</v>
      </c>
      <c r="J3056" s="3" t="s">
        <v>3356</v>
      </c>
      <c r="L3056" s="1" t="s">
        <v>6135</v>
      </c>
    </row>
    <row r="3057" spans="1:12">
      <c r="A3057" s="3" t="s">
        <v>3816</v>
      </c>
      <c r="C3057" s="3" t="s">
        <v>3817</v>
      </c>
      <c r="D3057" s="3" t="s">
        <v>3618</v>
      </c>
      <c r="E3057" s="3" t="s">
        <v>3438</v>
      </c>
      <c r="F3057" s="3" t="s">
        <v>3091</v>
      </c>
      <c r="G3057" s="3" t="s">
        <v>6262</v>
      </c>
      <c r="H3057" s="6">
        <v>1.8413600000000001</v>
      </c>
      <c r="I3057" s="6">
        <v>69.400084621050951</v>
      </c>
      <c r="J3057" s="3" t="s">
        <v>3356</v>
      </c>
      <c r="L3057" s="1" t="s">
        <v>6135</v>
      </c>
    </row>
    <row r="3058" spans="1:12">
      <c r="A3058" s="3" t="s">
        <v>3816</v>
      </c>
      <c r="C3058" s="3" t="s">
        <v>3817</v>
      </c>
      <c r="D3058" s="3" t="s">
        <v>3618</v>
      </c>
      <c r="E3058" s="3" t="s">
        <v>3438</v>
      </c>
      <c r="F3058" s="3" t="s">
        <v>3091</v>
      </c>
      <c r="G3058" s="3" t="s">
        <v>3008</v>
      </c>
      <c r="H3058" s="6">
        <v>1.7184999999999999</v>
      </c>
      <c r="I3058" s="6">
        <v>52.299796618215581</v>
      </c>
      <c r="J3058" s="3" t="s">
        <v>3356</v>
      </c>
      <c r="L3058" s="1" t="s">
        <v>6135</v>
      </c>
    </row>
    <row r="3059" spans="1:12">
      <c r="A3059" s="3" t="s">
        <v>3816</v>
      </c>
      <c r="C3059" s="3" t="s">
        <v>3817</v>
      </c>
      <c r="D3059" s="3" t="s">
        <v>3618</v>
      </c>
      <c r="E3059" s="3" t="s">
        <v>3438</v>
      </c>
      <c r="F3059" s="3" t="s">
        <v>3091</v>
      </c>
      <c r="G3059" s="3" t="s">
        <v>6389</v>
      </c>
      <c r="H3059" s="6">
        <v>1.93069</v>
      </c>
      <c r="I3059" s="6">
        <v>85.249138726077106</v>
      </c>
      <c r="J3059" s="3" t="s">
        <v>3356</v>
      </c>
      <c r="L3059" s="1" t="s">
        <v>6135</v>
      </c>
    </row>
    <row r="3060" spans="1:12">
      <c r="A3060" s="3" t="s">
        <v>3816</v>
      </c>
      <c r="C3060" s="3" t="s">
        <v>3817</v>
      </c>
      <c r="D3060" s="3" t="s">
        <v>3618</v>
      </c>
      <c r="E3060" s="3" t="s">
        <v>3438</v>
      </c>
      <c r="F3060" s="3" t="s">
        <v>3091</v>
      </c>
      <c r="G3060" s="3" t="s">
        <v>6398</v>
      </c>
      <c r="H3060" s="6">
        <v>1.79379</v>
      </c>
      <c r="I3060" s="6">
        <v>62.199944904300409</v>
      </c>
      <c r="J3060" s="3" t="s">
        <v>3356</v>
      </c>
      <c r="L3060" s="1" t="s">
        <v>6135</v>
      </c>
    </row>
    <row r="3061" spans="1:12">
      <c r="A3061" s="3" t="s">
        <v>3816</v>
      </c>
      <c r="C3061" s="3" t="s">
        <v>3817</v>
      </c>
      <c r="D3061" s="3" t="s">
        <v>3618</v>
      </c>
      <c r="E3061" s="3" t="s">
        <v>3438</v>
      </c>
      <c r="F3061" s="3" t="s">
        <v>3091</v>
      </c>
      <c r="G3061" s="3" t="s">
        <v>6399</v>
      </c>
      <c r="H3061" s="6">
        <v>1.8325100000000001</v>
      </c>
      <c r="I3061" s="6">
        <v>68.000170244089148</v>
      </c>
      <c r="J3061" s="3" t="s">
        <v>3356</v>
      </c>
      <c r="L3061" s="1" t="s">
        <v>6135</v>
      </c>
    </row>
    <row r="3062" spans="1:12">
      <c r="A3062" s="3" t="s">
        <v>3816</v>
      </c>
      <c r="C3062" s="3" t="s">
        <v>3817</v>
      </c>
      <c r="D3062" s="3" t="s">
        <v>3618</v>
      </c>
      <c r="E3062" s="3" t="s">
        <v>3438</v>
      </c>
      <c r="F3062" s="3" t="s">
        <v>3091</v>
      </c>
      <c r="G3062" s="3" t="s">
        <v>6403</v>
      </c>
      <c r="H3062" s="6">
        <v>1.95109</v>
      </c>
      <c r="I3062" s="6">
        <v>89.349062498642041</v>
      </c>
      <c r="J3062" s="3" t="s">
        <v>3356</v>
      </c>
      <c r="L3062" s="1" t="s">
        <v>6135</v>
      </c>
    </row>
    <row r="3063" spans="1:12">
      <c r="A3063" s="3" t="s">
        <v>3816</v>
      </c>
      <c r="C3063" s="3" t="s">
        <v>3817</v>
      </c>
      <c r="D3063" s="3" t="s">
        <v>3618</v>
      </c>
      <c r="E3063" s="3" t="s">
        <v>3438</v>
      </c>
      <c r="F3063" s="3" t="s">
        <v>3091</v>
      </c>
      <c r="G3063" s="3" t="s">
        <v>6404</v>
      </c>
      <c r="H3063" s="6">
        <v>1.8750599999999999</v>
      </c>
      <c r="I3063" s="6">
        <v>74.9997818203002</v>
      </c>
      <c r="J3063" s="3" t="s">
        <v>3356</v>
      </c>
      <c r="L3063" s="1" t="s">
        <v>6135</v>
      </c>
    </row>
    <row r="3064" spans="1:12">
      <c r="A3064" s="3" t="s">
        <v>3816</v>
      </c>
      <c r="C3064" s="3" t="s">
        <v>3817</v>
      </c>
      <c r="D3064" s="3" t="s">
        <v>3618</v>
      </c>
      <c r="E3064" s="3" t="s">
        <v>3438</v>
      </c>
      <c r="F3064" s="3" t="s">
        <v>3091</v>
      </c>
      <c r="G3064" s="3" t="s">
        <v>7928</v>
      </c>
      <c r="H3064" s="6">
        <v>1.8750599999999999</v>
      </c>
      <c r="I3064" s="6">
        <v>74.9997818203002</v>
      </c>
      <c r="J3064" s="3" t="s">
        <v>3356</v>
      </c>
      <c r="L3064" s="1" t="s">
        <v>6135</v>
      </c>
    </row>
    <row r="3065" spans="1:12">
      <c r="A3065" s="3" t="s">
        <v>3816</v>
      </c>
      <c r="C3065" s="3" t="s">
        <v>3817</v>
      </c>
      <c r="D3065" s="3" t="s">
        <v>3618</v>
      </c>
      <c r="E3065" s="3" t="s">
        <v>3438</v>
      </c>
      <c r="F3065" s="3" t="s">
        <v>3091</v>
      </c>
      <c r="G3065" s="3" t="s">
        <v>4666</v>
      </c>
      <c r="H3065" s="6">
        <v>1.7923899999999999</v>
      </c>
      <c r="I3065" s="6">
        <v>61.999758807232553</v>
      </c>
      <c r="J3065" s="3" t="s">
        <v>3356</v>
      </c>
      <c r="L3065" s="1" t="s">
        <v>6135</v>
      </c>
    </row>
    <row r="3066" spans="1:12">
      <c r="A3066" s="3" t="s">
        <v>3816</v>
      </c>
      <c r="C3066" s="3" t="s">
        <v>3817</v>
      </c>
      <c r="D3066" s="3" t="s">
        <v>3618</v>
      </c>
      <c r="E3066" s="3" t="s">
        <v>3438</v>
      </c>
      <c r="F3066" s="3" t="s">
        <v>3091</v>
      </c>
      <c r="G3066" s="3" t="s">
        <v>3807</v>
      </c>
      <c r="H3066" s="6">
        <v>2.0488499999999998</v>
      </c>
      <c r="I3066" s="6">
        <v>111.90513100824023</v>
      </c>
      <c r="J3066" s="3" t="s">
        <v>3356</v>
      </c>
      <c r="L3066" s="1" t="s">
        <v>6135</v>
      </c>
    </row>
    <row r="3067" spans="1:12">
      <c r="A3067" s="3" t="s">
        <v>3816</v>
      </c>
      <c r="C3067" s="3" t="s">
        <v>3817</v>
      </c>
      <c r="D3067" s="3" t="s">
        <v>3618</v>
      </c>
      <c r="E3067" s="3" t="s">
        <v>3438</v>
      </c>
      <c r="F3067" s="3" t="s">
        <v>3091</v>
      </c>
      <c r="G3067" s="3" t="s">
        <v>5148</v>
      </c>
      <c r="H3067" s="6">
        <v>1.8737600000000001</v>
      </c>
      <c r="I3067" s="6">
        <v>74.775616098626713</v>
      </c>
      <c r="J3067" s="3" t="s">
        <v>3356</v>
      </c>
      <c r="L3067" s="1" t="s">
        <v>6135</v>
      </c>
    </row>
    <row r="3068" spans="1:12">
      <c r="A3068" s="3" t="s">
        <v>3816</v>
      </c>
      <c r="C3068" s="3" t="s">
        <v>3817</v>
      </c>
      <c r="D3068" s="3" t="s">
        <v>3618</v>
      </c>
      <c r="E3068" s="3" t="s">
        <v>3438</v>
      </c>
      <c r="F3068" s="3" t="s">
        <v>3091</v>
      </c>
      <c r="G3068" s="3" t="s">
        <v>4196</v>
      </c>
      <c r="H3068" s="6">
        <v>1.7993399999999999</v>
      </c>
      <c r="I3068" s="6">
        <v>62.999920294741955</v>
      </c>
      <c r="J3068" s="3" t="s">
        <v>3356</v>
      </c>
      <c r="L3068" s="1" t="s">
        <v>6135</v>
      </c>
    </row>
    <row r="3069" spans="1:12">
      <c r="A3069" s="3" t="s">
        <v>3816</v>
      </c>
      <c r="C3069" s="3" t="s">
        <v>3817</v>
      </c>
      <c r="D3069" s="3" t="s">
        <v>3618</v>
      </c>
      <c r="E3069" s="3" t="s">
        <v>3438</v>
      </c>
      <c r="F3069" s="3" t="s">
        <v>7986</v>
      </c>
      <c r="G3069" s="3" t="s">
        <v>7987</v>
      </c>
      <c r="H3069" s="6">
        <v>2.3521800000000002</v>
      </c>
      <c r="I3069" s="6">
        <v>224.9986954165031</v>
      </c>
      <c r="J3069" s="3" t="s">
        <v>3356</v>
      </c>
      <c r="L3069" s="1" t="s">
        <v>6135</v>
      </c>
    </row>
    <row r="3070" spans="1:12">
      <c r="A3070" s="3" t="s">
        <v>3816</v>
      </c>
      <c r="C3070" s="3" t="s">
        <v>3817</v>
      </c>
      <c r="D3070" s="3" t="s">
        <v>3618</v>
      </c>
      <c r="E3070" s="3" t="s">
        <v>3438</v>
      </c>
      <c r="F3070" s="3" t="s">
        <v>7986</v>
      </c>
      <c r="G3070" s="3" t="s">
        <v>7988</v>
      </c>
      <c r="H3070" s="6">
        <v>2.3035600000000001</v>
      </c>
      <c r="I3070" s="6">
        <v>201.16851035713219</v>
      </c>
      <c r="J3070" s="3" t="s">
        <v>3356</v>
      </c>
      <c r="L3070" s="1" t="s">
        <v>6135</v>
      </c>
    </row>
    <row r="3071" spans="1:12">
      <c r="A3071" s="3" t="s">
        <v>3816</v>
      </c>
      <c r="C3071" s="3" t="s">
        <v>3817</v>
      </c>
      <c r="D3071" s="3" t="s">
        <v>6415</v>
      </c>
      <c r="E3071" s="3" t="s">
        <v>6594</v>
      </c>
      <c r="F3071" s="3" t="s">
        <v>3328</v>
      </c>
      <c r="G3071" s="3" t="s">
        <v>3499</v>
      </c>
      <c r="H3071" s="6">
        <v>3.5809199999999999</v>
      </c>
      <c r="I3071" s="6">
        <v>3809.9563493981541</v>
      </c>
      <c r="J3071" s="3" t="s">
        <v>3356</v>
      </c>
      <c r="L3071" s="1" t="s">
        <v>6135</v>
      </c>
    </row>
    <row r="3072" spans="1:12">
      <c r="A3072" s="3" t="s">
        <v>3816</v>
      </c>
      <c r="C3072" s="3" t="s">
        <v>3817</v>
      </c>
      <c r="D3072" s="3" t="s">
        <v>6415</v>
      </c>
      <c r="E3072" s="3" t="s">
        <v>6594</v>
      </c>
      <c r="F3072" s="3" t="s">
        <v>3500</v>
      </c>
      <c r="G3072" s="3" t="s">
        <v>3501</v>
      </c>
      <c r="H3072" s="6">
        <v>3.62364</v>
      </c>
      <c r="I3072" s="6">
        <v>4203.7801970002665</v>
      </c>
      <c r="J3072" s="3" t="s">
        <v>3356</v>
      </c>
      <c r="L3072" s="1" t="s">
        <v>6135</v>
      </c>
    </row>
    <row r="3073" spans="1:12">
      <c r="A3073" s="3" t="s">
        <v>3816</v>
      </c>
      <c r="C3073" s="3" t="s">
        <v>3817</v>
      </c>
      <c r="D3073" s="3" t="s">
        <v>6415</v>
      </c>
      <c r="E3073" s="3" t="s">
        <v>3286</v>
      </c>
      <c r="F3073" s="3" t="s">
        <v>3119</v>
      </c>
      <c r="G3073" s="3" t="s">
        <v>3284</v>
      </c>
      <c r="H3073" s="6">
        <v>2.5178600000000002</v>
      </c>
      <c r="I3073" s="6">
        <v>329.50347568431044</v>
      </c>
      <c r="J3073" s="3" t="s">
        <v>3356</v>
      </c>
      <c r="L3073" s="1" t="s">
        <v>6135</v>
      </c>
    </row>
    <row r="3074" spans="1:12">
      <c r="A3074" s="3" t="s">
        <v>3816</v>
      </c>
      <c r="C3074" s="3" t="s">
        <v>3817</v>
      </c>
      <c r="D3074" s="3" t="s">
        <v>6415</v>
      </c>
      <c r="E3074" s="3" t="s">
        <v>3286</v>
      </c>
      <c r="F3074" s="3" t="s">
        <v>3120</v>
      </c>
      <c r="G3074" s="3" t="s">
        <v>3769</v>
      </c>
      <c r="H3074" s="6">
        <v>4.3489500000000003</v>
      </c>
      <c r="I3074" s="6">
        <v>22333.150881274611</v>
      </c>
      <c r="J3074" s="3" t="s">
        <v>3356</v>
      </c>
      <c r="L3074" s="1" t="s">
        <v>6135</v>
      </c>
    </row>
    <row r="3075" spans="1:12">
      <c r="A3075" s="3" t="s">
        <v>3816</v>
      </c>
      <c r="C3075" s="3" t="s">
        <v>3817</v>
      </c>
      <c r="D3075" s="3" t="s">
        <v>6415</v>
      </c>
      <c r="E3075" s="3" t="s">
        <v>3286</v>
      </c>
      <c r="F3075" s="3" t="s">
        <v>3300</v>
      </c>
      <c r="G3075" s="3" t="s">
        <v>4375</v>
      </c>
      <c r="H3075" s="6">
        <v>3.6242800000000002</v>
      </c>
      <c r="I3075" s="6">
        <v>4209.9796832627626</v>
      </c>
      <c r="J3075" s="3" t="s">
        <v>3356</v>
      </c>
      <c r="L3075" s="1" t="s">
        <v>6135</v>
      </c>
    </row>
    <row r="3076" spans="1:12">
      <c r="A3076" s="3" t="s">
        <v>7297</v>
      </c>
      <c r="C3076" s="3" t="s">
        <v>3817</v>
      </c>
      <c r="D3076" s="3" t="s">
        <v>3001</v>
      </c>
      <c r="E3076" s="3" t="s">
        <v>7465</v>
      </c>
      <c r="F3076" s="3" t="s">
        <v>4164</v>
      </c>
      <c r="G3076" s="3" t="s">
        <v>3869</v>
      </c>
      <c r="H3076" s="6">
        <v>4.9294200000000004</v>
      </c>
      <c r="I3076" s="6">
        <v>85000.21025917193</v>
      </c>
      <c r="J3076" s="3" t="s">
        <v>3356</v>
      </c>
      <c r="L3076" s="1" t="s">
        <v>6135</v>
      </c>
    </row>
    <row r="3077" spans="1:12">
      <c r="A3077" s="3" t="s">
        <v>7297</v>
      </c>
      <c r="C3077" s="3" t="s">
        <v>3817</v>
      </c>
      <c r="D3077" s="3" t="s">
        <v>3001</v>
      </c>
      <c r="E3077" s="3" t="s">
        <v>7465</v>
      </c>
      <c r="F3077" s="3" t="s">
        <v>3870</v>
      </c>
      <c r="G3077" s="3" t="s">
        <v>3868</v>
      </c>
      <c r="H3077" s="6">
        <v>4.6766899999999998</v>
      </c>
      <c r="I3077" s="6">
        <v>47499.605206891225</v>
      </c>
      <c r="J3077" s="3" t="s">
        <v>3356</v>
      </c>
      <c r="L3077" s="1" t="s">
        <v>6135</v>
      </c>
    </row>
    <row r="3078" spans="1:12">
      <c r="A3078" s="3" t="s">
        <v>7297</v>
      </c>
      <c r="C3078" s="3" t="s">
        <v>3817</v>
      </c>
      <c r="D3078" s="3" t="s">
        <v>3001</v>
      </c>
      <c r="E3078" s="3" t="s">
        <v>3905</v>
      </c>
      <c r="F3078" s="3" t="s">
        <v>3677</v>
      </c>
      <c r="G3078" s="3" t="s">
        <v>4388</v>
      </c>
      <c r="H3078" s="6">
        <v>4.9378500000000001</v>
      </c>
      <c r="I3078" s="6">
        <v>86666.248943968283</v>
      </c>
      <c r="J3078" s="3" t="s">
        <v>3356</v>
      </c>
      <c r="L3078" s="1" t="s">
        <v>6135</v>
      </c>
    </row>
    <row r="3079" spans="1:12">
      <c r="A3079" s="3" t="s">
        <v>7297</v>
      </c>
      <c r="C3079" s="3" t="s">
        <v>3817</v>
      </c>
      <c r="D3079" s="3" t="s">
        <v>3001</v>
      </c>
      <c r="E3079" s="3" t="s">
        <v>3905</v>
      </c>
      <c r="F3079" s="3" t="s">
        <v>3680</v>
      </c>
      <c r="G3079" s="3" t="s">
        <v>4362</v>
      </c>
      <c r="H3079" s="6">
        <v>4.8363199999999997</v>
      </c>
      <c r="I3079" s="6">
        <v>68599.349897000575</v>
      </c>
      <c r="J3079" s="3" t="s">
        <v>3356</v>
      </c>
      <c r="L3079" s="1" t="s">
        <v>6135</v>
      </c>
    </row>
    <row r="3080" spans="1:12">
      <c r="A3080" s="3" t="s">
        <v>7297</v>
      </c>
      <c r="C3080" s="3" t="s">
        <v>3817</v>
      </c>
      <c r="D3080" s="3" t="s">
        <v>3001</v>
      </c>
      <c r="E3080" s="3" t="s">
        <v>3905</v>
      </c>
      <c r="F3080" s="3" t="s">
        <v>3680</v>
      </c>
      <c r="G3080" s="3" t="s">
        <v>3679</v>
      </c>
      <c r="H3080" s="6">
        <v>4.8451000000000004</v>
      </c>
      <c r="I3080" s="6">
        <v>70000.315913089813</v>
      </c>
      <c r="J3080" s="3" t="s">
        <v>3356</v>
      </c>
      <c r="L3080" s="1" t="s">
        <v>6135</v>
      </c>
    </row>
    <row r="3081" spans="1:12">
      <c r="A3081" s="3" t="s">
        <v>7297</v>
      </c>
      <c r="C3081" s="3" t="s">
        <v>3817</v>
      </c>
      <c r="D3081" s="3" t="s">
        <v>3001</v>
      </c>
      <c r="E3081" s="3" t="s">
        <v>3905</v>
      </c>
      <c r="F3081" s="3" t="s">
        <v>4333</v>
      </c>
      <c r="G3081" s="3" t="s">
        <v>3355</v>
      </c>
      <c r="H3081" s="6">
        <v>4.3579299999999996</v>
      </c>
      <c r="I3081" s="6">
        <v>22799.7455390334</v>
      </c>
      <c r="J3081" s="3" t="s">
        <v>3356</v>
      </c>
      <c r="L3081" s="1" t="s">
        <v>6135</v>
      </c>
    </row>
    <row r="3082" spans="1:12">
      <c r="A3082" s="3" t="s">
        <v>7297</v>
      </c>
      <c r="C3082" s="3" t="s">
        <v>3817</v>
      </c>
      <c r="D3082" s="3" t="s">
        <v>3001</v>
      </c>
      <c r="E3082" s="3" t="s">
        <v>3905</v>
      </c>
      <c r="F3082" s="3" t="s">
        <v>4333</v>
      </c>
      <c r="G3082" s="3" t="s">
        <v>3923</v>
      </c>
      <c r="H3082" s="6">
        <v>4.2174800000000001</v>
      </c>
      <c r="I3082" s="6">
        <v>16499.850149526093</v>
      </c>
      <c r="J3082" s="3" t="s">
        <v>3356</v>
      </c>
      <c r="L3082" s="1" t="s">
        <v>6135</v>
      </c>
    </row>
    <row r="3083" spans="1:12">
      <c r="A3083" s="3" t="s">
        <v>7297</v>
      </c>
      <c r="C3083" s="3" t="s">
        <v>3817</v>
      </c>
      <c r="D3083" s="3" t="s">
        <v>3001</v>
      </c>
      <c r="E3083" s="3" t="s">
        <v>3905</v>
      </c>
      <c r="F3083" s="3" t="s">
        <v>4333</v>
      </c>
      <c r="G3083" s="3" t="s">
        <v>3924</v>
      </c>
      <c r="H3083" s="6">
        <v>4.2174800000000001</v>
      </c>
      <c r="I3083" s="6">
        <v>16499.850149526093</v>
      </c>
      <c r="J3083" s="3" t="s">
        <v>3356</v>
      </c>
      <c r="L3083" s="1" t="s">
        <v>6135</v>
      </c>
    </row>
    <row r="3084" spans="1:12">
      <c r="A3084" s="3" t="s">
        <v>7297</v>
      </c>
      <c r="C3084" s="3" t="s">
        <v>3817</v>
      </c>
      <c r="D3084" s="3" t="s">
        <v>3001</v>
      </c>
      <c r="E3084" s="3" t="s">
        <v>3905</v>
      </c>
      <c r="F3084" s="3" t="s">
        <v>4333</v>
      </c>
      <c r="G3084" s="3" t="s">
        <v>3503</v>
      </c>
      <c r="H3084" s="6">
        <v>4.2121899999999997</v>
      </c>
      <c r="I3084" s="6">
        <v>16300.089912086862</v>
      </c>
      <c r="J3084" s="3" t="s">
        <v>3356</v>
      </c>
      <c r="L3084" s="1" t="s">
        <v>6135</v>
      </c>
    </row>
    <row r="3085" spans="1:12">
      <c r="A3085" s="3" t="s">
        <v>7297</v>
      </c>
      <c r="C3085" s="3" t="s">
        <v>3817</v>
      </c>
      <c r="D3085" s="3" t="s">
        <v>3001</v>
      </c>
      <c r="E3085" s="3" t="s">
        <v>3905</v>
      </c>
      <c r="F3085" s="3" t="s">
        <v>4333</v>
      </c>
      <c r="G3085" s="3" t="s">
        <v>3504</v>
      </c>
      <c r="H3085" s="6">
        <v>4.2174800000000001</v>
      </c>
      <c r="I3085" s="6">
        <v>16499.850149526093</v>
      </c>
      <c r="J3085" s="3" t="s">
        <v>3356</v>
      </c>
      <c r="L3085" s="1" t="s">
        <v>6135</v>
      </c>
    </row>
    <row r="3086" spans="1:12">
      <c r="A3086" s="3" t="s">
        <v>7297</v>
      </c>
      <c r="C3086" s="3" t="s">
        <v>3817</v>
      </c>
      <c r="D3086" s="3" t="s">
        <v>3001</v>
      </c>
      <c r="E3086" s="3" t="s">
        <v>3905</v>
      </c>
      <c r="F3086" s="3" t="s">
        <v>4333</v>
      </c>
      <c r="G3086" s="3" t="s">
        <v>3705</v>
      </c>
      <c r="H3086" s="6">
        <v>4.4149700000000003</v>
      </c>
      <c r="I3086" s="6">
        <v>25999.799567092476</v>
      </c>
      <c r="J3086" s="3" t="s">
        <v>3356</v>
      </c>
      <c r="L3086" s="1" t="s">
        <v>6135</v>
      </c>
    </row>
    <row r="3087" spans="1:12">
      <c r="A3087" s="3" t="s">
        <v>7297</v>
      </c>
      <c r="C3087" s="3" t="s">
        <v>3817</v>
      </c>
      <c r="D3087" s="3" t="s">
        <v>3001</v>
      </c>
      <c r="E3087" s="3" t="s">
        <v>3905</v>
      </c>
      <c r="F3087" s="3" t="s">
        <v>4334</v>
      </c>
      <c r="G3087" s="3" t="s">
        <v>4114</v>
      </c>
      <c r="H3087" s="6">
        <v>4.7443600000000004</v>
      </c>
      <c r="I3087" s="6">
        <v>55508.564980303127</v>
      </c>
      <c r="J3087" s="3" t="s">
        <v>3356</v>
      </c>
      <c r="L3087" s="1" t="s">
        <v>6135</v>
      </c>
    </row>
    <row r="3088" spans="1:12">
      <c r="A3088" s="3" t="s">
        <v>7297</v>
      </c>
      <c r="C3088" s="3" t="s">
        <v>3817</v>
      </c>
      <c r="D3088" s="3" t="s">
        <v>3001</v>
      </c>
      <c r="E3088" s="3" t="s">
        <v>3905</v>
      </c>
      <c r="F3088" s="3" t="s">
        <v>3936</v>
      </c>
      <c r="G3088" s="3" t="s">
        <v>3937</v>
      </c>
      <c r="H3088" s="6">
        <v>4.6020599999999998</v>
      </c>
      <c r="I3088" s="6">
        <v>40000.000798724192</v>
      </c>
      <c r="J3088" s="3" t="s">
        <v>3356</v>
      </c>
      <c r="L3088" s="1" t="s">
        <v>6135</v>
      </c>
    </row>
    <row r="3089" spans="1:12">
      <c r="A3089" s="3" t="s">
        <v>7297</v>
      </c>
      <c r="C3089" s="3" t="s">
        <v>3817</v>
      </c>
      <c r="D3089" s="3" t="s">
        <v>3001</v>
      </c>
      <c r="E3089" s="3" t="s">
        <v>3905</v>
      </c>
      <c r="F3089" s="3" t="s">
        <v>3510</v>
      </c>
      <c r="G3089" s="3" t="s">
        <v>3083</v>
      </c>
      <c r="H3089" s="6">
        <v>3.9822700000000002</v>
      </c>
      <c r="I3089" s="6">
        <v>9599.9727439248272</v>
      </c>
      <c r="J3089" s="3" t="s">
        <v>3356</v>
      </c>
      <c r="L3089" s="1" t="s">
        <v>6135</v>
      </c>
    </row>
    <row r="3090" spans="1:12">
      <c r="A3090" s="3" t="s">
        <v>7297</v>
      </c>
      <c r="C3090" s="3" t="s">
        <v>3817</v>
      </c>
      <c r="D3090" s="3" t="s">
        <v>3001</v>
      </c>
      <c r="E3090" s="3" t="s">
        <v>3905</v>
      </c>
      <c r="F3090" s="3" t="s">
        <v>3510</v>
      </c>
      <c r="G3090" s="3" t="s">
        <v>4372</v>
      </c>
      <c r="H3090" s="6">
        <v>3.9889999999999999</v>
      </c>
      <c r="I3090" s="6">
        <v>9749.8963771738727</v>
      </c>
      <c r="J3090" s="3" t="s">
        <v>3356</v>
      </c>
      <c r="L3090" s="1" t="s">
        <v>6135</v>
      </c>
    </row>
    <row r="3091" spans="1:12">
      <c r="A3091" s="3" t="s">
        <v>7297</v>
      </c>
      <c r="C3091" s="3" t="s">
        <v>3817</v>
      </c>
      <c r="D3091" s="3" t="s">
        <v>3001</v>
      </c>
      <c r="E3091" s="3" t="s">
        <v>4561</v>
      </c>
      <c r="F3091" s="3" t="s">
        <v>4396</v>
      </c>
      <c r="G3091" s="3" t="s">
        <v>4397</v>
      </c>
      <c r="H3091" s="6">
        <v>4.5510400000000004</v>
      </c>
      <c r="I3091" s="6">
        <v>35566.407493235864</v>
      </c>
      <c r="J3091" s="3" t="s">
        <v>3356</v>
      </c>
      <c r="L3091" s="1" t="s">
        <v>6135</v>
      </c>
    </row>
    <row r="3092" spans="1:12">
      <c r="A3092" s="3" t="s">
        <v>7297</v>
      </c>
      <c r="C3092" s="3" t="s">
        <v>3817</v>
      </c>
      <c r="D3092" s="3" t="s">
        <v>3001</v>
      </c>
      <c r="E3092" s="3" t="s">
        <v>4561</v>
      </c>
      <c r="F3092" s="3" t="s">
        <v>3949</v>
      </c>
      <c r="G3092" s="3" t="s">
        <v>3950</v>
      </c>
      <c r="H3092" s="6">
        <v>4.3277000000000001</v>
      </c>
      <c r="I3092" s="6">
        <v>21266.694872358308</v>
      </c>
      <c r="J3092" s="3" t="s">
        <v>3356</v>
      </c>
      <c r="L3092" s="1" t="s">
        <v>6135</v>
      </c>
    </row>
    <row r="3093" spans="1:12">
      <c r="A3093" s="3" t="s">
        <v>7297</v>
      </c>
      <c r="C3093" s="3" t="s">
        <v>3817</v>
      </c>
      <c r="D3093" s="3" t="s">
        <v>3001</v>
      </c>
      <c r="E3093" s="3" t="s">
        <v>4561</v>
      </c>
      <c r="F3093" s="3" t="s">
        <v>4562</v>
      </c>
      <c r="G3093" s="3" t="s">
        <v>4563</v>
      </c>
      <c r="H3093" s="6">
        <v>4.5083099999999998</v>
      </c>
      <c r="I3093" s="6">
        <v>32233.688154104955</v>
      </c>
      <c r="J3093" s="3" t="s">
        <v>3356</v>
      </c>
      <c r="L3093" s="1" t="s">
        <v>6135</v>
      </c>
    </row>
    <row r="3094" spans="1:12">
      <c r="A3094" s="3" t="s">
        <v>7297</v>
      </c>
      <c r="C3094" s="3" t="s">
        <v>3817</v>
      </c>
      <c r="D3094" s="3" t="s">
        <v>3954</v>
      </c>
      <c r="E3094" s="3" t="s">
        <v>3955</v>
      </c>
      <c r="F3094" s="3" t="s">
        <v>2333</v>
      </c>
      <c r="G3094" s="3" t="s">
        <v>2311</v>
      </c>
      <c r="H3094" s="6">
        <v>3.8893</v>
      </c>
      <c r="I3094" s="6">
        <v>7749.9696187757672</v>
      </c>
      <c r="J3094" s="3" t="s">
        <v>3356</v>
      </c>
      <c r="L3094" s="1" t="s">
        <v>6135</v>
      </c>
    </row>
    <row r="3095" spans="1:12">
      <c r="A3095" s="3" t="s">
        <v>7297</v>
      </c>
      <c r="C3095" s="3" t="s">
        <v>3817</v>
      </c>
      <c r="D3095" s="3" t="s">
        <v>3954</v>
      </c>
      <c r="E3095" s="3" t="s">
        <v>3955</v>
      </c>
      <c r="F3095" s="3" t="s">
        <v>2312</v>
      </c>
      <c r="G3095" s="3" t="s">
        <v>2313</v>
      </c>
      <c r="H3095" s="6">
        <v>3.7193299999999998</v>
      </c>
      <c r="I3095" s="6">
        <v>5239.9844718617996</v>
      </c>
      <c r="J3095" s="3" t="s">
        <v>3356</v>
      </c>
      <c r="L3095" s="1" t="s">
        <v>6135</v>
      </c>
    </row>
    <row r="3096" spans="1:12">
      <c r="A3096" s="3" t="s">
        <v>7297</v>
      </c>
      <c r="C3096" s="3" t="s">
        <v>3817</v>
      </c>
      <c r="D3096" s="3" t="s">
        <v>3954</v>
      </c>
      <c r="E3096" s="3" t="s">
        <v>3955</v>
      </c>
      <c r="F3096" s="3" t="s">
        <v>4669</v>
      </c>
      <c r="G3096" s="3" t="s">
        <v>2207</v>
      </c>
      <c r="H3096" s="6">
        <v>4.3664199999999997</v>
      </c>
      <c r="I3096" s="6">
        <v>23249.841685140746</v>
      </c>
      <c r="J3096" s="3" t="s">
        <v>3356</v>
      </c>
      <c r="L3096" s="1" t="s">
        <v>6135</v>
      </c>
    </row>
    <row r="3097" spans="1:12">
      <c r="A3097" s="3" t="s">
        <v>7297</v>
      </c>
      <c r="C3097" s="3" t="s">
        <v>3817</v>
      </c>
      <c r="D3097" s="3" t="s">
        <v>3954</v>
      </c>
      <c r="E3097" s="3" t="s">
        <v>3955</v>
      </c>
      <c r="F3097" s="3" t="s">
        <v>2208</v>
      </c>
      <c r="G3097" s="3" t="s">
        <v>2209</v>
      </c>
      <c r="H3097" s="6">
        <v>3.9926599999999999</v>
      </c>
      <c r="I3097" s="6">
        <v>9832.4104566919814</v>
      </c>
      <c r="J3097" s="3" t="s">
        <v>3356</v>
      </c>
      <c r="L3097" s="1" t="s">
        <v>6135</v>
      </c>
    </row>
    <row r="3098" spans="1:12">
      <c r="A3098" s="3" t="s">
        <v>7297</v>
      </c>
      <c r="C3098" s="3" t="s">
        <v>3817</v>
      </c>
      <c r="D3098" s="3" t="s">
        <v>3954</v>
      </c>
      <c r="E3098" s="3" t="s">
        <v>3955</v>
      </c>
      <c r="F3098" s="3" t="s">
        <v>2208</v>
      </c>
      <c r="G3098" s="3" t="s">
        <v>2210</v>
      </c>
      <c r="H3098" s="6">
        <v>3.9180299999999999</v>
      </c>
      <c r="I3098" s="6">
        <v>8279.9935790625059</v>
      </c>
      <c r="J3098" s="3" t="s">
        <v>3356</v>
      </c>
      <c r="L3098" s="1" t="s">
        <v>6135</v>
      </c>
    </row>
    <row r="3099" spans="1:12">
      <c r="A3099" s="3" t="s">
        <v>7297</v>
      </c>
      <c r="C3099" s="3" t="s">
        <v>3817</v>
      </c>
      <c r="D3099" s="3" t="s">
        <v>3954</v>
      </c>
      <c r="E3099" s="3" t="s">
        <v>3955</v>
      </c>
      <c r="F3099" s="3" t="s">
        <v>2208</v>
      </c>
      <c r="G3099" s="3" t="s">
        <v>7525</v>
      </c>
      <c r="H3099" s="6">
        <v>3.67117</v>
      </c>
      <c r="I3099" s="6">
        <v>4689.9693012675471</v>
      </c>
      <c r="J3099" s="3" t="s">
        <v>3356</v>
      </c>
      <c r="L3099" s="1" t="s">
        <v>6135</v>
      </c>
    </row>
    <row r="3100" spans="1:12">
      <c r="A3100" s="3" t="s">
        <v>7297</v>
      </c>
      <c r="C3100" s="3" t="s">
        <v>3817</v>
      </c>
      <c r="D3100" s="3" t="s">
        <v>3954</v>
      </c>
      <c r="E3100" s="3" t="s">
        <v>3955</v>
      </c>
      <c r="F3100" s="3" t="s">
        <v>2208</v>
      </c>
      <c r="G3100" s="3" t="s">
        <v>7316</v>
      </c>
      <c r="H3100" s="6">
        <v>3.6020599999999998</v>
      </c>
      <c r="I3100" s="6">
        <v>4000.0000798724222</v>
      </c>
      <c r="J3100" s="3" t="s">
        <v>3356</v>
      </c>
      <c r="L3100" s="1" t="s">
        <v>6135</v>
      </c>
    </row>
    <row r="3101" spans="1:12">
      <c r="A3101" s="3" t="s">
        <v>7297</v>
      </c>
      <c r="C3101" s="3" t="s">
        <v>3817</v>
      </c>
      <c r="D3101" s="3" t="s">
        <v>3954</v>
      </c>
      <c r="E3101" s="3" t="s">
        <v>3955</v>
      </c>
      <c r="F3101" s="3" t="s">
        <v>2208</v>
      </c>
      <c r="G3101" s="3" t="s">
        <v>7318</v>
      </c>
      <c r="H3101" s="6">
        <v>3.7283499999999998</v>
      </c>
      <c r="I3101" s="6">
        <v>5349.9534101253548</v>
      </c>
      <c r="J3101" s="3" t="s">
        <v>3356</v>
      </c>
      <c r="L3101" s="1" t="s">
        <v>6135</v>
      </c>
    </row>
    <row r="3102" spans="1:12">
      <c r="A3102" s="3" t="s">
        <v>7297</v>
      </c>
      <c r="C3102" s="3" t="s">
        <v>3817</v>
      </c>
      <c r="D3102" s="3" t="s">
        <v>3954</v>
      </c>
      <c r="E3102" s="3" t="s">
        <v>3955</v>
      </c>
      <c r="F3102" s="3" t="s">
        <v>7319</v>
      </c>
      <c r="G3102" s="3" t="s">
        <v>7320</v>
      </c>
      <c r="H3102" s="6">
        <v>3.7781500000000001</v>
      </c>
      <c r="I3102" s="6">
        <v>5999.9827253364419</v>
      </c>
      <c r="J3102" s="3" t="s">
        <v>3356</v>
      </c>
      <c r="L3102" s="1" t="s">
        <v>6135</v>
      </c>
    </row>
    <row r="3103" spans="1:12">
      <c r="A3103" s="3" t="s">
        <v>7297</v>
      </c>
      <c r="C3103" s="3" t="s">
        <v>3817</v>
      </c>
      <c r="D3103" s="3" t="s">
        <v>3954</v>
      </c>
      <c r="E3103" s="3" t="s">
        <v>3955</v>
      </c>
      <c r="F3103" s="3" t="s">
        <v>2330</v>
      </c>
      <c r="G3103" s="3" t="s">
        <v>2331</v>
      </c>
      <c r="H3103" s="6">
        <v>3.5836199999999998</v>
      </c>
      <c r="I3103" s="6">
        <v>3833.7165526970089</v>
      </c>
      <c r="J3103" s="3" t="s">
        <v>3356</v>
      </c>
      <c r="L3103" s="1" t="s">
        <v>6135</v>
      </c>
    </row>
    <row r="3104" spans="1:12">
      <c r="A3104" s="3" t="s">
        <v>7297</v>
      </c>
      <c r="C3104" s="3" t="s">
        <v>3817</v>
      </c>
      <c r="D3104" s="3" t="s">
        <v>3954</v>
      </c>
      <c r="E3104" s="3" t="s">
        <v>7321</v>
      </c>
      <c r="F3104" s="3" t="s">
        <v>7324</v>
      </c>
      <c r="G3104" s="3" t="s">
        <v>7325</v>
      </c>
      <c r="H3104" s="6">
        <v>3.8292999999999999</v>
      </c>
      <c r="I3104" s="6">
        <v>6749.9413612194912</v>
      </c>
      <c r="J3104" s="3" t="s">
        <v>3356</v>
      </c>
      <c r="L3104" s="1" t="s">
        <v>6135</v>
      </c>
    </row>
    <row r="3105" spans="1:12">
      <c r="A3105" s="3" t="s">
        <v>7297</v>
      </c>
      <c r="C3105" s="3" t="s">
        <v>3817</v>
      </c>
      <c r="D3105" s="3" t="s">
        <v>3954</v>
      </c>
      <c r="E3105" s="3" t="s">
        <v>7321</v>
      </c>
      <c r="F3105" s="3" t="s">
        <v>7326</v>
      </c>
      <c r="G3105" s="3" t="s">
        <v>7377</v>
      </c>
      <c r="H3105" s="6">
        <v>4.0755499999999998</v>
      </c>
      <c r="I3105" s="6">
        <v>11900.083260453186</v>
      </c>
      <c r="J3105" s="3" t="s">
        <v>3356</v>
      </c>
      <c r="L3105" s="1" t="s">
        <v>6135</v>
      </c>
    </row>
    <row r="3106" spans="1:12">
      <c r="A3106" s="3" t="s">
        <v>7297</v>
      </c>
      <c r="C3106" s="3" t="s">
        <v>3817</v>
      </c>
      <c r="D3106" s="3" t="s">
        <v>3954</v>
      </c>
      <c r="E3106" s="3" t="s">
        <v>7321</v>
      </c>
      <c r="F3106" s="3" t="s">
        <v>7326</v>
      </c>
      <c r="G3106" s="3" t="s">
        <v>3570</v>
      </c>
      <c r="H3106" s="6">
        <v>3.4771200000000002</v>
      </c>
      <c r="I3106" s="6">
        <v>2999.9913327161544</v>
      </c>
      <c r="J3106" s="3" t="s">
        <v>3356</v>
      </c>
      <c r="L3106" s="1" t="s">
        <v>6135</v>
      </c>
    </row>
    <row r="3107" spans="1:12">
      <c r="A3107" s="3" t="s">
        <v>7297</v>
      </c>
      <c r="C3107" s="3" t="s">
        <v>3817</v>
      </c>
      <c r="D3107" s="3" t="s">
        <v>3954</v>
      </c>
      <c r="E3107" s="3" t="s">
        <v>7321</v>
      </c>
      <c r="F3107" s="3" t="s">
        <v>7326</v>
      </c>
      <c r="G3107" s="3" t="s">
        <v>7378</v>
      </c>
      <c r="H3107" s="6">
        <v>3.5118800000000001</v>
      </c>
      <c r="I3107" s="6">
        <v>3249.9748485428022</v>
      </c>
      <c r="J3107" s="3" t="s">
        <v>3356</v>
      </c>
      <c r="L3107" s="1" t="s">
        <v>6135</v>
      </c>
    </row>
    <row r="3108" spans="1:12">
      <c r="A3108" s="3" t="s">
        <v>7297</v>
      </c>
      <c r="C3108" s="3" t="s">
        <v>3817</v>
      </c>
      <c r="D3108" s="3" t="s">
        <v>3954</v>
      </c>
      <c r="E3108" s="3" t="s">
        <v>7321</v>
      </c>
      <c r="F3108" s="3" t="s">
        <v>3773</v>
      </c>
      <c r="G3108" s="3" t="s">
        <v>3774</v>
      </c>
      <c r="H3108" s="6">
        <v>3.5949399999999998</v>
      </c>
      <c r="I3108" s="6">
        <v>3934.9570825919182</v>
      </c>
      <c r="J3108" s="3" t="s">
        <v>3356</v>
      </c>
      <c r="L3108" s="1" t="s">
        <v>6135</v>
      </c>
    </row>
    <row r="3109" spans="1:12">
      <c r="A3109" s="3" t="s">
        <v>7297</v>
      </c>
      <c r="C3109" s="3" t="s">
        <v>3817</v>
      </c>
      <c r="D3109" s="3" t="s">
        <v>3954</v>
      </c>
      <c r="E3109" s="3" t="s">
        <v>7321</v>
      </c>
      <c r="F3109" s="3" t="s">
        <v>3773</v>
      </c>
      <c r="G3109" s="3" t="s">
        <v>3777</v>
      </c>
      <c r="H3109" s="6">
        <v>3.5769199999999999</v>
      </c>
      <c r="I3109" s="6">
        <v>3775.0264596307247</v>
      </c>
      <c r="J3109" s="3" t="s">
        <v>3356</v>
      </c>
      <c r="L3109" s="1" t="s">
        <v>6135</v>
      </c>
    </row>
    <row r="3110" spans="1:12">
      <c r="A3110" s="3" t="s">
        <v>7297</v>
      </c>
      <c r="C3110" s="3" t="s">
        <v>3817</v>
      </c>
      <c r="D3110" s="3" t="s">
        <v>3954</v>
      </c>
      <c r="E3110" s="3" t="s">
        <v>7321</v>
      </c>
      <c r="F3110" s="3" t="s">
        <v>3773</v>
      </c>
      <c r="G3110" s="3" t="s">
        <v>3778</v>
      </c>
      <c r="H3110" s="6">
        <v>3.3483000000000001</v>
      </c>
      <c r="I3110" s="6">
        <v>2229.9750295314971</v>
      </c>
      <c r="J3110" s="3" t="s">
        <v>3356</v>
      </c>
      <c r="L3110" s="1" t="s">
        <v>6135</v>
      </c>
    </row>
    <row r="3111" spans="1:12">
      <c r="A3111" s="3" t="s">
        <v>7297</v>
      </c>
      <c r="C3111" s="3" t="s">
        <v>3817</v>
      </c>
      <c r="D3111" s="3" t="s">
        <v>3954</v>
      </c>
      <c r="E3111" s="3" t="s">
        <v>7321</v>
      </c>
      <c r="F3111" s="3" t="s">
        <v>3771</v>
      </c>
      <c r="G3111" s="3" t="s">
        <v>4020</v>
      </c>
      <c r="H3111" s="6">
        <v>3.9623699999999999</v>
      </c>
      <c r="I3111" s="6">
        <v>9170.0140271424589</v>
      </c>
      <c r="J3111" s="3" t="s">
        <v>3356</v>
      </c>
      <c r="L3111" s="1" t="s">
        <v>6135</v>
      </c>
    </row>
    <row r="3112" spans="1:12">
      <c r="A3112" s="3" t="s">
        <v>7297</v>
      </c>
      <c r="C3112" s="3" t="s">
        <v>3817</v>
      </c>
      <c r="D3112" s="3" t="s">
        <v>3954</v>
      </c>
      <c r="E3112" s="3" t="s">
        <v>7321</v>
      </c>
      <c r="F3112" s="3" t="s">
        <v>4860</v>
      </c>
      <c r="G3112" s="3" t="s">
        <v>2466</v>
      </c>
      <c r="H3112" s="6">
        <v>5</v>
      </c>
      <c r="I3112" s="6">
        <v>100000</v>
      </c>
      <c r="J3112" s="3" t="s">
        <v>3356</v>
      </c>
      <c r="L3112" s="1" t="s">
        <v>6135</v>
      </c>
    </row>
    <row r="3113" spans="1:12">
      <c r="A3113" s="3" t="s">
        <v>7297</v>
      </c>
      <c r="C3113" s="3" t="s">
        <v>3817</v>
      </c>
      <c r="D3113" s="3" t="s">
        <v>3954</v>
      </c>
      <c r="E3113" s="3" t="s">
        <v>7321</v>
      </c>
      <c r="F3113" s="3" t="s">
        <v>2185</v>
      </c>
      <c r="G3113" s="3" t="s">
        <v>3569</v>
      </c>
      <c r="H3113" s="6">
        <v>4.71265</v>
      </c>
      <c r="I3113" s="6">
        <v>51600.035450694937</v>
      </c>
      <c r="J3113" s="3" t="s">
        <v>3356</v>
      </c>
      <c r="L3113" s="1" t="s">
        <v>6135</v>
      </c>
    </row>
    <row r="3114" spans="1:12">
      <c r="A3114" s="3" t="s">
        <v>7297</v>
      </c>
      <c r="C3114" s="3" t="s">
        <v>3817</v>
      </c>
      <c r="D3114" s="3" t="s">
        <v>3954</v>
      </c>
      <c r="E3114" s="3" t="s">
        <v>4257</v>
      </c>
      <c r="F3114" s="3" t="s">
        <v>4444</v>
      </c>
      <c r="G3114" s="3" t="s">
        <v>4296</v>
      </c>
      <c r="H3114" s="6">
        <v>3.28274</v>
      </c>
      <c r="I3114" s="6">
        <v>1917.5204309445273</v>
      </c>
      <c r="J3114" s="3" t="s">
        <v>3356</v>
      </c>
      <c r="L3114" s="1" t="s">
        <v>6135</v>
      </c>
    </row>
    <row r="3115" spans="1:12">
      <c r="A3115" s="3" t="s">
        <v>7297</v>
      </c>
      <c r="C3115" s="3" t="s">
        <v>3817</v>
      </c>
      <c r="D3115" s="3" t="s">
        <v>3954</v>
      </c>
      <c r="E3115" s="3" t="s">
        <v>4257</v>
      </c>
      <c r="F3115" s="3" t="s">
        <v>4444</v>
      </c>
      <c r="G3115" s="3" t="s">
        <v>4297</v>
      </c>
      <c r="H3115" s="6">
        <v>2.5158700000000001</v>
      </c>
      <c r="I3115" s="6">
        <v>327.99709705763223</v>
      </c>
      <c r="J3115" s="3" t="s">
        <v>3356</v>
      </c>
      <c r="L3115" s="1" t="s">
        <v>6135</v>
      </c>
    </row>
    <row r="3116" spans="1:12">
      <c r="A3116" s="3" t="s">
        <v>7297</v>
      </c>
      <c r="C3116" s="3" t="s">
        <v>3817</v>
      </c>
      <c r="D3116" s="3" t="s">
        <v>3954</v>
      </c>
      <c r="E3116" s="3" t="s">
        <v>4257</v>
      </c>
      <c r="F3116" s="3" t="s">
        <v>4444</v>
      </c>
      <c r="G3116" s="3" t="s">
        <v>4483</v>
      </c>
      <c r="H3116" s="6">
        <v>3.07918</v>
      </c>
      <c r="I3116" s="6">
        <v>1199.9965570481172</v>
      </c>
      <c r="J3116" s="3" t="s">
        <v>3356</v>
      </c>
      <c r="L3116" s="1" t="s">
        <v>6135</v>
      </c>
    </row>
    <row r="3117" spans="1:12">
      <c r="A3117" s="3" t="s">
        <v>7297</v>
      </c>
      <c r="C3117" s="3" t="s">
        <v>3817</v>
      </c>
      <c r="D3117" s="3" t="s">
        <v>3954</v>
      </c>
      <c r="E3117" s="3" t="s">
        <v>4257</v>
      </c>
      <c r="F3117" s="3" t="s">
        <v>3819</v>
      </c>
      <c r="G3117" s="3" t="s">
        <v>3820</v>
      </c>
      <c r="H3117" s="6">
        <v>3.5921799999999999</v>
      </c>
      <c r="I3117" s="6">
        <v>3910.0291936232725</v>
      </c>
      <c r="J3117" s="3" t="s">
        <v>3356</v>
      </c>
      <c r="L3117" s="1" t="s">
        <v>6135</v>
      </c>
    </row>
    <row r="3118" spans="1:12">
      <c r="A3118" s="3" t="s">
        <v>7297</v>
      </c>
      <c r="C3118" s="3" t="s">
        <v>3817</v>
      </c>
      <c r="D3118" s="3" t="s">
        <v>3954</v>
      </c>
      <c r="E3118" s="3" t="s">
        <v>4257</v>
      </c>
      <c r="F3118" s="3" t="s">
        <v>3821</v>
      </c>
      <c r="G3118" s="3" t="s">
        <v>4298</v>
      </c>
      <c r="H3118" s="6">
        <v>3</v>
      </c>
      <c r="I3118" s="6">
        <v>1000</v>
      </c>
      <c r="J3118" s="3" t="s">
        <v>3356</v>
      </c>
      <c r="L3118" s="1" t="s">
        <v>6135</v>
      </c>
    </row>
    <row r="3119" spans="1:12">
      <c r="A3119" s="3" t="s">
        <v>7297</v>
      </c>
      <c r="C3119" s="3" t="s">
        <v>3817</v>
      </c>
      <c r="D3119" s="3" t="s">
        <v>3954</v>
      </c>
      <c r="E3119" s="3" t="s">
        <v>4257</v>
      </c>
      <c r="F3119" s="3" t="s">
        <v>3821</v>
      </c>
      <c r="G3119" s="3" t="s">
        <v>3822</v>
      </c>
      <c r="H3119" s="6">
        <v>3.50515</v>
      </c>
      <c r="I3119" s="6">
        <v>3200.0001597448445</v>
      </c>
      <c r="J3119" s="3" t="s">
        <v>3356</v>
      </c>
      <c r="L3119" s="1" t="s">
        <v>6135</v>
      </c>
    </row>
    <row r="3120" spans="1:12">
      <c r="A3120" s="3" t="s">
        <v>7297</v>
      </c>
      <c r="C3120" s="3" t="s">
        <v>3817</v>
      </c>
      <c r="D3120" s="3" t="s">
        <v>3954</v>
      </c>
      <c r="E3120" s="3" t="s">
        <v>4257</v>
      </c>
      <c r="F3120" s="3" t="s">
        <v>4447</v>
      </c>
      <c r="G3120" s="3" t="s">
        <v>4456</v>
      </c>
      <c r="H3120" s="6">
        <v>3.81657</v>
      </c>
      <c r="I3120" s="6">
        <v>6554.9593078038397</v>
      </c>
      <c r="J3120" s="3" t="s">
        <v>3356</v>
      </c>
      <c r="L3120" s="1" t="s">
        <v>6135</v>
      </c>
    </row>
    <row r="3121" spans="1:12">
      <c r="A3121" s="3" t="s">
        <v>7297</v>
      </c>
      <c r="C3121" s="3" t="s">
        <v>3817</v>
      </c>
      <c r="D3121" s="3" t="s">
        <v>3954</v>
      </c>
      <c r="E3121" s="3" t="s">
        <v>4257</v>
      </c>
      <c r="F3121" s="3" t="s">
        <v>4447</v>
      </c>
      <c r="G3121" s="3" t="s">
        <v>4049</v>
      </c>
      <c r="H3121" s="6">
        <v>3.8750599999999999</v>
      </c>
      <c r="I3121" s="6">
        <v>7499.9781820300241</v>
      </c>
      <c r="J3121" s="3" t="s">
        <v>3356</v>
      </c>
      <c r="L3121" s="1" t="s">
        <v>6135</v>
      </c>
    </row>
    <row r="3122" spans="1:12">
      <c r="A3122" s="3" t="s">
        <v>7297</v>
      </c>
      <c r="C3122" s="3" t="s">
        <v>3817</v>
      </c>
      <c r="D3122" s="3" t="s">
        <v>3954</v>
      </c>
      <c r="E3122" s="3" t="s">
        <v>4257</v>
      </c>
      <c r="F3122" s="3" t="s">
        <v>4050</v>
      </c>
      <c r="G3122" s="3" t="s">
        <v>4051</v>
      </c>
      <c r="H3122" s="6">
        <v>2.3521800000000002</v>
      </c>
      <c r="I3122" s="6">
        <v>224.9986954165031</v>
      </c>
      <c r="J3122" s="3" t="s">
        <v>3356</v>
      </c>
      <c r="L3122" s="1" t="s">
        <v>6135</v>
      </c>
    </row>
    <row r="3123" spans="1:12">
      <c r="A3123" s="3" t="s">
        <v>7297</v>
      </c>
      <c r="C3123" s="3" t="s">
        <v>3817</v>
      </c>
      <c r="D3123" s="3" t="s">
        <v>3954</v>
      </c>
      <c r="E3123" s="3" t="s">
        <v>4257</v>
      </c>
      <c r="F3123" s="3" t="s">
        <v>4479</v>
      </c>
      <c r="G3123" s="3" t="s">
        <v>4052</v>
      </c>
      <c r="H3123" s="6">
        <v>2.7299699999999998</v>
      </c>
      <c r="I3123" s="6">
        <v>536.99470080923902</v>
      </c>
      <c r="J3123" s="3" t="s">
        <v>3356</v>
      </c>
      <c r="L3123" s="1" t="s">
        <v>6135</v>
      </c>
    </row>
    <row r="3124" spans="1:12">
      <c r="A3124" s="3" t="s">
        <v>7297</v>
      </c>
      <c r="C3124" s="3" t="s">
        <v>3817</v>
      </c>
      <c r="D3124" s="3" t="s">
        <v>3954</v>
      </c>
      <c r="E3124" s="3" t="s">
        <v>4257</v>
      </c>
      <c r="F3124" s="3" t="s">
        <v>4479</v>
      </c>
      <c r="G3124" s="3" t="s">
        <v>3811</v>
      </c>
      <c r="H3124" s="6">
        <v>2.3249</v>
      </c>
      <c r="I3124" s="6">
        <v>211.30024470241329</v>
      </c>
      <c r="J3124" s="3" t="s">
        <v>3356</v>
      </c>
      <c r="L3124" s="1" t="s">
        <v>6135</v>
      </c>
    </row>
    <row r="3125" spans="1:12">
      <c r="A3125" s="3" t="s">
        <v>7297</v>
      </c>
      <c r="C3125" s="3" t="s">
        <v>3817</v>
      </c>
      <c r="D3125" s="3" t="s">
        <v>3954</v>
      </c>
      <c r="E3125" s="3" t="s">
        <v>4257</v>
      </c>
      <c r="F3125" s="3" t="s">
        <v>4479</v>
      </c>
      <c r="G3125" s="3" t="s">
        <v>4488</v>
      </c>
      <c r="H3125" s="6">
        <v>2.1673200000000001</v>
      </c>
      <c r="I3125" s="6">
        <v>147.00090213722874</v>
      </c>
      <c r="J3125" s="3" t="s">
        <v>3356</v>
      </c>
      <c r="L3125" s="1" t="s">
        <v>6135</v>
      </c>
    </row>
    <row r="3126" spans="1:12">
      <c r="A3126" s="3" t="s">
        <v>7297</v>
      </c>
      <c r="C3126" s="3" t="s">
        <v>3817</v>
      </c>
      <c r="D3126" s="3" t="s">
        <v>3954</v>
      </c>
      <c r="E3126" s="3" t="s">
        <v>4257</v>
      </c>
      <c r="F3126" s="3" t="s">
        <v>3812</v>
      </c>
      <c r="G3126" s="3" t="s">
        <v>4467</v>
      </c>
      <c r="H3126" s="6">
        <v>4.3802099999999999</v>
      </c>
      <c r="I3126" s="6">
        <v>23999.931380578884</v>
      </c>
      <c r="J3126" s="3" t="s">
        <v>3356</v>
      </c>
      <c r="L3126" s="1" t="s">
        <v>6135</v>
      </c>
    </row>
    <row r="3127" spans="1:12">
      <c r="A3127" s="3" t="s">
        <v>7297</v>
      </c>
      <c r="C3127" s="3" t="s">
        <v>3817</v>
      </c>
      <c r="D3127" s="3" t="s">
        <v>3954</v>
      </c>
      <c r="E3127" s="3" t="s">
        <v>2127</v>
      </c>
      <c r="F3127" s="3" t="s">
        <v>4086</v>
      </c>
      <c r="G3127" s="3" t="s">
        <v>4087</v>
      </c>
      <c r="H3127" s="6">
        <v>3.0916700000000001</v>
      </c>
      <c r="I3127" s="6">
        <v>1235.0086516929125</v>
      </c>
      <c r="J3127" s="3" t="s">
        <v>3356</v>
      </c>
      <c r="L3127" s="1" t="s">
        <v>6135</v>
      </c>
    </row>
    <row r="3128" spans="1:12">
      <c r="A3128" s="3" t="s">
        <v>7297</v>
      </c>
      <c r="C3128" s="3" t="s">
        <v>3817</v>
      </c>
      <c r="D3128" s="3" t="s">
        <v>3954</v>
      </c>
      <c r="E3128" s="3" t="s">
        <v>2127</v>
      </c>
      <c r="F3128" s="3" t="s">
        <v>4086</v>
      </c>
      <c r="G3128" s="3" t="s">
        <v>3893</v>
      </c>
      <c r="H3128" s="6">
        <v>3.0916700000000001</v>
      </c>
      <c r="I3128" s="6">
        <v>1235.0086516929125</v>
      </c>
      <c r="J3128" s="3" t="s">
        <v>3356</v>
      </c>
      <c r="L3128" s="1" t="s">
        <v>6135</v>
      </c>
    </row>
    <row r="3129" spans="1:12">
      <c r="A3129" s="3" t="s">
        <v>7297</v>
      </c>
      <c r="C3129" s="3" t="s">
        <v>3817</v>
      </c>
      <c r="D3129" s="3" t="s">
        <v>3954</v>
      </c>
      <c r="E3129" s="3" t="s">
        <v>2127</v>
      </c>
      <c r="F3129" s="3" t="s">
        <v>4086</v>
      </c>
      <c r="G3129" s="3" t="s">
        <v>4629</v>
      </c>
      <c r="H3129" s="6">
        <v>3.0969099999999998</v>
      </c>
      <c r="I3129" s="6">
        <v>1249.9999625598048</v>
      </c>
      <c r="J3129" s="3" t="s">
        <v>3356</v>
      </c>
      <c r="L3129" s="1" t="s">
        <v>6135</v>
      </c>
    </row>
    <row r="3130" spans="1:12">
      <c r="A3130" s="3" t="s">
        <v>7297</v>
      </c>
      <c r="C3130" s="3" t="s">
        <v>3817</v>
      </c>
      <c r="D3130" s="3" t="s">
        <v>3954</v>
      </c>
      <c r="E3130" s="3" t="s">
        <v>2127</v>
      </c>
      <c r="F3130" s="3" t="s">
        <v>4750</v>
      </c>
      <c r="G3130" s="3" t="s">
        <v>4617</v>
      </c>
      <c r="H3130" s="6">
        <v>3.6053099999999998</v>
      </c>
      <c r="I3130" s="6">
        <v>4030.0459691891647</v>
      </c>
      <c r="J3130" s="3" t="s">
        <v>3356</v>
      </c>
      <c r="L3130" s="1" t="s">
        <v>6135</v>
      </c>
    </row>
    <row r="3131" spans="1:12">
      <c r="A3131" s="3" t="s">
        <v>7297</v>
      </c>
      <c r="C3131" s="3" t="s">
        <v>3817</v>
      </c>
      <c r="D3131" s="3" t="s">
        <v>3954</v>
      </c>
      <c r="E3131" s="3" t="s">
        <v>2127</v>
      </c>
      <c r="F3131" s="3" t="s">
        <v>4750</v>
      </c>
      <c r="G3131" s="3" t="s">
        <v>7215</v>
      </c>
      <c r="H3131" s="6">
        <v>3.5790799999999998</v>
      </c>
      <c r="I3131" s="6">
        <v>3793.8486381195939</v>
      </c>
      <c r="J3131" s="3" t="s">
        <v>3356</v>
      </c>
      <c r="L3131" s="1" t="s">
        <v>6135</v>
      </c>
    </row>
    <row r="3132" spans="1:12">
      <c r="A3132" s="3" t="s">
        <v>7297</v>
      </c>
      <c r="C3132" s="3" t="s">
        <v>3817</v>
      </c>
      <c r="D3132" s="3" t="s">
        <v>3954</v>
      </c>
      <c r="E3132" s="3" t="s">
        <v>2127</v>
      </c>
      <c r="F3132" s="3" t="s">
        <v>4618</v>
      </c>
      <c r="G3132" s="3" t="s">
        <v>4619</v>
      </c>
      <c r="H3132" s="6">
        <v>3.1271</v>
      </c>
      <c r="I3132" s="6">
        <v>1339.9851948997987</v>
      </c>
      <c r="J3132" s="3" t="s">
        <v>3356</v>
      </c>
      <c r="L3132" s="1" t="s">
        <v>6135</v>
      </c>
    </row>
    <row r="3133" spans="1:12">
      <c r="A3133" s="3" t="s">
        <v>7297</v>
      </c>
      <c r="C3133" s="3" t="s">
        <v>3817</v>
      </c>
      <c r="D3133" s="3" t="s">
        <v>3954</v>
      </c>
      <c r="E3133" s="3" t="s">
        <v>2127</v>
      </c>
      <c r="F3133" s="3" t="s">
        <v>7216</v>
      </c>
      <c r="G3133" s="3" t="s">
        <v>7217</v>
      </c>
      <c r="H3133" s="6">
        <v>3.2135199999999999</v>
      </c>
      <c r="I3133" s="6">
        <v>1635.0084443175422</v>
      </c>
      <c r="J3133" s="3" t="s">
        <v>3356</v>
      </c>
      <c r="L3133" s="1" t="s">
        <v>6135</v>
      </c>
    </row>
    <row r="3134" spans="1:12">
      <c r="A3134" s="3" t="s">
        <v>7297</v>
      </c>
      <c r="C3134" s="3" t="s">
        <v>3817</v>
      </c>
      <c r="D3134" s="3" t="s">
        <v>3954</v>
      </c>
      <c r="E3134" s="3" t="s">
        <v>2127</v>
      </c>
      <c r="F3134" s="3" t="s">
        <v>7218</v>
      </c>
      <c r="G3134" s="3" t="s">
        <v>7689</v>
      </c>
      <c r="H3134" s="6">
        <v>3.84198</v>
      </c>
      <c r="I3134" s="6">
        <v>6949.9231127311632</v>
      </c>
      <c r="J3134" s="3" t="s">
        <v>3356</v>
      </c>
      <c r="L3134" s="1" t="s">
        <v>6135</v>
      </c>
    </row>
    <row r="3135" spans="1:12">
      <c r="A3135" s="3" t="s">
        <v>7297</v>
      </c>
      <c r="C3135" s="3" t="s">
        <v>3817</v>
      </c>
      <c r="D3135" s="3" t="s">
        <v>3954</v>
      </c>
      <c r="E3135" s="3" t="s">
        <v>7434</v>
      </c>
      <c r="F3135" s="3" t="s">
        <v>4906</v>
      </c>
      <c r="G3135" s="3" t="s">
        <v>4907</v>
      </c>
      <c r="H3135" s="6">
        <v>5.1461300000000003</v>
      </c>
      <c r="I3135" s="6">
        <v>140000.63322395334</v>
      </c>
      <c r="J3135" s="3" t="s">
        <v>3356</v>
      </c>
      <c r="L3135" s="1" t="s">
        <v>6135</v>
      </c>
    </row>
    <row r="3136" spans="1:12">
      <c r="A3136" s="3" t="s">
        <v>7297</v>
      </c>
      <c r="C3136" s="3" t="s">
        <v>3817</v>
      </c>
      <c r="D3136" s="3" t="s">
        <v>4370</v>
      </c>
      <c r="E3136" s="3" t="s">
        <v>4371</v>
      </c>
      <c r="F3136" s="3" t="s">
        <v>4365</v>
      </c>
      <c r="G3136" s="3" t="s">
        <v>3062</v>
      </c>
      <c r="H3136" s="6">
        <v>2.4727600000000001</v>
      </c>
      <c r="I3136" s="6">
        <v>297.00242820745564</v>
      </c>
      <c r="J3136" s="3" t="s">
        <v>3356</v>
      </c>
      <c r="L3136" s="1" t="s">
        <v>6135</v>
      </c>
    </row>
    <row r="3137" spans="1:12">
      <c r="A3137" s="3" t="s">
        <v>7297</v>
      </c>
      <c r="C3137" s="3" t="s">
        <v>3817</v>
      </c>
      <c r="D3137" s="3" t="s">
        <v>4370</v>
      </c>
      <c r="E3137" s="3" t="s">
        <v>4371</v>
      </c>
      <c r="F3137" s="3" t="s">
        <v>4365</v>
      </c>
      <c r="G3137" s="3" t="s">
        <v>4378</v>
      </c>
      <c r="H3137" s="6">
        <v>2.5118800000000001</v>
      </c>
      <c r="I3137" s="6">
        <v>324.99748485427989</v>
      </c>
      <c r="J3137" s="3" t="s">
        <v>3356</v>
      </c>
      <c r="L3137" s="1" t="s">
        <v>6135</v>
      </c>
    </row>
    <row r="3138" spans="1:12">
      <c r="A3138" s="3" t="s">
        <v>7297</v>
      </c>
      <c r="C3138" s="3" t="s">
        <v>3817</v>
      </c>
      <c r="D3138" s="3" t="s">
        <v>4370</v>
      </c>
      <c r="E3138" s="3" t="s">
        <v>4371</v>
      </c>
      <c r="F3138" s="3" t="s">
        <v>4365</v>
      </c>
      <c r="G3138" s="3" t="s">
        <v>7190</v>
      </c>
      <c r="H3138" s="6">
        <v>2.3603100000000001</v>
      </c>
      <c r="I3138" s="6">
        <v>229.25034610086669</v>
      </c>
      <c r="J3138" s="3" t="s">
        <v>3356</v>
      </c>
      <c r="L3138" s="1" t="s">
        <v>6135</v>
      </c>
    </row>
    <row r="3139" spans="1:12">
      <c r="A3139" s="3" t="s">
        <v>7297</v>
      </c>
      <c r="C3139" s="3" t="s">
        <v>3817</v>
      </c>
      <c r="D3139" s="3" t="s">
        <v>4370</v>
      </c>
      <c r="E3139" s="3" t="s">
        <v>4371</v>
      </c>
      <c r="F3139" s="3" t="s">
        <v>3477</v>
      </c>
      <c r="G3139" s="3" t="s">
        <v>3478</v>
      </c>
      <c r="H3139" s="6">
        <v>2.3979400000000002</v>
      </c>
      <c r="I3139" s="6">
        <v>249.99999500797404</v>
      </c>
      <c r="J3139" s="3" t="s">
        <v>3356</v>
      </c>
      <c r="L3139" s="1" t="s">
        <v>6135</v>
      </c>
    </row>
    <row r="3140" spans="1:12">
      <c r="A3140" s="3" t="s">
        <v>7297</v>
      </c>
      <c r="C3140" s="3" t="s">
        <v>3817</v>
      </c>
      <c r="D3140" s="3" t="s">
        <v>4370</v>
      </c>
      <c r="E3140" s="3" t="s">
        <v>4371</v>
      </c>
      <c r="F3140" s="3" t="s">
        <v>3063</v>
      </c>
      <c r="G3140" s="3" t="s">
        <v>4171</v>
      </c>
      <c r="H3140" s="6">
        <v>2.9758900000000001</v>
      </c>
      <c r="I3140" s="6">
        <v>945.99752464115022</v>
      </c>
      <c r="J3140" s="3" t="s">
        <v>3356</v>
      </c>
      <c r="L3140" s="1" t="s">
        <v>6135</v>
      </c>
    </row>
    <row r="3141" spans="1:12">
      <c r="A3141" s="3" t="s">
        <v>7297</v>
      </c>
      <c r="C3141" s="3" t="s">
        <v>3817</v>
      </c>
      <c r="D3141" s="3" t="s">
        <v>4370</v>
      </c>
      <c r="E3141" s="3" t="s">
        <v>4371</v>
      </c>
      <c r="F3141" s="3" t="s">
        <v>7179</v>
      </c>
      <c r="G3141" s="3" t="s">
        <v>4379</v>
      </c>
      <c r="H3141" s="6">
        <v>2.9561700000000002</v>
      </c>
      <c r="I3141" s="6">
        <v>904.00326702938889</v>
      </c>
      <c r="J3141" s="3" t="s">
        <v>3356</v>
      </c>
      <c r="L3141" s="1" t="s">
        <v>6135</v>
      </c>
    </row>
    <row r="3142" spans="1:12">
      <c r="A3142" s="3" t="s">
        <v>7297</v>
      </c>
      <c r="C3142" s="3" t="s">
        <v>3817</v>
      </c>
      <c r="D3142" s="3" t="s">
        <v>4370</v>
      </c>
      <c r="E3142" s="3" t="s">
        <v>4371</v>
      </c>
      <c r="F3142" s="3" t="s">
        <v>7179</v>
      </c>
      <c r="G3142" s="3" t="s">
        <v>4380</v>
      </c>
      <c r="H3142" s="6">
        <v>3.06595</v>
      </c>
      <c r="I3142" s="6">
        <v>1163.9920121632088</v>
      </c>
      <c r="J3142" s="3" t="s">
        <v>3356</v>
      </c>
      <c r="L3142" s="1" t="s">
        <v>6135</v>
      </c>
    </row>
    <row r="3143" spans="1:12">
      <c r="A3143" s="3" t="s">
        <v>7297</v>
      </c>
      <c r="C3143" s="3" t="s">
        <v>3817</v>
      </c>
      <c r="D3143" s="3" t="s">
        <v>4370</v>
      </c>
      <c r="E3143" s="3" t="s">
        <v>4371</v>
      </c>
      <c r="F3143" s="3" t="s">
        <v>7179</v>
      </c>
      <c r="G3143" s="3" t="s">
        <v>3170</v>
      </c>
      <c r="H3143" s="6">
        <v>3.03789</v>
      </c>
      <c r="I3143" s="6">
        <v>1091.1639266880236</v>
      </c>
      <c r="J3143" s="3" t="s">
        <v>3356</v>
      </c>
      <c r="L3143" s="1" t="s">
        <v>6135</v>
      </c>
    </row>
    <row r="3144" spans="1:12">
      <c r="A3144" s="3" t="s">
        <v>7297</v>
      </c>
      <c r="C3144" s="3" t="s">
        <v>3817</v>
      </c>
      <c r="D3144" s="3" t="s">
        <v>4370</v>
      </c>
      <c r="E3144" s="3" t="s">
        <v>4371</v>
      </c>
      <c r="F3144" s="3" t="s">
        <v>4548</v>
      </c>
      <c r="G3144" s="3" t="s">
        <v>4549</v>
      </c>
      <c r="H3144" s="6">
        <v>2.0569000000000002</v>
      </c>
      <c r="I3144" s="6">
        <v>113.99872655699784</v>
      </c>
      <c r="J3144" s="3" t="s">
        <v>3356</v>
      </c>
      <c r="L3144" s="1" t="s">
        <v>6135</v>
      </c>
    </row>
    <row r="3145" spans="1:12">
      <c r="A3145" s="3" t="s">
        <v>7297</v>
      </c>
      <c r="C3145" s="3" t="s">
        <v>3817</v>
      </c>
      <c r="D3145" s="3" t="s">
        <v>4370</v>
      </c>
      <c r="E3145" s="3" t="s">
        <v>4371</v>
      </c>
      <c r="F3145" s="3" t="s">
        <v>4550</v>
      </c>
      <c r="G3145" s="3" t="s">
        <v>4555</v>
      </c>
      <c r="H3145" s="6">
        <v>1.31175</v>
      </c>
      <c r="I3145" s="6">
        <v>20.499817747416984</v>
      </c>
      <c r="J3145" s="3" t="s">
        <v>3356</v>
      </c>
      <c r="L3145" s="1" t="s">
        <v>6135</v>
      </c>
    </row>
    <row r="3146" spans="1:12">
      <c r="A3146" s="3" t="s">
        <v>7297</v>
      </c>
      <c r="C3146" s="3" t="s">
        <v>3817</v>
      </c>
      <c r="D3146" s="3" t="s">
        <v>4370</v>
      </c>
      <c r="E3146" s="3" t="s">
        <v>4371</v>
      </c>
      <c r="F3146" s="3" t="s">
        <v>4550</v>
      </c>
      <c r="G3146" s="3" t="s">
        <v>4399</v>
      </c>
      <c r="H3146" s="6">
        <v>1.3424199999999999</v>
      </c>
      <c r="I3146" s="6">
        <v>21.999864198351659</v>
      </c>
      <c r="J3146" s="3" t="s">
        <v>3356</v>
      </c>
      <c r="L3146" s="1" t="s">
        <v>6135</v>
      </c>
    </row>
    <row r="3147" spans="1:12">
      <c r="A3147" s="3" t="s">
        <v>7297</v>
      </c>
      <c r="C3147" s="3" t="s">
        <v>3817</v>
      </c>
      <c r="D3147" s="3" t="s">
        <v>4370</v>
      </c>
      <c r="E3147" s="3" t="s">
        <v>4371</v>
      </c>
      <c r="F3147" s="3" t="s">
        <v>4550</v>
      </c>
      <c r="G3147" s="3" t="s">
        <v>4400</v>
      </c>
      <c r="H3147" s="6">
        <v>1.2552700000000001</v>
      </c>
      <c r="I3147" s="6">
        <v>17.999896172455941</v>
      </c>
      <c r="J3147" s="3" t="s">
        <v>3356</v>
      </c>
      <c r="L3147" s="1" t="s">
        <v>6135</v>
      </c>
    </row>
    <row r="3148" spans="1:12">
      <c r="A3148" s="3" t="s">
        <v>7297</v>
      </c>
      <c r="C3148" s="3" t="s">
        <v>3817</v>
      </c>
      <c r="D3148" s="3" t="s">
        <v>4370</v>
      </c>
      <c r="E3148" s="3" t="s">
        <v>4371</v>
      </c>
      <c r="F3148" s="3" t="s">
        <v>4550</v>
      </c>
      <c r="G3148" s="3" t="s">
        <v>7400</v>
      </c>
      <c r="H3148" s="6">
        <v>0.88080999999999998</v>
      </c>
      <c r="I3148" s="6">
        <v>7.5999371366152699</v>
      </c>
      <c r="J3148" s="3" t="s">
        <v>3356</v>
      </c>
      <c r="L3148" s="1" t="s">
        <v>6135</v>
      </c>
    </row>
    <row r="3149" spans="1:12">
      <c r="A3149" s="3" t="s">
        <v>7297</v>
      </c>
      <c r="C3149" s="3" t="s">
        <v>3817</v>
      </c>
      <c r="D3149" s="3" t="s">
        <v>4370</v>
      </c>
      <c r="E3149" s="3" t="s">
        <v>4371</v>
      </c>
      <c r="F3149" s="3" t="s">
        <v>4550</v>
      </c>
      <c r="G3149" s="3" t="s">
        <v>7401</v>
      </c>
      <c r="H3149" s="6">
        <v>1.3765799999999999</v>
      </c>
      <c r="I3149" s="6">
        <v>23.800166758528491</v>
      </c>
      <c r="J3149" s="3" t="s">
        <v>3356</v>
      </c>
      <c r="L3149" s="1" t="s">
        <v>6135</v>
      </c>
    </row>
    <row r="3150" spans="1:12">
      <c r="A3150" s="3" t="s">
        <v>7297</v>
      </c>
      <c r="C3150" s="3" t="s">
        <v>3817</v>
      </c>
      <c r="D3150" s="3" t="s">
        <v>4370</v>
      </c>
      <c r="E3150" s="3" t="s">
        <v>4371</v>
      </c>
      <c r="F3150" s="3" t="s">
        <v>4550</v>
      </c>
      <c r="G3150" s="3" t="s">
        <v>7402</v>
      </c>
      <c r="H3150" s="6">
        <v>1.49136</v>
      </c>
      <c r="I3150" s="6">
        <v>30.999879094111858</v>
      </c>
      <c r="J3150" s="3" t="s">
        <v>3356</v>
      </c>
      <c r="L3150" s="1" t="s">
        <v>6135</v>
      </c>
    </row>
    <row r="3151" spans="1:12">
      <c r="A3151" s="3" t="s">
        <v>7297</v>
      </c>
      <c r="C3151" s="3" t="s">
        <v>3817</v>
      </c>
      <c r="D3151" s="3" t="s">
        <v>4370</v>
      </c>
      <c r="E3151" s="3" t="s">
        <v>4371</v>
      </c>
      <c r="F3151" s="3" t="s">
        <v>7403</v>
      </c>
      <c r="G3151" s="3" t="s">
        <v>7404</v>
      </c>
      <c r="H3151" s="6">
        <v>1.8808100000000001</v>
      </c>
      <c r="I3151" s="6">
        <v>75.999371366152715</v>
      </c>
      <c r="J3151" s="3" t="s">
        <v>3356</v>
      </c>
      <c r="L3151" s="1" t="s">
        <v>6135</v>
      </c>
    </row>
    <row r="3152" spans="1:12">
      <c r="A3152" s="3" t="s">
        <v>7297</v>
      </c>
      <c r="C3152" s="3" t="s">
        <v>3817</v>
      </c>
      <c r="D3152" s="3" t="s">
        <v>4370</v>
      </c>
      <c r="E3152" s="3" t="s">
        <v>4371</v>
      </c>
      <c r="F3152" s="3" t="s">
        <v>4401</v>
      </c>
      <c r="G3152" s="3" t="s">
        <v>4503</v>
      </c>
      <c r="H3152" s="6">
        <v>2.7302200000000001</v>
      </c>
      <c r="I3152" s="6">
        <v>537.30390879618881</v>
      </c>
      <c r="J3152" s="3" t="s">
        <v>3356</v>
      </c>
      <c r="L3152" s="1" t="s">
        <v>6135</v>
      </c>
    </row>
    <row r="3153" spans="1:12">
      <c r="A3153" s="3" t="s">
        <v>7297</v>
      </c>
      <c r="C3153" s="3" t="s">
        <v>3817</v>
      </c>
      <c r="D3153" s="3" t="s">
        <v>4370</v>
      </c>
      <c r="E3153" s="3" t="s">
        <v>4371</v>
      </c>
      <c r="F3153" s="3" t="s">
        <v>4373</v>
      </c>
      <c r="G3153" s="3" t="s">
        <v>4402</v>
      </c>
      <c r="H3153" s="6">
        <v>1.67578</v>
      </c>
      <c r="I3153" s="6">
        <v>47.400180994237154</v>
      </c>
      <c r="J3153" s="3" t="s">
        <v>3356</v>
      </c>
      <c r="L3153" s="1" t="s">
        <v>6135</v>
      </c>
    </row>
    <row r="3154" spans="1:12">
      <c r="A3154" s="3" t="s">
        <v>7297</v>
      </c>
      <c r="C3154" s="3" t="s">
        <v>3817</v>
      </c>
      <c r="D3154" s="3" t="s">
        <v>4370</v>
      </c>
      <c r="E3154" s="3" t="s">
        <v>4371</v>
      </c>
      <c r="F3154" s="3" t="s">
        <v>4373</v>
      </c>
      <c r="G3154" s="3" t="s">
        <v>4403</v>
      </c>
      <c r="H3154" s="6">
        <v>1.1461300000000001</v>
      </c>
      <c r="I3154" s="6">
        <v>14.000063322395309</v>
      </c>
      <c r="J3154" s="3" t="s">
        <v>3356</v>
      </c>
      <c r="L3154" s="1" t="s">
        <v>6135</v>
      </c>
    </row>
    <row r="3155" spans="1:12">
      <c r="A3155" s="3" t="s">
        <v>7297</v>
      </c>
      <c r="C3155" s="3" t="s">
        <v>3817</v>
      </c>
      <c r="D3155" s="3" t="s">
        <v>4370</v>
      </c>
      <c r="E3155" s="3" t="s">
        <v>4371</v>
      </c>
      <c r="F3155" s="3" t="s">
        <v>4373</v>
      </c>
      <c r="G3155" s="3" t="s">
        <v>4375</v>
      </c>
      <c r="H3155" s="6">
        <v>1.69417</v>
      </c>
      <c r="I3155" s="6">
        <v>49.450421757337679</v>
      </c>
      <c r="J3155" s="3" t="s">
        <v>3356</v>
      </c>
      <c r="L3155" s="1" t="s">
        <v>6135</v>
      </c>
    </row>
    <row r="3156" spans="1:12">
      <c r="A3156" s="3" t="s">
        <v>7297</v>
      </c>
      <c r="C3156" s="3" t="s">
        <v>3817</v>
      </c>
      <c r="D3156" s="3" t="s">
        <v>4370</v>
      </c>
      <c r="E3156" s="3" t="s">
        <v>4371</v>
      </c>
      <c r="F3156" s="3" t="s">
        <v>4373</v>
      </c>
      <c r="G3156" s="3" t="s">
        <v>4306</v>
      </c>
      <c r="H3156" s="6">
        <v>1.6532100000000001</v>
      </c>
      <c r="I3156" s="6">
        <v>44.999739532580342</v>
      </c>
      <c r="J3156" s="3" t="s">
        <v>3356</v>
      </c>
      <c r="L3156" s="1" t="s">
        <v>6135</v>
      </c>
    </row>
    <row r="3157" spans="1:12">
      <c r="A3157" s="3" t="s">
        <v>7297</v>
      </c>
      <c r="C3157" s="3" t="s">
        <v>3817</v>
      </c>
      <c r="D3157" s="3" t="s">
        <v>4370</v>
      </c>
      <c r="E3157" s="3" t="s">
        <v>4371</v>
      </c>
      <c r="F3157" s="3" t="s">
        <v>4373</v>
      </c>
      <c r="G3157" s="3" t="s">
        <v>4542</v>
      </c>
      <c r="H3157" s="6">
        <v>1.7533300000000001</v>
      </c>
      <c r="I3157" s="6">
        <v>56.666971121453471</v>
      </c>
      <c r="J3157" s="3" t="s">
        <v>3356</v>
      </c>
      <c r="L3157" s="1" t="s">
        <v>6135</v>
      </c>
    </row>
    <row r="3158" spans="1:12">
      <c r="A3158" s="3" t="s">
        <v>7297</v>
      </c>
      <c r="C3158" s="3" t="s">
        <v>3817</v>
      </c>
      <c r="D3158" s="3" t="s">
        <v>4370</v>
      </c>
      <c r="E3158" s="3" t="s">
        <v>4371</v>
      </c>
      <c r="F3158" s="3" t="s">
        <v>4373</v>
      </c>
      <c r="G3158" s="3" t="s">
        <v>4543</v>
      </c>
      <c r="H3158" s="6">
        <v>1.7993399999999999</v>
      </c>
      <c r="I3158" s="6">
        <v>62.999920294741955</v>
      </c>
      <c r="J3158" s="3" t="s">
        <v>3356</v>
      </c>
      <c r="L3158" s="1" t="s">
        <v>6135</v>
      </c>
    </row>
    <row r="3159" spans="1:12">
      <c r="A3159" s="3" t="s">
        <v>7297</v>
      </c>
      <c r="C3159" s="3" t="s">
        <v>3817</v>
      </c>
      <c r="D3159" s="3" t="s">
        <v>4370</v>
      </c>
      <c r="E3159" s="3" t="s">
        <v>4371</v>
      </c>
      <c r="F3159" s="3" t="s">
        <v>4373</v>
      </c>
      <c r="G3159" s="3" t="s">
        <v>7202</v>
      </c>
      <c r="H3159" s="6">
        <v>1.5105500000000001</v>
      </c>
      <c r="I3159" s="6">
        <v>32.400372259471993</v>
      </c>
      <c r="J3159" s="3" t="s">
        <v>3356</v>
      </c>
      <c r="L3159" s="1" t="s">
        <v>6135</v>
      </c>
    </row>
    <row r="3160" spans="1:12">
      <c r="A3160" s="3" t="s">
        <v>7297</v>
      </c>
      <c r="C3160" s="3" t="s">
        <v>3817</v>
      </c>
      <c r="D3160" s="3" t="s">
        <v>4370</v>
      </c>
      <c r="E3160" s="3" t="s">
        <v>4371</v>
      </c>
      <c r="F3160" s="3" t="s">
        <v>4373</v>
      </c>
      <c r="G3160" s="3" t="s">
        <v>7203</v>
      </c>
      <c r="H3160" s="6">
        <v>1.6646399999999999</v>
      </c>
      <c r="I3160" s="6">
        <v>46.199789841940884</v>
      </c>
      <c r="J3160" s="3" t="s">
        <v>3356</v>
      </c>
      <c r="L3160" s="1" t="s">
        <v>6135</v>
      </c>
    </row>
    <row r="3161" spans="1:12">
      <c r="A3161" s="3" t="s">
        <v>7297</v>
      </c>
      <c r="C3161" s="3" t="s">
        <v>3817</v>
      </c>
      <c r="D3161" s="3" t="s">
        <v>4370</v>
      </c>
      <c r="E3161" s="3" t="s">
        <v>4371</v>
      </c>
      <c r="F3161" s="3" t="s">
        <v>7204</v>
      </c>
      <c r="G3161" s="3" t="s">
        <v>4672</v>
      </c>
      <c r="H3161" s="6">
        <v>1.4065399999999999</v>
      </c>
      <c r="I3161" s="6">
        <v>25.499989405656549</v>
      </c>
      <c r="J3161" s="3" t="s">
        <v>3356</v>
      </c>
      <c r="L3161" s="1" t="s">
        <v>6135</v>
      </c>
    </row>
    <row r="3162" spans="1:12">
      <c r="A3162" s="3" t="s">
        <v>7297</v>
      </c>
      <c r="C3162" s="3" t="s">
        <v>3817</v>
      </c>
      <c r="D3162" s="3" t="s">
        <v>4370</v>
      </c>
      <c r="E3162" s="3" t="s">
        <v>4371</v>
      </c>
      <c r="F3162" s="3" t="s">
        <v>7204</v>
      </c>
      <c r="G3162" s="3" t="s">
        <v>4673</v>
      </c>
      <c r="H3162" s="6">
        <v>1.57403</v>
      </c>
      <c r="I3162" s="6">
        <v>37.499890535749245</v>
      </c>
      <c r="J3162" s="3" t="s">
        <v>3356</v>
      </c>
      <c r="L3162" s="1" t="s">
        <v>6135</v>
      </c>
    </row>
    <row r="3163" spans="1:12">
      <c r="A3163" s="3" t="s">
        <v>7297</v>
      </c>
      <c r="C3163" s="3" t="s">
        <v>3817</v>
      </c>
      <c r="D3163" s="3" t="s">
        <v>4370</v>
      </c>
      <c r="E3163" s="3" t="s">
        <v>4371</v>
      </c>
      <c r="F3163" s="3" t="s">
        <v>7204</v>
      </c>
      <c r="G3163" s="3" t="s">
        <v>5000</v>
      </c>
      <c r="H3163" s="6">
        <v>1.7781499999999999</v>
      </c>
      <c r="I3163" s="6">
        <v>59.999827253364401</v>
      </c>
      <c r="J3163" s="3" t="s">
        <v>3356</v>
      </c>
      <c r="L3163" s="1" t="s">
        <v>6135</v>
      </c>
    </row>
    <row r="3164" spans="1:12">
      <c r="A3164" s="3" t="s">
        <v>7297</v>
      </c>
      <c r="C3164" s="3" t="s">
        <v>3817</v>
      </c>
      <c r="D3164" s="3" t="s">
        <v>4370</v>
      </c>
      <c r="E3164" s="3" t="s">
        <v>4371</v>
      </c>
      <c r="F3164" s="3" t="s">
        <v>7204</v>
      </c>
      <c r="G3164" s="3" t="s">
        <v>5001</v>
      </c>
      <c r="H3164" s="6">
        <v>1.4871399999999999</v>
      </c>
      <c r="I3164" s="6">
        <v>30.700114836696603</v>
      </c>
      <c r="J3164" s="3" t="s">
        <v>3356</v>
      </c>
      <c r="L3164" s="1" t="s">
        <v>6135</v>
      </c>
    </row>
    <row r="3165" spans="1:12">
      <c r="A3165" s="3" t="s">
        <v>7297</v>
      </c>
      <c r="C3165" s="3" t="s">
        <v>3817</v>
      </c>
      <c r="D3165" s="3" t="s">
        <v>4370</v>
      </c>
      <c r="E3165" s="3" t="s">
        <v>4371</v>
      </c>
      <c r="F3165" s="3" t="s">
        <v>7204</v>
      </c>
      <c r="G3165" s="3" t="s">
        <v>5002</v>
      </c>
      <c r="H3165" s="6">
        <v>1.51851</v>
      </c>
      <c r="I3165" s="6">
        <v>32.999700628522916</v>
      </c>
      <c r="J3165" s="3" t="s">
        <v>3356</v>
      </c>
      <c r="L3165" s="1" t="s">
        <v>6135</v>
      </c>
    </row>
    <row r="3166" spans="1:12">
      <c r="A3166" s="3" t="s">
        <v>7297</v>
      </c>
      <c r="C3166" s="3" t="s">
        <v>3817</v>
      </c>
      <c r="D3166" s="3" t="s">
        <v>4370</v>
      </c>
      <c r="E3166" s="3" t="s">
        <v>4371</v>
      </c>
      <c r="F3166" s="3" t="s">
        <v>7204</v>
      </c>
      <c r="G3166" s="3" t="s">
        <v>2189</v>
      </c>
      <c r="H3166" s="6">
        <v>1.7944899999999999</v>
      </c>
      <c r="I3166" s="6">
        <v>62.300280209425821</v>
      </c>
      <c r="J3166" s="3" t="s">
        <v>3356</v>
      </c>
      <c r="L3166" s="1" t="s">
        <v>6135</v>
      </c>
    </row>
    <row r="3167" spans="1:12">
      <c r="A3167" s="3" t="s">
        <v>7297</v>
      </c>
      <c r="C3167" s="3" t="s">
        <v>3817</v>
      </c>
      <c r="D3167" s="3" t="s">
        <v>4370</v>
      </c>
      <c r="E3167" s="3" t="s">
        <v>4371</v>
      </c>
      <c r="F3167" s="3" t="s">
        <v>7204</v>
      </c>
      <c r="G3167" s="3" t="s">
        <v>5003</v>
      </c>
      <c r="H3167" s="6">
        <v>1.4653799999999999</v>
      </c>
      <c r="I3167" s="6">
        <v>29.199808282112837</v>
      </c>
      <c r="J3167" s="3" t="s">
        <v>3356</v>
      </c>
      <c r="L3167" s="1" t="s">
        <v>6135</v>
      </c>
    </row>
    <row r="3168" spans="1:12">
      <c r="A3168" s="3" t="s">
        <v>7297</v>
      </c>
      <c r="C3168" s="3" t="s">
        <v>3817</v>
      </c>
      <c r="D3168" s="3" t="s">
        <v>4370</v>
      </c>
      <c r="E3168" s="3" t="s">
        <v>4371</v>
      </c>
      <c r="F3168" s="3" t="s">
        <v>7204</v>
      </c>
      <c r="G3168" s="3" t="s">
        <v>2489</v>
      </c>
      <c r="H3168" s="6">
        <v>1.32222</v>
      </c>
      <c r="I3168" s="6">
        <v>21.000034102666138</v>
      </c>
      <c r="J3168" s="3" t="s">
        <v>3356</v>
      </c>
      <c r="L3168" s="1" t="s">
        <v>6135</v>
      </c>
    </row>
    <row r="3169" spans="1:12">
      <c r="A3169" s="3" t="s">
        <v>7297</v>
      </c>
      <c r="C3169" s="3" t="s">
        <v>3817</v>
      </c>
      <c r="D3169" s="3" t="s">
        <v>4370</v>
      </c>
      <c r="E3169" s="3" t="s">
        <v>4371</v>
      </c>
      <c r="F3169" s="3" t="s">
        <v>7204</v>
      </c>
      <c r="G3169" s="3" t="s">
        <v>2490</v>
      </c>
      <c r="H3169" s="6">
        <v>1.1760900000000001</v>
      </c>
      <c r="I3169" s="6">
        <v>14.999956513820401</v>
      </c>
      <c r="J3169" s="3" t="s">
        <v>3356</v>
      </c>
      <c r="L3169" s="1" t="s">
        <v>6135</v>
      </c>
    </row>
    <row r="3170" spans="1:12">
      <c r="A3170" s="3" t="s">
        <v>7297</v>
      </c>
      <c r="C3170" s="3" t="s">
        <v>3817</v>
      </c>
      <c r="D3170" s="3" t="s">
        <v>4370</v>
      </c>
      <c r="E3170" s="3" t="s">
        <v>4371</v>
      </c>
      <c r="F3170" s="3" t="s">
        <v>2491</v>
      </c>
      <c r="G3170" s="3" t="s">
        <v>2492</v>
      </c>
      <c r="H3170" s="6">
        <v>2.4133</v>
      </c>
      <c r="I3170" s="6">
        <v>259.00014069479346</v>
      </c>
      <c r="J3170" s="3" t="s">
        <v>3356</v>
      </c>
      <c r="L3170" s="1" t="s">
        <v>6135</v>
      </c>
    </row>
    <row r="3171" spans="1:12">
      <c r="A3171" s="3" t="s">
        <v>7297</v>
      </c>
      <c r="C3171" s="3" t="s">
        <v>3817</v>
      </c>
      <c r="D3171" s="3" t="s">
        <v>4370</v>
      </c>
      <c r="E3171" s="3" t="s">
        <v>4371</v>
      </c>
      <c r="F3171" s="3" t="s">
        <v>2327</v>
      </c>
      <c r="G3171" s="3" t="s">
        <v>2328</v>
      </c>
      <c r="H3171" s="6">
        <v>2.1215600000000001</v>
      </c>
      <c r="I3171" s="6">
        <v>132.30004746548298</v>
      </c>
      <c r="J3171" s="3" t="s">
        <v>3356</v>
      </c>
      <c r="L3171" s="1" t="s">
        <v>6135</v>
      </c>
    </row>
    <row r="3172" spans="1:12">
      <c r="A3172" s="3" t="s">
        <v>7297</v>
      </c>
      <c r="C3172" s="3" t="s">
        <v>3817</v>
      </c>
      <c r="D3172" s="3" t="s">
        <v>4370</v>
      </c>
      <c r="E3172" s="3" t="s">
        <v>4371</v>
      </c>
      <c r="F3172" s="3" t="s">
        <v>2327</v>
      </c>
      <c r="G3172" s="3" t="s">
        <v>2476</v>
      </c>
      <c r="H3172" s="6">
        <v>1.95424</v>
      </c>
      <c r="I3172" s="6">
        <v>89.999479963720162</v>
      </c>
      <c r="J3172" s="3" t="s">
        <v>3356</v>
      </c>
      <c r="L3172" s="1" t="s">
        <v>6135</v>
      </c>
    </row>
    <row r="3173" spans="1:12">
      <c r="A3173" s="3" t="s">
        <v>7297</v>
      </c>
      <c r="C3173" s="3" t="s">
        <v>3817</v>
      </c>
      <c r="D3173" s="3" t="s">
        <v>4370</v>
      </c>
      <c r="E3173" s="3" t="s">
        <v>4371</v>
      </c>
      <c r="F3173" s="3" t="s">
        <v>2327</v>
      </c>
      <c r="G3173" s="3" t="s">
        <v>4670</v>
      </c>
      <c r="H3173" s="6">
        <v>2.01912</v>
      </c>
      <c r="I3173" s="6">
        <v>104.50089259696503</v>
      </c>
      <c r="J3173" s="3" t="s">
        <v>3356</v>
      </c>
      <c r="L3173" s="1" t="s">
        <v>6135</v>
      </c>
    </row>
    <row r="3174" spans="1:12">
      <c r="A3174" s="3" t="s">
        <v>7297</v>
      </c>
      <c r="C3174" s="3" t="s">
        <v>3817</v>
      </c>
      <c r="D3174" s="3" t="s">
        <v>4370</v>
      </c>
      <c r="E3174" s="3" t="s">
        <v>4371</v>
      </c>
      <c r="F3174" s="3" t="s">
        <v>2327</v>
      </c>
      <c r="G3174" s="3" t="s">
        <v>2056</v>
      </c>
      <c r="H3174" s="6">
        <v>2.0740799999999999</v>
      </c>
      <c r="I3174" s="6">
        <v>118.59871949616971</v>
      </c>
      <c r="J3174" s="3" t="s">
        <v>3356</v>
      </c>
      <c r="L3174" s="1" t="s">
        <v>6135</v>
      </c>
    </row>
    <row r="3175" spans="1:12">
      <c r="A3175" s="3" t="s">
        <v>7297</v>
      </c>
      <c r="C3175" s="3" t="s">
        <v>3817</v>
      </c>
      <c r="D3175" s="3" t="s">
        <v>4370</v>
      </c>
      <c r="E3175" s="3" t="s">
        <v>4371</v>
      </c>
      <c r="F3175" s="3" t="s">
        <v>2211</v>
      </c>
      <c r="G3175" s="3" t="s">
        <v>7366</v>
      </c>
      <c r="H3175" s="6">
        <v>1.5440700000000001</v>
      </c>
      <c r="I3175" s="6">
        <v>35.000157607101464</v>
      </c>
      <c r="J3175" s="3" t="s">
        <v>3356</v>
      </c>
      <c r="L3175" s="1" t="s">
        <v>6135</v>
      </c>
    </row>
    <row r="3176" spans="1:12">
      <c r="A3176" s="3" t="s">
        <v>7297</v>
      </c>
      <c r="C3176" s="3" t="s">
        <v>3817</v>
      </c>
      <c r="D3176" s="3" t="s">
        <v>4370</v>
      </c>
      <c r="E3176" s="3" t="s">
        <v>4371</v>
      </c>
      <c r="F3176" s="3" t="s">
        <v>2211</v>
      </c>
      <c r="G3176" s="3" t="s">
        <v>3355</v>
      </c>
      <c r="H3176" s="6">
        <v>1.29003</v>
      </c>
      <c r="I3176" s="6">
        <v>19.499792949034692</v>
      </c>
      <c r="J3176" s="3" t="s">
        <v>3356</v>
      </c>
      <c r="L3176" s="1" t="s">
        <v>6135</v>
      </c>
    </row>
    <row r="3177" spans="1:12">
      <c r="A3177" s="3" t="s">
        <v>7297</v>
      </c>
      <c r="C3177" s="3" t="s">
        <v>3817</v>
      </c>
      <c r="D3177" s="3" t="s">
        <v>4370</v>
      </c>
      <c r="E3177" s="3" t="s">
        <v>4371</v>
      </c>
      <c r="F3177" s="3" t="s">
        <v>2211</v>
      </c>
      <c r="G3177" s="3" t="s">
        <v>4679</v>
      </c>
      <c r="H3177" s="6">
        <v>1.84277</v>
      </c>
      <c r="I3177" s="6">
        <v>69.625768216492915</v>
      </c>
      <c r="J3177" s="3" t="s">
        <v>3356</v>
      </c>
      <c r="L3177" s="1" t="s">
        <v>6135</v>
      </c>
    </row>
    <row r="3178" spans="1:12">
      <c r="A3178" s="3" t="s">
        <v>7297</v>
      </c>
      <c r="C3178" s="3" t="s">
        <v>3817</v>
      </c>
      <c r="D3178" s="3" t="s">
        <v>4370</v>
      </c>
      <c r="E3178" s="3" t="s">
        <v>4371</v>
      </c>
      <c r="F3178" s="3" t="s">
        <v>2211</v>
      </c>
      <c r="G3178" s="3" t="s">
        <v>7317</v>
      </c>
      <c r="H3178" s="6">
        <v>1.7634300000000001</v>
      </c>
      <c r="I3178" s="6">
        <v>58.000267960159121</v>
      </c>
      <c r="J3178" s="3" t="s">
        <v>3356</v>
      </c>
      <c r="L3178" s="1" t="s">
        <v>6135</v>
      </c>
    </row>
    <row r="3179" spans="1:12">
      <c r="A3179" s="3" t="s">
        <v>7297</v>
      </c>
      <c r="C3179" s="3" t="s">
        <v>3817</v>
      </c>
      <c r="D3179" s="3" t="s">
        <v>4370</v>
      </c>
      <c r="E3179" s="3" t="s">
        <v>4371</v>
      </c>
      <c r="F3179" s="3" t="s">
        <v>2211</v>
      </c>
      <c r="G3179" s="3" t="s">
        <v>4680</v>
      </c>
      <c r="H3179" s="6">
        <v>1.8536999999999999</v>
      </c>
      <c r="I3179" s="6">
        <v>71.400293992784455</v>
      </c>
      <c r="J3179" s="3" t="s">
        <v>3356</v>
      </c>
      <c r="L3179" s="1" t="s">
        <v>6135</v>
      </c>
    </row>
    <row r="3180" spans="1:12">
      <c r="A3180" s="3" t="s">
        <v>7297</v>
      </c>
      <c r="C3180" s="3" t="s">
        <v>3817</v>
      </c>
      <c r="D3180" s="3" t="s">
        <v>4370</v>
      </c>
      <c r="E3180" s="3" t="s">
        <v>4371</v>
      </c>
      <c r="F3180" s="3" t="s">
        <v>2211</v>
      </c>
      <c r="G3180" s="3" t="s">
        <v>7400</v>
      </c>
      <c r="H3180" s="6">
        <v>1.60206</v>
      </c>
      <c r="I3180" s="6">
        <v>40.000000798724201</v>
      </c>
      <c r="J3180" s="3" t="s">
        <v>3356</v>
      </c>
      <c r="L3180" s="1" t="s">
        <v>6135</v>
      </c>
    </row>
    <row r="3181" spans="1:12">
      <c r="A3181" s="3" t="s">
        <v>7297</v>
      </c>
      <c r="C3181" s="3" t="s">
        <v>3817</v>
      </c>
      <c r="D3181" s="3" t="s">
        <v>4370</v>
      </c>
      <c r="E3181" s="3" t="s">
        <v>4371</v>
      </c>
      <c r="F3181" s="3" t="s">
        <v>2211</v>
      </c>
      <c r="G3181" s="3" t="s">
        <v>4681</v>
      </c>
      <c r="H3181" s="6">
        <v>2.04922</v>
      </c>
      <c r="I3181" s="6">
        <v>112.00050993381923</v>
      </c>
      <c r="J3181" s="3" t="s">
        <v>3356</v>
      </c>
      <c r="L3181" s="1" t="s">
        <v>6135</v>
      </c>
    </row>
    <row r="3182" spans="1:12">
      <c r="A3182" s="3" t="s">
        <v>7297</v>
      </c>
      <c r="C3182" s="3" t="s">
        <v>3817</v>
      </c>
      <c r="D3182" s="3" t="s">
        <v>4370</v>
      </c>
      <c r="E3182" s="3" t="s">
        <v>4371</v>
      </c>
      <c r="F3182" s="3" t="s">
        <v>2211</v>
      </c>
      <c r="G3182" s="3" t="s">
        <v>4682</v>
      </c>
      <c r="H3182" s="6">
        <v>1.05308</v>
      </c>
      <c r="I3182" s="6">
        <v>11.300040499406762</v>
      </c>
      <c r="J3182" s="3" t="s">
        <v>3356</v>
      </c>
      <c r="L3182" s="1" t="s">
        <v>6135</v>
      </c>
    </row>
    <row r="3183" spans="1:12">
      <c r="A3183" s="3" t="s">
        <v>7297</v>
      </c>
      <c r="C3183" s="3" t="s">
        <v>3817</v>
      </c>
      <c r="D3183" s="3" t="s">
        <v>4370</v>
      </c>
      <c r="E3183" s="3" t="s">
        <v>4371</v>
      </c>
      <c r="F3183" s="3" t="s">
        <v>2211</v>
      </c>
      <c r="G3183" s="3" t="s">
        <v>4683</v>
      </c>
      <c r="H3183" s="6">
        <v>2.04922</v>
      </c>
      <c r="I3183" s="6">
        <v>112.00050993381923</v>
      </c>
      <c r="J3183" s="3" t="s">
        <v>3356</v>
      </c>
      <c r="L3183" s="1" t="s">
        <v>6135</v>
      </c>
    </row>
    <row r="3184" spans="1:12">
      <c r="A3184" s="3" t="s">
        <v>7297</v>
      </c>
      <c r="C3184" s="3" t="s">
        <v>3817</v>
      </c>
      <c r="D3184" s="3" t="s">
        <v>4370</v>
      </c>
      <c r="E3184" s="3" t="s">
        <v>4371</v>
      </c>
      <c r="F3184" s="3" t="s">
        <v>2211</v>
      </c>
      <c r="G3184" s="3" t="s">
        <v>4853</v>
      </c>
      <c r="H3184" s="6">
        <v>1.65801</v>
      </c>
      <c r="I3184" s="6">
        <v>45.499853675791265</v>
      </c>
      <c r="J3184" s="3" t="s">
        <v>3356</v>
      </c>
      <c r="L3184" s="1" t="s">
        <v>6135</v>
      </c>
    </row>
    <row r="3185" spans="1:12">
      <c r="A3185" s="3" t="s">
        <v>7297</v>
      </c>
      <c r="C3185" s="3" t="s">
        <v>3817</v>
      </c>
      <c r="D3185" s="3" t="s">
        <v>4370</v>
      </c>
      <c r="E3185" s="3" t="s">
        <v>4371</v>
      </c>
      <c r="F3185" s="3" t="s">
        <v>2211</v>
      </c>
      <c r="G3185" s="3" t="s">
        <v>4854</v>
      </c>
      <c r="H3185" s="6">
        <v>2.8698199999999998</v>
      </c>
      <c r="I3185" s="6">
        <v>741.00305757985143</v>
      </c>
      <c r="J3185" s="3" t="s">
        <v>3356</v>
      </c>
      <c r="L3185" s="1" t="s">
        <v>6135</v>
      </c>
    </row>
    <row r="3186" spans="1:12">
      <c r="A3186" s="3" t="s">
        <v>7297</v>
      </c>
      <c r="C3186" s="3" t="s">
        <v>3817</v>
      </c>
      <c r="D3186" s="3" t="s">
        <v>4370</v>
      </c>
      <c r="E3186" s="3" t="s">
        <v>4371</v>
      </c>
      <c r="F3186" s="3" t="s">
        <v>2211</v>
      </c>
      <c r="G3186" s="3" t="s">
        <v>4983</v>
      </c>
      <c r="H3186" s="6">
        <v>1.6812400000000001</v>
      </c>
      <c r="I3186" s="6">
        <v>47.999863240390923</v>
      </c>
      <c r="J3186" s="3" t="s">
        <v>3356</v>
      </c>
      <c r="L3186" s="1" t="s">
        <v>6135</v>
      </c>
    </row>
    <row r="3187" spans="1:12">
      <c r="A3187" s="3" t="s">
        <v>7297</v>
      </c>
      <c r="C3187" s="3" t="s">
        <v>3817</v>
      </c>
      <c r="D3187" s="3" t="s">
        <v>4370</v>
      </c>
      <c r="E3187" s="3" t="s">
        <v>4371</v>
      </c>
      <c r="F3187" s="3" t="s">
        <v>2211</v>
      </c>
      <c r="G3187" s="3" t="s">
        <v>2073</v>
      </c>
      <c r="H3187" s="6">
        <v>2.04922</v>
      </c>
      <c r="I3187" s="6">
        <v>112.00050993381923</v>
      </c>
      <c r="J3187" s="3" t="s">
        <v>3356</v>
      </c>
      <c r="L3187" s="1" t="s">
        <v>6135</v>
      </c>
    </row>
    <row r="3188" spans="1:12">
      <c r="A3188" s="3" t="s">
        <v>7297</v>
      </c>
      <c r="C3188" s="3" t="s">
        <v>3817</v>
      </c>
      <c r="D3188" s="3" t="s">
        <v>4370</v>
      </c>
      <c r="E3188" s="3" t="s">
        <v>4371</v>
      </c>
      <c r="F3188" s="3" t="s">
        <v>2211</v>
      </c>
      <c r="G3188" s="3" t="s">
        <v>2074</v>
      </c>
      <c r="H3188" s="6">
        <v>1.7427299999999999</v>
      </c>
      <c r="I3188" s="6">
        <v>55.300619948837905</v>
      </c>
      <c r="J3188" s="3" t="s">
        <v>3356</v>
      </c>
      <c r="L3188" s="1" t="s">
        <v>6135</v>
      </c>
    </row>
    <row r="3189" spans="1:12">
      <c r="A3189" s="3" t="s">
        <v>7297</v>
      </c>
      <c r="C3189" s="3" t="s">
        <v>3817</v>
      </c>
      <c r="D3189" s="3" t="s">
        <v>4370</v>
      </c>
      <c r="E3189" s="3" t="s">
        <v>4371</v>
      </c>
      <c r="F3189" s="3" t="s">
        <v>4376</v>
      </c>
      <c r="G3189" s="3" t="s">
        <v>4402</v>
      </c>
      <c r="H3189" s="6">
        <v>2.5118800000000001</v>
      </c>
      <c r="I3189" s="6">
        <v>324.99748485427989</v>
      </c>
      <c r="J3189" s="3" t="s">
        <v>3356</v>
      </c>
      <c r="L3189" s="1" t="s">
        <v>6135</v>
      </c>
    </row>
    <row r="3190" spans="1:12">
      <c r="A3190" s="3" t="s">
        <v>7297</v>
      </c>
      <c r="C3190" s="3" t="s">
        <v>3817</v>
      </c>
      <c r="D3190" s="3" t="s">
        <v>4370</v>
      </c>
      <c r="E3190" s="3" t="s">
        <v>4371</v>
      </c>
      <c r="F3190" s="3" t="s">
        <v>4376</v>
      </c>
      <c r="G3190" s="3" t="s">
        <v>4377</v>
      </c>
      <c r="H3190" s="6">
        <v>2.8750599999999999</v>
      </c>
      <c r="I3190" s="6">
        <v>749.99781820300223</v>
      </c>
      <c r="J3190" s="3" t="s">
        <v>3356</v>
      </c>
      <c r="L3190" s="1" t="s">
        <v>6135</v>
      </c>
    </row>
    <row r="3191" spans="1:12">
      <c r="A3191" s="3" t="s">
        <v>7297</v>
      </c>
      <c r="C3191" s="3" t="s">
        <v>3817</v>
      </c>
      <c r="D3191" s="3" t="s">
        <v>4370</v>
      </c>
      <c r="E3191" s="3" t="s">
        <v>4371</v>
      </c>
      <c r="F3191" s="3" t="s">
        <v>2075</v>
      </c>
      <c r="G3191" s="3" t="s">
        <v>2076</v>
      </c>
      <c r="H3191" s="6">
        <v>1.4609000000000001</v>
      </c>
      <c r="I3191" s="6">
        <v>28.900143553494715</v>
      </c>
      <c r="J3191" s="3" t="s">
        <v>3356</v>
      </c>
      <c r="L3191" s="1" t="s">
        <v>6135</v>
      </c>
    </row>
    <row r="3192" spans="1:12">
      <c r="A3192" s="3" t="s">
        <v>7297</v>
      </c>
      <c r="C3192" s="3" t="s">
        <v>3817</v>
      </c>
      <c r="D3192" s="3" t="s">
        <v>4370</v>
      </c>
      <c r="E3192" s="3" t="s">
        <v>4371</v>
      </c>
      <c r="F3192" s="3" t="s">
        <v>2075</v>
      </c>
      <c r="G3192" s="3" t="s">
        <v>2077</v>
      </c>
      <c r="H3192" s="6">
        <v>1.3159700000000001</v>
      </c>
      <c r="I3192" s="6">
        <v>20.699983534316814</v>
      </c>
      <c r="J3192" s="3" t="s">
        <v>3356</v>
      </c>
      <c r="L3192" s="1" t="s">
        <v>6135</v>
      </c>
    </row>
    <row r="3193" spans="1:12">
      <c r="A3193" s="3" t="s">
        <v>7297</v>
      </c>
      <c r="C3193" s="3" t="s">
        <v>3817</v>
      </c>
      <c r="D3193" s="3" t="s">
        <v>4370</v>
      </c>
      <c r="E3193" s="3" t="s">
        <v>4371</v>
      </c>
      <c r="F3193" s="3" t="s">
        <v>2075</v>
      </c>
      <c r="G3193" s="3" t="s">
        <v>7422</v>
      </c>
      <c r="H3193" s="6">
        <v>1.17319</v>
      </c>
      <c r="I3193" s="6">
        <v>14.900128025794254</v>
      </c>
      <c r="J3193" s="3" t="s">
        <v>3356</v>
      </c>
      <c r="L3193" s="1" t="s">
        <v>6135</v>
      </c>
    </row>
    <row r="3194" spans="1:12">
      <c r="A3194" s="3" t="s">
        <v>7297</v>
      </c>
      <c r="C3194" s="3" t="s">
        <v>3817</v>
      </c>
      <c r="D3194" s="3" t="s">
        <v>4370</v>
      </c>
      <c r="E3194" s="3" t="s">
        <v>4371</v>
      </c>
      <c r="F3194" s="3" t="s">
        <v>2075</v>
      </c>
      <c r="G3194" s="3" t="s">
        <v>7423</v>
      </c>
      <c r="H3194" s="6">
        <v>1.6127800000000001</v>
      </c>
      <c r="I3194" s="6">
        <v>40.999635904176493</v>
      </c>
      <c r="J3194" s="3" t="s">
        <v>3356</v>
      </c>
      <c r="L3194" s="1" t="s">
        <v>6135</v>
      </c>
    </row>
    <row r="3195" spans="1:12">
      <c r="A3195" s="3" t="s">
        <v>7297</v>
      </c>
      <c r="C3195" s="3" t="s">
        <v>3817</v>
      </c>
      <c r="D3195" s="3" t="s">
        <v>4370</v>
      </c>
      <c r="E3195" s="3" t="s">
        <v>4371</v>
      </c>
      <c r="F3195" s="3" t="s">
        <v>2075</v>
      </c>
      <c r="G3195" s="3" t="s">
        <v>2078</v>
      </c>
      <c r="H3195" s="6">
        <v>1.3159700000000001</v>
      </c>
      <c r="I3195" s="6">
        <v>20.699983534316814</v>
      </c>
      <c r="J3195" s="3" t="s">
        <v>3356</v>
      </c>
      <c r="L3195" s="1" t="s">
        <v>6135</v>
      </c>
    </row>
    <row r="3196" spans="1:12">
      <c r="A3196" s="3" t="s">
        <v>7297</v>
      </c>
      <c r="C3196" s="3" t="s">
        <v>3817</v>
      </c>
      <c r="D3196" s="3" t="s">
        <v>7278</v>
      </c>
      <c r="E3196" s="3" t="s">
        <v>4905</v>
      </c>
      <c r="F3196" s="3" t="s">
        <v>7355</v>
      </c>
      <c r="G3196" s="3" t="s">
        <v>2216</v>
      </c>
      <c r="H3196" s="6">
        <v>1.04139</v>
      </c>
      <c r="I3196" s="6">
        <v>10.999931989351939</v>
      </c>
      <c r="J3196" s="3" t="s">
        <v>3356</v>
      </c>
      <c r="L3196" s="1" t="s">
        <v>6135</v>
      </c>
    </row>
    <row r="3197" spans="1:12">
      <c r="A3197" s="3" t="s">
        <v>7297</v>
      </c>
      <c r="C3197" s="3" t="s">
        <v>3817</v>
      </c>
      <c r="D3197" s="3" t="s">
        <v>7278</v>
      </c>
      <c r="E3197" s="3" t="s">
        <v>4905</v>
      </c>
      <c r="F3197" s="3" t="s">
        <v>7355</v>
      </c>
      <c r="G3197" s="3" t="s">
        <v>2212</v>
      </c>
      <c r="H3197" s="6">
        <v>1.07918</v>
      </c>
      <c r="I3197" s="6">
        <v>11.999965570481159</v>
      </c>
      <c r="J3197" s="3" t="s">
        <v>3356</v>
      </c>
      <c r="L3197" s="1" t="s">
        <v>6135</v>
      </c>
    </row>
    <row r="3198" spans="1:12">
      <c r="A3198" s="3" t="s">
        <v>7297</v>
      </c>
      <c r="C3198" s="3" t="s">
        <v>3817</v>
      </c>
      <c r="D3198" s="3" t="s">
        <v>7278</v>
      </c>
      <c r="E3198" s="3" t="s">
        <v>4905</v>
      </c>
      <c r="F3198" s="3" t="s">
        <v>7355</v>
      </c>
      <c r="G3198" s="3" t="s">
        <v>2072</v>
      </c>
      <c r="H3198" s="6">
        <v>1.05308</v>
      </c>
      <c r="I3198" s="6">
        <v>11.300040499406762</v>
      </c>
      <c r="J3198" s="3" t="s">
        <v>3356</v>
      </c>
      <c r="L3198" s="1" t="s">
        <v>6135</v>
      </c>
    </row>
    <row r="3199" spans="1:12">
      <c r="A3199" s="3" t="s">
        <v>7297</v>
      </c>
      <c r="C3199" s="3" t="s">
        <v>3817</v>
      </c>
      <c r="D3199" s="3" t="s">
        <v>7278</v>
      </c>
      <c r="E3199" s="3" t="s">
        <v>4905</v>
      </c>
      <c r="F3199" s="3" t="s">
        <v>7355</v>
      </c>
      <c r="G3199" s="3" t="s">
        <v>7358</v>
      </c>
      <c r="H3199" s="6">
        <v>0.99563999999999997</v>
      </c>
      <c r="I3199" s="6">
        <v>9.9001095426017063</v>
      </c>
      <c r="J3199" s="3" t="s">
        <v>3356</v>
      </c>
      <c r="L3199" s="1" t="s">
        <v>6135</v>
      </c>
    </row>
    <row r="3200" spans="1:12">
      <c r="A3200" s="3" t="s">
        <v>7297</v>
      </c>
      <c r="C3200" s="3" t="s">
        <v>3817</v>
      </c>
      <c r="D3200" s="3" t="s">
        <v>7278</v>
      </c>
      <c r="E3200" s="3" t="s">
        <v>4905</v>
      </c>
      <c r="F3200" s="3" t="s">
        <v>7355</v>
      </c>
      <c r="G3200" s="3" t="s">
        <v>4851</v>
      </c>
      <c r="H3200" s="6">
        <v>1.04139</v>
      </c>
      <c r="I3200" s="6">
        <v>10.999931989351939</v>
      </c>
      <c r="J3200" s="3" t="s">
        <v>3356</v>
      </c>
      <c r="L3200" s="1" t="s">
        <v>6135</v>
      </c>
    </row>
    <row r="3201" spans="1:12">
      <c r="A3201" s="3" t="s">
        <v>7297</v>
      </c>
      <c r="C3201" s="3" t="s">
        <v>3817</v>
      </c>
      <c r="D3201" s="3" t="s">
        <v>7278</v>
      </c>
      <c r="E3201" s="3" t="s">
        <v>4905</v>
      </c>
      <c r="F3201" s="3" t="s">
        <v>7355</v>
      </c>
      <c r="G3201" s="3" t="s">
        <v>4852</v>
      </c>
      <c r="H3201" s="6">
        <v>1.1003700000000001</v>
      </c>
      <c r="I3201" s="6">
        <v>12.599984184747296</v>
      </c>
      <c r="J3201" s="3" t="s">
        <v>3356</v>
      </c>
      <c r="L3201" s="1" t="s">
        <v>6135</v>
      </c>
    </row>
    <row r="3202" spans="1:12">
      <c r="A3202" s="3" t="s">
        <v>7297</v>
      </c>
      <c r="C3202" s="3" t="s">
        <v>3817</v>
      </c>
      <c r="D3202" s="3" t="s">
        <v>7345</v>
      </c>
      <c r="E3202" s="3" t="s">
        <v>7346</v>
      </c>
      <c r="F3202" s="3" t="s">
        <v>2089</v>
      </c>
      <c r="G3202" s="3" t="s">
        <v>4467</v>
      </c>
      <c r="H3202" s="6">
        <v>2.9777200000000001</v>
      </c>
      <c r="I3202" s="6">
        <v>949.99211362259632</v>
      </c>
      <c r="J3202" s="3" t="s">
        <v>3356</v>
      </c>
      <c r="L3202" s="1" t="s">
        <v>6135</v>
      </c>
    </row>
    <row r="3203" spans="1:12">
      <c r="A3203" s="3" t="s">
        <v>7297</v>
      </c>
      <c r="C3203" s="3" t="s">
        <v>3817</v>
      </c>
      <c r="D3203" s="3" t="s">
        <v>7345</v>
      </c>
      <c r="E3203" s="3" t="s">
        <v>7346</v>
      </c>
      <c r="F3203" s="3" t="s">
        <v>2089</v>
      </c>
      <c r="G3203" s="3" t="s">
        <v>2190</v>
      </c>
      <c r="H3203" s="6">
        <v>3.0692200000000001</v>
      </c>
      <c r="I3203" s="6">
        <v>1172.7893134796059</v>
      </c>
      <c r="J3203" s="3" t="s">
        <v>3356</v>
      </c>
      <c r="L3203" s="1" t="s">
        <v>6135</v>
      </c>
    </row>
    <row r="3204" spans="1:12">
      <c r="A3204" s="3" t="s">
        <v>7297</v>
      </c>
      <c r="C3204" s="3" t="s">
        <v>3817</v>
      </c>
      <c r="D3204" s="3" t="s">
        <v>4274</v>
      </c>
      <c r="E3204" s="3" t="s">
        <v>7013</v>
      </c>
      <c r="F3204" s="3" t="s">
        <v>7300</v>
      </c>
      <c r="G3204" s="3" t="s">
        <v>7265</v>
      </c>
      <c r="H3204" s="6">
        <v>1.3483000000000001</v>
      </c>
      <c r="I3204" s="6">
        <v>22.299750295314972</v>
      </c>
      <c r="J3204" s="3" t="s">
        <v>3356</v>
      </c>
      <c r="L3204" s="1" t="s">
        <v>6135</v>
      </c>
    </row>
    <row r="3205" spans="1:12">
      <c r="A3205" s="3" t="s">
        <v>7297</v>
      </c>
      <c r="C3205" s="3" t="s">
        <v>3817</v>
      </c>
      <c r="D3205" s="3" t="s">
        <v>1992</v>
      </c>
      <c r="E3205" s="3" t="s">
        <v>1990</v>
      </c>
      <c r="F3205" s="3" t="s">
        <v>1991</v>
      </c>
      <c r="G3205" s="3" t="s">
        <v>4455</v>
      </c>
      <c r="H3205" s="6">
        <v>1.4771212547196624</v>
      </c>
      <c r="I3205" s="6">
        <v>30</v>
      </c>
      <c r="J3205" s="3" t="s">
        <v>3922</v>
      </c>
      <c r="L3205" s="1" t="s">
        <v>6135</v>
      </c>
    </row>
    <row r="3206" spans="1:12">
      <c r="A3206" s="3" t="s">
        <v>7297</v>
      </c>
      <c r="C3206" s="3" t="s">
        <v>3817</v>
      </c>
      <c r="D3206" s="3" t="s">
        <v>1992</v>
      </c>
      <c r="E3206" s="3" t="s">
        <v>1990</v>
      </c>
      <c r="F3206" s="3" t="s">
        <v>1991</v>
      </c>
      <c r="G3206" s="3" t="s">
        <v>2003</v>
      </c>
      <c r="H3206" s="6">
        <v>1.4771212547196624</v>
      </c>
      <c r="I3206" s="6">
        <v>30</v>
      </c>
      <c r="J3206" s="3" t="s">
        <v>3922</v>
      </c>
      <c r="L3206" s="1" t="s">
        <v>6135</v>
      </c>
    </row>
    <row r="3207" spans="1:12">
      <c r="A3207" s="3" t="s">
        <v>7297</v>
      </c>
      <c r="C3207" s="3" t="s">
        <v>3817</v>
      </c>
      <c r="D3207" s="3" t="s">
        <v>1992</v>
      </c>
      <c r="E3207" s="3" t="s">
        <v>1990</v>
      </c>
      <c r="F3207" s="3" t="s">
        <v>1991</v>
      </c>
      <c r="G3207" s="3" t="s">
        <v>4424</v>
      </c>
      <c r="H3207" s="6">
        <v>1.4771212547196624</v>
      </c>
      <c r="I3207" s="6">
        <v>30</v>
      </c>
      <c r="J3207" s="3" t="s">
        <v>3922</v>
      </c>
      <c r="L3207" s="1" t="s">
        <v>6135</v>
      </c>
    </row>
    <row r="3208" spans="1:12">
      <c r="A3208" s="3" t="s">
        <v>7297</v>
      </c>
      <c r="C3208" s="3" t="s">
        <v>3817</v>
      </c>
      <c r="D3208" s="3" t="s">
        <v>1992</v>
      </c>
      <c r="E3208" s="3" t="s">
        <v>1990</v>
      </c>
      <c r="F3208" s="3" t="s">
        <v>2004</v>
      </c>
      <c r="G3208" s="3" t="s">
        <v>2233</v>
      </c>
      <c r="H3208" s="6">
        <v>1.4471580313422192</v>
      </c>
      <c r="I3208" s="6">
        <v>28</v>
      </c>
      <c r="J3208" s="3" t="s">
        <v>3356</v>
      </c>
      <c r="L3208" s="1" t="s">
        <v>6135</v>
      </c>
    </row>
    <row r="3209" spans="1:12">
      <c r="A3209" s="3" t="s">
        <v>7297</v>
      </c>
      <c r="C3209" s="3" t="s">
        <v>3817</v>
      </c>
      <c r="D3209" s="3" t="s">
        <v>1992</v>
      </c>
      <c r="E3209" s="3" t="s">
        <v>1990</v>
      </c>
      <c r="F3209" s="3" t="s">
        <v>4460</v>
      </c>
      <c r="G3209" s="3" t="s">
        <v>2234</v>
      </c>
      <c r="H3209" s="6">
        <v>1.3222192947339193</v>
      </c>
      <c r="I3209" s="6">
        <v>21</v>
      </c>
      <c r="J3209" s="3" t="s">
        <v>3356</v>
      </c>
      <c r="L3209" s="1" t="s">
        <v>6135</v>
      </c>
    </row>
    <row r="3210" spans="1:12">
      <c r="A3210" s="3" t="s">
        <v>7297</v>
      </c>
      <c r="C3210" s="3" t="s">
        <v>3817</v>
      </c>
      <c r="D3210" s="3" t="s">
        <v>7273</v>
      </c>
      <c r="E3210" s="3" t="s">
        <v>7157</v>
      </c>
      <c r="F3210" s="3" t="s">
        <v>7158</v>
      </c>
      <c r="G3210" s="3" t="s">
        <v>1944</v>
      </c>
      <c r="H3210" s="6">
        <v>5.4771200000000002</v>
      </c>
      <c r="I3210" s="6">
        <v>299999.1332716156</v>
      </c>
      <c r="J3210" s="3" t="s">
        <v>3356</v>
      </c>
      <c r="L3210" s="1" t="s">
        <v>6135</v>
      </c>
    </row>
    <row r="3211" spans="1:12">
      <c r="A3211" s="3" t="s">
        <v>7297</v>
      </c>
      <c r="C3211" s="3" t="s">
        <v>3817</v>
      </c>
      <c r="D3211" s="3" t="s">
        <v>7273</v>
      </c>
      <c r="E3211" s="3" t="s">
        <v>7157</v>
      </c>
      <c r="F3211" s="3" t="s">
        <v>7158</v>
      </c>
      <c r="G3211" s="3" t="s">
        <v>1945</v>
      </c>
      <c r="H3211" s="6">
        <v>5.1730400000000003</v>
      </c>
      <c r="I3211" s="6">
        <v>148949.82592528904</v>
      </c>
      <c r="J3211" s="3" t="s">
        <v>3356</v>
      </c>
      <c r="L3211" s="1" t="s">
        <v>6135</v>
      </c>
    </row>
    <row r="3212" spans="1:12">
      <c r="A3212" s="3" t="s">
        <v>7297</v>
      </c>
      <c r="C3212" s="3" t="s">
        <v>3817</v>
      </c>
      <c r="D3212" s="3" t="s">
        <v>7273</v>
      </c>
      <c r="E3212" s="3" t="s">
        <v>7157</v>
      </c>
      <c r="F3212" s="3" t="s">
        <v>7158</v>
      </c>
      <c r="G3212" s="3" t="s">
        <v>4820</v>
      </c>
      <c r="H3212" s="6">
        <v>5.3170200000000003</v>
      </c>
      <c r="I3212" s="6">
        <v>207500.90729538351</v>
      </c>
      <c r="J3212" s="3" t="s">
        <v>3356</v>
      </c>
      <c r="L3212" s="1" t="s">
        <v>6135</v>
      </c>
    </row>
    <row r="3213" spans="1:12">
      <c r="A3213" s="3" t="s">
        <v>7297</v>
      </c>
      <c r="C3213" s="3" t="s">
        <v>3817</v>
      </c>
      <c r="D3213" s="3" t="s">
        <v>7250</v>
      </c>
      <c r="E3213" s="3" t="s">
        <v>7251</v>
      </c>
      <c r="F3213" s="3" t="s">
        <v>2264</v>
      </c>
      <c r="G3213" s="3" t="s">
        <v>2265</v>
      </c>
      <c r="H3213" s="6">
        <v>2.6812399999999998</v>
      </c>
      <c r="I3213" s="6">
        <v>479.9986324039092</v>
      </c>
      <c r="J3213" s="3" t="s">
        <v>3356</v>
      </c>
      <c r="L3213" s="1" t="s">
        <v>6135</v>
      </c>
    </row>
    <row r="3214" spans="1:12">
      <c r="A3214" s="3" t="s">
        <v>7297</v>
      </c>
      <c r="C3214" s="3" t="s">
        <v>3817</v>
      </c>
      <c r="D3214" s="3" t="s">
        <v>7250</v>
      </c>
      <c r="E3214" s="3" t="s">
        <v>7251</v>
      </c>
      <c r="F3214" s="3" t="s">
        <v>2116</v>
      </c>
      <c r="G3214" s="3" t="s">
        <v>2117</v>
      </c>
      <c r="H3214" s="6">
        <v>2.6434500000000001</v>
      </c>
      <c r="I3214" s="6">
        <v>439.99728835998962</v>
      </c>
      <c r="J3214" s="3" t="s">
        <v>3356</v>
      </c>
      <c r="L3214" s="1" t="s">
        <v>6135</v>
      </c>
    </row>
    <row r="3215" spans="1:12">
      <c r="A3215" s="3" t="s">
        <v>7297</v>
      </c>
      <c r="C3215" s="3" t="s">
        <v>3817</v>
      </c>
      <c r="D3215" s="3" t="s">
        <v>7250</v>
      </c>
      <c r="E3215" s="3" t="s">
        <v>7251</v>
      </c>
      <c r="F3215" s="3" t="s">
        <v>2116</v>
      </c>
      <c r="G3215" s="3" t="s">
        <v>4380</v>
      </c>
      <c r="H3215" s="6">
        <v>2.53403</v>
      </c>
      <c r="I3215" s="6">
        <v>342.00306643263428</v>
      </c>
      <c r="J3215" s="3" t="s">
        <v>3356</v>
      </c>
      <c r="L3215" s="1" t="s">
        <v>6135</v>
      </c>
    </row>
    <row r="3216" spans="1:12">
      <c r="A3216" s="3" t="s">
        <v>7297</v>
      </c>
      <c r="C3216" s="3" t="s">
        <v>3817</v>
      </c>
      <c r="D3216" s="3" t="s">
        <v>7250</v>
      </c>
      <c r="E3216" s="3" t="s">
        <v>7251</v>
      </c>
      <c r="F3216" s="3" t="s">
        <v>2116</v>
      </c>
      <c r="G3216" s="3" t="s">
        <v>2113</v>
      </c>
      <c r="H3216" s="6">
        <v>2.53403</v>
      </c>
      <c r="I3216" s="6">
        <v>342.00306643263428</v>
      </c>
      <c r="J3216" s="3" t="s">
        <v>3356</v>
      </c>
      <c r="L3216" s="1" t="s">
        <v>6135</v>
      </c>
    </row>
    <row r="3217" spans="1:12">
      <c r="A3217" s="3" t="s">
        <v>7297</v>
      </c>
      <c r="C3217" s="3" t="s">
        <v>3817</v>
      </c>
      <c r="D3217" s="3" t="s">
        <v>7250</v>
      </c>
      <c r="E3217" s="3" t="s">
        <v>7251</v>
      </c>
      <c r="F3217" s="3" t="s">
        <v>2116</v>
      </c>
      <c r="G3217" s="3" t="s">
        <v>3777</v>
      </c>
      <c r="H3217" s="6">
        <v>2.53403</v>
      </c>
      <c r="I3217" s="6">
        <v>342.00306643263428</v>
      </c>
      <c r="J3217" s="3" t="s">
        <v>3356</v>
      </c>
      <c r="L3217" s="1" t="s">
        <v>6135</v>
      </c>
    </row>
    <row r="3218" spans="1:12">
      <c r="A3218" s="3" t="s">
        <v>7297</v>
      </c>
      <c r="C3218" s="3" t="s">
        <v>3817</v>
      </c>
      <c r="D3218" s="3" t="s">
        <v>7250</v>
      </c>
      <c r="E3218" s="3" t="s">
        <v>7251</v>
      </c>
      <c r="F3218" s="3" t="s">
        <v>2116</v>
      </c>
      <c r="G3218" s="3" t="s">
        <v>7163</v>
      </c>
      <c r="H3218" s="6">
        <v>2.5440700000000001</v>
      </c>
      <c r="I3218" s="6">
        <v>350.00157607101471</v>
      </c>
      <c r="J3218" s="3" t="s">
        <v>3356</v>
      </c>
      <c r="L3218" s="1" t="s">
        <v>6135</v>
      </c>
    </row>
    <row r="3219" spans="1:12">
      <c r="A3219" s="3" t="s">
        <v>7297</v>
      </c>
      <c r="C3219" s="3" t="s">
        <v>3817</v>
      </c>
      <c r="D3219" s="3" t="s">
        <v>7250</v>
      </c>
      <c r="E3219" s="3" t="s">
        <v>7251</v>
      </c>
      <c r="F3219" s="3" t="s">
        <v>2116</v>
      </c>
      <c r="G3219" s="3" t="s">
        <v>7164</v>
      </c>
      <c r="H3219" s="6">
        <v>2.4653800000000001</v>
      </c>
      <c r="I3219" s="6">
        <v>291.99808282112855</v>
      </c>
      <c r="J3219" s="3" t="s">
        <v>3356</v>
      </c>
      <c r="L3219" s="1" t="s">
        <v>6135</v>
      </c>
    </row>
    <row r="3220" spans="1:12">
      <c r="A3220" s="3" t="s">
        <v>7297</v>
      </c>
      <c r="C3220" s="3" t="s">
        <v>3817</v>
      </c>
      <c r="D3220" s="3" t="s">
        <v>7250</v>
      </c>
      <c r="E3220" s="3" t="s">
        <v>7251</v>
      </c>
      <c r="F3220" s="3" t="s">
        <v>2116</v>
      </c>
      <c r="G3220" s="3" t="s">
        <v>4646</v>
      </c>
      <c r="H3220" s="6">
        <v>2.53403</v>
      </c>
      <c r="I3220" s="6">
        <v>342.00306643263428</v>
      </c>
      <c r="J3220" s="3" t="s">
        <v>3356</v>
      </c>
      <c r="L3220" s="1" t="s">
        <v>6135</v>
      </c>
    </row>
    <row r="3221" spans="1:12">
      <c r="A3221" s="3" t="s">
        <v>7297</v>
      </c>
      <c r="C3221" s="3" t="s">
        <v>3817</v>
      </c>
      <c r="D3221" s="3" t="s">
        <v>7250</v>
      </c>
      <c r="E3221" s="3" t="s">
        <v>7251</v>
      </c>
      <c r="F3221" s="3" t="s">
        <v>2116</v>
      </c>
      <c r="G3221" s="3" t="s">
        <v>7098</v>
      </c>
      <c r="H3221" s="6">
        <v>2.53403</v>
      </c>
      <c r="I3221" s="6">
        <v>342.00306643263428</v>
      </c>
      <c r="J3221" s="3" t="s">
        <v>3356</v>
      </c>
      <c r="L3221" s="1" t="s">
        <v>6135</v>
      </c>
    </row>
    <row r="3222" spans="1:12">
      <c r="A3222" s="3" t="s">
        <v>7297</v>
      </c>
      <c r="C3222" s="3" t="s">
        <v>3817</v>
      </c>
      <c r="D3222" s="3" t="s">
        <v>7250</v>
      </c>
      <c r="E3222" s="3" t="s">
        <v>7251</v>
      </c>
      <c r="F3222" s="3" t="s">
        <v>2116</v>
      </c>
      <c r="G3222" s="3" t="s">
        <v>4293</v>
      </c>
      <c r="H3222" s="6">
        <v>1.8451</v>
      </c>
      <c r="I3222" s="6">
        <v>70.000315913089707</v>
      </c>
      <c r="J3222" s="3" t="s">
        <v>3356</v>
      </c>
      <c r="L3222" s="1" t="s">
        <v>6135</v>
      </c>
    </row>
    <row r="3223" spans="1:12">
      <c r="A3223" s="3" t="s">
        <v>7297</v>
      </c>
      <c r="C3223" s="3" t="s">
        <v>3817</v>
      </c>
      <c r="D3223" s="3" t="s">
        <v>7250</v>
      </c>
      <c r="E3223" s="3" t="s">
        <v>7251</v>
      </c>
      <c r="F3223" s="3" t="s">
        <v>1943</v>
      </c>
      <c r="G3223" s="3" t="s">
        <v>7165</v>
      </c>
      <c r="H3223" s="6">
        <v>2.8451</v>
      </c>
      <c r="I3223" s="6">
        <v>700.0031591308973</v>
      </c>
      <c r="J3223" s="3" t="s">
        <v>3356</v>
      </c>
      <c r="L3223" s="1" t="s">
        <v>6135</v>
      </c>
    </row>
    <row r="3224" spans="1:12">
      <c r="A3224" s="3" t="s">
        <v>7297</v>
      </c>
      <c r="C3224" s="3" t="s">
        <v>3817</v>
      </c>
      <c r="D3224" s="3" t="s">
        <v>7250</v>
      </c>
      <c r="E3224" s="3" t="s">
        <v>7251</v>
      </c>
      <c r="F3224" s="3" t="s">
        <v>1943</v>
      </c>
      <c r="G3224" s="3" t="s">
        <v>4272</v>
      </c>
      <c r="H3224" s="6">
        <v>2.8451</v>
      </c>
      <c r="I3224" s="6">
        <v>700.0031591308973</v>
      </c>
      <c r="J3224" s="3" t="s">
        <v>3356</v>
      </c>
      <c r="L3224" s="1" t="s">
        <v>6135</v>
      </c>
    </row>
    <row r="3225" spans="1:12">
      <c r="A3225" s="3" t="s">
        <v>7297</v>
      </c>
      <c r="C3225" s="3" t="s">
        <v>3817</v>
      </c>
      <c r="D3225" s="3" t="s">
        <v>7250</v>
      </c>
      <c r="E3225" s="3" t="s">
        <v>7251</v>
      </c>
      <c r="F3225" s="3" t="s">
        <v>1943</v>
      </c>
      <c r="G3225" s="3" t="s">
        <v>7166</v>
      </c>
      <c r="H3225" s="6">
        <v>2.7287599999999999</v>
      </c>
      <c r="I3225" s="6">
        <v>535.50064713641302</v>
      </c>
      <c r="J3225" s="3" t="s">
        <v>3356</v>
      </c>
      <c r="L3225" s="1" t="s">
        <v>6135</v>
      </c>
    </row>
    <row r="3226" spans="1:12">
      <c r="A3226" s="3" t="s">
        <v>7297</v>
      </c>
      <c r="C3226" s="3" t="s">
        <v>3817</v>
      </c>
      <c r="D3226" s="3" t="s">
        <v>7250</v>
      </c>
      <c r="E3226" s="3" t="s">
        <v>7251</v>
      </c>
      <c r="F3226" s="3" t="s">
        <v>7167</v>
      </c>
      <c r="G3226" s="3" t="s">
        <v>4010</v>
      </c>
      <c r="H3226" s="6">
        <v>2.6674500000000001</v>
      </c>
      <c r="I3226" s="6">
        <v>464.99683834536808</v>
      </c>
      <c r="J3226" s="3" t="s">
        <v>3356</v>
      </c>
      <c r="L3226" s="1" t="s">
        <v>6135</v>
      </c>
    </row>
    <row r="3227" spans="1:12">
      <c r="A3227" s="3" t="s">
        <v>7297</v>
      </c>
      <c r="C3227" s="3" t="s">
        <v>3817</v>
      </c>
      <c r="D3227" s="3" t="s">
        <v>7250</v>
      </c>
      <c r="E3227" s="3" t="s">
        <v>7251</v>
      </c>
      <c r="F3227" s="3" t="s">
        <v>7167</v>
      </c>
      <c r="G3227" s="3" t="s">
        <v>4647</v>
      </c>
      <c r="H3227" s="6">
        <v>2.58771</v>
      </c>
      <c r="I3227" s="6">
        <v>386.99914007218763</v>
      </c>
      <c r="J3227" s="3" t="s">
        <v>3356</v>
      </c>
      <c r="L3227" s="1" t="s">
        <v>6135</v>
      </c>
    </row>
    <row r="3228" spans="1:12">
      <c r="A3228" s="3" t="s">
        <v>7297</v>
      </c>
      <c r="C3228" s="3" t="s">
        <v>3817</v>
      </c>
      <c r="D3228" s="3" t="s">
        <v>7250</v>
      </c>
      <c r="E3228" s="3" t="s">
        <v>7251</v>
      </c>
      <c r="F3228" s="3" t="s">
        <v>7167</v>
      </c>
      <c r="G3228" s="3" t="s">
        <v>3777</v>
      </c>
      <c r="H3228" s="6">
        <v>2.6870799999999999</v>
      </c>
      <c r="I3228" s="6">
        <v>486.4968134628653</v>
      </c>
      <c r="J3228" s="3" t="s">
        <v>3356</v>
      </c>
      <c r="L3228" s="1" t="s">
        <v>6135</v>
      </c>
    </row>
    <row r="3229" spans="1:12">
      <c r="A3229" s="3" t="s">
        <v>7297</v>
      </c>
      <c r="C3229" s="3" t="s">
        <v>3817</v>
      </c>
      <c r="D3229" s="3" t="s">
        <v>7250</v>
      </c>
      <c r="E3229" s="3" t="s">
        <v>7251</v>
      </c>
      <c r="F3229" s="3" t="s">
        <v>7167</v>
      </c>
      <c r="G3229" s="3" t="s">
        <v>4648</v>
      </c>
      <c r="H3229" s="6">
        <v>2.6020599999999998</v>
      </c>
      <c r="I3229" s="6">
        <v>400.0000079872421</v>
      </c>
      <c r="J3229" s="3" t="s">
        <v>3356</v>
      </c>
      <c r="L3229" s="1" t="s">
        <v>6135</v>
      </c>
    </row>
    <row r="3230" spans="1:12">
      <c r="A3230" s="3" t="s">
        <v>7297</v>
      </c>
      <c r="C3230" s="3" t="s">
        <v>3817</v>
      </c>
      <c r="D3230" s="3" t="s">
        <v>7250</v>
      </c>
      <c r="E3230" s="3" t="s">
        <v>7251</v>
      </c>
      <c r="F3230" s="3" t="s">
        <v>7167</v>
      </c>
      <c r="G3230" s="3" t="s">
        <v>4649</v>
      </c>
      <c r="H3230" s="6">
        <v>2.6133099999999998</v>
      </c>
      <c r="I3230" s="6">
        <v>410.49701176782906</v>
      </c>
      <c r="J3230" s="3" t="s">
        <v>3356</v>
      </c>
      <c r="L3230" s="1" t="s">
        <v>6135</v>
      </c>
    </row>
    <row r="3231" spans="1:12">
      <c r="A3231" s="3" t="s">
        <v>7297</v>
      </c>
      <c r="C3231" s="3" t="s">
        <v>3817</v>
      </c>
      <c r="D3231" s="3" t="s">
        <v>7250</v>
      </c>
      <c r="E3231" s="3" t="s">
        <v>7251</v>
      </c>
      <c r="F3231" s="3" t="s">
        <v>7167</v>
      </c>
      <c r="G3231" s="3" t="s">
        <v>2322</v>
      </c>
      <c r="H3231" s="6">
        <v>2.7596699999999998</v>
      </c>
      <c r="I3231" s="6">
        <v>575.00285360875932</v>
      </c>
      <c r="J3231" s="3" t="s">
        <v>3356</v>
      </c>
      <c r="L3231" s="1" t="s">
        <v>6135</v>
      </c>
    </row>
    <row r="3232" spans="1:12">
      <c r="A3232" s="3" t="s">
        <v>7297</v>
      </c>
      <c r="C3232" s="3" t="s">
        <v>3817</v>
      </c>
      <c r="D3232" s="3" t="s">
        <v>7250</v>
      </c>
      <c r="E3232" s="3" t="s">
        <v>7251</v>
      </c>
      <c r="F3232" s="3" t="s">
        <v>7167</v>
      </c>
      <c r="G3232" s="3" t="s">
        <v>7491</v>
      </c>
      <c r="H3232" s="6">
        <v>2.6434500000000001</v>
      </c>
      <c r="I3232" s="6">
        <v>439.99728835998962</v>
      </c>
      <c r="J3232" s="3" t="s">
        <v>3356</v>
      </c>
      <c r="L3232" s="1" t="s">
        <v>6135</v>
      </c>
    </row>
    <row r="3233" spans="1:12">
      <c r="A3233" s="3" t="s">
        <v>7297</v>
      </c>
      <c r="C3233" s="3" t="s">
        <v>3817</v>
      </c>
      <c r="D3233" s="3" t="s">
        <v>7250</v>
      </c>
      <c r="E3233" s="3" t="s">
        <v>7251</v>
      </c>
      <c r="F3233" s="3" t="s">
        <v>7167</v>
      </c>
      <c r="G3233" s="3" t="s">
        <v>7493</v>
      </c>
      <c r="H3233" s="6">
        <v>2.7323900000000001</v>
      </c>
      <c r="I3233" s="6">
        <v>539.99532507158392</v>
      </c>
      <c r="J3233" s="3" t="s">
        <v>3356</v>
      </c>
      <c r="L3233" s="1" t="s">
        <v>6135</v>
      </c>
    </row>
    <row r="3234" spans="1:12">
      <c r="A3234" s="3" t="s">
        <v>7297</v>
      </c>
      <c r="C3234" s="3" t="s">
        <v>3817</v>
      </c>
      <c r="D3234" s="3" t="s">
        <v>7250</v>
      </c>
      <c r="E3234" s="3" t="s">
        <v>7251</v>
      </c>
      <c r="F3234" s="3" t="s">
        <v>7167</v>
      </c>
      <c r="G3234" s="3" t="s">
        <v>7494</v>
      </c>
      <c r="H3234" s="6">
        <v>2.7909899999999999</v>
      </c>
      <c r="I3234" s="6">
        <v>618.0021699487462</v>
      </c>
      <c r="J3234" s="3" t="s">
        <v>3356</v>
      </c>
      <c r="L3234" s="1" t="s">
        <v>6135</v>
      </c>
    </row>
    <row r="3235" spans="1:12">
      <c r="A3235" s="3" t="s">
        <v>7297</v>
      </c>
      <c r="C3235" s="3" t="s">
        <v>3817</v>
      </c>
      <c r="D3235" s="3" t="s">
        <v>7250</v>
      </c>
      <c r="E3235" s="3" t="s">
        <v>7251</v>
      </c>
      <c r="F3235" s="3" t="s">
        <v>7167</v>
      </c>
      <c r="G3235" s="3" t="s">
        <v>7341</v>
      </c>
      <c r="H3235" s="6">
        <v>2.6646399999999999</v>
      </c>
      <c r="I3235" s="6">
        <v>461.99789841940873</v>
      </c>
      <c r="J3235" s="3" t="s">
        <v>3356</v>
      </c>
      <c r="L3235" s="1" t="s">
        <v>6135</v>
      </c>
    </row>
    <row r="3236" spans="1:12">
      <c r="A3236" s="3" t="s">
        <v>7297</v>
      </c>
      <c r="C3236" s="3" t="s">
        <v>3817</v>
      </c>
      <c r="D3236" s="3" t="s">
        <v>7250</v>
      </c>
      <c r="E3236" s="3" t="s">
        <v>7251</v>
      </c>
      <c r="F3236" s="3" t="s">
        <v>7167</v>
      </c>
      <c r="G3236" s="3" t="s">
        <v>2357</v>
      </c>
      <c r="H3236" s="6">
        <v>2.63347</v>
      </c>
      <c r="I3236" s="6">
        <v>430.00152915127035</v>
      </c>
      <c r="J3236" s="3" t="s">
        <v>3356</v>
      </c>
      <c r="L3236" s="1" t="s">
        <v>6135</v>
      </c>
    </row>
    <row r="3237" spans="1:12">
      <c r="A3237" s="3" t="s">
        <v>7297</v>
      </c>
      <c r="C3237" s="3" t="s">
        <v>3817</v>
      </c>
      <c r="D3237" s="3" t="s">
        <v>7250</v>
      </c>
      <c r="E3237" s="3" t="s">
        <v>7251</v>
      </c>
      <c r="F3237" s="3" t="s">
        <v>7167</v>
      </c>
      <c r="G3237" s="3" t="s">
        <v>2606</v>
      </c>
      <c r="H3237" s="6">
        <v>2.5949399999999998</v>
      </c>
      <c r="I3237" s="6">
        <v>393.49570825919136</v>
      </c>
      <c r="J3237" s="3" t="s">
        <v>3356</v>
      </c>
      <c r="L3237" s="1" t="s">
        <v>6135</v>
      </c>
    </row>
    <row r="3238" spans="1:12">
      <c r="A3238" s="3" t="s">
        <v>7297</v>
      </c>
      <c r="C3238" s="3" t="s">
        <v>3817</v>
      </c>
      <c r="D3238" s="3" t="s">
        <v>7250</v>
      </c>
      <c r="E3238" s="3" t="s">
        <v>5057</v>
      </c>
      <c r="F3238" s="3" t="s">
        <v>5058</v>
      </c>
      <c r="G3238" s="3" t="s">
        <v>7484</v>
      </c>
      <c r="H3238" s="6">
        <v>3.8061799999999999</v>
      </c>
      <c r="I3238" s="6">
        <v>6400.0003833876181</v>
      </c>
      <c r="J3238" s="3" t="s">
        <v>3356</v>
      </c>
      <c r="L3238" s="1" t="s">
        <v>6135</v>
      </c>
    </row>
    <row r="3239" spans="1:12">
      <c r="A3239" s="3" t="s">
        <v>7297</v>
      </c>
      <c r="C3239" s="3" t="s">
        <v>3817</v>
      </c>
      <c r="D3239" s="3" t="s">
        <v>7250</v>
      </c>
      <c r="E3239" s="3" t="s">
        <v>5057</v>
      </c>
      <c r="F3239" s="3" t="s">
        <v>5058</v>
      </c>
      <c r="G3239" s="3" t="s">
        <v>4491</v>
      </c>
      <c r="H3239" s="6">
        <v>3.7680799999999999</v>
      </c>
      <c r="I3239" s="6">
        <v>5862.4614509910643</v>
      </c>
      <c r="J3239" s="3" t="s">
        <v>3356</v>
      </c>
      <c r="L3239" s="1" t="s">
        <v>6135</v>
      </c>
    </row>
    <row r="3240" spans="1:12">
      <c r="A3240" s="3" t="s">
        <v>7297</v>
      </c>
      <c r="C3240" s="3" t="s">
        <v>3817</v>
      </c>
      <c r="D3240" s="3" t="s">
        <v>7250</v>
      </c>
      <c r="E3240" s="3" t="s">
        <v>5057</v>
      </c>
      <c r="F3240" s="3" t="s">
        <v>5058</v>
      </c>
      <c r="G3240" s="3" t="s">
        <v>4093</v>
      </c>
      <c r="H3240" s="6">
        <v>3.9030900000000002</v>
      </c>
      <c r="I3240" s="6">
        <v>8000.0002396172686</v>
      </c>
      <c r="J3240" s="3" t="s">
        <v>3356</v>
      </c>
      <c r="L3240" s="1" t="s">
        <v>6135</v>
      </c>
    </row>
    <row r="3241" spans="1:12">
      <c r="A3241" s="3" t="s">
        <v>7297</v>
      </c>
      <c r="C3241" s="3" t="s">
        <v>3817</v>
      </c>
      <c r="D3241" s="3" t="s">
        <v>7250</v>
      </c>
      <c r="E3241" s="3" t="s">
        <v>5057</v>
      </c>
      <c r="F3241" s="3" t="s">
        <v>5058</v>
      </c>
      <c r="G3241" s="3" t="s">
        <v>5059</v>
      </c>
      <c r="H3241" s="6">
        <v>3.8618299999999999</v>
      </c>
      <c r="I3241" s="6">
        <v>7274.9497854861338</v>
      </c>
      <c r="J3241" s="3" t="s">
        <v>3356</v>
      </c>
      <c r="L3241" s="1" t="s">
        <v>6135</v>
      </c>
    </row>
    <row r="3242" spans="1:12">
      <c r="A3242" s="3" t="s">
        <v>7297</v>
      </c>
      <c r="C3242" s="3" t="s">
        <v>3817</v>
      </c>
      <c r="D3242" s="3" t="s">
        <v>7250</v>
      </c>
      <c r="E3242" s="3" t="s">
        <v>5057</v>
      </c>
      <c r="F3242" s="3" t="s">
        <v>5058</v>
      </c>
      <c r="G3242" s="3" t="s">
        <v>4094</v>
      </c>
      <c r="H3242" s="6">
        <v>3.8202699999999998</v>
      </c>
      <c r="I3242" s="6">
        <v>6611.0432749462834</v>
      </c>
      <c r="J3242" s="3" t="s">
        <v>3356</v>
      </c>
      <c r="L3242" s="1" t="s">
        <v>6135</v>
      </c>
    </row>
    <row r="3243" spans="1:12">
      <c r="A3243" s="3" t="s">
        <v>7297</v>
      </c>
      <c r="C3243" s="3" t="s">
        <v>3817</v>
      </c>
      <c r="D3243" s="3" t="s">
        <v>7250</v>
      </c>
      <c r="E3243" s="3" t="s">
        <v>5057</v>
      </c>
      <c r="F3243" s="3" t="s">
        <v>5058</v>
      </c>
      <c r="G3243" s="3" t="s">
        <v>7471</v>
      </c>
      <c r="H3243" s="6">
        <v>3.7885599999999999</v>
      </c>
      <c r="I3243" s="6">
        <v>6145.5392960411627</v>
      </c>
      <c r="J3243" s="3" t="s">
        <v>3356</v>
      </c>
      <c r="L3243" s="1" t="s">
        <v>6135</v>
      </c>
    </row>
    <row r="3244" spans="1:12">
      <c r="A3244" s="3" t="s">
        <v>7297</v>
      </c>
      <c r="C3244" s="3" t="s">
        <v>3817</v>
      </c>
      <c r="D3244" s="3" t="s">
        <v>7250</v>
      </c>
      <c r="E3244" s="3" t="s">
        <v>5057</v>
      </c>
      <c r="F3244" s="3" t="s">
        <v>7472</v>
      </c>
      <c r="G3244" s="3" t="s">
        <v>7473</v>
      </c>
      <c r="H3244" s="6">
        <v>2.9835799999999999</v>
      </c>
      <c r="I3244" s="6">
        <v>962.89736888795039</v>
      </c>
      <c r="J3244" s="3" t="s">
        <v>3356</v>
      </c>
      <c r="L3244" s="1" t="s">
        <v>6135</v>
      </c>
    </row>
    <row r="3245" spans="1:12">
      <c r="A3245" s="3" t="s">
        <v>7297</v>
      </c>
      <c r="C3245" s="3" t="s">
        <v>3817</v>
      </c>
      <c r="D3245" s="3" t="s">
        <v>7250</v>
      </c>
      <c r="E3245" s="3" t="s">
        <v>5057</v>
      </c>
      <c r="F3245" s="3" t="s">
        <v>7472</v>
      </c>
      <c r="G3245" s="3" t="s">
        <v>2281</v>
      </c>
      <c r="H3245" s="6">
        <v>2.9030900000000002</v>
      </c>
      <c r="I3245" s="6">
        <v>800.0000239617267</v>
      </c>
      <c r="J3245" s="3" t="s">
        <v>3356</v>
      </c>
      <c r="L3245" s="1" t="s">
        <v>6135</v>
      </c>
    </row>
    <row r="3246" spans="1:12">
      <c r="A3246" s="3" t="s">
        <v>7297</v>
      </c>
      <c r="C3246" s="3" t="s">
        <v>3817</v>
      </c>
      <c r="D3246" s="3" t="s">
        <v>7250</v>
      </c>
      <c r="E3246" s="3" t="s">
        <v>5057</v>
      </c>
      <c r="F3246" s="3" t="s">
        <v>7472</v>
      </c>
      <c r="G3246" s="3" t="s">
        <v>2410</v>
      </c>
      <c r="H3246" s="6">
        <v>2.9030900000000002</v>
      </c>
      <c r="I3246" s="6">
        <v>800.0000239617267</v>
      </c>
      <c r="J3246" s="3" t="s">
        <v>3356</v>
      </c>
      <c r="L3246" s="1" t="s">
        <v>6135</v>
      </c>
    </row>
    <row r="3247" spans="1:12">
      <c r="A3247" s="3" t="s">
        <v>7297</v>
      </c>
      <c r="C3247" s="3" t="s">
        <v>3817</v>
      </c>
      <c r="D3247" s="3" t="s">
        <v>7250</v>
      </c>
      <c r="E3247" s="3" t="s">
        <v>5057</v>
      </c>
      <c r="F3247" s="3" t="s">
        <v>7472</v>
      </c>
      <c r="G3247" s="3" t="s">
        <v>7455</v>
      </c>
      <c r="H3247" s="6">
        <v>2.9030900000000002</v>
      </c>
      <c r="I3247" s="6">
        <v>800.0000239617267</v>
      </c>
      <c r="J3247" s="3" t="s">
        <v>3356</v>
      </c>
      <c r="L3247" s="1" t="s">
        <v>6135</v>
      </c>
    </row>
    <row r="3248" spans="1:12">
      <c r="A3248" s="3" t="s">
        <v>7297</v>
      </c>
      <c r="C3248" s="3" t="s">
        <v>3817</v>
      </c>
      <c r="D3248" s="3" t="s">
        <v>7250</v>
      </c>
      <c r="E3248" s="3" t="s">
        <v>5057</v>
      </c>
      <c r="F3248" s="3" t="s">
        <v>7472</v>
      </c>
      <c r="G3248" s="3" t="s">
        <v>4786</v>
      </c>
      <c r="H3248" s="6">
        <v>2.9410099999999999</v>
      </c>
      <c r="I3248" s="6">
        <v>872.99146952812839</v>
      </c>
      <c r="J3248" s="3" t="s">
        <v>3356</v>
      </c>
      <c r="L3248" s="1" t="s">
        <v>6135</v>
      </c>
    </row>
    <row r="3249" spans="1:12">
      <c r="A3249" s="3" t="s">
        <v>7297</v>
      </c>
      <c r="C3249" s="3" t="s">
        <v>3817</v>
      </c>
      <c r="D3249" s="3" t="s">
        <v>7250</v>
      </c>
      <c r="E3249" s="3" t="s">
        <v>5057</v>
      </c>
      <c r="F3249" s="3" t="s">
        <v>7472</v>
      </c>
      <c r="G3249" s="3" t="s">
        <v>7474</v>
      </c>
      <c r="H3249" s="6">
        <v>2.9030900000000002</v>
      </c>
      <c r="I3249" s="6">
        <v>800.0000239617267</v>
      </c>
      <c r="J3249" s="3" t="s">
        <v>3356</v>
      </c>
      <c r="L3249" s="1" t="s">
        <v>6135</v>
      </c>
    </row>
    <row r="3250" spans="1:12">
      <c r="A3250" s="3" t="s">
        <v>7297</v>
      </c>
      <c r="C3250" s="3" t="s">
        <v>3817</v>
      </c>
      <c r="D3250" s="3" t="s">
        <v>7250</v>
      </c>
      <c r="E3250" s="3" t="s">
        <v>5057</v>
      </c>
      <c r="F3250" s="3" t="s">
        <v>7472</v>
      </c>
      <c r="G3250" s="3" t="s">
        <v>4787</v>
      </c>
      <c r="H3250" s="6">
        <v>2.8965299999999998</v>
      </c>
      <c r="I3250" s="6">
        <v>788.00686315699284</v>
      </c>
      <c r="J3250" s="3" t="s">
        <v>3356</v>
      </c>
      <c r="L3250" s="1" t="s">
        <v>6135</v>
      </c>
    </row>
    <row r="3251" spans="1:12">
      <c r="A3251" s="3" t="s">
        <v>7297</v>
      </c>
      <c r="C3251" s="3" t="s">
        <v>3817</v>
      </c>
      <c r="D3251" s="3" t="s">
        <v>7250</v>
      </c>
      <c r="E3251" s="3" t="s">
        <v>5057</v>
      </c>
      <c r="F3251" s="3" t="s">
        <v>7472</v>
      </c>
      <c r="G3251" s="3" t="s">
        <v>4788</v>
      </c>
      <c r="H3251" s="6">
        <v>3.0253100000000002</v>
      </c>
      <c r="I3251" s="6">
        <v>1060.0100918625265</v>
      </c>
      <c r="J3251" s="3" t="s">
        <v>3356</v>
      </c>
      <c r="L3251" s="1" t="s">
        <v>6135</v>
      </c>
    </row>
    <row r="3252" spans="1:12">
      <c r="A3252" s="3" t="s">
        <v>7297</v>
      </c>
      <c r="C3252" s="3" t="s">
        <v>3817</v>
      </c>
      <c r="D3252" s="3" t="s">
        <v>7250</v>
      </c>
      <c r="E3252" s="3" t="s">
        <v>5057</v>
      </c>
      <c r="F3252" s="3" t="s">
        <v>7472</v>
      </c>
      <c r="G3252" s="3" t="s">
        <v>4636</v>
      </c>
      <c r="H3252" s="6">
        <v>2.95424</v>
      </c>
      <c r="I3252" s="6">
        <v>899.99479963720182</v>
      </c>
      <c r="J3252" s="3" t="s">
        <v>3356</v>
      </c>
      <c r="L3252" s="1" t="s">
        <v>6135</v>
      </c>
    </row>
    <row r="3253" spans="1:12">
      <c r="A3253" s="3" t="s">
        <v>7297</v>
      </c>
      <c r="C3253" s="3" t="s">
        <v>3817</v>
      </c>
      <c r="D3253" s="3" t="s">
        <v>7250</v>
      </c>
      <c r="E3253" s="3" t="s">
        <v>5057</v>
      </c>
      <c r="F3253" s="3" t="s">
        <v>7472</v>
      </c>
      <c r="G3253" s="3" t="s">
        <v>7298</v>
      </c>
      <c r="H3253" s="6">
        <v>2.9410099999999999</v>
      </c>
      <c r="I3253" s="6">
        <v>872.99146952812839</v>
      </c>
      <c r="J3253" s="3" t="s">
        <v>3356</v>
      </c>
      <c r="L3253" s="1" t="s">
        <v>6135</v>
      </c>
    </row>
    <row r="3254" spans="1:12">
      <c r="A3254" s="3" t="s">
        <v>7297</v>
      </c>
      <c r="C3254" s="3" t="s">
        <v>3817</v>
      </c>
      <c r="D3254" s="3" t="s">
        <v>7250</v>
      </c>
      <c r="E3254" s="3" t="s">
        <v>5057</v>
      </c>
      <c r="F3254" s="3" t="s">
        <v>7483</v>
      </c>
      <c r="G3254" s="3" t="s">
        <v>7182</v>
      </c>
      <c r="H3254" s="6">
        <v>3.6989700000000001</v>
      </c>
      <c r="I3254" s="6">
        <v>4999.9999500797403</v>
      </c>
      <c r="J3254" s="3" t="s">
        <v>3356</v>
      </c>
      <c r="L3254" s="1" t="s">
        <v>6135</v>
      </c>
    </row>
    <row r="3255" spans="1:12">
      <c r="A3255" s="3" t="s">
        <v>7297</v>
      </c>
      <c r="C3255" s="3" t="s">
        <v>3817</v>
      </c>
      <c r="D3255" s="3" t="s">
        <v>7250</v>
      </c>
      <c r="E3255" s="3" t="s">
        <v>5057</v>
      </c>
      <c r="F3255" s="3" t="s">
        <v>7483</v>
      </c>
      <c r="G3255" s="3" t="s">
        <v>7183</v>
      </c>
      <c r="H3255" s="6">
        <v>3.7781500000000001</v>
      </c>
      <c r="I3255" s="6">
        <v>5999.9827253364419</v>
      </c>
      <c r="J3255" s="3" t="s">
        <v>3356</v>
      </c>
      <c r="L3255" s="1" t="s">
        <v>6135</v>
      </c>
    </row>
    <row r="3256" spans="1:12">
      <c r="A3256" s="3" t="s">
        <v>7297</v>
      </c>
      <c r="C3256" s="3" t="s">
        <v>3817</v>
      </c>
      <c r="D3256" s="3" t="s">
        <v>7250</v>
      </c>
      <c r="E3256" s="3" t="s">
        <v>5057</v>
      </c>
      <c r="F3256" s="3" t="s">
        <v>7483</v>
      </c>
      <c r="G3256" s="3" t="s">
        <v>5054</v>
      </c>
      <c r="H3256" s="6">
        <v>3.3590800000000001</v>
      </c>
      <c r="I3256" s="6">
        <v>2286.0198650141092</v>
      </c>
      <c r="J3256" s="3" t="s">
        <v>3356</v>
      </c>
      <c r="L3256" s="1" t="s">
        <v>6135</v>
      </c>
    </row>
    <row r="3257" spans="1:12">
      <c r="A3257" s="3" t="s">
        <v>7297</v>
      </c>
      <c r="C3257" s="3" t="s">
        <v>3817</v>
      </c>
      <c r="D3257" s="3" t="s">
        <v>7250</v>
      </c>
      <c r="E3257" s="3" t="s">
        <v>5057</v>
      </c>
      <c r="F3257" s="3" t="s">
        <v>7483</v>
      </c>
      <c r="G3257" s="3" t="s">
        <v>7055</v>
      </c>
      <c r="H3257" s="6">
        <v>3.7781500000000001</v>
      </c>
      <c r="I3257" s="6">
        <v>5999.9827253364419</v>
      </c>
      <c r="J3257" s="3" t="s">
        <v>3356</v>
      </c>
      <c r="L3257" s="1" t="s">
        <v>6135</v>
      </c>
    </row>
    <row r="3258" spans="1:12">
      <c r="A3258" s="3" t="s">
        <v>7297</v>
      </c>
      <c r="C3258" s="3" t="s">
        <v>3817</v>
      </c>
      <c r="D3258" s="3" t="s">
        <v>7250</v>
      </c>
      <c r="E3258" s="3" t="s">
        <v>5057</v>
      </c>
      <c r="F3258" s="3" t="s">
        <v>7483</v>
      </c>
      <c r="G3258" s="3" t="s">
        <v>7184</v>
      </c>
      <c r="H3258" s="6">
        <v>3.8976299999999999</v>
      </c>
      <c r="I3258" s="6">
        <v>7900.0529108322226</v>
      </c>
      <c r="J3258" s="3" t="s">
        <v>3356</v>
      </c>
      <c r="L3258" s="1" t="s">
        <v>6135</v>
      </c>
    </row>
    <row r="3259" spans="1:12">
      <c r="A3259" s="3" t="s">
        <v>7297</v>
      </c>
      <c r="C3259" s="3" t="s">
        <v>3817</v>
      </c>
      <c r="D3259" s="3" t="s">
        <v>7250</v>
      </c>
      <c r="E3259" s="3" t="s">
        <v>5057</v>
      </c>
      <c r="F3259" s="3" t="s">
        <v>7185</v>
      </c>
      <c r="G3259" s="3" t="s">
        <v>4124</v>
      </c>
      <c r="H3259" s="6">
        <v>4.1303299999999998</v>
      </c>
      <c r="I3259" s="6">
        <v>13499.882857222525</v>
      </c>
      <c r="J3259" s="3" t="s">
        <v>3356</v>
      </c>
      <c r="L3259" s="1" t="s">
        <v>6135</v>
      </c>
    </row>
    <row r="3260" spans="1:12">
      <c r="A3260" s="3" t="s">
        <v>7297</v>
      </c>
      <c r="C3260" s="3" t="s">
        <v>3817</v>
      </c>
      <c r="D3260" s="3" t="s">
        <v>7250</v>
      </c>
      <c r="E3260" s="3" t="s">
        <v>5057</v>
      </c>
      <c r="F3260" s="3" t="s">
        <v>4125</v>
      </c>
      <c r="G3260" s="3" t="s">
        <v>4126</v>
      </c>
      <c r="H3260" s="6">
        <v>3.7631299999999999</v>
      </c>
      <c r="I3260" s="6">
        <v>5796.0216629272945</v>
      </c>
      <c r="J3260" s="3" t="s">
        <v>3356</v>
      </c>
      <c r="L3260" s="1" t="s">
        <v>6135</v>
      </c>
    </row>
    <row r="3261" spans="1:12">
      <c r="A3261" s="3" t="s">
        <v>7297</v>
      </c>
      <c r="C3261" s="3" t="s">
        <v>3817</v>
      </c>
      <c r="D3261" s="3" t="s">
        <v>7250</v>
      </c>
      <c r="E3261" s="3" t="s">
        <v>5057</v>
      </c>
      <c r="F3261" s="3" t="s">
        <v>4125</v>
      </c>
      <c r="G3261" s="3" t="s">
        <v>4779</v>
      </c>
      <c r="H3261" s="6">
        <v>3.57978</v>
      </c>
      <c r="I3261" s="6">
        <v>3799.9685303685542</v>
      </c>
      <c r="J3261" s="3" t="s">
        <v>3356</v>
      </c>
      <c r="L3261" s="1" t="s">
        <v>6135</v>
      </c>
    </row>
    <row r="3262" spans="1:12">
      <c r="A3262" s="3" t="s">
        <v>7297</v>
      </c>
      <c r="C3262" s="3" t="s">
        <v>3817</v>
      </c>
      <c r="D3262" s="3" t="s">
        <v>7250</v>
      </c>
      <c r="E3262" s="3" t="s">
        <v>5057</v>
      </c>
      <c r="F3262" s="3" t="s">
        <v>4780</v>
      </c>
      <c r="G3262" s="3" t="s">
        <v>4781</v>
      </c>
      <c r="H3262" s="6">
        <v>2.9966900000000001</v>
      </c>
      <c r="I3262" s="6">
        <v>992.40741375852326</v>
      </c>
      <c r="J3262" s="3" t="s">
        <v>3356</v>
      </c>
      <c r="L3262" s="1" t="s">
        <v>6135</v>
      </c>
    </row>
    <row r="3263" spans="1:12">
      <c r="A3263" s="3" t="s">
        <v>7297</v>
      </c>
      <c r="C3263" s="3" t="s">
        <v>3817</v>
      </c>
      <c r="D3263" s="3" t="s">
        <v>7250</v>
      </c>
      <c r="E3263" s="3" t="s">
        <v>5057</v>
      </c>
      <c r="F3263" s="3" t="s">
        <v>4780</v>
      </c>
      <c r="G3263" s="3" t="s">
        <v>4782</v>
      </c>
      <c r="H3263" s="6">
        <v>2.9966900000000001</v>
      </c>
      <c r="I3263" s="6">
        <v>992.40741375852326</v>
      </c>
      <c r="J3263" s="3" t="s">
        <v>3356</v>
      </c>
      <c r="L3263" s="1" t="s">
        <v>6135</v>
      </c>
    </row>
    <row r="3264" spans="1:12">
      <c r="A3264" s="3" t="s">
        <v>7297</v>
      </c>
      <c r="C3264" s="3" t="s">
        <v>3817</v>
      </c>
      <c r="D3264" s="3" t="s">
        <v>7250</v>
      </c>
      <c r="E3264" s="3" t="s">
        <v>5057</v>
      </c>
      <c r="F3264" s="3" t="s">
        <v>4780</v>
      </c>
      <c r="G3264" s="3" t="s">
        <v>4783</v>
      </c>
      <c r="H3264" s="6">
        <v>2.9966900000000001</v>
      </c>
      <c r="I3264" s="6">
        <v>992.40741375852326</v>
      </c>
      <c r="J3264" s="3" t="s">
        <v>3356</v>
      </c>
      <c r="L3264" s="1" t="s">
        <v>6135</v>
      </c>
    </row>
    <row r="3265" spans="1:12">
      <c r="A3265" s="3" t="s">
        <v>7297</v>
      </c>
      <c r="C3265" s="3" t="s">
        <v>3817</v>
      </c>
      <c r="D3265" s="3" t="s">
        <v>7250</v>
      </c>
      <c r="E3265" s="3" t="s">
        <v>5057</v>
      </c>
      <c r="F3265" s="3" t="s">
        <v>4780</v>
      </c>
      <c r="G3265" s="3" t="s">
        <v>4784</v>
      </c>
      <c r="H3265" s="6">
        <v>2.9614199999999999</v>
      </c>
      <c r="I3265" s="6">
        <v>914.9976949522021</v>
      </c>
      <c r="J3265" s="3" t="s">
        <v>3356</v>
      </c>
      <c r="L3265" s="1" t="s">
        <v>6135</v>
      </c>
    </row>
    <row r="3266" spans="1:12">
      <c r="A3266" s="3" t="s">
        <v>7297</v>
      </c>
      <c r="C3266" s="3" t="s">
        <v>3817</v>
      </c>
      <c r="D3266" s="3" t="s">
        <v>7250</v>
      </c>
      <c r="E3266" s="3" t="s">
        <v>5057</v>
      </c>
      <c r="F3266" s="3" t="s">
        <v>4780</v>
      </c>
      <c r="G3266" s="3" t="s">
        <v>4138</v>
      </c>
      <c r="H3266" s="6">
        <v>2.9003700000000001</v>
      </c>
      <c r="I3266" s="6">
        <v>795.00525617005906</v>
      </c>
      <c r="J3266" s="3" t="s">
        <v>3356</v>
      </c>
      <c r="L3266" s="1" t="s">
        <v>6135</v>
      </c>
    </row>
    <row r="3267" spans="1:12">
      <c r="A3267" s="3" t="s">
        <v>7297</v>
      </c>
      <c r="C3267" s="3" t="s">
        <v>3817</v>
      </c>
      <c r="D3267" s="3" t="s">
        <v>7250</v>
      </c>
      <c r="E3267" s="3" t="s">
        <v>5057</v>
      </c>
      <c r="F3267" s="3" t="s">
        <v>4780</v>
      </c>
      <c r="G3267" s="3" t="s">
        <v>4127</v>
      </c>
      <c r="H3267" s="6">
        <v>2.9966900000000001</v>
      </c>
      <c r="I3267" s="6">
        <v>992.40741375852326</v>
      </c>
      <c r="J3267" s="3" t="s">
        <v>3356</v>
      </c>
      <c r="L3267" s="1" t="s">
        <v>6135</v>
      </c>
    </row>
    <row r="3268" spans="1:12">
      <c r="A3268" s="3" t="s">
        <v>7297</v>
      </c>
      <c r="C3268" s="3" t="s">
        <v>3817</v>
      </c>
      <c r="D3268" s="3" t="s">
        <v>7250</v>
      </c>
      <c r="E3268" s="3" t="s">
        <v>5057</v>
      </c>
      <c r="F3268" s="3" t="s">
        <v>4780</v>
      </c>
      <c r="G3268" s="3" t="s">
        <v>4132</v>
      </c>
      <c r="H3268" s="6">
        <v>2.9966900000000001</v>
      </c>
      <c r="I3268" s="6">
        <v>992.40741375852326</v>
      </c>
      <c r="J3268" s="3" t="s">
        <v>3356</v>
      </c>
      <c r="L3268" s="1" t="s">
        <v>6135</v>
      </c>
    </row>
    <row r="3269" spans="1:12">
      <c r="A3269" s="3" t="s">
        <v>7297</v>
      </c>
      <c r="C3269" s="3" t="s">
        <v>3817</v>
      </c>
      <c r="D3269" s="3" t="s">
        <v>7250</v>
      </c>
      <c r="E3269" s="3" t="s">
        <v>5057</v>
      </c>
      <c r="F3269" s="3" t="s">
        <v>4780</v>
      </c>
      <c r="G3269" s="3" t="s">
        <v>7153</v>
      </c>
      <c r="H3269" s="6">
        <v>2.9966900000000001</v>
      </c>
      <c r="I3269" s="6">
        <v>992.40741375852326</v>
      </c>
      <c r="J3269" s="3" t="s">
        <v>3356</v>
      </c>
      <c r="L3269" s="1" t="s">
        <v>6135</v>
      </c>
    </row>
    <row r="3270" spans="1:12">
      <c r="A3270" s="3" t="s">
        <v>7297</v>
      </c>
      <c r="C3270" s="3" t="s">
        <v>3817</v>
      </c>
      <c r="D3270" s="3" t="s">
        <v>7250</v>
      </c>
      <c r="E3270" s="3" t="s">
        <v>5057</v>
      </c>
      <c r="F3270" s="3" t="s">
        <v>4780</v>
      </c>
      <c r="G3270" s="3" t="s">
        <v>7154</v>
      </c>
      <c r="H3270" s="6">
        <v>2.9318300000000002</v>
      </c>
      <c r="I3270" s="6">
        <v>854.7320715275514</v>
      </c>
      <c r="J3270" s="3" t="s">
        <v>3356</v>
      </c>
      <c r="L3270" s="1" t="s">
        <v>6135</v>
      </c>
    </row>
    <row r="3271" spans="1:12">
      <c r="A3271" s="3" t="s">
        <v>7297</v>
      </c>
      <c r="C3271" s="3" t="s">
        <v>3817</v>
      </c>
      <c r="D3271" s="3" t="s">
        <v>7250</v>
      </c>
      <c r="E3271" s="3" t="s">
        <v>5057</v>
      </c>
      <c r="F3271" s="3" t="s">
        <v>4780</v>
      </c>
      <c r="G3271" s="3" t="s">
        <v>3910</v>
      </c>
      <c r="H3271" s="6">
        <v>2.9966900000000001</v>
      </c>
      <c r="I3271" s="6">
        <v>992.40741375852326</v>
      </c>
      <c r="J3271" s="3" t="s">
        <v>3356</v>
      </c>
      <c r="L3271" s="1" t="s">
        <v>6135</v>
      </c>
    </row>
    <row r="3272" spans="1:12">
      <c r="A3272" s="3" t="s">
        <v>7297</v>
      </c>
      <c r="C3272" s="3" t="s">
        <v>3817</v>
      </c>
      <c r="D3272" s="3" t="s">
        <v>7250</v>
      </c>
      <c r="E3272" s="3" t="s">
        <v>5057</v>
      </c>
      <c r="F3272" s="3" t="s">
        <v>4780</v>
      </c>
      <c r="G3272" s="3" t="s">
        <v>4357</v>
      </c>
      <c r="H3272" s="6">
        <v>2.9966900000000001</v>
      </c>
      <c r="I3272" s="6">
        <v>992.40741375852326</v>
      </c>
      <c r="J3272" s="3" t="s">
        <v>3356</v>
      </c>
      <c r="L3272" s="1" t="s">
        <v>6135</v>
      </c>
    </row>
    <row r="3273" spans="1:12">
      <c r="A3273" s="3" t="s">
        <v>7297</v>
      </c>
      <c r="C3273" s="3" t="s">
        <v>3817</v>
      </c>
      <c r="D3273" s="3" t="s">
        <v>7250</v>
      </c>
      <c r="E3273" s="3" t="s">
        <v>5057</v>
      </c>
      <c r="F3273" s="3" t="s">
        <v>4780</v>
      </c>
      <c r="G3273" s="3" t="s">
        <v>3251</v>
      </c>
      <c r="H3273" s="6">
        <v>3.1303299999999998</v>
      </c>
      <c r="I3273" s="6">
        <v>1349.9882857222524</v>
      </c>
      <c r="J3273" s="3" t="s">
        <v>3356</v>
      </c>
      <c r="L3273" s="1" t="s">
        <v>6135</v>
      </c>
    </row>
    <row r="3274" spans="1:12">
      <c r="A3274" s="3" t="s">
        <v>7297</v>
      </c>
      <c r="C3274" s="3" t="s">
        <v>3817</v>
      </c>
      <c r="D3274" s="3" t="s">
        <v>7250</v>
      </c>
      <c r="E3274" s="3" t="s">
        <v>5057</v>
      </c>
      <c r="F3274" s="3" t="s">
        <v>4780</v>
      </c>
      <c r="G3274" s="3" t="s">
        <v>3712</v>
      </c>
      <c r="H3274" s="6">
        <v>3.0211899999999998</v>
      </c>
      <c r="I3274" s="6">
        <v>1050.0016946500355</v>
      </c>
      <c r="J3274" s="3" t="s">
        <v>3356</v>
      </c>
      <c r="L3274" s="1" t="s">
        <v>6135</v>
      </c>
    </row>
    <row r="3275" spans="1:12">
      <c r="A3275" s="3" t="s">
        <v>7297</v>
      </c>
      <c r="C3275" s="3" t="s">
        <v>3817</v>
      </c>
      <c r="D3275" s="3" t="s">
        <v>7250</v>
      </c>
      <c r="E3275" s="3" t="s">
        <v>5057</v>
      </c>
      <c r="F3275" s="3" t="s">
        <v>3933</v>
      </c>
      <c r="G3275" s="3" t="s">
        <v>7134</v>
      </c>
      <c r="H3275" s="6">
        <v>3.4197899999999999</v>
      </c>
      <c r="I3275" s="6">
        <v>2628.9964520097492</v>
      </c>
      <c r="J3275" s="3" t="s">
        <v>3356</v>
      </c>
      <c r="L3275" s="1" t="s">
        <v>6135</v>
      </c>
    </row>
    <row r="3276" spans="1:12">
      <c r="A3276" s="3" t="s">
        <v>7297</v>
      </c>
      <c r="C3276" s="3" t="s">
        <v>3817</v>
      </c>
      <c r="D3276" s="3" t="s">
        <v>7250</v>
      </c>
      <c r="E3276" s="3" t="s">
        <v>5057</v>
      </c>
      <c r="F3276" s="3" t="s">
        <v>3933</v>
      </c>
      <c r="G3276" s="3" t="s">
        <v>2441</v>
      </c>
      <c r="H3276" s="6">
        <v>3.3979400000000002</v>
      </c>
      <c r="I3276" s="6">
        <v>2499.9999500797412</v>
      </c>
      <c r="J3276" s="3" t="s">
        <v>3356</v>
      </c>
      <c r="L3276" s="1" t="s">
        <v>6135</v>
      </c>
    </row>
    <row r="3277" spans="1:12">
      <c r="A3277" s="3" t="s">
        <v>7297</v>
      </c>
      <c r="C3277" s="3" t="s">
        <v>3817</v>
      </c>
      <c r="D3277" s="3" t="s">
        <v>7250</v>
      </c>
      <c r="E3277" s="3" t="s">
        <v>5057</v>
      </c>
      <c r="F3277" s="3" t="s">
        <v>3933</v>
      </c>
      <c r="G3277" s="3" t="s">
        <v>2442</v>
      </c>
      <c r="H3277" s="6">
        <v>3.43669</v>
      </c>
      <c r="I3277" s="6">
        <v>2733.3169843793216</v>
      </c>
      <c r="J3277" s="3" t="s">
        <v>3356</v>
      </c>
      <c r="L3277" s="1" t="s">
        <v>6135</v>
      </c>
    </row>
    <row r="3278" spans="1:12">
      <c r="A3278" s="3" t="s">
        <v>7297</v>
      </c>
      <c r="C3278" s="3" t="s">
        <v>3817</v>
      </c>
      <c r="D3278" s="3" t="s">
        <v>7250</v>
      </c>
      <c r="E3278" s="3" t="s">
        <v>5057</v>
      </c>
      <c r="F3278" s="3" t="s">
        <v>3933</v>
      </c>
      <c r="G3278" s="3" t="s">
        <v>2443</v>
      </c>
      <c r="H3278" s="6">
        <v>3.4149699999999998</v>
      </c>
      <c r="I3278" s="6">
        <v>2599.9799567092446</v>
      </c>
      <c r="J3278" s="3" t="s">
        <v>3356</v>
      </c>
      <c r="L3278" s="1" t="s">
        <v>6135</v>
      </c>
    </row>
    <row r="3279" spans="1:12">
      <c r="A3279" s="3" t="s">
        <v>7297</v>
      </c>
      <c r="C3279" s="3" t="s">
        <v>3817</v>
      </c>
      <c r="D3279" s="3" t="s">
        <v>7250</v>
      </c>
      <c r="E3279" s="3" t="s">
        <v>5057</v>
      </c>
      <c r="F3279" s="3" t="s">
        <v>2444</v>
      </c>
      <c r="G3279" s="3" t="s">
        <v>2545</v>
      </c>
      <c r="H3279" s="6">
        <v>3.4624000000000001</v>
      </c>
      <c r="I3279" s="6">
        <v>2900.0133690540733</v>
      </c>
      <c r="J3279" s="3" t="s">
        <v>3356</v>
      </c>
      <c r="L3279" s="1" t="s">
        <v>6135</v>
      </c>
    </row>
    <row r="3280" spans="1:12">
      <c r="A3280" s="3" t="s">
        <v>7297</v>
      </c>
      <c r="C3280" s="3" t="s">
        <v>3817</v>
      </c>
      <c r="D3280" s="3" t="s">
        <v>7250</v>
      </c>
      <c r="E3280" s="3" t="s">
        <v>5057</v>
      </c>
      <c r="F3280" s="3" t="s">
        <v>2444</v>
      </c>
      <c r="G3280" s="3" t="s">
        <v>2546</v>
      </c>
      <c r="H3280" s="6">
        <v>3.4771200000000002</v>
      </c>
      <c r="I3280" s="6">
        <v>2999.9913327161544</v>
      </c>
      <c r="J3280" s="3" t="s">
        <v>3356</v>
      </c>
      <c r="L3280" s="1" t="s">
        <v>6135</v>
      </c>
    </row>
    <row r="3281" spans="1:12">
      <c r="A3281" s="3" t="s">
        <v>7297</v>
      </c>
      <c r="C3281" s="3" t="s">
        <v>3817</v>
      </c>
      <c r="D3281" s="3" t="s">
        <v>7250</v>
      </c>
      <c r="E3281" s="3" t="s">
        <v>5057</v>
      </c>
      <c r="F3281" s="3" t="s">
        <v>2547</v>
      </c>
      <c r="G3281" s="3" t="s">
        <v>2758</v>
      </c>
      <c r="H3281" s="6">
        <v>3.8325100000000001</v>
      </c>
      <c r="I3281" s="6">
        <v>6800.0170244089231</v>
      </c>
      <c r="J3281" s="3" t="s">
        <v>3356</v>
      </c>
      <c r="L3281" s="1" t="s">
        <v>6135</v>
      </c>
    </row>
    <row r="3282" spans="1:12">
      <c r="A3282" s="3" t="s">
        <v>7297</v>
      </c>
      <c r="C3282" s="3" t="s">
        <v>3817</v>
      </c>
      <c r="D3282" s="3" t="s">
        <v>7250</v>
      </c>
      <c r="E3282" s="3" t="s">
        <v>5057</v>
      </c>
      <c r="F3282" s="3" t="s">
        <v>2547</v>
      </c>
      <c r="G3282" s="3" t="s">
        <v>2415</v>
      </c>
      <c r="H3282" s="6">
        <v>3.7993399999999999</v>
      </c>
      <c r="I3282" s="6">
        <v>6299.9920294741987</v>
      </c>
      <c r="J3282" s="3" t="s">
        <v>3356</v>
      </c>
      <c r="L3282" s="1" t="s">
        <v>6135</v>
      </c>
    </row>
    <row r="3283" spans="1:12">
      <c r="A3283" s="3" t="s">
        <v>7297</v>
      </c>
      <c r="C3283" s="3" t="s">
        <v>3817</v>
      </c>
      <c r="D3283" s="3" t="s">
        <v>7250</v>
      </c>
      <c r="E3283" s="3" t="s">
        <v>5057</v>
      </c>
      <c r="F3283" s="3" t="s">
        <v>2416</v>
      </c>
      <c r="G3283" s="3" t="s">
        <v>7135</v>
      </c>
      <c r="H3283" s="6">
        <v>3.3521800000000002</v>
      </c>
      <c r="I3283" s="6">
        <v>2249.9869541650314</v>
      </c>
      <c r="J3283" s="3" t="s">
        <v>3356</v>
      </c>
      <c r="L3283" s="1" t="s">
        <v>6135</v>
      </c>
    </row>
    <row r="3284" spans="1:12">
      <c r="A3284" s="3" t="s">
        <v>7297</v>
      </c>
      <c r="C3284" s="3" t="s">
        <v>3817</v>
      </c>
      <c r="D3284" s="3" t="s">
        <v>7250</v>
      </c>
      <c r="E3284" s="3" t="s">
        <v>5057</v>
      </c>
      <c r="F3284" s="3" t="s">
        <v>2416</v>
      </c>
      <c r="G3284" s="3" t="s">
        <v>7172</v>
      </c>
      <c r="H3284" s="6">
        <v>3.4471599999999998</v>
      </c>
      <c r="I3284" s="6">
        <v>2800.012692434535</v>
      </c>
      <c r="J3284" s="3" t="s">
        <v>3356</v>
      </c>
      <c r="L3284" s="1" t="s">
        <v>6135</v>
      </c>
    </row>
    <row r="3285" spans="1:12">
      <c r="A3285" s="3" t="s">
        <v>7297</v>
      </c>
      <c r="C3285" s="3" t="s">
        <v>3817</v>
      </c>
      <c r="D3285" s="3" t="s">
        <v>7250</v>
      </c>
      <c r="E3285" s="3" t="s">
        <v>5057</v>
      </c>
      <c r="F3285" s="3" t="s">
        <v>2416</v>
      </c>
      <c r="G3285" s="3" t="s">
        <v>7173</v>
      </c>
      <c r="H3285" s="6">
        <v>3.3504399999999999</v>
      </c>
      <c r="I3285" s="6">
        <v>2240.990420126544</v>
      </c>
      <c r="J3285" s="3" t="s">
        <v>3356</v>
      </c>
      <c r="L3285" s="1" t="s">
        <v>6135</v>
      </c>
    </row>
    <row r="3286" spans="1:12">
      <c r="A3286" s="3" t="s">
        <v>7297</v>
      </c>
      <c r="C3286" s="3" t="s">
        <v>3817</v>
      </c>
      <c r="D3286" s="3" t="s">
        <v>7250</v>
      </c>
      <c r="E3286" s="3" t="s">
        <v>5057</v>
      </c>
      <c r="F3286" s="3" t="s">
        <v>2416</v>
      </c>
      <c r="G3286" s="3" t="s">
        <v>7174</v>
      </c>
      <c r="H3286" s="6">
        <v>3.18682</v>
      </c>
      <c r="I3286" s="6">
        <v>1537.5172606478543</v>
      </c>
      <c r="J3286" s="3" t="s">
        <v>3356</v>
      </c>
      <c r="L3286" s="1" t="s">
        <v>6135</v>
      </c>
    </row>
    <row r="3287" spans="1:12">
      <c r="A3287" s="3" t="s">
        <v>7297</v>
      </c>
      <c r="C3287" s="3" t="s">
        <v>3817</v>
      </c>
      <c r="D3287" s="3" t="s">
        <v>7250</v>
      </c>
      <c r="E3287" s="3" t="s">
        <v>5057</v>
      </c>
      <c r="F3287" s="3" t="s">
        <v>2416</v>
      </c>
      <c r="G3287" s="3" t="s">
        <v>7175</v>
      </c>
      <c r="H3287" s="6">
        <v>3.1384599999999998</v>
      </c>
      <c r="I3287" s="6">
        <v>1375.4981163825987</v>
      </c>
      <c r="J3287" s="3" t="s">
        <v>3356</v>
      </c>
      <c r="L3287" s="1" t="s">
        <v>6135</v>
      </c>
    </row>
    <row r="3288" spans="1:12">
      <c r="A3288" s="3" t="s">
        <v>7297</v>
      </c>
      <c r="C3288" s="3" t="s">
        <v>3817</v>
      </c>
      <c r="D3288" s="3" t="s">
        <v>7250</v>
      </c>
      <c r="E3288" s="3" t="s">
        <v>5057</v>
      </c>
      <c r="F3288" s="3" t="s">
        <v>7495</v>
      </c>
      <c r="G3288" s="3" t="s">
        <v>7496</v>
      </c>
      <c r="H3288" s="6">
        <v>2.7888799999999998</v>
      </c>
      <c r="I3288" s="6">
        <v>615.00691653966339</v>
      </c>
      <c r="J3288" s="3" t="s">
        <v>3356</v>
      </c>
      <c r="L3288" s="1" t="s">
        <v>6135</v>
      </c>
    </row>
    <row r="3289" spans="1:12">
      <c r="A3289" s="3" t="s">
        <v>7297</v>
      </c>
      <c r="C3289" s="3" t="s">
        <v>3817</v>
      </c>
      <c r="D3289" s="3" t="s">
        <v>7250</v>
      </c>
      <c r="E3289" s="3" t="s">
        <v>5057</v>
      </c>
      <c r="F3289" s="3" t="s">
        <v>7495</v>
      </c>
      <c r="G3289" s="3" t="s">
        <v>7497</v>
      </c>
      <c r="H3289" s="6">
        <v>2.8822399999999999</v>
      </c>
      <c r="I3289" s="6">
        <v>762.50026683661076</v>
      </c>
      <c r="J3289" s="3" t="s">
        <v>3356</v>
      </c>
      <c r="L3289" s="1" t="s">
        <v>6135</v>
      </c>
    </row>
    <row r="3290" spans="1:12">
      <c r="A3290" s="3" t="s">
        <v>7297</v>
      </c>
      <c r="C3290" s="3" t="s">
        <v>3817</v>
      </c>
      <c r="D3290" s="3" t="s">
        <v>7250</v>
      </c>
      <c r="E3290" s="3" t="s">
        <v>5057</v>
      </c>
      <c r="F3290" s="3" t="s">
        <v>7495</v>
      </c>
      <c r="G3290" s="3" t="s">
        <v>7159</v>
      </c>
      <c r="H3290" s="6">
        <v>2.87113</v>
      </c>
      <c r="I3290" s="6">
        <v>743.24158361084801</v>
      </c>
      <c r="J3290" s="3" t="s">
        <v>3356</v>
      </c>
      <c r="L3290" s="1" t="s">
        <v>6135</v>
      </c>
    </row>
    <row r="3291" spans="1:12">
      <c r="A3291" s="3" t="s">
        <v>7297</v>
      </c>
      <c r="C3291" s="3" t="s">
        <v>3817</v>
      </c>
      <c r="D3291" s="3" t="s">
        <v>7250</v>
      </c>
      <c r="E3291" s="3" t="s">
        <v>5057</v>
      </c>
      <c r="F3291" s="3" t="s">
        <v>7495</v>
      </c>
      <c r="G3291" s="3" t="s">
        <v>2995</v>
      </c>
      <c r="H3291" s="6">
        <v>3</v>
      </c>
      <c r="I3291" s="6">
        <v>1000</v>
      </c>
      <c r="J3291" s="3" t="s">
        <v>3356</v>
      </c>
      <c r="L3291" s="1" t="s">
        <v>6135</v>
      </c>
    </row>
    <row r="3292" spans="1:12">
      <c r="A3292" s="3" t="s">
        <v>7297</v>
      </c>
      <c r="C3292" s="3" t="s">
        <v>3817</v>
      </c>
      <c r="D3292" s="3" t="s">
        <v>7250</v>
      </c>
      <c r="E3292" s="3" t="s">
        <v>5057</v>
      </c>
      <c r="F3292" s="3" t="s">
        <v>7495</v>
      </c>
      <c r="G3292" s="3" t="s">
        <v>6298</v>
      </c>
      <c r="H3292" s="6">
        <v>2.8862700000000001</v>
      </c>
      <c r="I3292" s="6">
        <v>769.60875579241531</v>
      </c>
      <c r="J3292" s="3" t="s">
        <v>3356</v>
      </c>
      <c r="L3292" s="1" t="s">
        <v>6135</v>
      </c>
    </row>
    <row r="3293" spans="1:12">
      <c r="A3293" s="3" t="s">
        <v>7297</v>
      </c>
      <c r="C3293" s="3" t="s">
        <v>3817</v>
      </c>
      <c r="D3293" s="3" t="s">
        <v>3618</v>
      </c>
      <c r="E3293" s="3" t="s">
        <v>3619</v>
      </c>
      <c r="F3293" s="3" t="s">
        <v>3620</v>
      </c>
      <c r="G3293" s="3" t="s">
        <v>4630</v>
      </c>
      <c r="H3293" s="6">
        <v>2.3988100000000001</v>
      </c>
      <c r="I3293" s="6">
        <v>250.5013092166534</v>
      </c>
      <c r="J3293" s="3" t="s">
        <v>3356</v>
      </c>
      <c r="L3293" s="1" t="s">
        <v>6135</v>
      </c>
    </row>
    <row r="3294" spans="1:12">
      <c r="A3294" s="3" t="s">
        <v>7297</v>
      </c>
      <c r="C3294" s="3" t="s">
        <v>3817</v>
      </c>
      <c r="D3294" s="3" t="s">
        <v>3618</v>
      </c>
      <c r="E3294" s="3" t="s">
        <v>3619</v>
      </c>
      <c r="F3294" s="3" t="s">
        <v>3620</v>
      </c>
      <c r="G3294" s="3" t="s">
        <v>7496</v>
      </c>
      <c r="H3294" s="6">
        <v>2.1986599999999998</v>
      </c>
      <c r="I3294" s="6">
        <v>158.00105979413516</v>
      </c>
      <c r="J3294" s="3" t="s">
        <v>3356</v>
      </c>
      <c r="L3294" s="1" t="s">
        <v>6135</v>
      </c>
    </row>
    <row r="3295" spans="1:12">
      <c r="A3295" s="3" t="s">
        <v>7297</v>
      </c>
      <c r="C3295" s="3" t="s">
        <v>3817</v>
      </c>
      <c r="D3295" s="3" t="s">
        <v>3618</v>
      </c>
      <c r="E3295" s="3" t="s">
        <v>3619</v>
      </c>
      <c r="F3295" s="3" t="s">
        <v>3620</v>
      </c>
      <c r="G3295" s="3" t="s">
        <v>4612</v>
      </c>
      <c r="H3295" s="6">
        <v>2.3979400000000002</v>
      </c>
      <c r="I3295" s="6">
        <v>249.99999500797404</v>
      </c>
      <c r="J3295" s="3" t="s">
        <v>3356</v>
      </c>
      <c r="L3295" s="1" t="s">
        <v>6135</v>
      </c>
    </row>
    <row r="3296" spans="1:12">
      <c r="A3296" s="3" t="s">
        <v>7297</v>
      </c>
      <c r="C3296" s="3" t="s">
        <v>3817</v>
      </c>
      <c r="D3296" s="3" t="s">
        <v>3618</v>
      </c>
      <c r="E3296" s="3" t="s">
        <v>4631</v>
      </c>
      <c r="F3296" s="3" t="s">
        <v>4632</v>
      </c>
      <c r="G3296" s="3" t="s">
        <v>3623</v>
      </c>
      <c r="H3296" s="6">
        <v>3.9030900000000002</v>
      </c>
      <c r="I3296" s="6">
        <v>8000.0002396172686</v>
      </c>
      <c r="J3296" s="3" t="s">
        <v>3356</v>
      </c>
      <c r="L3296" s="1" t="s">
        <v>6135</v>
      </c>
    </row>
    <row r="3297" spans="1:12">
      <c r="A3297" s="3" t="s">
        <v>7297</v>
      </c>
      <c r="C3297" s="3" t="s">
        <v>3817</v>
      </c>
      <c r="D3297" s="3" t="s">
        <v>3618</v>
      </c>
      <c r="E3297" s="3" t="s">
        <v>4631</v>
      </c>
      <c r="F3297" s="3" t="s">
        <v>4632</v>
      </c>
      <c r="G3297" s="3" t="s">
        <v>3624</v>
      </c>
      <c r="H3297" s="6">
        <v>3.95424</v>
      </c>
      <c r="I3297" s="6">
        <v>8999.9479963720187</v>
      </c>
      <c r="J3297" s="3" t="s">
        <v>3356</v>
      </c>
      <c r="L3297" s="1" t="s">
        <v>6135</v>
      </c>
    </row>
    <row r="3298" spans="1:12">
      <c r="A3298" s="3" t="s">
        <v>7297</v>
      </c>
      <c r="C3298" s="3" t="s">
        <v>3817</v>
      </c>
      <c r="D3298" s="3" t="s">
        <v>3618</v>
      </c>
      <c r="E3298" s="3" t="s">
        <v>6508</v>
      </c>
      <c r="F3298" s="3" t="s">
        <v>6509</v>
      </c>
      <c r="G3298" s="3" t="s">
        <v>6510</v>
      </c>
      <c r="H3298" s="6">
        <v>2.7395700000000001</v>
      </c>
      <c r="I3298" s="6">
        <v>548.99703634358764</v>
      </c>
      <c r="J3298" s="3" t="s">
        <v>3356</v>
      </c>
      <c r="L3298" s="1" t="s">
        <v>6135</v>
      </c>
    </row>
    <row r="3299" spans="1:12">
      <c r="A3299" s="3" t="s">
        <v>7297</v>
      </c>
      <c r="C3299" s="3" t="s">
        <v>3817</v>
      </c>
      <c r="D3299" s="3" t="s">
        <v>3618</v>
      </c>
      <c r="E3299" s="3" t="s">
        <v>6508</v>
      </c>
      <c r="F3299" s="3" t="s">
        <v>6509</v>
      </c>
      <c r="G3299" s="3" t="s">
        <v>6511</v>
      </c>
      <c r="H3299" s="6">
        <v>2.4510200000000002</v>
      </c>
      <c r="I3299" s="6">
        <v>282.50100684415969</v>
      </c>
      <c r="J3299" s="3" t="s">
        <v>3356</v>
      </c>
      <c r="L3299" s="1" t="s">
        <v>6135</v>
      </c>
    </row>
    <row r="3300" spans="1:12">
      <c r="A3300" s="3" t="s">
        <v>7297</v>
      </c>
      <c r="C3300" s="3" t="s">
        <v>3817</v>
      </c>
      <c r="D3300" s="3" t="s">
        <v>3618</v>
      </c>
      <c r="E3300" s="3" t="s">
        <v>6508</v>
      </c>
      <c r="F3300" s="3" t="s">
        <v>6509</v>
      </c>
      <c r="G3300" s="3" t="s">
        <v>7357</v>
      </c>
      <c r="H3300" s="6">
        <v>2.66276</v>
      </c>
      <c r="I3300" s="6">
        <v>460.00229666506834</v>
      </c>
      <c r="J3300" s="3" t="s">
        <v>3356</v>
      </c>
      <c r="L3300" s="1" t="s">
        <v>6135</v>
      </c>
    </row>
    <row r="3301" spans="1:12">
      <c r="A3301" s="3" t="s">
        <v>7297</v>
      </c>
      <c r="C3301" s="3" t="s">
        <v>3817</v>
      </c>
      <c r="D3301" s="3" t="s">
        <v>3618</v>
      </c>
      <c r="E3301" s="3" t="s">
        <v>6508</v>
      </c>
      <c r="F3301" s="3" t="s">
        <v>6509</v>
      </c>
      <c r="G3301" s="3" t="s">
        <v>6679</v>
      </c>
      <c r="H3301" s="6">
        <v>2.8621300000000001</v>
      </c>
      <c r="I3301" s="6">
        <v>727.99768788612778</v>
      </c>
      <c r="J3301" s="3" t="s">
        <v>3356</v>
      </c>
      <c r="L3301" s="1" t="s">
        <v>6135</v>
      </c>
    </row>
    <row r="3302" spans="1:12">
      <c r="A3302" s="3" t="s">
        <v>7297</v>
      </c>
      <c r="C3302" s="3" t="s">
        <v>3817</v>
      </c>
      <c r="D3302" s="3" t="s">
        <v>3618</v>
      </c>
      <c r="E3302" s="3" t="s">
        <v>6508</v>
      </c>
      <c r="F3302" s="3" t="s">
        <v>6509</v>
      </c>
      <c r="G3302" s="3" t="s">
        <v>6680</v>
      </c>
      <c r="H3302" s="6">
        <v>2.43933</v>
      </c>
      <c r="I3302" s="6">
        <v>274.99829424260366</v>
      </c>
      <c r="J3302" s="3" t="s">
        <v>3356</v>
      </c>
      <c r="L3302" s="1" t="s">
        <v>6135</v>
      </c>
    </row>
    <row r="3303" spans="1:12">
      <c r="A3303" s="3" t="s">
        <v>7297</v>
      </c>
      <c r="C3303" s="3" t="s">
        <v>3817</v>
      </c>
      <c r="D3303" s="3" t="s">
        <v>3618</v>
      </c>
      <c r="E3303" s="3" t="s">
        <v>6508</v>
      </c>
      <c r="F3303" s="3" t="s">
        <v>6681</v>
      </c>
      <c r="G3303" s="3" t="s">
        <v>6515</v>
      </c>
      <c r="H3303" s="6">
        <v>3.9030900000000002</v>
      </c>
      <c r="I3303" s="6">
        <v>8000.0002396172686</v>
      </c>
      <c r="J3303" s="3" t="s">
        <v>3356</v>
      </c>
      <c r="L3303" s="1" t="s">
        <v>6135</v>
      </c>
    </row>
    <row r="3304" spans="1:12">
      <c r="A3304" s="3" t="s">
        <v>7297</v>
      </c>
      <c r="C3304" s="3" t="s">
        <v>3817</v>
      </c>
      <c r="D3304" s="3" t="s">
        <v>3618</v>
      </c>
      <c r="E3304" s="3" t="s">
        <v>6508</v>
      </c>
      <c r="F3304" s="3" t="s">
        <v>6681</v>
      </c>
      <c r="G3304" s="3" t="s">
        <v>6516</v>
      </c>
      <c r="H3304" s="6">
        <v>3.2041200000000001</v>
      </c>
      <c r="I3304" s="6">
        <v>1600.0000638979368</v>
      </c>
      <c r="J3304" s="3" t="s">
        <v>3356</v>
      </c>
      <c r="L3304" s="1" t="s">
        <v>6135</v>
      </c>
    </row>
    <row r="3305" spans="1:12">
      <c r="A3305" s="3" t="s">
        <v>7297</v>
      </c>
      <c r="C3305" s="3" t="s">
        <v>3817</v>
      </c>
      <c r="D3305" s="3" t="s">
        <v>3618</v>
      </c>
      <c r="E3305" s="3" t="s">
        <v>6508</v>
      </c>
      <c r="F3305" s="3" t="s">
        <v>6517</v>
      </c>
      <c r="G3305" s="3" t="s">
        <v>6685</v>
      </c>
      <c r="H3305" s="6">
        <v>2.6532100000000001</v>
      </c>
      <c r="I3305" s="6">
        <v>449.9973953258035</v>
      </c>
      <c r="J3305" s="3" t="s">
        <v>3356</v>
      </c>
      <c r="L3305" s="1" t="s">
        <v>6135</v>
      </c>
    </row>
    <row r="3306" spans="1:12">
      <c r="A3306" s="3" t="s">
        <v>7297</v>
      </c>
      <c r="C3306" s="3" t="s">
        <v>3817</v>
      </c>
      <c r="D3306" s="3" t="s">
        <v>3618</v>
      </c>
      <c r="E3306" s="3" t="s">
        <v>6508</v>
      </c>
      <c r="F3306" s="3" t="s">
        <v>6517</v>
      </c>
      <c r="G3306" s="3" t="s">
        <v>4151</v>
      </c>
      <c r="H3306" s="6">
        <v>2.6812399999999998</v>
      </c>
      <c r="I3306" s="6">
        <v>479.9986324039092</v>
      </c>
      <c r="J3306" s="3" t="s">
        <v>3356</v>
      </c>
      <c r="L3306" s="1" t="s">
        <v>6135</v>
      </c>
    </row>
    <row r="3307" spans="1:12">
      <c r="A3307" s="3" t="s">
        <v>7297</v>
      </c>
      <c r="C3307" s="3" t="s">
        <v>3817</v>
      </c>
      <c r="D3307" s="3" t="s">
        <v>3618</v>
      </c>
      <c r="E3307" s="3" t="s">
        <v>6508</v>
      </c>
      <c r="F3307" s="3" t="s">
        <v>6517</v>
      </c>
      <c r="G3307" s="3" t="s">
        <v>3040</v>
      </c>
      <c r="H3307" s="6">
        <v>2.5134799999999999</v>
      </c>
      <c r="I3307" s="6">
        <v>326.19702812008234</v>
      </c>
      <c r="J3307" s="3" t="s">
        <v>3356</v>
      </c>
      <c r="L3307" s="1" t="s">
        <v>6135</v>
      </c>
    </row>
    <row r="3308" spans="1:12">
      <c r="A3308" s="3" t="s">
        <v>7297</v>
      </c>
      <c r="C3308" s="3" t="s">
        <v>3817</v>
      </c>
      <c r="D3308" s="3" t="s">
        <v>3618</v>
      </c>
      <c r="E3308" s="3" t="s">
        <v>6508</v>
      </c>
      <c r="F3308" s="3" t="s">
        <v>3041</v>
      </c>
      <c r="G3308" s="3" t="s">
        <v>4713</v>
      </c>
      <c r="H3308" s="6">
        <v>2.9030900000000002</v>
      </c>
      <c r="I3308" s="6">
        <v>800.0000239617267</v>
      </c>
      <c r="J3308" s="3" t="s">
        <v>3356</v>
      </c>
      <c r="L3308" s="1" t="s">
        <v>6135</v>
      </c>
    </row>
    <row r="3309" spans="1:12">
      <c r="A3309" s="3" t="s">
        <v>7297</v>
      </c>
      <c r="C3309" s="3" t="s">
        <v>3817</v>
      </c>
      <c r="D3309" s="3" t="s">
        <v>3618</v>
      </c>
      <c r="E3309" s="3" t="s">
        <v>6508</v>
      </c>
      <c r="F3309" s="3" t="s">
        <v>6512</v>
      </c>
      <c r="G3309" s="3" t="s">
        <v>3789</v>
      </c>
      <c r="H3309" s="6">
        <v>2.4565199999999998</v>
      </c>
      <c r="I3309" s="6">
        <v>286.10141121624019</v>
      </c>
      <c r="J3309" s="3" t="s">
        <v>3356</v>
      </c>
      <c r="L3309" s="1" t="s">
        <v>6135</v>
      </c>
    </row>
    <row r="3310" spans="1:12">
      <c r="A3310" s="3" t="s">
        <v>7297</v>
      </c>
      <c r="C3310" s="3" t="s">
        <v>3817</v>
      </c>
      <c r="D3310" s="3" t="s">
        <v>3618</v>
      </c>
      <c r="E3310" s="3" t="s">
        <v>6508</v>
      </c>
      <c r="F3310" s="3" t="s">
        <v>6512</v>
      </c>
      <c r="G3310" s="3" t="s">
        <v>6802</v>
      </c>
      <c r="H3310" s="6">
        <v>2.4068800000000001</v>
      </c>
      <c r="I3310" s="6">
        <v>255.19960626622768</v>
      </c>
      <c r="J3310" s="3" t="s">
        <v>3356</v>
      </c>
      <c r="L3310" s="1" t="s">
        <v>6135</v>
      </c>
    </row>
    <row r="3311" spans="1:12">
      <c r="A3311" s="3" t="s">
        <v>7297</v>
      </c>
      <c r="C3311" s="3" t="s">
        <v>3817</v>
      </c>
      <c r="D3311" s="3" t="s">
        <v>3618</v>
      </c>
      <c r="E3311" s="3" t="s">
        <v>6508</v>
      </c>
      <c r="F3311" s="3" t="s">
        <v>6512</v>
      </c>
      <c r="G3311" s="3" t="s">
        <v>6803</v>
      </c>
      <c r="H3311" s="6">
        <v>2.2671700000000001</v>
      </c>
      <c r="I3311" s="6">
        <v>184.99926373938769</v>
      </c>
      <c r="J3311" s="3" t="s">
        <v>3356</v>
      </c>
      <c r="L3311" s="1" t="s">
        <v>6135</v>
      </c>
    </row>
    <row r="3312" spans="1:12">
      <c r="A3312" s="3" t="s">
        <v>7297</v>
      </c>
      <c r="C3312" s="3" t="s">
        <v>3817</v>
      </c>
      <c r="D3312" s="3" t="s">
        <v>3618</v>
      </c>
      <c r="E3312" s="3" t="s">
        <v>6804</v>
      </c>
      <c r="F3312" s="3" t="s">
        <v>8263</v>
      </c>
      <c r="G3312" s="3" t="s">
        <v>4679</v>
      </c>
      <c r="H3312" s="6">
        <v>2.6989700000000001</v>
      </c>
      <c r="I3312" s="6">
        <v>499.99999500797441</v>
      </c>
      <c r="J3312" s="3" t="s">
        <v>3356</v>
      </c>
      <c r="L3312" s="1" t="s">
        <v>6135</v>
      </c>
    </row>
    <row r="3313" spans="1:12">
      <c r="A3313" s="3" t="s">
        <v>7297</v>
      </c>
      <c r="C3313" s="3" t="s">
        <v>3817</v>
      </c>
      <c r="D3313" s="3" t="s">
        <v>3618</v>
      </c>
      <c r="E3313" s="3" t="s">
        <v>6804</v>
      </c>
      <c r="F3313" s="3" t="s">
        <v>8263</v>
      </c>
      <c r="G3313" s="3" t="s">
        <v>8264</v>
      </c>
      <c r="H3313" s="6">
        <v>2.68574</v>
      </c>
      <c r="I3313" s="6">
        <v>484.998058413254</v>
      </c>
      <c r="J3313" s="3" t="s">
        <v>3356</v>
      </c>
      <c r="L3313" s="1" t="s">
        <v>6135</v>
      </c>
    </row>
    <row r="3314" spans="1:12">
      <c r="A3314" s="3" t="s">
        <v>7297</v>
      </c>
      <c r="C3314" s="3" t="s">
        <v>3817</v>
      </c>
      <c r="D3314" s="3" t="s">
        <v>3618</v>
      </c>
      <c r="E3314" s="3" t="s">
        <v>6804</v>
      </c>
      <c r="F3314" s="3" t="s">
        <v>3413</v>
      </c>
      <c r="G3314" s="3" t="s">
        <v>8262</v>
      </c>
      <c r="H3314" s="6">
        <v>3.1105900000000002</v>
      </c>
      <c r="I3314" s="6">
        <v>1290.000860508502</v>
      </c>
      <c r="J3314" s="3" t="s">
        <v>3356</v>
      </c>
      <c r="L3314" s="1" t="s">
        <v>6135</v>
      </c>
    </row>
    <row r="3315" spans="1:12">
      <c r="A3315" s="3" t="s">
        <v>7297</v>
      </c>
      <c r="C3315" s="3" t="s">
        <v>3817</v>
      </c>
      <c r="D3315" s="3" t="s">
        <v>3618</v>
      </c>
      <c r="E3315" s="3" t="s">
        <v>6804</v>
      </c>
      <c r="F3315" s="3" t="s">
        <v>3413</v>
      </c>
      <c r="G3315" s="3" t="s">
        <v>6686</v>
      </c>
      <c r="H3315" s="6">
        <v>3.1875200000000001</v>
      </c>
      <c r="I3315" s="6">
        <v>1539.9974439296889</v>
      </c>
      <c r="J3315" s="3" t="s">
        <v>3356</v>
      </c>
      <c r="L3315" s="1" t="s">
        <v>6135</v>
      </c>
    </row>
    <row r="3316" spans="1:12">
      <c r="A3316" s="3" t="s">
        <v>7297</v>
      </c>
      <c r="C3316" s="3" t="s">
        <v>3817</v>
      </c>
      <c r="D3316" s="3" t="s">
        <v>3618</v>
      </c>
      <c r="E3316" s="3" t="s">
        <v>6804</v>
      </c>
      <c r="F3316" s="3" t="s">
        <v>3413</v>
      </c>
      <c r="G3316" s="3" t="s">
        <v>3427</v>
      </c>
      <c r="H3316" s="6">
        <v>3.4284599999999998</v>
      </c>
      <c r="I3316" s="6">
        <v>2682.0075742059753</v>
      </c>
      <c r="J3316" s="3" t="s">
        <v>3356</v>
      </c>
      <c r="L3316" s="1" t="s">
        <v>6135</v>
      </c>
    </row>
    <row r="3317" spans="1:12">
      <c r="A3317" s="3" t="s">
        <v>7297</v>
      </c>
      <c r="C3317" s="3" t="s">
        <v>3817</v>
      </c>
      <c r="D3317" s="3" t="s">
        <v>3618</v>
      </c>
      <c r="E3317" s="3" t="s">
        <v>6804</v>
      </c>
      <c r="F3317" s="3" t="s">
        <v>3428</v>
      </c>
      <c r="G3317" s="3" t="s">
        <v>3429</v>
      </c>
      <c r="H3317" s="6">
        <v>3.6672199999999999</v>
      </c>
      <c r="I3317" s="6">
        <v>4647.5064374148415</v>
      </c>
      <c r="J3317" s="3" t="s">
        <v>3356</v>
      </c>
      <c r="L3317" s="1" t="s">
        <v>6135</v>
      </c>
    </row>
    <row r="3318" spans="1:12">
      <c r="A3318" s="3" t="s">
        <v>7297</v>
      </c>
      <c r="C3318" s="3" t="s">
        <v>3817</v>
      </c>
      <c r="D3318" s="3" t="s">
        <v>3618</v>
      </c>
      <c r="E3318" s="3" t="s">
        <v>6809</v>
      </c>
      <c r="F3318" s="3" t="s">
        <v>6810</v>
      </c>
      <c r="G3318" s="3" t="s">
        <v>6811</v>
      </c>
      <c r="H3318" s="6">
        <v>2.3449800000000001</v>
      </c>
      <c r="I3318" s="6">
        <v>221.29927951745694</v>
      </c>
      <c r="J3318" s="3" t="s">
        <v>3356</v>
      </c>
      <c r="L3318" s="1" t="s">
        <v>6135</v>
      </c>
    </row>
    <row r="3319" spans="1:12">
      <c r="A3319" s="3" t="s">
        <v>7297</v>
      </c>
      <c r="C3319" s="3" t="s">
        <v>3817</v>
      </c>
      <c r="D3319" s="3" t="s">
        <v>3618</v>
      </c>
      <c r="E3319" s="3" t="s">
        <v>6809</v>
      </c>
      <c r="F3319" s="3" t="s">
        <v>6810</v>
      </c>
      <c r="G3319" s="3" t="s">
        <v>3789</v>
      </c>
      <c r="H3319" s="6">
        <v>2.5581100000000001</v>
      </c>
      <c r="I3319" s="6">
        <v>361.50141369918919</v>
      </c>
      <c r="J3319" s="3" t="s">
        <v>3356</v>
      </c>
      <c r="L3319" s="1" t="s">
        <v>6135</v>
      </c>
    </row>
    <row r="3320" spans="1:12">
      <c r="A3320" s="3" t="s">
        <v>7297</v>
      </c>
      <c r="C3320" s="3" t="s">
        <v>3817</v>
      </c>
      <c r="D3320" s="3" t="s">
        <v>3618</v>
      </c>
      <c r="E3320" s="3" t="s">
        <v>6809</v>
      </c>
      <c r="F3320" s="3" t="s">
        <v>6810</v>
      </c>
      <c r="G3320" s="3" t="s">
        <v>6812</v>
      </c>
      <c r="H3320" s="6">
        <v>2.6020599999999998</v>
      </c>
      <c r="I3320" s="6">
        <v>400.0000079872421</v>
      </c>
      <c r="J3320" s="3" t="s">
        <v>3356</v>
      </c>
      <c r="L3320" s="1" t="s">
        <v>6135</v>
      </c>
    </row>
    <row r="3321" spans="1:12">
      <c r="A3321" s="3" t="s">
        <v>7297</v>
      </c>
      <c r="C3321" s="3" t="s">
        <v>3817</v>
      </c>
      <c r="D3321" s="3" t="s">
        <v>3618</v>
      </c>
      <c r="E3321" s="3" t="s">
        <v>6809</v>
      </c>
      <c r="F3321" s="3" t="s">
        <v>6810</v>
      </c>
      <c r="G3321" s="3" t="s">
        <v>7496</v>
      </c>
      <c r="H3321" s="6">
        <v>2.7283499999999998</v>
      </c>
      <c r="I3321" s="6">
        <v>534.99534101253585</v>
      </c>
      <c r="J3321" s="3" t="s">
        <v>3356</v>
      </c>
      <c r="L3321" s="1" t="s">
        <v>6135</v>
      </c>
    </row>
    <row r="3322" spans="1:12">
      <c r="A3322" s="3" t="s">
        <v>7297</v>
      </c>
      <c r="C3322" s="3" t="s">
        <v>3817</v>
      </c>
      <c r="D3322" s="3" t="s">
        <v>3618</v>
      </c>
      <c r="E3322" s="3" t="s">
        <v>6809</v>
      </c>
      <c r="F3322" s="3" t="s">
        <v>6810</v>
      </c>
      <c r="G3322" s="3" t="s">
        <v>6813</v>
      </c>
      <c r="H3322" s="6">
        <v>2.306</v>
      </c>
      <c r="I3322" s="6">
        <v>202.30191786782734</v>
      </c>
      <c r="J3322" s="3" t="s">
        <v>3356</v>
      </c>
      <c r="L3322" s="1" t="s">
        <v>6135</v>
      </c>
    </row>
    <row r="3323" spans="1:12">
      <c r="A3323" s="3" t="s">
        <v>7297</v>
      </c>
      <c r="C3323" s="3" t="s">
        <v>3817</v>
      </c>
      <c r="D3323" s="3" t="s">
        <v>3618</v>
      </c>
      <c r="E3323" s="3" t="s">
        <v>6809</v>
      </c>
      <c r="F3323" s="3" t="s">
        <v>6810</v>
      </c>
      <c r="G3323" s="3" t="s">
        <v>4467</v>
      </c>
      <c r="H3323" s="6">
        <v>2.6020599999999998</v>
      </c>
      <c r="I3323" s="6">
        <v>400.0000079872421</v>
      </c>
      <c r="J3323" s="3" t="s">
        <v>3356</v>
      </c>
      <c r="L3323" s="1" t="s">
        <v>6135</v>
      </c>
    </row>
    <row r="3324" spans="1:12">
      <c r="A3324" s="3" t="s">
        <v>7297</v>
      </c>
      <c r="C3324" s="3" t="s">
        <v>3817</v>
      </c>
      <c r="D3324" s="3" t="s">
        <v>3618</v>
      </c>
      <c r="E3324" s="3" t="s">
        <v>6809</v>
      </c>
      <c r="F3324" s="3" t="s">
        <v>6810</v>
      </c>
      <c r="G3324" s="3" t="s">
        <v>6522</v>
      </c>
      <c r="H3324" s="6">
        <v>2.6020599999999998</v>
      </c>
      <c r="I3324" s="6">
        <v>400.0000079872421</v>
      </c>
      <c r="J3324" s="3" t="s">
        <v>3356</v>
      </c>
      <c r="L3324" s="1" t="s">
        <v>6135</v>
      </c>
    </row>
    <row r="3325" spans="1:12">
      <c r="A3325" s="3" t="s">
        <v>7297</v>
      </c>
      <c r="C3325" s="3" t="s">
        <v>3817</v>
      </c>
      <c r="D3325" s="3" t="s">
        <v>3618</v>
      </c>
      <c r="E3325" s="3" t="s">
        <v>6809</v>
      </c>
      <c r="F3325" s="3" t="s">
        <v>6810</v>
      </c>
      <c r="G3325" s="3" t="s">
        <v>6104</v>
      </c>
      <c r="H3325" s="6">
        <v>2.9344999999999999</v>
      </c>
      <c r="I3325" s="6">
        <v>860.00306688885576</v>
      </c>
      <c r="J3325" s="3" t="s">
        <v>3356</v>
      </c>
      <c r="L3325" s="1" t="s">
        <v>6135</v>
      </c>
    </row>
    <row r="3326" spans="1:12">
      <c r="A3326" s="3" t="s">
        <v>7297</v>
      </c>
      <c r="C3326" s="3" t="s">
        <v>3817</v>
      </c>
      <c r="D3326" s="3" t="s">
        <v>3618</v>
      </c>
      <c r="E3326" s="3" t="s">
        <v>6809</v>
      </c>
      <c r="F3326" s="3" t="s">
        <v>6810</v>
      </c>
      <c r="G3326" s="3" t="s">
        <v>3630</v>
      </c>
      <c r="H3326" s="6">
        <v>2.2190599999999998</v>
      </c>
      <c r="I3326" s="6">
        <v>165.59987323460777</v>
      </c>
      <c r="J3326" s="3" t="s">
        <v>3356</v>
      </c>
      <c r="L3326" s="1" t="s">
        <v>6135</v>
      </c>
    </row>
    <row r="3327" spans="1:12">
      <c r="A3327" s="3" t="s">
        <v>7297</v>
      </c>
      <c r="C3327" s="3" t="s">
        <v>3817</v>
      </c>
      <c r="D3327" s="3" t="s">
        <v>3618</v>
      </c>
      <c r="E3327" s="3" t="s">
        <v>6809</v>
      </c>
      <c r="F3327" s="3" t="s">
        <v>6810</v>
      </c>
      <c r="G3327" s="3" t="s">
        <v>6106</v>
      </c>
      <c r="H3327" s="6">
        <v>2.4552999999999998</v>
      </c>
      <c r="I3327" s="6">
        <v>285.29883615207194</v>
      </c>
      <c r="J3327" s="3" t="s">
        <v>3356</v>
      </c>
      <c r="L3327" s="1" t="s">
        <v>6135</v>
      </c>
    </row>
    <row r="3328" spans="1:12">
      <c r="A3328" s="3" t="s">
        <v>7297</v>
      </c>
      <c r="C3328" s="3" t="s">
        <v>3817</v>
      </c>
      <c r="D3328" s="3" t="s">
        <v>3618</v>
      </c>
      <c r="E3328" s="3" t="s">
        <v>6809</v>
      </c>
      <c r="F3328" s="3" t="s">
        <v>6810</v>
      </c>
      <c r="G3328" s="3" t="s">
        <v>6527</v>
      </c>
      <c r="H3328" s="6">
        <v>2.2377899999999999</v>
      </c>
      <c r="I3328" s="6">
        <v>172.89801210438051</v>
      </c>
      <c r="J3328" s="3" t="s">
        <v>3356</v>
      </c>
      <c r="L3328" s="1" t="s">
        <v>6135</v>
      </c>
    </row>
    <row r="3329" spans="1:12">
      <c r="A3329" s="3" t="s">
        <v>7297</v>
      </c>
      <c r="C3329" s="3" t="s">
        <v>3817</v>
      </c>
      <c r="D3329" s="3" t="s">
        <v>3618</v>
      </c>
      <c r="E3329" s="3" t="s">
        <v>6809</v>
      </c>
      <c r="F3329" s="3" t="s">
        <v>6810</v>
      </c>
      <c r="G3329" s="3" t="s">
        <v>6528</v>
      </c>
      <c r="H3329" s="6">
        <v>2.4182999999999999</v>
      </c>
      <c r="I3329" s="6">
        <v>261.99922097727614</v>
      </c>
      <c r="J3329" s="3" t="s">
        <v>3356</v>
      </c>
      <c r="L3329" s="1" t="s">
        <v>6135</v>
      </c>
    </row>
    <row r="3330" spans="1:12">
      <c r="A3330" s="3" t="s">
        <v>7297</v>
      </c>
      <c r="C3330" s="3" t="s">
        <v>3817</v>
      </c>
      <c r="D3330" s="3" t="s">
        <v>3618</v>
      </c>
      <c r="E3330" s="3" t="s">
        <v>6809</v>
      </c>
      <c r="F3330" s="3" t="s">
        <v>6810</v>
      </c>
      <c r="G3330" s="3" t="s">
        <v>6819</v>
      </c>
      <c r="H3330" s="6">
        <v>2.2148400000000001</v>
      </c>
      <c r="I3330" s="6">
        <v>163.9985468914461</v>
      </c>
      <c r="J3330" s="3" t="s">
        <v>3356</v>
      </c>
      <c r="L3330" s="1" t="s">
        <v>6135</v>
      </c>
    </row>
    <row r="3331" spans="1:12">
      <c r="A3331" s="3" t="s">
        <v>7297</v>
      </c>
      <c r="C3331" s="3" t="s">
        <v>3817</v>
      </c>
      <c r="D3331" s="3" t="s">
        <v>3618</v>
      </c>
      <c r="E3331" s="3" t="s">
        <v>6809</v>
      </c>
      <c r="F3331" s="3" t="s">
        <v>6810</v>
      </c>
      <c r="G3331" s="3" t="s">
        <v>6820</v>
      </c>
      <c r="H3331" s="6">
        <v>2.4996900000000002</v>
      </c>
      <c r="I3331" s="6">
        <v>316.00212274325219</v>
      </c>
      <c r="J3331" s="3" t="s">
        <v>3356</v>
      </c>
      <c r="L3331" s="1" t="s">
        <v>6135</v>
      </c>
    </row>
    <row r="3332" spans="1:12">
      <c r="A3332" s="3" t="s">
        <v>7297</v>
      </c>
      <c r="C3332" s="3" t="s">
        <v>3817</v>
      </c>
      <c r="D3332" s="3" t="s">
        <v>3618</v>
      </c>
      <c r="E3332" s="3" t="s">
        <v>6809</v>
      </c>
      <c r="F3332" s="3" t="s">
        <v>6810</v>
      </c>
      <c r="G3332" s="3" t="s">
        <v>3690</v>
      </c>
      <c r="H3332" s="6">
        <v>2.2833000000000001</v>
      </c>
      <c r="I3332" s="6">
        <v>191.99945679542901</v>
      </c>
      <c r="J3332" s="3" t="s">
        <v>3356</v>
      </c>
      <c r="L3332" s="1" t="s">
        <v>6135</v>
      </c>
    </row>
    <row r="3333" spans="1:12">
      <c r="A3333" s="3" t="s">
        <v>7297</v>
      </c>
      <c r="C3333" s="3" t="s">
        <v>3817</v>
      </c>
      <c r="D3333" s="3" t="s">
        <v>3618</v>
      </c>
      <c r="E3333" s="3" t="s">
        <v>6809</v>
      </c>
      <c r="F3333" s="3" t="s">
        <v>6810</v>
      </c>
      <c r="G3333" s="3" t="s">
        <v>3691</v>
      </c>
      <c r="H3333" s="6">
        <v>2.3866800000000001</v>
      </c>
      <c r="I3333" s="6">
        <v>243.60152345755344</v>
      </c>
      <c r="J3333" s="3" t="s">
        <v>3356</v>
      </c>
      <c r="L3333" s="1" t="s">
        <v>6135</v>
      </c>
    </row>
    <row r="3334" spans="1:12">
      <c r="A3334" s="3" t="s">
        <v>7297</v>
      </c>
      <c r="C3334" s="3" t="s">
        <v>3817</v>
      </c>
      <c r="D3334" s="3" t="s">
        <v>3618</v>
      </c>
      <c r="E3334" s="3" t="s">
        <v>6809</v>
      </c>
      <c r="F3334" s="3" t="s">
        <v>6810</v>
      </c>
      <c r="G3334" s="3" t="s">
        <v>3692</v>
      </c>
      <c r="H3334" s="6">
        <v>2.0689299999999999</v>
      </c>
      <c r="I3334" s="6">
        <v>117.2006445203485</v>
      </c>
      <c r="J3334" s="3" t="s">
        <v>3356</v>
      </c>
      <c r="L3334" s="1" t="s">
        <v>6135</v>
      </c>
    </row>
    <row r="3335" spans="1:12">
      <c r="A3335" s="3" t="s">
        <v>7297</v>
      </c>
      <c r="C3335" s="3" t="s">
        <v>3817</v>
      </c>
      <c r="D3335" s="3" t="s">
        <v>3618</v>
      </c>
      <c r="E3335" s="3" t="s">
        <v>6809</v>
      </c>
      <c r="F3335" s="3" t="s">
        <v>6810</v>
      </c>
      <c r="G3335" s="3" t="s">
        <v>3688</v>
      </c>
      <c r="H3335" s="6">
        <v>2.4345699999999999</v>
      </c>
      <c r="I3335" s="6">
        <v>272.00068640769467</v>
      </c>
      <c r="J3335" s="3" t="s">
        <v>3356</v>
      </c>
      <c r="L3335" s="1" t="s">
        <v>6135</v>
      </c>
    </row>
    <row r="3336" spans="1:12">
      <c r="A3336" s="3" t="s">
        <v>7297</v>
      </c>
      <c r="C3336" s="3" t="s">
        <v>3817</v>
      </c>
      <c r="D3336" s="3" t="s">
        <v>3618</v>
      </c>
      <c r="E3336" s="3" t="s">
        <v>6809</v>
      </c>
      <c r="F3336" s="3" t="s">
        <v>6810</v>
      </c>
      <c r="G3336" s="3" t="s">
        <v>3689</v>
      </c>
      <c r="H3336" s="6">
        <v>2.3324400000000001</v>
      </c>
      <c r="I3336" s="6">
        <v>215.00076242905635</v>
      </c>
      <c r="J3336" s="3" t="s">
        <v>3356</v>
      </c>
      <c r="L3336" s="1" t="s">
        <v>6135</v>
      </c>
    </row>
    <row r="3337" spans="1:12">
      <c r="A3337" s="3" t="s">
        <v>7297</v>
      </c>
      <c r="C3337" s="3" t="s">
        <v>3817</v>
      </c>
      <c r="D3337" s="3" t="s">
        <v>3618</v>
      </c>
      <c r="E3337" s="3" t="s">
        <v>6809</v>
      </c>
      <c r="F3337" s="3" t="s">
        <v>6810</v>
      </c>
      <c r="G3337" s="3" t="s">
        <v>3875</v>
      </c>
      <c r="H3337" s="6">
        <v>2.2492000000000001</v>
      </c>
      <c r="I3337" s="6">
        <v>177.50067135006563</v>
      </c>
      <c r="J3337" s="3" t="s">
        <v>3356</v>
      </c>
      <c r="L3337" s="1" t="s">
        <v>6135</v>
      </c>
    </row>
    <row r="3338" spans="1:12">
      <c r="A3338" s="3" t="s">
        <v>7297</v>
      </c>
      <c r="C3338" s="3" t="s">
        <v>3817</v>
      </c>
      <c r="D3338" s="3" t="s">
        <v>3618</v>
      </c>
      <c r="E3338" s="3" t="s">
        <v>6809</v>
      </c>
      <c r="F3338" s="3" t="s">
        <v>6810</v>
      </c>
      <c r="G3338" s="3" t="s">
        <v>3876</v>
      </c>
      <c r="H3338" s="6">
        <v>1.9637899999999999</v>
      </c>
      <c r="I3338" s="6">
        <v>92.000460251551033</v>
      </c>
      <c r="J3338" s="3" t="s">
        <v>3356</v>
      </c>
      <c r="L3338" s="1" t="s">
        <v>6135</v>
      </c>
    </row>
    <row r="3339" spans="1:12">
      <c r="A3339" s="3" t="s">
        <v>7297</v>
      </c>
      <c r="C3339" s="3" t="s">
        <v>3817</v>
      </c>
      <c r="D3339" s="3" t="s">
        <v>3618</v>
      </c>
      <c r="E3339" s="3" t="s">
        <v>6809</v>
      </c>
      <c r="F3339" s="3" t="s">
        <v>6810</v>
      </c>
      <c r="G3339" s="3" t="s">
        <v>3877</v>
      </c>
      <c r="H3339" s="6">
        <v>2.6020599999999998</v>
      </c>
      <c r="I3339" s="6">
        <v>400.0000079872421</v>
      </c>
      <c r="J3339" s="3" t="s">
        <v>3356</v>
      </c>
      <c r="L3339" s="1" t="s">
        <v>6135</v>
      </c>
    </row>
    <row r="3340" spans="1:12">
      <c r="A3340" s="3" t="s">
        <v>7297</v>
      </c>
      <c r="C3340" s="3" t="s">
        <v>3817</v>
      </c>
      <c r="D3340" s="3" t="s">
        <v>3618</v>
      </c>
      <c r="E3340" s="3" t="s">
        <v>6809</v>
      </c>
      <c r="F3340" s="3" t="s">
        <v>6810</v>
      </c>
      <c r="G3340" s="3" t="s">
        <v>4112</v>
      </c>
      <c r="H3340" s="6">
        <v>2.1760899999999999</v>
      </c>
      <c r="I3340" s="6">
        <v>149.99956513820399</v>
      </c>
      <c r="J3340" s="3" t="s">
        <v>3356</v>
      </c>
      <c r="L3340" s="1" t="s">
        <v>6135</v>
      </c>
    </row>
    <row r="3341" spans="1:12">
      <c r="A3341" s="3" t="s">
        <v>7297</v>
      </c>
      <c r="C3341" s="3" t="s">
        <v>3817</v>
      </c>
      <c r="D3341" s="3" t="s">
        <v>3618</v>
      </c>
      <c r="E3341" s="3" t="s">
        <v>6809</v>
      </c>
      <c r="F3341" s="3" t="s">
        <v>6810</v>
      </c>
      <c r="G3341" s="3" t="s">
        <v>4381</v>
      </c>
      <c r="H3341" s="6">
        <v>2.5581100000000001</v>
      </c>
      <c r="I3341" s="6">
        <v>361.50141369918919</v>
      </c>
      <c r="J3341" s="3" t="s">
        <v>3356</v>
      </c>
      <c r="L3341" s="1" t="s">
        <v>6135</v>
      </c>
    </row>
    <row r="3342" spans="1:12">
      <c r="A3342" s="3" t="s">
        <v>7297</v>
      </c>
      <c r="C3342" s="3" t="s">
        <v>3817</v>
      </c>
      <c r="D3342" s="3" t="s">
        <v>3618</v>
      </c>
      <c r="E3342" s="3" t="s">
        <v>6809</v>
      </c>
      <c r="F3342" s="3" t="s">
        <v>6810</v>
      </c>
      <c r="G3342" s="3" t="s">
        <v>3670</v>
      </c>
      <c r="H3342" s="6">
        <v>2.3263400000000001</v>
      </c>
      <c r="I3342" s="6">
        <v>212.0020204891446</v>
      </c>
      <c r="J3342" s="3" t="s">
        <v>3356</v>
      </c>
      <c r="L3342" s="1" t="s">
        <v>6135</v>
      </c>
    </row>
    <row r="3343" spans="1:12">
      <c r="A3343" s="3" t="s">
        <v>7297</v>
      </c>
      <c r="C3343" s="3" t="s">
        <v>3817</v>
      </c>
      <c r="D3343" s="3" t="s">
        <v>3618</v>
      </c>
      <c r="E3343" s="3" t="s">
        <v>6809</v>
      </c>
      <c r="F3343" s="3" t="s">
        <v>6810</v>
      </c>
      <c r="G3343" s="3" t="s">
        <v>4339</v>
      </c>
      <c r="H3343" s="6">
        <v>2.6020599999999998</v>
      </c>
      <c r="I3343" s="6">
        <v>400.0000079872421</v>
      </c>
      <c r="J3343" s="3" t="s">
        <v>3356</v>
      </c>
      <c r="L3343" s="1" t="s">
        <v>6135</v>
      </c>
    </row>
    <row r="3344" spans="1:12">
      <c r="A3344" s="3" t="s">
        <v>7297</v>
      </c>
      <c r="C3344" s="3" t="s">
        <v>3817</v>
      </c>
      <c r="D3344" s="3" t="s">
        <v>3618</v>
      </c>
      <c r="E3344" s="3" t="s">
        <v>6809</v>
      </c>
      <c r="F3344" s="3" t="s">
        <v>6810</v>
      </c>
      <c r="G3344" s="3" t="s">
        <v>4382</v>
      </c>
      <c r="H3344" s="6">
        <v>2.6901999999999999</v>
      </c>
      <c r="I3344" s="6">
        <v>490.0044227932359</v>
      </c>
      <c r="J3344" s="3" t="s">
        <v>3356</v>
      </c>
      <c r="L3344" s="1" t="s">
        <v>6135</v>
      </c>
    </row>
    <row r="3345" spans="1:12">
      <c r="A3345" s="3" t="s">
        <v>7297</v>
      </c>
      <c r="C3345" s="3" t="s">
        <v>3817</v>
      </c>
      <c r="D3345" s="3" t="s">
        <v>3618</v>
      </c>
      <c r="E3345" s="3" t="s">
        <v>6809</v>
      </c>
      <c r="F3345" s="3" t="s">
        <v>6810</v>
      </c>
      <c r="G3345" s="3" t="s">
        <v>4383</v>
      </c>
      <c r="H3345" s="6">
        <v>2.6020599999999998</v>
      </c>
      <c r="I3345" s="6">
        <v>400.0000079872421</v>
      </c>
      <c r="J3345" s="3" t="s">
        <v>3356</v>
      </c>
      <c r="L3345" s="1" t="s">
        <v>6135</v>
      </c>
    </row>
    <row r="3346" spans="1:12">
      <c r="A3346" s="3" t="s">
        <v>7297</v>
      </c>
      <c r="C3346" s="3" t="s">
        <v>3817</v>
      </c>
      <c r="D3346" s="3" t="s">
        <v>3618</v>
      </c>
      <c r="E3346" s="3" t="s">
        <v>6809</v>
      </c>
      <c r="F3346" s="3" t="s">
        <v>6810</v>
      </c>
      <c r="G3346" s="3" t="s">
        <v>3674</v>
      </c>
      <c r="H3346" s="6">
        <v>2.2842099999999999</v>
      </c>
      <c r="I3346" s="6">
        <v>192.40218510619664</v>
      </c>
      <c r="J3346" s="3" t="s">
        <v>3356</v>
      </c>
      <c r="L3346" s="1" t="s">
        <v>6135</v>
      </c>
    </row>
    <row r="3347" spans="1:12">
      <c r="A3347" s="3" t="s">
        <v>7297</v>
      </c>
      <c r="C3347" s="3" t="s">
        <v>3817</v>
      </c>
      <c r="D3347" s="3" t="s">
        <v>3618</v>
      </c>
      <c r="E3347" s="3" t="s">
        <v>6809</v>
      </c>
      <c r="F3347" s="3" t="s">
        <v>6810</v>
      </c>
      <c r="G3347" s="3" t="s">
        <v>3675</v>
      </c>
      <c r="H3347" s="6">
        <v>2.3617300000000001</v>
      </c>
      <c r="I3347" s="6">
        <v>230.00114603619079</v>
      </c>
      <c r="J3347" s="3" t="s">
        <v>3356</v>
      </c>
      <c r="L3347" s="1" t="s">
        <v>6135</v>
      </c>
    </row>
    <row r="3348" spans="1:12">
      <c r="A3348" s="3" t="s">
        <v>7297</v>
      </c>
      <c r="C3348" s="3" t="s">
        <v>3817</v>
      </c>
      <c r="D3348" s="3" t="s">
        <v>3618</v>
      </c>
      <c r="E3348" s="3" t="s">
        <v>6809</v>
      </c>
      <c r="F3348" s="3" t="s">
        <v>6810</v>
      </c>
      <c r="G3348" s="3" t="s">
        <v>3244</v>
      </c>
      <c r="H3348" s="6">
        <v>2.6020599999999998</v>
      </c>
      <c r="I3348" s="6">
        <v>400.0000079872421</v>
      </c>
      <c r="J3348" s="3" t="s">
        <v>3356</v>
      </c>
      <c r="L3348" s="1" t="s">
        <v>6135</v>
      </c>
    </row>
    <row r="3349" spans="1:12">
      <c r="A3349" s="3" t="s">
        <v>7297</v>
      </c>
      <c r="C3349" s="3" t="s">
        <v>3817</v>
      </c>
      <c r="D3349" s="3" t="s">
        <v>3618</v>
      </c>
      <c r="E3349" s="3" t="s">
        <v>6809</v>
      </c>
      <c r="F3349" s="3" t="s">
        <v>6810</v>
      </c>
      <c r="G3349" s="3" t="s">
        <v>3672</v>
      </c>
      <c r="H3349" s="6">
        <v>2.6020599999999998</v>
      </c>
      <c r="I3349" s="6">
        <v>400.0000079872421</v>
      </c>
      <c r="J3349" s="3" t="s">
        <v>3356</v>
      </c>
      <c r="L3349" s="1" t="s">
        <v>6135</v>
      </c>
    </row>
    <row r="3350" spans="1:12">
      <c r="A3350" s="3" t="s">
        <v>7297</v>
      </c>
      <c r="C3350" s="3" t="s">
        <v>3817</v>
      </c>
      <c r="D3350" s="3" t="s">
        <v>3618</v>
      </c>
      <c r="E3350" s="3" t="s">
        <v>6809</v>
      </c>
      <c r="F3350" s="3" t="s">
        <v>6810</v>
      </c>
      <c r="G3350" s="3" t="s">
        <v>3080</v>
      </c>
      <c r="H3350" s="6">
        <v>2.5854599999999999</v>
      </c>
      <c r="I3350" s="6">
        <v>384.99935329471475</v>
      </c>
      <c r="J3350" s="3" t="s">
        <v>3356</v>
      </c>
      <c r="L3350" s="1" t="s">
        <v>6135</v>
      </c>
    </row>
    <row r="3351" spans="1:12">
      <c r="A3351" s="3" t="s">
        <v>7297</v>
      </c>
      <c r="C3351" s="3" t="s">
        <v>3817</v>
      </c>
      <c r="D3351" s="3" t="s">
        <v>3618</v>
      </c>
      <c r="E3351" s="3" t="s">
        <v>6809</v>
      </c>
      <c r="F3351" s="3" t="s">
        <v>6810</v>
      </c>
      <c r="G3351" s="3" t="s">
        <v>3081</v>
      </c>
      <c r="H3351" s="6">
        <v>2.1216699999999999</v>
      </c>
      <c r="I3351" s="6">
        <v>132.33356124244222</v>
      </c>
      <c r="J3351" s="3" t="s">
        <v>3356</v>
      </c>
      <c r="L3351" s="1" t="s">
        <v>6135</v>
      </c>
    </row>
    <row r="3352" spans="1:12">
      <c r="A3352" s="3" t="s">
        <v>7297</v>
      </c>
      <c r="C3352" s="3" t="s">
        <v>3817</v>
      </c>
      <c r="D3352" s="3" t="s">
        <v>3618</v>
      </c>
      <c r="E3352" s="3" t="s">
        <v>6809</v>
      </c>
      <c r="F3352" s="3" t="s">
        <v>6810</v>
      </c>
      <c r="G3352" s="3" t="s">
        <v>3712</v>
      </c>
      <c r="H3352" s="6">
        <v>2.32118</v>
      </c>
      <c r="I3352" s="6">
        <v>209.49805727229355</v>
      </c>
      <c r="J3352" s="3" t="s">
        <v>3356</v>
      </c>
      <c r="L3352" s="1" t="s">
        <v>6135</v>
      </c>
    </row>
    <row r="3353" spans="1:12">
      <c r="A3353" s="3" t="s">
        <v>7297</v>
      </c>
      <c r="C3353" s="3" t="s">
        <v>3817</v>
      </c>
      <c r="D3353" s="3" t="s">
        <v>3618</v>
      </c>
      <c r="E3353" s="3" t="s">
        <v>6809</v>
      </c>
      <c r="F3353" s="3" t="s">
        <v>6810</v>
      </c>
      <c r="G3353" s="3" t="s">
        <v>3082</v>
      </c>
      <c r="H3353" s="6">
        <v>2.3961999999999999</v>
      </c>
      <c r="I3353" s="6">
        <v>249.00037433881997</v>
      </c>
      <c r="J3353" s="3" t="s">
        <v>3356</v>
      </c>
      <c r="L3353" s="1" t="s">
        <v>6135</v>
      </c>
    </row>
    <row r="3354" spans="1:12">
      <c r="A3354" s="3" t="s">
        <v>7297</v>
      </c>
      <c r="C3354" s="3" t="s">
        <v>3817</v>
      </c>
      <c r="D3354" s="3" t="s">
        <v>3618</v>
      </c>
      <c r="E3354" s="3" t="s">
        <v>6809</v>
      </c>
      <c r="F3354" s="3" t="s">
        <v>6810</v>
      </c>
      <c r="G3354" s="3" t="s">
        <v>6391</v>
      </c>
      <c r="H3354" s="6">
        <v>2.3364600000000002</v>
      </c>
      <c r="I3354" s="6">
        <v>217.00013298554157</v>
      </c>
      <c r="J3354" s="3" t="s">
        <v>3356</v>
      </c>
      <c r="L3354" s="1" t="s">
        <v>6135</v>
      </c>
    </row>
    <row r="3355" spans="1:12">
      <c r="A3355" s="3" t="s">
        <v>7297</v>
      </c>
      <c r="C3355" s="3" t="s">
        <v>3817</v>
      </c>
      <c r="D3355" s="3" t="s">
        <v>3618</v>
      </c>
      <c r="E3355" s="3" t="s">
        <v>6809</v>
      </c>
      <c r="F3355" s="3" t="s">
        <v>6810</v>
      </c>
      <c r="G3355" s="3" t="s">
        <v>3673</v>
      </c>
      <c r="H3355" s="6">
        <v>2.3666100000000001</v>
      </c>
      <c r="I3355" s="6">
        <v>232.6001551084488</v>
      </c>
      <c r="J3355" s="3" t="s">
        <v>3356</v>
      </c>
      <c r="L3355" s="1" t="s">
        <v>6135</v>
      </c>
    </row>
    <row r="3356" spans="1:12">
      <c r="A3356" s="3" t="s">
        <v>7297</v>
      </c>
      <c r="C3356" s="3" t="s">
        <v>3817</v>
      </c>
      <c r="D3356" s="3" t="s">
        <v>3618</v>
      </c>
      <c r="E3356" s="3" t="s">
        <v>3246</v>
      </c>
      <c r="F3356" s="3" t="s">
        <v>2936</v>
      </c>
      <c r="G3356" s="3" t="s">
        <v>6812</v>
      </c>
      <c r="H3356" s="6">
        <v>3.36361</v>
      </c>
      <c r="I3356" s="6">
        <v>2309.9894690339893</v>
      </c>
      <c r="J3356" s="3" t="s">
        <v>3356</v>
      </c>
      <c r="L3356" s="1" t="s">
        <v>6135</v>
      </c>
    </row>
    <row r="3357" spans="1:12">
      <c r="A3357" s="3" t="s">
        <v>7297</v>
      </c>
      <c r="C3357" s="3" t="s">
        <v>3817</v>
      </c>
      <c r="D3357" s="3" t="s">
        <v>3618</v>
      </c>
      <c r="E3357" s="3" t="s">
        <v>3246</v>
      </c>
      <c r="F3357" s="3" t="s">
        <v>2936</v>
      </c>
      <c r="G3357" s="3" t="s">
        <v>2461</v>
      </c>
      <c r="H3357" s="6">
        <v>3.4232499999999999</v>
      </c>
      <c r="I3357" s="6">
        <v>2650.0251767403361</v>
      </c>
      <c r="J3357" s="3" t="s">
        <v>3356</v>
      </c>
      <c r="L3357" s="1" t="s">
        <v>6135</v>
      </c>
    </row>
    <row r="3358" spans="1:12">
      <c r="A3358" s="3" t="s">
        <v>7297</v>
      </c>
      <c r="C3358" s="3" t="s">
        <v>3817</v>
      </c>
      <c r="D3358" s="3" t="s">
        <v>3618</v>
      </c>
      <c r="E3358" s="3" t="s">
        <v>3246</v>
      </c>
      <c r="F3358" s="3" t="s">
        <v>2936</v>
      </c>
      <c r="G3358" s="3" t="s">
        <v>3245</v>
      </c>
      <c r="H3358" s="6">
        <v>3.5440700000000001</v>
      </c>
      <c r="I3358" s="6">
        <v>3500.0157607101446</v>
      </c>
      <c r="J3358" s="3" t="s">
        <v>3356</v>
      </c>
      <c r="L3358" s="1" t="s">
        <v>6135</v>
      </c>
    </row>
    <row r="3359" spans="1:12">
      <c r="A3359" s="3" t="s">
        <v>7297</v>
      </c>
      <c r="C3359" s="3" t="s">
        <v>3817</v>
      </c>
      <c r="D3359" s="3" t="s">
        <v>3618</v>
      </c>
      <c r="E3359" s="3" t="s">
        <v>3246</v>
      </c>
      <c r="F3359" s="3" t="s">
        <v>2936</v>
      </c>
      <c r="G3359" s="3" t="s">
        <v>3252</v>
      </c>
      <c r="H3359" s="6">
        <v>3.4232499999999999</v>
      </c>
      <c r="I3359" s="6">
        <v>2650.0251767403361</v>
      </c>
      <c r="J3359" s="3" t="s">
        <v>3356</v>
      </c>
      <c r="L3359" s="1" t="s">
        <v>6135</v>
      </c>
    </row>
    <row r="3360" spans="1:12">
      <c r="A3360" s="3" t="s">
        <v>7297</v>
      </c>
      <c r="C3360" s="3" t="s">
        <v>3817</v>
      </c>
      <c r="D3360" s="3" t="s">
        <v>3618</v>
      </c>
      <c r="E3360" s="3" t="s">
        <v>3246</v>
      </c>
      <c r="F3360" s="3" t="s">
        <v>2936</v>
      </c>
      <c r="G3360" s="3" t="s">
        <v>2937</v>
      </c>
      <c r="H3360" s="6">
        <v>3.4232499999999999</v>
      </c>
      <c r="I3360" s="6">
        <v>2650.0251767403361</v>
      </c>
      <c r="J3360" s="3" t="s">
        <v>3356</v>
      </c>
      <c r="L3360" s="1" t="s">
        <v>6135</v>
      </c>
    </row>
    <row r="3361" spans="1:12">
      <c r="A3361" s="3" t="s">
        <v>7297</v>
      </c>
      <c r="C3361" s="3" t="s">
        <v>3817</v>
      </c>
      <c r="D3361" s="3" t="s">
        <v>3618</v>
      </c>
      <c r="E3361" s="3" t="s">
        <v>3246</v>
      </c>
      <c r="F3361" s="3" t="s">
        <v>2936</v>
      </c>
      <c r="G3361" s="3" t="s">
        <v>6387</v>
      </c>
      <c r="H3361" s="6">
        <v>3.48001</v>
      </c>
      <c r="I3361" s="6">
        <v>3020.0212581607302</v>
      </c>
      <c r="J3361" s="3" t="s">
        <v>3356</v>
      </c>
      <c r="L3361" s="1" t="s">
        <v>6135</v>
      </c>
    </row>
    <row r="3362" spans="1:12">
      <c r="A3362" s="3" t="s">
        <v>7297</v>
      </c>
      <c r="C3362" s="3" t="s">
        <v>3817</v>
      </c>
      <c r="D3362" s="3" t="s">
        <v>3618</v>
      </c>
      <c r="E3362" s="3" t="s">
        <v>3246</v>
      </c>
      <c r="F3362" s="3" t="s">
        <v>2936</v>
      </c>
      <c r="G3362" s="3" t="s">
        <v>3266</v>
      </c>
      <c r="H3362" s="6">
        <v>3.4624000000000001</v>
      </c>
      <c r="I3362" s="6">
        <v>2900.0133690540733</v>
      </c>
      <c r="J3362" s="3" t="s">
        <v>3356</v>
      </c>
      <c r="L3362" s="1" t="s">
        <v>6135</v>
      </c>
    </row>
    <row r="3363" spans="1:12">
      <c r="A3363" s="3" t="s">
        <v>7297</v>
      </c>
      <c r="C3363" s="3" t="s">
        <v>3817</v>
      </c>
      <c r="D3363" s="3" t="s">
        <v>3618</v>
      </c>
      <c r="E3363" s="3" t="s">
        <v>3246</v>
      </c>
      <c r="F3363" s="3" t="s">
        <v>2936</v>
      </c>
      <c r="G3363" s="3" t="s">
        <v>6549</v>
      </c>
      <c r="H3363" s="6">
        <v>3.4273199999999999</v>
      </c>
      <c r="I3363" s="6">
        <v>2674.9766783555733</v>
      </c>
      <c r="J3363" s="3" t="s">
        <v>3356</v>
      </c>
      <c r="L3363" s="1" t="s">
        <v>6135</v>
      </c>
    </row>
    <row r="3364" spans="1:12">
      <c r="A3364" s="3" t="s">
        <v>7297</v>
      </c>
      <c r="C3364" s="3" t="s">
        <v>3817</v>
      </c>
      <c r="D3364" s="3" t="s">
        <v>3618</v>
      </c>
      <c r="E3364" s="3" t="s">
        <v>3246</v>
      </c>
      <c r="F3364" s="3" t="s">
        <v>3270</v>
      </c>
      <c r="G3364" s="3" t="s">
        <v>3304</v>
      </c>
      <c r="H3364" s="6">
        <v>2.7781500000000001</v>
      </c>
      <c r="I3364" s="6">
        <v>599.99827253364413</v>
      </c>
      <c r="J3364" s="3" t="s">
        <v>3356</v>
      </c>
      <c r="L3364" s="1" t="s">
        <v>6135</v>
      </c>
    </row>
    <row r="3365" spans="1:12">
      <c r="A3365" s="3" t="s">
        <v>7297</v>
      </c>
      <c r="C3365" s="3" t="s">
        <v>3817</v>
      </c>
      <c r="D3365" s="3" t="s">
        <v>3618</v>
      </c>
      <c r="E3365" s="3" t="s">
        <v>3246</v>
      </c>
      <c r="F3365" s="3" t="s">
        <v>3270</v>
      </c>
      <c r="G3365" s="3" t="s">
        <v>3305</v>
      </c>
      <c r="H3365" s="6">
        <v>3.1072099999999998</v>
      </c>
      <c r="I3365" s="6">
        <v>1280.0000894571117</v>
      </c>
      <c r="J3365" s="3" t="s">
        <v>3356</v>
      </c>
      <c r="L3365" s="1" t="s">
        <v>6135</v>
      </c>
    </row>
    <row r="3366" spans="1:12">
      <c r="A3366" s="3" t="s">
        <v>7297</v>
      </c>
      <c r="C3366" s="3" t="s">
        <v>3817</v>
      </c>
      <c r="D3366" s="3" t="s">
        <v>3618</v>
      </c>
      <c r="E3366" s="3" t="s">
        <v>3306</v>
      </c>
      <c r="F3366" s="3" t="s">
        <v>3307</v>
      </c>
      <c r="G3366" s="3" t="s">
        <v>6221</v>
      </c>
      <c r="H3366" s="6">
        <v>4.0969100000000003</v>
      </c>
      <c r="I3366" s="6">
        <v>12499.999625598073</v>
      </c>
      <c r="J3366" s="3" t="s">
        <v>3356</v>
      </c>
      <c r="L3366" s="1" t="s">
        <v>6135</v>
      </c>
    </row>
    <row r="3367" spans="1:12">
      <c r="A3367" s="3" t="s">
        <v>7297</v>
      </c>
      <c r="C3367" s="3" t="s">
        <v>3817</v>
      </c>
      <c r="D3367" s="3" t="s">
        <v>3618</v>
      </c>
      <c r="E3367" s="3" t="s">
        <v>6464</v>
      </c>
      <c r="F3367" s="3" t="s">
        <v>6226</v>
      </c>
      <c r="G3367" s="3" t="s">
        <v>6227</v>
      </c>
      <c r="H3367" s="6">
        <v>2.0561400000000001</v>
      </c>
      <c r="I3367" s="6">
        <v>113.79940726474673</v>
      </c>
      <c r="J3367" s="3" t="s">
        <v>3356</v>
      </c>
      <c r="L3367" s="1" t="s">
        <v>6135</v>
      </c>
    </row>
    <row r="3368" spans="1:12">
      <c r="A3368" s="3" t="s">
        <v>7297</v>
      </c>
      <c r="C3368" s="3" t="s">
        <v>3817</v>
      </c>
      <c r="D3368" s="3" t="s">
        <v>3618</v>
      </c>
      <c r="E3368" s="3" t="s">
        <v>6464</v>
      </c>
      <c r="F3368" s="3" t="s">
        <v>3493</v>
      </c>
      <c r="G3368" s="3" t="s">
        <v>3494</v>
      </c>
      <c r="H3368" s="6">
        <v>3.1139399999999999</v>
      </c>
      <c r="I3368" s="6">
        <v>1299.9899653754551</v>
      </c>
      <c r="J3368" s="3" t="s">
        <v>3356</v>
      </c>
      <c r="L3368" s="1" t="s">
        <v>6135</v>
      </c>
    </row>
    <row r="3369" spans="1:12">
      <c r="A3369" s="3" t="s">
        <v>7297</v>
      </c>
      <c r="C3369" s="3" t="s">
        <v>3817</v>
      </c>
      <c r="D3369" s="3" t="s">
        <v>3618</v>
      </c>
      <c r="E3369" s="3" t="s">
        <v>6464</v>
      </c>
      <c r="F3369" s="3" t="s">
        <v>3495</v>
      </c>
      <c r="G3369" s="3" t="s">
        <v>6409</v>
      </c>
      <c r="H3369" s="6">
        <v>1.47712</v>
      </c>
      <c r="I3369" s="6">
        <v>29.999913327161494</v>
      </c>
      <c r="J3369" s="3" t="s">
        <v>3356</v>
      </c>
      <c r="L3369" s="1" t="s">
        <v>6135</v>
      </c>
    </row>
    <row r="3370" spans="1:12">
      <c r="A3370" s="3" t="s">
        <v>7297</v>
      </c>
      <c r="C3370" s="3" t="s">
        <v>3817</v>
      </c>
      <c r="D3370" s="3" t="s">
        <v>3618</v>
      </c>
      <c r="E3370" s="3" t="s">
        <v>6464</v>
      </c>
      <c r="F3370" s="3" t="s">
        <v>3495</v>
      </c>
      <c r="G3370" s="3" t="s">
        <v>7985</v>
      </c>
      <c r="H3370" s="6">
        <v>2.3031999999999999</v>
      </c>
      <c r="I3370" s="6">
        <v>201.00182471136947</v>
      </c>
      <c r="J3370" s="3" t="s">
        <v>3356</v>
      </c>
      <c r="L3370" s="1" t="s">
        <v>6135</v>
      </c>
    </row>
    <row r="3371" spans="1:12">
      <c r="A3371" s="3" t="s">
        <v>7297</v>
      </c>
      <c r="C3371" s="3" t="s">
        <v>3817</v>
      </c>
      <c r="D3371" s="3" t="s">
        <v>3618</v>
      </c>
      <c r="E3371" s="3" t="s">
        <v>6464</v>
      </c>
      <c r="F3371" s="3" t="s">
        <v>3966</v>
      </c>
      <c r="G3371" s="3" t="s">
        <v>7496</v>
      </c>
      <c r="H3371" s="6">
        <v>2.8626100000000001</v>
      </c>
      <c r="I3371" s="6">
        <v>728.80274547489387</v>
      </c>
      <c r="J3371" s="3" t="s">
        <v>3356</v>
      </c>
      <c r="L3371" s="1" t="s">
        <v>6135</v>
      </c>
    </row>
    <row r="3372" spans="1:12">
      <c r="A3372" s="3" t="s">
        <v>7297</v>
      </c>
      <c r="C3372" s="3" t="s">
        <v>3817</v>
      </c>
      <c r="D3372" s="3" t="s">
        <v>3618</v>
      </c>
      <c r="E3372" s="3" t="s">
        <v>6464</v>
      </c>
      <c r="F3372" s="3" t="s">
        <v>3966</v>
      </c>
      <c r="G3372" s="3" t="s">
        <v>3967</v>
      </c>
      <c r="H3372" s="6">
        <v>2.81291</v>
      </c>
      <c r="I3372" s="6">
        <v>649.99497619814383</v>
      </c>
      <c r="J3372" s="3" t="s">
        <v>3356</v>
      </c>
      <c r="L3372" s="1" t="s">
        <v>6135</v>
      </c>
    </row>
    <row r="3373" spans="1:12">
      <c r="A3373" s="3" t="s">
        <v>7297</v>
      </c>
      <c r="C3373" s="3" t="s">
        <v>3817</v>
      </c>
      <c r="D3373" s="3" t="s">
        <v>3618</v>
      </c>
      <c r="E3373" s="3" t="s">
        <v>6464</v>
      </c>
      <c r="F3373" s="3" t="s">
        <v>3966</v>
      </c>
      <c r="G3373" s="3" t="s">
        <v>4382</v>
      </c>
      <c r="H3373" s="6">
        <v>2.5820599999999998</v>
      </c>
      <c r="I3373" s="6">
        <v>381.9970420363311</v>
      </c>
      <c r="J3373" s="3" t="s">
        <v>3356</v>
      </c>
      <c r="L3373" s="1" t="s">
        <v>6135</v>
      </c>
    </row>
    <row r="3374" spans="1:12">
      <c r="A3374" s="3" t="s">
        <v>7297</v>
      </c>
      <c r="C3374" s="3" t="s">
        <v>3817</v>
      </c>
      <c r="D3374" s="3" t="s">
        <v>3618</v>
      </c>
      <c r="E3374" s="3" t="s">
        <v>6464</v>
      </c>
      <c r="F3374" s="3" t="s">
        <v>3968</v>
      </c>
      <c r="G3374" s="3" t="s">
        <v>3526</v>
      </c>
      <c r="H3374" s="6">
        <v>2.59605</v>
      </c>
      <c r="I3374" s="6">
        <v>394.50271826477365</v>
      </c>
      <c r="J3374" s="3" t="s">
        <v>3356</v>
      </c>
      <c r="L3374" s="1" t="s">
        <v>6135</v>
      </c>
    </row>
    <row r="3375" spans="1:12">
      <c r="A3375" s="3" t="s">
        <v>7297</v>
      </c>
      <c r="C3375" s="3" t="s">
        <v>3817</v>
      </c>
      <c r="D3375" s="3" t="s">
        <v>3618</v>
      </c>
      <c r="E3375" s="3" t="s">
        <v>6464</v>
      </c>
      <c r="F3375" s="3" t="s">
        <v>3968</v>
      </c>
      <c r="G3375" s="3" t="s">
        <v>3271</v>
      </c>
      <c r="H3375" s="6">
        <v>2.3569800000000001</v>
      </c>
      <c r="I3375" s="6">
        <v>227.49926610759189</v>
      </c>
      <c r="J3375" s="3" t="s">
        <v>3356</v>
      </c>
      <c r="L3375" s="1" t="s">
        <v>6135</v>
      </c>
    </row>
    <row r="3376" spans="1:12">
      <c r="A3376" s="3" t="s">
        <v>7297</v>
      </c>
      <c r="C3376" s="3" t="s">
        <v>3817</v>
      </c>
      <c r="D3376" s="3" t="s">
        <v>3618</v>
      </c>
      <c r="E3376" s="3" t="s">
        <v>6464</v>
      </c>
      <c r="F3376" s="3" t="s">
        <v>3968</v>
      </c>
      <c r="G3376" s="3" t="s">
        <v>6229</v>
      </c>
      <c r="H3376" s="6">
        <v>2.1607699999999999</v>
      </c>
      <c r="I3376" s="6">
        <v>144.80047949689012</v>
      </c>
      <c r="J3376" s="3" t="s">
        <v>3356</v>
      </c>
      <c r="L3376" s="1" t="s">
        <v>6135</v>
      </c>
    </row>
    <row r="3377" spans="1:12">
      <c r="A3377" s="3" t="s">
        <v>7297</v>
      </c>
      <c r="C3377" s="3" t="s">
        <v>3817</v>
      </c>
      <c r="D3377" s="3" t="s">
        <v>3618</v>
      </c>
      <c r="E3377" s="3" t="s">
        <v>6464</v>
      </c>
      <c r="F3377" s="3" t="s">
        <v>6230</v>
      </c>
      <c r="G3377" s="3" t="s">
        <v>3315</v>
      </c>
      <c r="H3377" s="6">
        <v>2.3861400000000001</v>
      </c>
      <c r="I3377" s="6">
        <v>243.29881853985353</v>
      </c>
      <c r="J3377" s="3" t="s">
        <v>3356</v>
      </c>
      <c r="L3377" s="1" t="s">
        <v>6135</v>
      </c>
    </row>
    <row r="3378" spans="1:12">
      <c r="A3378" s="3" t="s">
        <v>7297</v>
      </c>
      <c r="C3378" s="3" t="s">
        <v>3817</v>
      </c>
      <c r="D3378" s="3" t="s">
        <v>3618</v>
      </c>
      <c r="E3378" s="3" t="s">
        <v>6464</v>
      </c>
      <c r="F3378" s="3" t="s">
        <v>6230</v>
      </c>
      <c r="G3378" s="3" t="s">
        <v>3316</v>
      </c>
      <c r="H3378" s="6">
        <v>2.49485</v>
      </c>
      <c r="I3378" s="6">
        <v>312.49998439991901</v>
      </c>
      <c r="J3378" s="3" t="s">
        <v>3356</v>
      </c>
      <c r="L3378" s="1" t="s">
        <v>6135</v>
      </c>
    </row>
    <row r="3379" spans="1:12">
      <c r="A3379" s="3" t="s">
        <v>7297</v>
      </c>
      <c r="C3379" s="3" t="s">
        <v>3817</v>
      </c>
      <c r="D3379" s="3" t="s">
        <v>3618</v>
      </c>
      <c r="E3379" s="3" t="s">
        <v>6464</v>
      </c>
      <c r="F3379" s="3" t="s">
        <v>6230</v>
      </c>
      <c r="G3379" s="3" t="s">
        <v>3525</v>
      </c>
      <c r="H3379" s="6">
        <v>2.8145799999999999</v>
      </c>
      <c r="I3379" s="6">
        <v>652.49922472758283</v>
      </c>
      <c r="J3379" s="3" t="s">
        <v>3356</v>
      </c>
      <c r="L3379" s="1" t="s">
        <v>6135</v>
      </c>
    </row>
    <row r="3380" spans="1:12">
      <c r="A3380" s="3" t="s">
        <v>7297</v>
      </c>
      <c r="C3380" s="3" t="s">
        <v>3817</v>
      </c>
      <c r="D3380" s="3" t="s">
        <v>3618</v>
      </c>
      <c r="E3380" s="3" t="s">
        <v>6464</v>
      </c>
      <c r="F3380" s="3" t="s">
        <v>6230</v>
      </c>
      <c r="G3380" s="3" t="s">
        <v>6590</v>
      </c>
      <c r="H3380" s="6">
        <v>2.4149699999999998</v>
      </c>
      <c r="I3380" s="6">
        <v>259.99799567092441</v>
      </c>
      <c r="J3380" s="3" t="s">
        <v>3356</v>
      </c>
      <c r="L3380" s="1" t="s">
        <v>6135</v>
      </c>
    </row>
    <row r="3381" spans="1:12">
      <c r="A3381" s="3" t="s">
        <v>7297</v>
      </c>
      <c r="C3381" s="3" t="s">
        <v>3817</v>
      </c>
      <c r="D3381" s="3" t="s">
        <v>3618</v>
      </c>
      <c r="E3381" s="3" t="s">
        <v>6464</v>
      </c>
      <c r="F3381" s="3" t="s">
        <v>6230</v>
      </c>
      <c r="G3381" s="3" t="s">
        <v>6591</v>
      </c>
      <c r="H3381" s="6">
        <v>2.76641</v>
      </c>
      <c r="I3381" s="6">
        <v>583.99617147290519</v>
      </c>
      <c r="J3381" s="3" t="s">
        <v>3356</v>
      </c>
      <c r="L3381" s="1" t="s">
        <v>6135</v>
      </c>
    </row>
    <row r="3382" spans="1:12">
      <c r="A3382" s="3" t="s">
        <v>7297</v>
      </c>
      <c r="C3382" s="3" t="s">
        <v>3817</v>
      </c>
      <c r="D3382" s="3" t="s">
        <v>3618</v>
      </c>
      <c r="E3382" s="3" t="s">
        <v>6464</v>
      </c>
      <c r="F3382" s="3" t="s">
        <v>6230</v>
      </c>
      <c r="G3382" s="3" t="s">
        <v>6231</v>
      </c>
      <c r="H3382" s="6">
        <v>2.33284</v>
      </c>
      <c r="I3382" s="6">
        <v>215.19887667025145</v>
      </c>
      <c r="J3382" s="3" t="s">
        <v>3356</v>
      </c>
      <c r="L3382" s="1" t="s">
        <v>6135</v>
      </c>
    </row>
    <row r="3383" spans="1:12">
      <c r="A3383" s="3" t="s">
        <v>7297</v>
      </c>
      <c r="C3383" s="3" t="s">
        <v>3817</v>
      </c>
      <c r="D3383" s="3" t="s">
        <v>3618</v>
      </c>
      <c r="E3383" s="3" t="s">
        <v>6464</v>
      </c>
      <c r="F3383" s="3" t="s">
        <v>6230</v>
      </c>
      <c r="G3383" s="3" t="s">
        <v>3317</v>
      </c>
      <c r="H3383" s="6">
        <v>2.6424599999999998</v>
      </c>
      <c r="I3383" s="6">
        <v>438.99543080548585</v>
      </c>
      <c r="J3383" s="3" t="s">
        <v>3356</v>
      </c>
      <c r="L3383" s="1" t="s">
        <v>6135</v>
      </c>
    </row>
    <row r="3384" spans="1:12">
      <c r="A3384" s="3" t="s">
        <v>7297</v>
      </c>
      <c r="C3384" s="3" t="s">
        <v>3817</v>
      </c>
      <c r="D3384" s="3" t="s">
        <v>3618</v>
      </c>
      <c r="E3384" s="3" t="s">
        <v>6464</v>
      </c>
      <c r="F3384" s="3" t="s">
        <v>6230</v>
      </c>
      <c r="G3384" s="3" t="s">
        <v>3318</v>
      </c>
      <c r="H3384" s="6">
        <v>2.3508300000000002</v>
      </c>
      <c r="I3384" s="6">
        <v>224.30037517279982</v>
      </c>
      <c r="J3384" s="3" t="s">
        <v>3356</v>
      </c>
      <c r="L3384" s="1" t="s">
        <v>6135</v>
      </c>
    </row>
    <row r="3385" spans="1:12">
      <c r="A3385" s="3" t="s">
        <v>7297</v>
      </c>
      <c r="C3385" s="3" t="s">
        <v>3817</v>
      </c>
      <c r="D3385" s="3" t="s">
        <v>3618</v>
      </c>
      <c r="E3385" s="3" t="s">
        <v>6464</v>
      </c>
      <c r="F3385" s="3" t="s">
        <v>6230</v>
      </c>
      <c r="G3385" s="3" t="s">
        <v>7639</v>
      </c>
      <c r="H3385" s="6">
        <v>2.7151700000000001</v>
      </c>
      <c r="I3385" s="6">
        <v>519.00315749077868</v>
      </c>
      <c r="J3385" s="3" t="s">
        <v>3356</v>
      </c>
      <c r="L3385" s="1" t="s">
        <v>6135</v>
      </c>
    </row>
    <row r="3386" spans="1:12">
      <c r="A3386" s="3" t="s">
        <v>7297</v>
      </c>
      <c r="C3386" s="3" t="s">
        <v>3817</v>
      </c>
      <c r="D3386" s="3" t="s">
        <v>3618</v>
      </c>
      <c r="E3386" s="3" t="s">
        <v>6464</v>
      </c>
      <c r="F3386" s="3" t="s">
        <v>6230</v>
      </c>
      <c r="G3386" s="3" t="s">
        <v>3319</v>
      </c>
      <c r="H3386" s="6">
        <v>2.49831</v>
      </c>
      <c r="I3386" s="6">
        <v>314.99959832873753</v>
      </c>
      <c r="J3386" s="3" t="s">
        <v>3356</v>
      </c>
      <c r="L3386" s="1" t="s">
        <v>6135</v>
      </c>
    </row>
    <row r="3387" spans="1:12">
      <c r="A3387" s="3" t="s">
        <v>7297</v>
      </c>
      <c r="C3387" s="3" t="s">
        <v>3817</v>
      </c>
      <c r="D3387" s="3" t="s">
        <v>3618</v>
      </c>
      <c r="E3387" s="3" t="s">
        <v>6464</v>
      </c>
      <c r="F3387" s="3" t="s">
        <v>6230</v>
      </c>
      <c r="G3387" s="3" t="s">
        <v>3320</v>
      </c>
      <c r="H3387" s="6">
        <v>2.7972000000000001</v>
      </c>
      <c r="I3387" s="6">
        <v>626.90249747616554</v>
      </c>
      <c r="J3387" s="3" t="s">
        <v>3356</v>
      </c>
      <c r="L3387" s="1" t="s">
        <v>6135</v>
      </c>
    </row>
    <row r="3388" spans="1:12">
      <c r="A3388" s="3" t="s">
        <v>7297</v>
      </c>
      <c r="C3388" s="3" t="s">
        <v>3817</v>
      </c>
      <c r="D3388" s="3" t="s">
        <v>3618</v>
      </c>
      <c r="E3388" s="3" t="s">
        <v>6464</v>
      </c>
      <c r="F3388" s="3" t="s">
        <v>6230</v>
      </c>
      <c r="G3388" s="3" t="s">
        <v>6593</v>
      </c>
      <c r="H3388" s="6">
        <v>2.3010299999999999</v>
      </c>
      <c r="I3388" s="6">
        <v>200.00000199681045</v>
      </c>
      <c r="J3388" s="3" t="s">
        <v>3356</v>
      </c>
      <c r="L3388" s="1" t="s">
        <v>6135</v>
      </c>
    </row>
    <row r="3389" spans="1:12">
      <c r="A3389" s="3" t="s">
        <v>7297</v>
      </c>
      <c r="C3389" s="3" t="s">
        <v>3817</v>
      </c>
      <c r="D3389" s="3" t="s">
        <v>3618</v>
      </c>
      <c r="E3389" s="3" t="s">
        <v>6464</v>
      </c>
      <c r="F3389" s="3" t="s">
        <v>6230</v>
      </c>
      <c r="G3389" s="3" t="s">
        <v>4852</v>
      </c>
      <c r="H3389" s="6">
        <v>2.7483399999999998</v>
      </c>
      <c r="I3389" s="6">
        <v>560.19599551046201</v>
      </c>
      <c r="J3389" s="3" t="s">
        <v>3356</v>
      </c>
      <c r="L3389" s="1" t="s">
        <v>6135</v>
      </c>
    </row>
    <row r="3390" spans="1:12">
      <c r="A3390" s="3" t="s">
        <v>7297</v>
      </c>
      <c r="C3390" s="3" t="s">
        <v>3817</v>
      </c>
      <c r="D3390" s="3" t="s">
        <v>3618</v>
      </c>
      <c r="E3390" s="3" t="s">
        <v>6464</v>
      </c>
      <c r="F3390" s="3" t="s">
        <v>6230</v>
      </c>
      <c r="G3390" s="3" t="s">
        <v>3652</v>
      </c>
      <c r="H3390" s="6">
        <v>2.6424599999999998</v>
      </c>
      <c r="I3390" s="6">
        <v>438.99543080548585</v>
      </c>
      <c r="J3390" s="3" t="s">
        <v>3356</v>
      </c>
      <c r="L3390" s="1" t="s">
        <v>6135</v>
      </c>
    </row>
    <row r="3391" spans="1:12">
      <c r="A3391" s="3" t="s">
        <v>7297</v>
      </c>
      <c r="C3391" s="3" t="s">
        <v>3817</v>
      </c>
      <c r="D3391" s="3" t="s">
        <v>3618</v>
      </c>
      <c r="E3391" s="3" t="s">
        <v>6464</v>
      </c>
      <c r="F3391" s="3" t="s">
        <v>3322</v>
      </c>
      <c r="G3391" s="3" t="s">
        <v>6589</v>
      </c>
      <c r="H3391" s="6">
        <v>2.2730000000000001</v>
      </c>
      <c r="I3391" s="6">
        <v>187.49945080674203</v>
      </c>
      <c r="J3391" s="3" t="s">
        <v>3356</v>
      </c>
      <c r="L3391" s="1" t="s">
        <v>6135</v>
      </c>
    </row>
    <row r="3392" spans="1:12">
      <c r="A3392" s="3" t="s">
        <v>7297</v>
      </c>
      <c r="C3392" s="3" t="s">
        <v>3817</v>
      </c>
      <c r="D3392" s="3" t="s">
        <v>3618</v>
      </c>
      <c r="E3392" s="3" t="s">
        <v>6464</v>
      </c>
      <c r="F3392" s="3" t="s">
        <v>6592</v>
      </c>
      <c r="G3392" s="3" t="s">
        <v>6421</v>
      </c>
      <c r="H3392" s="6">
        <v>2.3802099999999999</v>
      </c>
      <c r="I3392" s="6">
        <v>239.99931380578897</v>
      </c>
      <c r="J3392" s="3" t="s">
        <v>3356</v>
      </c>
      <c r="L3392" s="1" t="s">
        <v>6135</v>
      </c>
    </row>
    <row r="3393" spans="1:12">
      <c r="A3393" s="3" t="s">
        <v>7297</v>
      </c>
      <c r="C3393" s="3" t="s">
        <v>3817</v>
      </c>
      <c r="D3393" s="3" t="s">
        <v>3618</v>
      </c>
      <c r="E3393" s="3" t="s">
        <v>6464</v>
      </c>
      <c r="F3393" s="3" t="s">
        <v>7362</v>
      </c>
      <c r="G3393" s="3" t="s">
        <v>3321</v>
      </c>
      <c r="H3393" s="6">
        <v>2.6483599999999998</v>
      </c>
      <c r="I3393" s="6">
        <v>444.99998874838462</v>
      </c>
      <c r="J3393" s="3" t="s">
        <v>3356</v>
      </c>
      <c r="L3393" s="1" t="s">
        <v>6135</v>
      </c>
    </row>
    <row r="3394" spans="1:12">
      <c r="A3394" s="3" t="s">
        <v>7297</v>
      </c>
      <c r="C3394" s="3" t="s">
        <v>3817</v>
      </c>
      <c r="D3394" s="3" t="s">
        <v>3618</v>
      </c>
      <c r="E3394" s="3" t="s">
        <v>6464</v>
      </c>
      <c r="F3394" s="3" t="s">
        <v>7362</v>
      </c>
      <c r="G3394" s="3" t="s">
        <v>3276</v>
      </c>
      <c r="H3394" s="6">
        <v>2.3222200000000002</v>
      </c>
      <c r="I3394" s="6">
        <v>210.00034102666152</v>
      </c>
      <c r="J3394" s="3" t="s">
        <v>3356</v>
      </c>
      <c r="L3394" s="1" t="s">
        <v>6135</v>
      </c>
    </row>
    <row r="3395" spans="1:12">
      <c r="A3395" s="3" t="s">
        <v>7297</v>
      </c>
      <c r="C3395" s="3" t="s">
        <v>3817</v>
      </c>
      <c r="D3395" s="3" t="s">
        <v>3618</v>
      </c>
      <c r="E3395" s="3" t="s">
        <v>6464</v>
      </c>
      <c r="F3395" s="3" t="s">
        <v>3277</v>
      </c>
      <c r="G3395" s="3" t="s">
        <v>3278</v>
      </c>
      <c r="H3395" s="6">
        <v>2.7781500000000001</v>
      </c>
      <c r="I3395" s="6">
        <v>599.99827253364413</v>
      </c>
      <c r="J3395" s="3" t="s">
        <v>3356</v>
      </c>
      <c r="L3395" s="1" t="s">
        <v>6135</v>
      </c>
    </row>
    <row r="3396" spans="1:12">
      <c r="A3396" s="3" t="s">
        <v>7297</v>
      </c>
      <c r="C3396" s="3" t="s">
        <v>3817</v>
      </c>
      <c r="D3396" s="3" t="s">
        <v>3618</v>
      </c>
      <c r="E3396" s="3" t="s">
        <v>6464</v>
      </c>
      <c r="F3396" s="3" t="s">
        <v>3279</v>
      </c>
      <c r="G3396" s="3" t="s">
        <v>7400</v>
      </c>
      <c r="H3396" s="6">
        <v>2.1405099999999999</v>
      </c>
      <c r="I3396" s="6">
        <v>138.20062274043121</v>
      </c>
      <c r="J3396" s="3" t="s">
        <v>3356</v>
      </c>
      <c r="L3396" s="1" t="s">
        <v>6135</v>
      </c>
    </row>
    <row r="3397" spans="1:12">
      <c r="A3397" s="3" t="s">
        <v>7297</v>
      </c>
      <c r="C3397" s="3" t="s">
        <v>3817</v>
      </c>
      <c r="D3397" s="3" t="s">
        <v>3618</v>
      </c>
      <c r="E3397" s="3" t="s">
        <v>6464</v>
      </c>
      <c r="F3397" s="3" t="s">
        <v>3280</v>
      </c>
      <c r="G3397" s="3" t="s">
        <v>3281</v>
      </c>
      <c r="H3397" s="6">
        <v>2.6020599999999998</v>
      </c>
      <c r="I3397" s="6">
        <v>400.0000079872421</v>
      </c>
      <c r="J3397" s="3" t="s">
        <v>3356</v>
      </c>
      <c r="L3397" s="1" t="s">
        <v>6135</v>
      </c>
    </row>
    <row r="3398" spans="1:12">
      <c r="A3398" s="3" t="s">
        <v>7297</v>
      </c>
      <c r="C3398" s="3" t="s">
        <v>3817</v>
      </c>
      <c r="D3398" s="3" t="s">
        <v>3618</v>
      </c>
      <c r="E3398" s="3" t="s">
        <v>6464</v>
      </c>
      <c r="F3398" s="3" t="s">
        <v>3282</v>
      </c>
      <c r="G3398" s="3" t="s">
        <v>4173</v>
      </c>
      <c r="H3398" s="6">
        <v>2.03342</v>
      </c>
      <c r="I3398" s="6">
        <v>107.99906609258511</v>
      </c>
      <c r="J3398" s="3" t="s">
        <v>3356</v>
      </c>
      <c r="L3398" s="1" t="s">
        <v>6135</v>
      </c>
    </row>
    <row r="3399" spans="1:12">
      <c r="A3399" s="3" t="s">
        <v>7297</v>
      </c>
      <c r="C3399" s="3" t="s">
        <v>3817</v>
      </c>
      <c r="D3399" s="3" t="s">
        <v>3618</v>
      </c>
      <c r="E3399" s="3" t="s">
        <v>6464</v>
      </c>
      <c r="F3399" s="3" t="s">
        <v>3282</v>
      </c>
      <c r="G3399" s="3" t="s">
        <v>4174</v>
      </c>
      <c r="H3399" s="6">
        <v>2.2430400000000001</v>
      </c>
      <c r="I3399" s="6">
        <v>175.00078628829039</v>
      </c>
      <c r="J3399" s="3" t="s">
        <v>3356</v>
      </c>
      <c r="L3399" s="1" t="s">
        <v>6135</v>
      </c>
    </row>
    <row r="3400" spans="1:12">
      <c r="A3400" s="3" t="s">
        <v>7297</v>
      </c>
      <c r="C3400" s="3" t="s">
        <v>3817</v>
      </c>
      <c r="D3400" s="3" t="s">
        <v>3618</v>
      </c>
      <c r="E3400" s="3" t="s">
        <v>6464</v>
      </c>
      <c r="F3400" s="3" t="s">
        <v>3282</v>
      </c>
      <c r="G3400" s="3" t="s">
        <v>4175</v>
      </c>
      <c r="H3400" s="6">
        <v>2.03342</v>
      </c>
      <c r="I3400" s="6">
        <v>107.99906609258511</v>
      </c>
      <c r="J3400" s="3" t="s">
        <v>3356</v>
      </c>
      <c r="L3400" s="1" t="s">
        <v>6135</v>
      </c>
    </row>
    <row r="3401" spans="1:12">
      <c r="A3401" s="3" t="s">
        <v>7297</v>
      </c>
      <c r="C3401" s="3" t="s">
        <v>3817</v>
      </c>
      <c r="D3401" s="3" t="s">
        <v>3618</v>
      </c>
      <c r="E3401" s="3" t="s">
        <v>6464</v>
      </c>
      <c r="F3401" s="3" t="s">
        <v>3282</v>
      </c>
      <c r="G3401" s="3" t="s">
        <v>7543</v>
      </c>
      <c r="H3401" s="6">
        <v>2.03342</v>
      </c>
      <c r="I3401" s="6">
        <v>107.99906609258511</v>
      </c>
      <c r="J3401" s="3" t="s">
        <v>3356</v>
      </c>
      <c r="L3401" s="1" t="s">
        <v>6135</v>
      </c>
    </row>
    <row r="3402" spans="1:12">
      <c r="A3402" s="3" t="s">
        <v>7297</v>
      </c>
      <c r="C3402" s="3" t="s">
        <v>3817</v>
      </c>
      <c r="D3402" s="3" t="s">
        <v>3618</v>
      </c>
      <c r="E3402" s="3" t="s">
        <v>6464</v>
      </c>
      <c r="F3402" s="3" t="s">
        <v>3282</v>
      </c>
      <c r="G3402" s="3" t="s">
        <v>4176</v>
      </c>
      <c r="H3402" s="6">
        <v>2.03342</v>
      </c>
      <c r="I3402" s="6">
        <v>107.99906609258511</v>
      </c>
      <c r="J3402" s="3" t="s">
        <v>3356</v>
      </c>
      <c r="L3402" s="1" t="s">
        <v>6135</v>
      </c>
    </row>
    <row r="3403" spans="1:12">
      <c r="A3403" s="3" t="s">
        <v>7297</v>
      </c>
      <c r="C3403" s="3" t="s">
        <v>3817</v>
      </c>
      <c r="D3403" s="3" t="s">
        <v>3618</v>
      </c>
      <c r="E3403" s="3" t="s">
        <v>6464</v>
      </c>
      <c r="F3403" s="3" t="s">
        <v>3303</v>
      </c>
      <c r="G3403" s="3" t="s">
        <v>7096</v>
      </c>
      <c r="H3403" s="6">
        <v>2.43696</v>
      </c>
      <c r="I3403" s="6">
        <v>273.50168103482685</v>
      </c>
      <c r="J3403" s="3" t="s">
        <v>3356</v>
      </c>
      <c r="L3403" s="1" t="s">
        <v>6135</v>
      </c>
    </row>
    <row r="3404" spans="1:12">
      <c r="A3404" s="3" t="s">
        <v>7297</v>
      </c>
      <c r="C3404" s="3" t="s">
        <v>3817</v>
      </c>
      <c r="D3404" s="3" t="s">
        <v>3618</v>
      </c>
      <c r="E3404" s="3" t="s">
        <v>6464</v>
      </c>
      <c r="F3404" s="3" t="s">
        <v>3303</v>
      </c>
      <c r="G3404" s="3" t="s">
        <v>4028</v>
      </c>
      <c r="H3404" s="6">
        <v>2.3147099999999998</v>
      </c>
      <c r="I3404" s="6">
        <v>206.40014592419931</v>
      </c>
      <c r="J3404" s="3" t="s">
        <v>3356</v>
      </c>
      <c r="L3404" s="1" t="s">
        <v>6135</v>
      </c>
    </row>
    <row r="3405" spans="1:12">
      <c r="A3405" s="3" t="s">
        <v>7297</v>
      </c>
      <c r="C3405" s="3" t="s">
        <v>3817</v>
      </c>
      <c r="D3405" s="3" t="s">
        <v>3618</v>
      </c>
      <c r="E3405" s="3" t="s">
        <v>6464</v>
      </c>
      <c r="F3405" s="3" t="s">
        <v>4029</v>
      </c>
      <c r="G3405" s="3" t="s">
        <v>3301</v>
      </c>
      <c r="H3405" s="6">
        <v>2.4548399999999999</v>
      </c>
      <c r="I3405" s="6">
        <v>284.9968107016482</v>
      </c>
      <c r="J3405" s="3" t="s">
        <v>3356</v>
      </c>
      <c r="L3405" s="1" t="s">
        <v>6135</v>
      </c>
    </row>
    <row r="3406" spans="1:12">
      <c r="A3406" s="3" t="s">
        <v>7297</v>
      </c>
      <c r="C3406" s="3" t="s">
        <v>3817</v>
      </c>
      <c r="D3406" s="3" t="s">
        <v>3618</v>
      </c>
      <c r="E3406" s="3" t="s">
        <v>6464</v>
      </c>
      <c r="F3406" s="3" t="s">
        <v>4029</v>
      </c>
      <c r="G3406" s="3" t="s">
        <v>3129</v>
      </c>
      <c r="H3406" s="6">
        <v>2.4548399999999999</v>
      </c>
      <c r="I3406" s="6">
        <v>284.9968107016482</v>
      </c>
      <c r="J3406" s="3" t="s">
        <v>3356</v>
      </c>
      <c r="L3406" s="1" t="s">
        <v>6135</v>
      </c>
    </row>
    <row r="3407" spans="1:12">
      <c r="A3407" s="3" t="s">
        <v>7297</v>
      </c>
      <c r="C3407" s="3" t="s">
        <v>3817</v>
      </c>
      <c r="D3407" s="3" t="s">
        <v>3618</v>
      </c>
      <c r="E3407" s="3" t="s">
        <v>6464</v>
      </c>
      <c r="F3407" s="3" t="s">
        <v>4029</v>
      </c>
      <c r="G3407" s="3" t="s">
        <v>3765</v>
      </c>
      <c r="H3407" s="6">
        <v>2.4548399999999999</v>
      </c>
      <c r="I3407" s="6">
        <v>284.9968107016482</v>
      </c>
      <c r="J3407" s="3" t="s">
        <v>3356</v>
      </c>
      <c r="L3407" s="1" t="s">
        <v>6135</v>
      </c>
    </row>
    <row r="3408" spans="1:12">
      <c r="A3408" s="3" t="s">
        <v>7297</v>
      </c>
      <c r="C3408" s="3" t="s">
        <v>3817</v>
      </c>
      <c r="D3408" s="3" t="s">
        <v>3618</v>
      </c>
      <c r="E3408" s="3" t="s">
        <v>6464</v>
      </c>
      <c r="F3408" s="3" t="s">
        <v>4029</v>
      </c>
      <c r="G3408" s="3" t="s">
        <v>7354</v>
      </c>
      <c r="H3408" s="6">
        <v>2.4548399999999999</v>
      </c>
      <c r="I3408" s="6">
        <v>284.9968107016482</v>
      </c>
      <c r="J3408" s="3" t="s">
        <v>3356</v>
      </c>
      <c r="L3408" s="1" t="s">
        <v>6135</v>
      </c>
    </row>
    <row r="3409" spans="1:12">
      <c r="A3409" s="3" t="s">
        <v>7297</v>
      </c>
      <c r="C3409" s="3" t="s">
        <v>3817</v>
      </c>
      <c r="D3409" s="3" t="s">
        <v>3618</v>
      </c>
      <c r="E3409" s="3" t="s">
        <v>6464</v>
      </c>
      <c r="F3409" s="3" t="s">
        <v>4029</v>
      </c>
      <c r="G3409" s="3" t="s">
        <v>3766</v>
      </c>
      <c r="H3409" s="6">
        <v>2.4548399999999999</v>
      </c>
      <c r="I3409" s="6">
        <v>284.9968107016482</v>
      </c>
      <c r="J3409" s="3" t="s">
        <v>3356</v>
      </c>
      <c r="L3409" s="1" t="s">
        <v>6135</v>
      </c>
    </row>
    <row r="3410" spans="1:12">
      <c r="A3410" s="3" t="s">
        <v>7297</v>
      </c>
      <c r="C3410" s="3" t="s">
        <v>3817</v>
      </c>
      <c r="D3410" s="3" t="s">
        <v>3618</v>
      </c>
      <c r="E3410" s="3" t="s">
        <v>6464</v>
      </c>
      <c r="F3410" s="3" t="s">
        <v>4029</v>
      </c>
      <c r="G3410" s="3" t="s">
        <v>3729</v>
      </c>
      <c r="H3410" s="6">
        <v>2.4996900000000002</v>
      </c>
      <c r="I3410" s="6">
        <v>316.00212274325219</v>
      </c>
      <c r="J3410" s="3" t="s">
        <v>3356</v>
      </c>
      <c r="L3410" s="1" t="s">
        <v>6135</v>
      </c>
    </row>
    <row r="3411" spans="1:12">
      <c r="A3411" s="3" t="s">
        <v>7297</v>
      </c>
      <c r="C3411" s="3" t="s">
        <v>3817</v>
      </c>
      <c r="D3411" s="3" t="s">
        <v>3618</v>
      </c>
      <c r="E3411" s="3" t="s">
        <v>6464</v>
      </c>
      <c r="F3411" s="3" t="s">
        <v>4029</v>
      </c>
      <c r="G3411" s="3" t="s">
        <v>3730</v>
      </c>
      <c r="H3411" s="6">
        <v>2.4548399999999999</v>
      </c>
      <c r="I3411" s="6">
        <v>284.9968107016482</v>
      </c>
      <c r="J3411" s="3" t="s">
        <v>3356</v>
      </c>
      <c r="L3411" s="1" t="s">
        <v>6135</v>
      </c>
    </row>
    <row r="3412" spans="1:12">
      <c r="A3412" s="3" t="s">
        <v>7297</v>
      </c>
      <c r="C3412" s="3" t="s">
        <v>3817</v>
      </c>
      <c r="D3412" s="3" t="s">
        <v>3618</v>
      </c>
      <c r="E3412" s="3" t="s">
        <v>6464</v>
      </c>
      <c r="F3412" s="3" t="s">
        <v>4029</v>
      </c>
      <c r="G3412" s="3" t="s">
        <v>4743</v>
      </c>
      <c r="H3412" s="6">
        <v>2.51851</v>
      </c>
      <c r="I3412" s="6">
        <v>329.99700628522925</v>
      </c>
      <c r="J3412" s="3" t="s">
        <v>3356</v>
      </c>
      <c r="L3412" s="1" t="s">
        <v>6135</v>
      </c>
    </row>
    <row r="3413" spans="1:12">
      <c r="A3413" s="3" t="s">
        <v>7297</v>
      </c>
      <c r="C3413" s="3" t="s">
        <v>3817</v>
      </c>
      <c r="D3413" s="3" t="s">
        <v>3618</v>
      </c>
      <c r="E3413" s="3" t="s">
        <v>6464</v>
      </c>
      <c r="F3413" s="3" t="s">
        <v>4029</v>
      </c>
      <c r="G3413" s="3" t="s">
        <v>3770</v>
      </c>
      <c r="H3413" s="6">
        <v>2.4548399999999999</v>
      </c>
      <c r="I3413" s="6">
        <v>284.9968107016482</v>
      </c>
      <c r="J3413" s="3" t="s">
        <v>3356</v>
      </c>
      <c r="L3413" s="1" t="s">
        <v>6135</v>
      </c>
    </row>
    <row r="3414" spans="1:12">
      <c r="A3414" s="3" t="s">
        <v>7297</v>
      </c>
      <c r="C3414" s="3" t="s">
        <v>3817</v>
      </c>
      <c r="D3414" s="3" t="s">
        <v>3618</v>
      </c>
      <c r="E3414" s="3" t="s">
        <v>6464</v>
      </c>
      <c r="F3414" s="3" t="s">
        <v>4029</v>
      </c>
      <c r="G3414" s="3" t="s">
        <v>3518</v>
      </c>
      <c r="H3414" s="6">
        <v>2.2242700000000002</v>
      </c>
      <c r="I3414" s="6">
        <v>167.59845083776992</v>
      </c>
      <c r="J3414" s="3" t="s">
        <v>3356</v>
      </c>
      <c r="L3414" s="1" t="s">
        <v>6135</v>
      </c>
    </row>
    <row r="3415" spans="1:12">
      <c r="A3415" s="3" t="s">
        <v>7297</v>
      </c>
      <c r="C3415" s="3" t="s">
        <v>3817</v>
      </c>
      <c r="D3415" s="3" t="s">
        <v>3618</v>
      </c>
      <c r="E3415" s="3" t="s">
        <v>6464</v>
      </c>
      <c r="F3415" s="3" t="s">
        <v>4029</v>
      </c>
      <c r="G3415" s="3" t="s">
        <v>2265</v>
      </c>
      <c r="H3415" s="6">
        <v>2.4548399999999999</v>
      </c>
      <c r="I3415" s="6">
        <v>284.9968107016482</v>
      </c>
      <c r="J3415" s="3" t="s">
        <v>3356</v>
      </c>
      <c r="L3415" s="1" t="s">
        <v>6135</v>
      </c>
    </row>
    <row r="3416" spans="1:12">
      <c r="A3416" s="3" t="s">
        <v>7297</v>
      </c>
      <c r="C3416" s="3" t="s">
        <v>3817</v>
      </c>
      <c r="D3416" s="3" t="s">
        <v>3618</v>
      </c>
      <c r="E3416" s="3" t="s">
        <v>6464</v>
      </c>
      <c r="F3416" s="3" t="s">
        <v>4029</v>
      </c>
      <c r="G3416" s="3" t="s">
        <v>3519</v>
      </c>
      <c r="H3416" s="6">
        <v>2.4548399999999999</v>
      </c>
      <c r="I3416" s="6">
        <v>284.9968107016482</v>
      </c>
      <c r="J3416" s="3" t="s">
        <v>3356</v>
      </c>
      <c r="L3416" s="1" t="s">
        <v>6135</v>
      </c>
    </row>
    <row r="3417" spans="1:12">
      <c r="A3417" s="3" t="s">
        <v>7297</v>
      </c>
      <c r="C3417" s="3" t="s">
        <v>3817</v>
      </c>
      <c r="D3417" s="3" t="s">
        <v>3618</v>
      </c>
      <c r="E3417" s="3" t="s">
        <v>6464</v>
      </c>
      <c r="F3417" s="3" t="s">
        <v>4029</v>
      </c>
      <c r="G3417" s="3" t="s">
        <v>3739</v>
      </c>
      <c r="H3417" s="6">
        <v>2.6020599999999998</v>
      </c>
      <c r="I3417" s="6">
        <v>400.0000079872421</v>
      </c>
      <c r="J3417" s="3" t="s">
        <v>3356</v>
      </c>
      <c r="L3417" s="1" t="s">
        <v>6135</v>
      </c>
    </row>
    <row r="3418" spans="1:12">
      <c r="A3418" s="3" t="s">
        <v>7297</v>
      </c>
      <c r="C3418" s="3" t="s">
        <v>3817</v>
      </c>
      <c r="D3418" s="3" t="s">
        <v>3618</v>
      </c>
      <c r="E3418" s="3" t="s">
        <v>6464</v>
      </c>
      <c r="F3418" s="3" t="s">
        <v>4029</v>
      </c>
      <c r="G3418" s="3" t="s">
        <v>3740</v>
      </c>
      <c r="H3418" s="6">
        <v>2.4548399999999999</v>
      </c>
      <c r="I3418" s="6">
        <v>284.9968107016482</v>
      </c>
      <c r="J3418" s="3" t="s">
        <v>3356</v>
      </c>
      <c r="L3418" s="1" t="s">
        <v>6135</v>
      </c>
    </row>
    <row r="3419" spans="1:12">
      <c r="A3419" s="3" t="s">
        <v>7297</v>
      </c>
      <c r="C3419" s="3" t="s">
        <v>3817</v>
      </c>
      <c r="D3419" s="3" t="s">
        <v>3618</v>
      </c>
      <c r="E3419" s="3" t="s">
        <v>6464</v>
      </c>
      <c r="F3419" s="3" t="s">
        <v>4029</v>
      </c>
      <c r="G3419" s="3" t="s">
        <v>3763</v>
      </c>
      <c r="H3419" s="6">
        <v>2.4548399999999999</v>
      </c>
      <c r="I3419" s="6">
        <v>284.9968107016482</v>
      </c>
      <c r="J3419" s="3" t="s">
        <v>3356</v>
      </c>
      <c r="L3419" s="1" t="s">
        <v>6135</v>
      </c>
    </row>
    <row r="3420" spans="1:12">
      <c r="A3420" s="3" t="s">
        <v>7297</v>
      </c>
      <c r="C3420" s="3" t="s">
        <v>3817</v>
      </c>
      <c r="D3420" s="3" t="s">
        <v>3618</v>
      </c>
      <c r="E3420" s="3" t="s">
        <v>6464</v>
      </c>
      <c r="F3420" s="3" t="s">
        <v>4029</v>
      </c>
      <c r="G3420" s="3" t="s">
        <v>3764</v>
      </c>
      <c r="H3420" s="6">
        <v>2.4548399999999999</v>
      </c>
      <c r="I3420" s="6">
        <v>284.9968107016482</v>
      </c>
      <c r="J3420" s="3" t="s">
        <v>3356</v>
      </c>
      <c r="L3420" s="1" t="s">
        <v>6135</v>
      </c>
    </row>
    <row r="3421" spans="1:12">
      <c r="A3421" s="3" t="s">
        <v>7297</v>
      </c>
      <c r="C3421" s="3" t="s">
        <v>3817</v>
      </c>
      <c r="D3421" s="3" t="s">
        <v>3618</v>
      </c>
      <c r="E3421" s="3" t="s">
        <v>6464</v>
      </c>
      <c r="F3421" s="3" t="s">
        <v>4029</v>
      </c>
      <c r="G3421" s="3" t="s">
        <v>4681</v>
      </c>
      <c r="H3421" s="6">
        <v>2.3085599999999999</v>
      </c>
      <c r="I3421" s="6">
        <v>203.49793192134433</v>
      </c>
      <c r="J3421" s="3" t="s">
        <v>3356</v>
      </c>
      <c r="L3421" s="1" t="s">
        <v>6135</v>
      </c>
    </row>
    <row r="3422" spans="1:12">
      <c r="A3422" s="3" t="s">
        <v>7297</v>
      </c>
      <c r="C3422" s="3" t="s">
        <v>3817</v>
      </c>
      <c r="D3422" s="3" t="s">
        <v>3618</v>
      </c>
      <c r="E3422" s="3" t="s">
        <v>6464</v>
      </c>
      <c r="F3422" s="3" t="s">
        <v>4029</v>
      </c>
      <c r="G3422" s="3" t="s">
        <v>3295</v>
      </c>
      <c r="H3422" s="6">
        <v>2.31175</v>
      </c>
      <c r="I3422" s="6">
        <v>204.99817747416989</v>
      </c>
      <c r="J3422" s="3" t="s">
        <v>3356</v>
      </c>
      <c r="L3422" s="1" t="s">
        <v>6135</v>
      </c>
    </row>
    <row r="3423" spans="1:12">
      <c r="A3423" s="3" t="s">
        <v>7297</v>
      </c>
      <c r="C3423" s="3" t="s">
        <v>3817</v>
      </c>
      <c r="D3423" s="3" t="s">
        <v>3618</v>
      </c>
      <c r="E3423" s="3" t="s">
        <v>6464</v>
      </c>
      <c r="F3423" s="3" t="s">
        <v>4029</v>
      </c>
      <c r="G3423" s="3" t="s">
        <v>3767</v>
      </c>
      <c r="H3423" s="6">
        <v>2.4548399999999999</v>
      </c>
      <c r="I3423" s="6">
        <v>284.9968107016482</v>
      </c>
      <c r="J3423" s="3" t="s">
        <v>3356</v>
      </c>
      <c r="L3423" s="1" t="s">
        <v>6135</v>
      </c>
    </row>
    <row r="3424" spans="1:12">
      <c r="A3424" s="3" t="s">
        <v>7297</v>
      </c>
      <c r="C3424" s="3" t="s">
        <v>3817</v>
      </c>
      <c r="D3424" s="3" t="s">
        <v>3618</v>
      </c>
      <c r="E3424" s="3" t="s">
        <v>6464</v>
      </c>
      <c r="F3424" s="3" t="s">
        <v>4029</v>
      </c>
      <c r="G3424" s="3" t="s">
        <v>3768</v>
      </c>
      <c r="H3424" s="6">
        <v>2.4548399999999999</v>
      </c>
      <c r="I3424" s="6">
        <v>284.9968107016482</v>
      </c>
      <c r="J3424" s="3" t="s">
        <v>3356</v>
      </c>
      <c r="L3424" s="1" t="s">
        <v>6135</v>
      </c>
    </row>
    <row r="3425" spans="1:12">
      <c r="A3425" s="3" t="s">
        <v>7297</v>
      </c>
      <c r="C3425" s="3" t="s">
        <v>3817</v>
      </c>
      <c r="D3425" s="3" t="s">
        <v>3618</v>
      </c>
      <c r="E3425" s="3" t="s">
        <v>6464</v>
      </c>
      <c r="F3425" s="3" t="s">
        <v>4029</v>
      </c>
      <c r="G3425" s="3" t="s">
        <v>7210</v>
      </c>
      <c r="H3425" s="6">
        <v>2.4548399999999999</v>
      </c>
      <c r="I3425" s="6">
        <v>284.9968107016482</v>
      </c>
      <c r="J3425" s="3" t="s">
        <v>3356</v>
      </c>
      <c r="L3425" s="1" t="s">
        <v>6135</v>
      </c>
    </row>
    <row r="3426" spans="1:12">
      <c r="A3426" s="3" t="s">
        <v>7297</v>
      </c>
      <c r="C3426" s="3" t="s">
        <v>3817</v>
      </c>
      <c r="D3426" s="3" t="s">
        <v>3618</v>
      </c>
      <c r="E3426" s="3" t="s">
        <v>6464</v>
      </c>
      <c r="F3426" s="3" t="s">
        <v>4029</v>
      </c>
      <c r="G3426" s="3" t="s">
        <v>7211</v>
      </c>
      <c r="H3426" s="6">
        <v>2.4548399999999999</v>
      </c>
      <c r="I3426" s="6">
        <v>284.9968107016482</v>
      </c>
      <c r="J3426" s="3" t="s">
        <v>3356</v>
      </c>
      <c r="L3426" s="1" t="s">
        <v>6135</v>
      </c>
    </row>
    <row r="3427" spans="1:12">
      <c r="A3427" s="3" t="s">
        <v>7297</v>
      </c>
      <c r="C3427" s="3" t="s">
        <v>3817</v>
      </c>
      <c r="D3427" s="3" t="s">
        <v>3618</v>
      </c>
      <c r="E3427" s="3" t="s">
        <v>6464</v>
      </c>
      <c r="F3427" s="3" t="s">
        <v>4029</v>
      </c>
      <c r="G3427" s="3" t="s">
        <v>7212</v>
      </c>
      <c r="H3427" s="6">
        <v>2.4548399999999999</v>
      </c>
      <c r="I3427" s="6">
        <v>284.9968107016482</v>
      </c>
      <c r="J3427" s="3" t="s">
        <v>3356</v>
      </c>
      <c r="L3427" s="1" t="s">
        <v>6135</v>
      </c>
    </row>
    <row r="3428" spans="1:12">
      <c r="A3428" s="3" t="s">
        <v>7297</v>
      </c>
      <c r="C3428" s="3" t="s">
        <v>3817</v>
      </c>
      <c r="D3428" s="3" t="s">
        <v>3618</v>
      </c>
      <c r="E3428" s="3" t="s">
        <v>6464</v>
      </c>
      <c r="F3428" s="3" t="s">
        <v>4029</v>
      </c>
      <c r="G3428" s="3" t="s">
        <v>4811</v>
      </c>
      <c r="H3428" s="6">
        <v>2.4548399999999999</v>
      </c>
      <c r="I3428" s="6">
        <v>284.9968107016482</v>
      </c>
      <c r="J3428" s="3" t="s">
        <v>3356</v>
      </c>
      <c r="L3428" s="1" t="s">
        <v>6135</v>
      </c>
    </row>
    <row r="3429" spans="1:12">
      <c r="A3429" s="3" t="s">
        <v>7297</v>
      </c>
      <c r="C3429" s="3" t="s">
        <v>3817</v>
      </c>
      <c r="D3429" s="3" t="s">
        <v>3618</v>
      </c>
      <c r="E3429" s="3" t="s">
        <v>6464</v>
      </c>
      <c r="F3429" s="3" t="s">
        <v>4029</v>
      </c>
      <c r="G3429" s="3" t="s">
        <v>4812</v>
      </c>
      <c r="H3429" s="6">
        <v>2.4548399999999999</v>
      </c>
      <c r="I3429" s="6">
        <v>284.9968107016482</v>
      </c>
      <c r="J3429" s="3" t="s">
        <v>3356</v>
      </c>
      <c r="L3429" s="1" t="s">
        <v>6135</v>
      </c>
    </row>
    <row r="3430" spans="1:12">
      <c r="A3430" s="3" t="s">
        <v>7297</v>
      </c>
      <c r="C3430" s="3" t="s">
        <v>3817</v>
      </c>
      <c r="D3430" s="3" t="s">
        <v>3618</v>
      </c>
      <c r="E3430" s="3" t="s">
        <v>6464</v>
      </c>
      <c r="F3430" s="3" t="s">
        <v>4029</v>
      </c>
      <c r="G3430" s="3" t="s">
        <v>5087</v>
      </c>
      <c r="H3430" s="6">
        <v>2.5569099999999998</v>
      </c>
      <c r="I3430" s="6">
        <v>360.50392709295545</v>
      </c>
      <c r="J3430" s="3" t="s">
        <v>3356</v>
      </c>
      <c r="L3430" s="1" t="s">
        <v>6135</v>
      </c>
    </row>
    <row r="3431" spans="1:12">
      <c r="A3431" s="3" t="s">
        <v>7297</v>
      </c>
      <c r="C3431" s="3" t="s">
        <v>3817</v>
      </c>
      <c r="D3431" s="3" t="s">
        <v>3618</v>
      </c>
      <c r="E3431" s="3" t="s">
        <v>6464</v>
      </c>
      <c r="F3431" s="3" t="s">
        <v>4029</v>
      </c>
      <c r="G3431" s="3" t="s">
        <v>4813</v>
      </c>
      <c r="H3431" s="6">
        <v>2.4548399999999999</v>
      </c>
      <c r="I3431" s="6">
        <v>284.9968107016482</v>
      </c>
      <c r="J3431" s="3" t="s">
        <v>3356</v>
      </c>
      <c r="L3431" s="1" t="s">
        <v>6135</v>
      </c>
    </row>
    <row r="3432" spans="1:12">
      <c r="A3432" s="3" t="s">
        <v>7297</v>
      </c>
      <c r="C3432" s="3" t="s">
        <v>3817</v>
      </c>
      <c r="D3432" s="3" t="s">
        <v>3618</v>
      </c>
      <c r="E3432" s="3" t="s">
        <v>6464</v>
      </c>
      <c r="F3432" s="3" t="s">
        <v>4029</v>
      </c>
      <c r="G3432" s="3" t="s">
        <v>4814</v>
      </c>
      <c r="H3432" s="6">
        <v>2.4548399999999999</v>
      </c>
      <c r="I3432" s="6">
        <v>284.9968107016482</v>
      </c>
      <c r="J3432" s="3" t="s">
        <v>3356</v>
      </c>
      <c r="L3432" s="1" t="s">
        <v>6135</v>
      </c>
    </row>
    <row r="3433" spans="1:12">
      <c r="A3433" s="3" t="s">
        <v>7297</v>
      </c>
      <c r="C3433" s="3" t="s">
        <v>3817</v>
      </c>
      <c r="D3433" s="3" t="s">
        <v>3618</v>
      </c>
      <c r="E3433" s="3" t="s">
        <v>6464</v>
      </c>
      <c r="F3433" s="3" t="s">
        <v>4029</v>
      </c>
      <c r="G3433" s="3" t="s">
        <v>4815</v>
      </c>
      <c r="H3433" s="6">
        <v>2.4548399999999999</v>
      </c>
      <c r="I3433" s="6">
        <v>284.9968107016482</v>
      </c>
      <c r="J3433" s="3" t="s">
        <v>3356</v>
      </c>
      <c r="L3433" s="1" t="s">
        <v>6135</v>
      </c>
    </row>
    <row r="3434" spans="1:12">
      <c r="A3434" s="3" t="s">
        <v>7297</v>
      </c>
      <c r="C3434" s="3" t="s">
        <v>3817</v>
      </c>
      <c r="D3434" s="3" t="s">
        <v>3618</v>
      </c>
      <c r="E3434" s="3" t="s">
        <v>6464</v>
      </c>
      <c r="F3434" s="3" t="s">
        <v>4029</v>
      </c>
      <c r="G3434" s="3" t="s">
        <v>4835</v>
      </c>
      <c r="H3434" s="6">
        <v>2.4548399999999999</v>
      </c>
      <c r="I3434" s="6">
        <v>284.9968107016482</v>
      </c>
      <c r="J3434" s="3" t="s">
        <v>3356</v>
      </c>
      <c r="L3434" s="1" t="s">
        <v>6135</v>
      </c>
    </row>
    <row r="3435" spans="1:12">
      <c r="A3435" s="3" t="s">
        <v>7297</v>
      </c>
      <c r="C3435" s="3" t="s">
        <v>3817</v>
      </c>
      <c r="D3435" s="3" t="s">
        <v>3618</v>
      </c>
      <c r="E3435" s="3" t="s">
        <v>6464</v>
      </c>
      <c r="F3435" s="3" t="s">
        <v>4029</v>
      </c>
      <c r="G3435" s="3" t="s">
        <v>7675</v>
      </c>
      <c r="H3435" s="6">
        <v>2.4548399999999999</v>
      </c>
      <c r="I3435" s="6">
        <v>284.9968107016482</v>
      </c>
      <c r="J3435" s="3" t="s">
        <v>3356</v>
      </c>
      <c r="L3435" s="1" t="s">
        <v>6135</v>
      </c>
    </row>
    <row r="3436" spans="1:12">
      <c r="A3436" s="3" t="s">
        <v>7297</v>
      </c>
      <c r="C3436" s="3" t="s">
        <v>3817</v>
      </c>
      <c r="D3436" s="3" t="s">
        <v>3618</v>
      </c>
      <c r="E3436" s="3" t="s">
        <v>6464</v>
      </c>
      <c r="F3436" s="3" t="s">
        <v>6649</v>
      </c>
      <c r="G3436" s="3" t="s">
        <v>6650</v>
      </c>
      <c r="H3436" s="6">
        <v>2.43933</v>
      </c>
      <c r="I3436" s="6">
        <v>274.99829424260366</v>
      </c>
      <c r="J3436" s="3" t="s">
        <v>3356</v>
      </c>
      <c r="L3436" s="1" t="s">
        <v>6135</v>
      </c>
    </row>
    <row r="3437" spans="1:12">
      <c r="A3437" s="3" t="s">
        <v>7297</v>
      </c>
      <c r="C3437" s="3" t="s">
        <v>3817</v>
      </c>
      <c r="D3437" s="3" t="s">
        <v>3618</v>
      </c>
      <c r="E3437" s="3" t="s">
        <v>5368</v>
      </c>
      <c r="F3437" s="3" t="s">
        <v>6294</v>
      </c>
      <c r="G3437" s="3" t="s">
        <v>4010</v>
      </c>
      <c r="H3437" s="6">
        <v>3.6074600000000001</v>
      </c>
      <c r="I3437" s="6">
        <v>4050.0464111263736</v>
      </c>
      <c r="J3437" s="3" t="s">
        <v>3356</v>
      </c>
      <c r="L3437" s="1" t="s">
        <v>6135</v>
      </c>
    </row>
    <row r="3438" spans="1:12">
      <c r="A3438" s="3" t="s">
        <v>7297</v>
      </c>
      <c r="C3438" s="3" t="s">
        <v>3817</v>
      </c>
      <c r="D3438" s="3" t="s">
        <v>3618</v>
      </c>
      <c r="E3438" s="3" t="s">
        <v>5368</v>
      </c>
      <c r="F3438" s="3" t="s">
        <v>6294</v>
      </c>
      <c r="G3438" s="3" t="s">
        <v>6292</v>
      </c>
      <c r="H3438" s="6">
        <v>3.4771200000000002</v>
      </c>
      <c r="I3438" s="6">
        <v>2999.9913327161544</v>
      </c>
      <c r="J3438" s="3" t="s">
        <v>3356</v>
      </c>
      <c r="L3438" s="1" t="s">
        <v>6135</v>
      </c>
    </row>
    <row r="3439" spans="1:12">
      <c r="A3439" s="3" t="s">
        <v>7297</v>
      </c>
      <c r="C3439" s="3" t="s">
        <v>3817</v>
      </c>
      <c r="D3439" s="3" t="s">
        <v>3618</v>
      </c>
      <c r="E3439" s="3" t="s">
        <v>5368</v>
      </c>
      <c r="F3439" s="3" t="s">
        <v>6294</v>
      </c>
      <c r="G3439" s="3" t="s">
        <v>5864</v>
      </c>
      <c r="H3439" s="6">
        <v>3.6434500000000001</v>
      </c>
      <c r="I3439" s="6">
        <v>4399.9728835998931</v>
      </c>
      <c r="J3439" s="3" t="s">
        <v>3356</v>
      </c>
      <c r="L3439" s="1" t="s">
        <v>6135</v>
      </c>
    </row>
    <row r="3440" spans="1:12">
      <c r="A3440" s="3" t="s">
        <v>7297</v>
      </c>
      <c r="C3440" s="3" t="s">
        <v>3817</v>
      </c>
      <c r="D3440" s="3" t="s">
        <v>3618</v>
      </c>
      <c r="E3440" s="3" t="s">
        <v>5368</v>
      </c>
      <c r="F3440" s="3" t="s">
        <v>6294</v>
      </c>
      <c r="G3440" s="3" t="s">
        <v>4178</v>
      </c>
      <c r="H3440" s="6">
        <v>3.3010299999999999</v>
      </c>
      <c r="I3440" s="6">
        <v>2000.0000199681051</v>
      </c>
      <c r="J3440" s="3" t="s">
        <v>3356</v>
      </c>
      <c r="L3440" s="1" t="s">
        <v>6135</v>
      </c>
    </row>
    <row r="3441" spans="1:12">
      <c r="A3441" s="3" t="s">
        <v>7297</v>
      </c>
      <c r="C3441" s="3" t="s">
        <v>3817</v>
      </c>
      <c r="D3441" s="3" t="s">
        <v>3618</v>
      </c>
      <c r="E3441" s="3" t="s">
        <v>5368</v>
      </c>
      <c r="F3441" s="3" t="s">
        <v>5865</v>
      </c>
      <c r="G3441" s="3" t="s">
        <v>4446</v>
      </c>
      <c r="H3441" s="6">
        <v>2.9200200000000001</v>
      </c>
      <c r="I3441" s="6">
        <v>831.80207612187496</v>
      </c>
      <c r="J3441" s="3" t="s">
        <v>3356</v>
      </c>
      <c r="L3441" s="1" t="s">
        <v>6135</v>
      </c>
    </row>
    <row r="3442" spans="1:12">
      <c r="A3442" s="3" t="s">
        <v>7297</v>
      </c>
      <c r="C3442" s="3" t="s">
        <v>3817</v>
      </c>
      <c r="D3442" s="3" t="s">
        <v>3618</v>
      </c>
      <c r="E3442" s="3" t="s">
        <v>5368</v>
      </c>
      <c r="F3442" s="3" t="s">
        <v>5866</v>
      </c>
      <c r="G3442" s="3" t="s">
        <v>6291</v>
      </c>
      <c r="H3442" s="6">
        <v>3</v>
      </c>
      <c r="I3442" s="6">
        <v>1000</v>
      </c>
      <c r="J3442" s="3" t="s">
        <v>3356</v>
      </c>
      <c r="L3442" s="1" t="s">
        <v>6135</v>
      </c>
    </row>
    <row r="3443" spans="1:12">
      <c r="A3443" s="3" t="s">
        <v>7297</v>
      </c>
      <c r="C3443" s="3" t="s">
        <v>3817</v>
      </c>
      <c r="D3443" s="3" t="s">
        <v>3618</v>
      </c>
      <c r="E3443" s="3" t="s">
        <v>5368</v>
      </c>
      <c r="F3443" s="3" t="s">
        <v>5866</v>
      </c>
      <c r="G3443" s="3" t="s">
        <v>6589</v>
      </c>
      <c r="H3443" s="6">
        <v>2.8755199999999999</v>
      </c>
      <c r="I3443" s="6">
        <v>750.79262860211543</v>
      </c>
      <c r="J3443" s="3" t="s">
        <v>3356</v>
      </c>
      <c r="L3443" s="1" t="s">
        <v>6135</v>
      </c>
    </row>
    <row r="3444" spans="1:12">
      <c r="A3444" s="3" t="s">
        <v>7297</v>
      </c>
      <c r="C3444" s="3" t="s">
        <v>3817</v>
      </c>
      <c r="D3444" s="3" t="s">
        <v>3618</v>
      </c>
      <c r="E3444" s="3" t="s">
        <v>5368</v>
      </c>
      <c r="F3444" s="3" t="s">
        <v>5866</v>
      </c>
      <c r="G3444" s="3" t="s">
        <v>5523</v>
      </c>
      <c r="H3444" s="6">
        <v>2.8668800000000001</v>
      </c>
      <c r="I3444" s="6">
        <v>736.00370405730666</v>
      </c>
      <c r="J3444" s="3" t="s">
        <v>3356</v>
      </c>
      <c r="L3444" s="1" t="s">
        <v>6135</v>
      </c>
    </row>
    <row r="3445" spans="1:12">
      <c r="A3445" s="3" t="s">
        <v>7297</v>
      </c>
      <c r="C3445" s="3" t="s">
        <v>3817</v>
      </c>
      <c r="D3445" s="3" t="s">
        <v>3618</v>
      </c>
      <c r="E3445" s="3" t="s">
        <v>5368</v>
      </c>
      <c r="F3445" s="3" t="s">
        <v>5866</v>
      </c>
      <c r="G3445" s="3" t="s">
        <v>4748</v>
      </c>
      <c r="H3445" s="6">
        <v>3.2430400000000001</v>
      </c>
      <c r="I3445" s="6">
        <v>1750.0078628829044</v>
      </c>
      <c r="J3445" s="3" t="s">
        <v>3356</v>
      </c>
      <c r="L3445" s="1" t="s">
        <v>6135</v>
      </c>
    </row>
    <row r="3446" spans="1:12">
      <c r="A3446" s="3" t="s">
        <v>7297</v>
      </c>
      <c r="C3446" s="3" t="s">
        <v>3817</v>
      </c>
      <c r="D3446" s="3" t="s">
        <v>3618</v>
      </c>
      <c r="E3446" s="3" t="s">
        <v>5524</v>
      </c>
      <c r="F3446" s="3" t="s">
        <v>8229</v>
      </c>
      <c r="G3446" s="3" t="s">
        <v>4002</v>
      </c>
      <c r="H3446" s="6">
        <v>2.64147</v>
      </c>
      <c r="I3446" s="6">
        <v>437.99585444358536</v>
      </c>
      <c r="J3446" s="3" t="s">
        <v>3356</v>
      </c>
      <c r="L3446" s="1" t="s">
        <v>6135</v>
      </c>
    </row>
    <row r="3447" spans="1:12">
      <c r="A3447" s="3" t="s">
        <v>7297</v>
      </c>
      <c r="C3447" s="3" t="s">
        <v>3817</v>
      </c>
      <c r="D3447" s="3" t="s">
        <v>3618</v>
      </c>
      <c r="E3447" s="3" t="s">
        <v>4007</v>
      </c>
      <c r="F3447" s="3" t="s">
        <v>6383</v>
      </c>
      <c r="G3447" s="3" t="s">
        <v>3175</v>
      </c>
      <c r="H3447" s="6">
        <v>1.8451</v>
      </c>
      <c r="I3447" s="6">
        <v>70.000315913089707</v>
      </c>
      <c r="J3447" s="3" t="s">
        <v>3356</v>
      </c>
      <c r="L3447" s="1" t="s">
        <v>6135</v>
      </c>
    </row>
    <row r="3448" spans="1:12">
      <c r="A3448" s="3" t="s">
        <v>7297</v>
      </c>
      <c r="C3448" s="3" t="s">
        <v>3817</v>
      </c>
      <c r="D3448" s="3" t="s">
        <v>3618</v>
      </c>
      <c r="E3448" s="3" t="s">
        <v>4007</v>
      </c>
      <c r="F3448" s="3" t="s">
        <v>6383</v>
      </c>
      <c r="G3448" s="3" t="s">
        <v>3789</v>
      </c>
      <c r="H3448" s="6">
        <v>2.4273199999999999</v>
      </c>
      <c r="I3448" s="6">
        <v>267.49766783555731</v>
      </c>
      <c r="J3448" s="3" t="s">
        <v>3356</v>
      </c>
      <c r="L3448" s="1" t="s">
        <v>6135</v>
      </c>
    </row>
    <row r="3449" spans="1:12">
      <c r="A3449" s="3" t="s">
        <v>7297</v>
      </c>
      <c r="C3449" s="3" t="s">
        <v>3817</v>
      </c>
      <c r="D3449" s="3" t="s">
        <v>3618</v>
      </c>
      <c r="E3449" s="3" t="s">
        <v>4007</v>
      </c>
      <c r="F3449" s="3" t="s">
        <v>6383</v>
      </c>
      <c r="G3449" s="3" t="s">
        <v>5301</v>
      </c>
      <c r="H3449" s="6">
        <v>1.8603400000000001</v>
      </c>
      <c r="I3449" s="6">
        <v>72.500332778657508</v>
      </c>
      <c r="J3449" s="3" t="s">
        <v>3356</v>
      </c>
      <c r="L3449" s="1" t="s">
        <v>6135</v>
      </c>
    </row>
    <row r="3450" spans="1:12">
      <c r="A3450" s="3" t="s">
        <v>7297</v>
      </c>
      <c r="C3450" s="3" t="s">
        <v>3817</v>
      </c>
      <c r="D3450" s="3" t="s">
        <v>3618</v>
      </c>
      <c r="E3450" s="3" t="s">
        <v>4007</v>
      </c>
      <c r="F3450" s="3" t="s">
        <v>8072</v>
      </c>
      <c r="G3450" s="3" t="s">
        <v>3176</v>
      </c>
      <c r="H3450" s="6">
        <v>1.81291</v>
      </c>
      <c r="I3450" s="6">
        <v>64.999497619814377</v>
      </c>
      <c r="J3450" s="3" t="s">
        <v>3356</v>
      </c>
      <c r="L3450" s="1" t="s">
        <v>6135</v>
      </c>
    </row>
    <row r="3451" spans="1:12">
      <c r="A3451" s="3" t="s">
        <v>7297</v>
      </c>
      <c r="C3451" s="3" t="s">
        <v>3817</v>
      </c>
      <c r="D3451" s="3" t="s">
        <v>3618</v>
      </c>
      <c r="E3451" s="3" t="s">
        <v>3177</v>
      </c>
      <c r="F3451" s="3" t="s">
        <v>7238</v>
      </c>
      <c r="G3451" s="3" t="s">
        <v>7239</v>
      </c>
      <c r="H3451" s="6">
        <v>4.7955300000000003</v>
      </c>
      <c r="I3451" s="6">
        <v>62449.648747966079</v>
      </c>
      <c r="J3451" s="3" t="s">
        <v>3356</v>
      </c>
      <c r="L3451" s="1" t="s">
        <v>6135</v>
      </c>
    </row>
    <row r="3452" spans="1:12">
      <c r="A3452" s="3" t="s">
        <v>7297</v>
      </c>
      <c r="C3452" s="3" t="s">
        <v>3817</v>
      </c>
      <c r="D3452" s="3" t="s">
        <v>3618</v>
      </c>
      <c r="E3452" s="3" t="s">
        <v>3638</v>
      </c>
      <c r="F3452" s="3" t="s">
        <v>4777</v>
      </c>
      <c r="G3452" s="3" t="s">
        <v>4778</v>
      </c>
      <c r="H3452" s="6">
        <v>1.7993399999999999</v>
      </c>
      <c r="I3452" s="6">
        <v>62.999920294741955</v>
      </c>
      <c r="J3452" s="3" t="s">
        <v>3356</v>
      </c>
      <c r="L3452" s="1" t="s">
        <v>6135</v>
      </c>
    </row>
    <row r="3453" spans="1:12">
      <c r="A3453" s="3" t="s">
        <v>7297</v>
      </c>
      <c r="C3453" s="3" t="s">
        <v>3817</v>
      </c>
      <c r="D3453" s="3" t="s">
        <v>3618</v>
      </c>
      <c r="E3453" s="3" t="s">
        <v>3638</v>
      </c>
      <c r="F3453" s="3" t="s">
        <v>7228</v>
      </c>
      <c r="G3453" s="3" t="s">
        <v>5000</v>
      </c>
      <c r="H3453" s="6">
        <v>1.6946099999999999</v>
      </c>
      <c r="I3453" s="6">
        <v>49.500547218792484</v>
      </c>
      <c r="J3453" s="3" t="s">
        <v>3356</v>
      </c>
      <c r="L3453" s="1" t="s">
        <v>6135</v>
      </c>
    </row>
    <row r="3454" spans="1:12">
      <c r="A3454" s="3" t="s">
        <v>7297</v>
      </c>
      <c r="C3454" s="3" t="s">
        <v>3817</v>
      </c>
      <c r="D3454" s="3" t="s">
        <v>3618</v>
      </c>
      <c r="E3454" s="3" t="s">
        <v>3638</v>
      </c>
      <c r="F3454" s="3" t="s">
        <v>7228</v>
      </c>
      <c r="G3454" s="3" t="s">
        <v>7213</v>
      </c>
      <c r="H3454" s="6">
        <v>1.5682</v>
      </c>
      <c r="I3454" s="6">
        <v>36.99985311728598</v>
      </c>
      <c r="J3454" s="3" t="s">
        <v>3356</v>
      </c>
      <c r="L3454" s="1" t="s">
        <v>6135</v>
      </c>
    </row>
    <row r="3455" spans="1:12">
      <c r="A3455" s="3" t="s">
        <v>7297</v>
      </c>
      <c r="C3455" s="3" t="s">
        <v>3817</v>
      </c>
      <c r="D3455" s="3" t="s">
        <v>3618</v>
      </c>
      <c r="E3455" s="3" t="s">
        <v>3638</v>
      </c>
      <c r="F3455" s="3" t="s">
        <v>7214</v>
      </c>
      <c r="G3455" s="3" t="s">
        <v>7452</v>
      </c>
      <c r="H3455" s="6">
        <v>1.7781499999999999</v>
      </c>
      <c r="I3455" s="6">
        <v>59.999827253364401</v>
      </c>
      <c r="J3455" s="3" t="s">
        <v>3356</v>
      </c>
      <c r="L3455" s="1" t="s">
        <v>6135</v>
      </c>
    </row>
    <row r="3456" spans="1:12">
      <c r="A3456" s="3" t="s">
        <v>7297</v>
      </c>
      <c r="C3456" s="3" t="s">
        <v>3817</v>
      </c>
      <c r="D3456" s="3" t="s">
        <v>3618</v>
      </c>
      <c r="E3456" s="3" t="s">
        <v>3638</v>
      </c>
      <c r="F3456" s="3" t="s">
        <v>7214</v>
      </c>
      <c r="G3456" s="3" t="s">
        <v>7453</v>
      </c>
      <c r="H3456" s="6">
        <v>1.3962000000000001</v>
      </c>
      <c r="I3456" s="6">
        <v>24.900037433882002</v>
      </c>
      <c r="J3456" s="3" t="s">
        <v>3356</v>
      </c>
      <c r="L3456" s="1" t="s">
        <v>6135</v>
      </c>
    </row>
    <row r="3457" spans="1:12">
      <c r="A3457" s="3" t="s">
        <v>7297</v>
      </c>
      <c r="C3457" s="3" t="s">
        <v>3817</v>
      </c>
      <c r="D3457" s="3" t="s">
        <v>3618</v>
      </c>
      <c r="E3457" s="3" t="s">
        <v>3638</v>
      </c>
      <c r="F3457" s="3" t="s">
        <v>7214</v>
      </c>
      <c r="G3457" s="3" t="s">
        <v>4303</v>
      </c>
      <c r="H3457" s="6">
        <v>1.33846</v>
      </c>
      <c r="I3457" s="6">
        <v>21.800176008978656</v>
      </c>
      <c r="J3457" s="3" t="s">
        <v>3356</v>
      </c>
      <c r="L3457" s="1" t="s">
        <v>6135</v>
      </c>
    </row>
    <row r="3458" spans="1:12">
      <c r="A3458" s="3" t="s">
        <v>7297</v>
      </c>
      <c r="C3458" s="3" t="s">
        <v>3817</v>
      </c>
      <c r="D3458" s="3" t="s">
        <v>3618</v>
      </c>
      <c r="E3458" s="3" t="s">
        <v>3638</v>
      </c>
      <c r="F3458" s="3" t="s">
        <v>7214</v>
      </c>
      <c r="G3458" s="3" t="s">
        <v>6812</v>
      </c>
      <c r="H3458" s="6">
        <v>1.39794</v>
      </c>
      <c r="I3458" s="6">
        <v>24.999999500797397</v>
      </c>
      <c r="J3458" s="3" t="s">
        <v>3356</v>
      </c>
      <c r="L3458" s="1" t="s">
        <v>6135</v>
      </c>
    </row>
    <row r="3459" spans="1:12">
      <c r="A3459" s="3" t="s">
        <v>7297</v>
      </c>
      <c r="C3459" s="3" t="s">
        <v>3817</v>
      </c>
      <c r="D3459" s="3" t="s">
        <v>3618</v>
      </c>
      <c r="E3459" s="3" t="s">
        <v>3638</v>
      </c>
      <c r="F3459" s="3" t="s">
        <v>7214</v>
      </c>
      <c r="G3459" s="3" t="s">
        <v>4304</v>
      </c>
      <c r="H3459" s="6">
        <v>1.1139399999999999</v>
      </c>
      <c r="I3459" s="6">
        <v>12.999899653754545</v>
      </c>
      <c r="J3459" s="3" t="s">
        <v>3356</v>
      </c>
      <c r="L3459" s="1" t="s">
        <v>6135</v>
      </c>
    </row>
    <row r="3460" spans="1:12">
      <c r="A3460" s="3" t="s">
        <v>7297</v>
      </c>
      <c r="C3460" s="3" t="s">
        <v>3817</v>
      </c>
      <c r="D3460" s="3" t="s">
        <v>3618</v>
      </c>
      <c r="E3460" s="3" t="s">
        <v>3638</v>
      </c>
      <c r="F3460" s="3" t="s">
        <v>7214</v>
      </c>
      <c r="G3460" s="3" t="s">
        <v>7496</v>
      </c>
      <c r="H3460" s="6">
        <v>1.43933</v>
      </c>
      <c r="I3460" s="6">
        <v>27.499829424260373</v>
      </c>
      <c r="J3460" s="3" t="s">
        <v>3356</v>
      </c>
      <c r="L3460" s="1" t="s">
        <v>6135</v>
      </c>
    </row>
    <row r="3461" spans="1:12">
      <c r="A3461" s="3" t="s">
        <v>7297</v>
      </c>
      <c r="C3461" s="3" t="s">
        <v>3817</v>
      </c>
      <c r="D3461" s="3" t="s">
        <v>3618</v>
      </c>
      <c r="E3461" s="3" t="s">
        <v>3638</v>
      </c>
      <c r="F3461" s="3" t="s">
        <v>7214</v>
      </c>
      <c r="G3461" s="3" t="s">
        <v>3622</v>
      </c>
      <c r="H3461" s="6">
        <v>1.4297500000000001</v>
      </c>
      <c r="I3461" s="6">
        <v>26.899858778072637</v>
      </c>
      <c r="J3461" s="3" t="s">
        <v>3356</v>
      </c>
      <c r="L3461" s="1" t="s">
        <v>6135</v>
      </c>
    </row>
    <row r="3462" spans="1:12">
      <c r="A3462" s="3" t="s">
        <v>7297</v>
      </c>
      <c r="C3462" s="3" t="s">
        <v>3817</v>
      </c>
      <c r="D3462" s="3" t="s">
        <v>3618</v>
      </c>
      <c r="E3462" s="3" t="s">
        <v>3638</v>
      </c>
      <c r="F3462" s="3" t="s">
        <v>7214</v>
      </c>
      <c r="G3462" s="3" t="s">
        <v>3407</v>
      </c>
      <c r="H3462" s="6">
        <v>1.60043</v>
      </c>
      <c r="I3462" s="6">
        <v>39.850153627793972</v>
      </c>
      <c r="J3462" s="3" t="s">
        <v>3356</v>
      </c>
      <c r="L3462" s="1" t="s">
        <v>6135</v>
      </c>
    </row>
    <row r="3463" spans="1:12">
      <c r="A3463" s="3" t="s">
        <v>7297</v>
      </c>
      <c r="C3463" s="3" t="s">
        <v>3817</v>
      </c>
      <c r="D3463" s="3" t="s">
        <v>3618</v>
      </c>
      <c r="E3463" s="3" t="s">
        <v>3638</v>
      </c>
      <c r="F3463" s="3" t="s">
        <v>7214</v>
      </c>
      <c r="G3463" s="3" t="s">
        <v>4634</v>
      </c>
      <c r="H3463" s="6">
        <v>1.5118799999999999</v>
      </c>
      <c r="I3463" s="6">
        <v>32.499748485427979</v>
      </c>
      <c r="J3463" s="3" t="s">
        <v>3356</v>
      </c>
      <c r="L3463" s="1" t="s">
        <v>6135</v>
      </c>
    </row>
    <row r="3464" spans="1:12">
      <c r="A3464" s="3" t="s">
        <v>7297</v>
      </c>
      <c r="C3464" s="3" t="s">
        <v>3817</v>
      </c>
      <c r="D3464" s="3" t="s">
        <v>3618</v>
      </c>
      <c r="E3464" s="3" t="s">
        <v>3638</v>
      </c>
      <c r="F3464" s="3" t="s">
        <v>7214</v>
      </c>
      <c r="G3464" s="3" t="s">
        <v>3406</v>
      </c>
      <c r="H3464" s="6">
        <v>1.70329</v>
      </c>
      <c r="I3464" s="6">
        <v>50.499839751862218</v>
      </c>
      <c r="J3464" s="3" t="s">
        <v>3356</v>
      </c>
      <c r="L3464" s="1" t="s">
        <v>6135</v>
      </c>
    </row>
    <row r="3465" spans="1:12">
      <c r="A3465" s="3" t="s">
        <v>7297</v>
      </c>
      <c r="C3465" s="3" t="s">
        <v>3817</v>
      </c>
      <c r="D3465" s="3" t="s">
        <v>3618</v>
      </c>
      <c r="E3465" s="3" t="s">
        <v>3638</v>
      </c>
      <c r="F3465" s="3" t="s">
        <v>7214</v>
      </c>
      <c r="G3465" s="3" t="s">
        <v>2046</v>
      </c>
      <c r="H3465" s="6">
        <v>1.3560300000000001</v>
      </c>
      <c r="I3465" s="6">
        <v>22.700216540086465</v>
      </c>
      <c r="J3465" s="3" t="s">
        <v>3356</v>
      </c>
      <c r="L3465" s="1" t="s">
        <v>6135</v>
      </c>
    </row>
    <row r="3466" spans="1:12">
      <c r="A3466" s="3" t="s">
        <v>7297</v>
      </c>
      <c r="C3466" s="3" t="s">
        <v>3817</v>
      </c>
      <c r="D3466" s="3" t="s">
        <v>3618</v>
      </c>
      <c r="E3466" s="3" t="s">
        <v>3638</v>
      </c>
      <c r="F3466" s="3" t="s">
        <v>7214</v>
      </c>
      <c r="G3466" s="3" t="s">
        <v>4152</v>
      </c>
      <c r="H3466" s="6">
        <v>1.67943</v>
      </c>
      <c r="I3466" s="6">
        <v>47.800231506934551</v>
      </c>
      <c r="J3466" s="3" t="s">
        <v>3356</v>
      </c>
      <c r="L3466" s="1" t="s">
        <v>6135</v>
      </c>
    </row>
    <row r="3467" spans="1:12">
      <c r="A3467" s="3" t="s">
        <v>7297</v>
      </c>
      <c r="C3467" s="3" t="s">
        <v>3817</v>
      </c>
      <c r="D3467" s="3" t="s">
        <v>3618</v>
      </c>
      <c r="E3467" s="3" t="s">
        <v>3638</v>
      </c>
      <c r="F3467" s="3" t="s">
        <v>7214</v>
      </c>
      <c r="G3467" s="3" t="s">
        <v>4153</v>
      </c>
      <c r="H3467" s="6">
        <v>1.4578800000000001</v>
      </c>
      <c r="I3467" s="6">
        <v>28.699874656140086</v>
      </c>
      <c r="J3467" s="3" t="s">
        <v>3356</v>
      </c>
      <c r="L3467" s="1" t="s">
        <v>6135</v>
      </c>
    </row>
    <row r="3468" spans="1:12">
      <c r="A3468" s="3" t="s">
        <v>7297</v>
      </c>
      <c r="C3468" s="3" t="s">
        <v>3817</v>
      </c>
      <c r="D3468" s="3" t="s">
        <v>3618</v>
      </c>
      <c r="E3468" s="3" t="s">
        <v>3638</v>
      </c>
      <c r="F3468" s="3" t="s">
        <v>7214</v>
      </c>
      <c r="G3468" s="3" t="s">
        <v>6513</v>
      </c>
      <c r="H3468" s="6">
        <v>1.5910599999999999</v>
      </c>
      <c r="I3468" s="6">
        <v>38.999586287443293</v>
      </c>
      <c r="J3468" s="3" t="s">
        <v>3356</v>
      </c>
      <c r="L3468" s="1" t="s">
        <v>6135</v>
      </c>
    </row>
    <row r="3469" spans="1:12">
      <c r="A3469" s="3" t="s">
        <v>7297</v>
      </c>
      <c r="C3469" s="3" t="s">
        <v>3817</v>
      </c>
      <c r="D3469" s="3" t="s">
        <v>3618</v>
      </c>
      <c r="E3469" s="3" t="s">
        <v>3638</v>
      </c>
      <c r="F3469" s="3" t="s">
        <v>7214</v>
      </c>
      <c r="G3469" s="3" t="s">
        <v>3617</v>
      </c>
      <c r="H3469" s="6">
        <v>1.4216</v>
      </c>
      <c r="I3469" s="6">
        <v>26.39976129354811</v>
      </c>
      <c r="J3469" s="3" t="s">
        <v>3356</v>
      </c>
      <c r="L3469" s="1" t="s">
        <v>6135</v>
      </c>
    </row>
    <row r="3470" spans="1:12">
      <c r="A3470" s="3" t="s">
        <v>7297</v>
      </c>
      <c r="C3470" s="3" t="s">
        <v>3817</v>
      </c>
      <c r="D3470" s="3" t="s">
        <v>3618</v>
      </c>
      <c r="E3470" s="3" t="s">
        <v>3638</v>
      </c>
      <c r="F3470" s="3" t="s">
        <v>7214</v>
      </c>
      <c r="G3470" s="3" t="s">
        <v>3401</v>
      </c>
      <c r="H3470" s="6">
        <v>1.4698199999999999</v>
      </c>
      <c r="I3470" s="6">
        <v>29.499863062460488</v>
      </c>
      <c r="J3470" s="3" t="s">
        <v>3356</v>
      </c>
      <c r="L3470" s="1" t="s">
        <v>6135</v>
      </c>
    </row>
    <row r="3471" spans="1:12">
      <c r="A3471" s="3" t="s">
        <v>7297</v>
      </c>
      <c r="C3471" s="3" t="s">
        <v>3817</v>
      </c>
      <c r="D3471" s="3" t="s">
        <v>3618</v>
      </c>
      <c r="E3471" s="3" t="s">
        <v>3638</v>
      </c>
      <c r="F3471" s="3" t="s">
        <v>7214</v>
      </c>
      <c r="G3471" s="3" t="s">
        <v>3426</v>
      </c>
      <c r="H3471" s="6">
        <v>1.5118799999999999</v>
      </c>
      <c r="I3471" s="6">
        <v>32.499748485427979</v>
      </c>
      <c r="J3471" s="3" t="s">
        <v>3356</v>
      </c>
      <c r="L3471" s="1" t="s">
        <v>6135</v>
      </c>
    </row>
    <row r="3472" spans="1:12">
      <c r="A3472" s="3" t="s">
        <v>7297</v>
      </c>
      <c r="C3472" s="3" t="s">
        <v>3817</v>
      </c>
      <c r="D3472" s="3" t="s">
        <v>3618</v>
      </c>
      <c r="E3472" s="3" t="s">
        <v>3638</v>
      </c>
      <c r="F3472" s="3" t="s">
        <v>7214</v>
      </c>
      <c r="G3472" s="3" t="s">
        <v>3897</v>
      </c>
      <c r="H3472" s="6">
        <v>1.5910599999999999</v>
      </c>
      <c r="I3472" s="6">
        <v>38.999586287443293</v>
      </c>
      <c r="J3472" s="3" t="s">
        <v>3356</v>
      </c>
      <c r="L3472" s="1" t="s">
        <v>6135</v>
      </c>
    </row>
    <row r="3473" spans="1:12">
      <c r="A3473" s="3" t="s">
        <v>7297</v>
      </c>
      <c r="C3473" s="3" t="s">
        <v>3817</v>
      </c>
      <c r="D3473" s="3" t="s">
        <v>3618</v>
      </c>
      <c r="E3473" s="3" t="s">
        <v>3638</v>
      </c>
      <c r="F3473" s="3" t="s">
        <v>7214</v>
      </c>
      <c r="G3473" s="3" t="s">
        <v>7226</v>
      </c>
      <c r="H3473" s="6">
        <v>1.4216</v>
      </c>
      <c r="I3473" s="6">
        <v>26.39976129354811</v>
      </c>
      <c r="J3473" s="3" t="s">
        <v>3356</v>
      </c>
      <c r="L3473" s="1" t="s">
        <v>6135</v>
      </c>
    </row>
    <row r="3474" spans="1:12">
      <c r="A3474" s="3" t="s">
        <v>7297</v>
      </c>
      <c r="C3474" s="3" t="s">
        <v>3817</v>
      </c>
      <c r="D3474" s="3" t="s">
        <v>3618</v>
      </c>
      <c r="E3474" s="3" t="s">
        <v>3638</v>
      </c>
      <c r="F3474" s="3" t="s">
        <v>7214</v>
      </c>
      <c r="G3474" s="3" t="s">
        <v>3450</v>
      </c>
      <c r="H3474" s="6">
        <v>1.5746100000000001</v>
      </c>
      <c r="I3474" s="6">
        <v>37.55000507184922</v>
      </c>
      <c r="J3474" s="3" t="s">
        <v>3356</v>
      </c>
      <c r="L3474" s="1" t="s">
        <v>6135</v>
      </c>
    </row>
    <row r="3475" spans="1:12">
      <c r="A3475" s="3" t="s">
        <v>7297</v>
      </c>
      <c r="C3475" s="3" t="s">
        <v>3817</v>
      </c>
      <c r="D3475" s="3" t="s">
        <v>3618</v>
      </c>
      <c r="E3475" s="3" t="s">
        <v>3638</v>
      </c>
      <c r="F3475" s="3" t="s">
        <v>7214</v>
      </c>
      <c r="G3475" s="3" t="s">
        <v>6672</v>
      </c>
      <c r="H3475" s="6">
        <v>1.5910599999999999</v>
      </c>
      <c r="I3475" s="6">
        <v>38.999586287443293</v>
      </c>
      <c r="J3475" s="3" t="s">
        <v>3356</v>
      </c>
      <c r="L3475" s="1" t="s">
        <v>6135</v>
      </c>
    </row>
    <row r="3476" spans="1:12">
      <c r="A3476" s="3" t="s">
        <v>7297</v>
      </c>
      <c r="C3476" s="3" t="s">
        <v>3817</v>
      </c>
      <c r="D3476" s="3" t="s">
        <v>3618</v>
      </c>
      <c r="E3476" s="3" t="s">
        <v>3638</v>
      </c>
      <c r="F3476" s="3" t="s">
        <v>7214</v>
      </c>
      <c r="G3476" s="3" t="s">
        <v>6673</v>
      </c>
      <c r="H3476" s="6">
        <v>1.3802099999999999</v>
      </c>
      <c r="I3476" s="6">
        <v>23.999931380578893</v>
      </c>
      <c r="J3476" s="3" t="s">
        <v>3356</v>
      </c>
      <c r="L3476" s="1" t="s">
        <v>6135</v>
      </c>
    </row>
    <row r="3477" spans="1:12">
      <c r="A3477" s="3" t="s">
        <v>7297</v>
      </c>
      <c r="C3477" s="3" t="s">
        <v>3817</v>
      </c>
      <c r="D3477" s="3" t="s">
        <v>3618</v>
      </c>
      <c r="E3477" s="3" t="s">
        <v>3638</v>
      </c>
      <c r="F3477" s="3" t="s">
        <v>7214</v>
      </c>
      <c r="G3477" s="3" t="s">
        <v>6674</v>
      </c>
      <c r="H3477" s="6">
        <v>1.51851</v>
      </c>
      <c r="I3477" s="6">
        <v>32.999700628522916</v>
      </c>
      <c r="J3477" s="3" t="s">
        <v>3356</v>
      </c>
      <c r="L3477" s="1" t="s">
        <v>6135</v>
      </c>
    </row>
    <row r="3478" spans="1:12">
      <c r="A3478" s="3" t="s">
        <v>7297</v>
      </c>
      <c r="C3478" s="3" t="s">
        <v>3817</v>
      </c>
      <c r="D3478" s="3" t="s">
        <v>3618</v>
      </c>
      <c r="E3478" s="3" t="s">
        <v>3638</v>
      </c>
      <c r="F3478" s="3" t="s">
        <v>7214</v>
      </c>
      <c r="G3478" s="3" t="s">
        <v>6675</v>
      </c>
      <c r="H3478" s="6">
        <v>1.4828699999999999</v>
      </c>
      <c r="I3478" s="6">
        <v>30.399749153486447</v>
      </c>
      <c r="J3478" s="3" t="s">
        <v>3356</v>
      </c>
      <c r="L3478" s="1" t="s">
        <v>6135</v>
      </c>
    </row>
    <row r="3479" spans="1:12">
      <c r="A3479" s="3" t="s">
        <v>7297</v>
      </c>
      <c r="C3479" s="3" t="s">
        <v>3817</v>
      </c>
      <c r="D3479" s="3" t="s">
        <v>3618</v>
      </c>
      <c r="E3479" s="3" t="s">
        <v>3638</v>
      </c>
      <c r="F3479" s="3" t="s">
        <v>7214</v>
      </c>
      <c r="G3479" s="3" t="s">
        <v>6676</v>
      </c>
      <c r="H3479" s="6">
        <v>1.62737</v>
      </c>
      <c r="I3479" s="6">
        <v>42.400404521156752</v>
      </c>
      <c r="J3479" s="3" t="s">
        <v>3356</v>
      </c>
      <c r="L3479" s="1" t="s">
        <v>6135</v>
      </c>
    </row>
    <row r="3480" spans="1:12">
      <c r="A3480" s="3" t="s">
        <v>7297</v>
      </c>
      <c r="C3480" s="3" t="s">
        <v>3817</v>
      </c>
      <c r="D3480" s="3" t="s">
        <v>3618</v>
      </c>
      <c r="E3480" s="3" t="s">
        <v>3638</v>
      </c>
      <c r="F3480" s="3" t="s">
        <v>7214</v>
      </c>
      <c r="G3480" s="3" t="s">
        <v>6677</v>
      </c>
      <c r="H3480" s="6">
        <v>1.2988500000000001</v>
      </c>
      <c r="I3480" s="6">
        <v>19.899859034966191</v>
      </c>
      <c r="J3480" s="3" t="s">
        <v>3356</v>
      </c>
      <c r="L3480" s="1" t="s">
        <v>6135</v>
      </c>
    </row>
    <row r="3481" spans="1:12">
      <c r="A3481" s="3" t="s">
        <v>7297</v>
      </c>
      <c r="C3481" s="3" t="s">
        <v>3817</v>
      </c>
      <c r="D3481" s="3" t="s">
        <v>3618</v>
      </c>
      <c r="E3481" s="3" t="s">
        <v>3638</v>
      </c>
      <c r="F3481" s="3" t="s">
        <v>7214</v>
      </c>
      <c r="G3481" s="3" t="s">
        <v>2443</v>
      </c>
      <c r="H3481" s="6">
        <v>1.43136</v>
      </c>
      <c r="I3481" s="6">
        <v>26.999765984012107</v>
      </c>
      <c r="J3481" s="3" t="s">
        <v>3356</v>
      </c>
      <c r="L3481" s="1" t="s">
        <v>6135</v>
      </c>
    </row>
    <row r="3482" spans="1:12">
      <c r="A3482" s="3" t="s">
        <v>7297</v>
      </c>
      <c r="C3482" s="3" t="s">
        <v>3817</v>
      </c>
      <c r="D3482" s="3" t="s">
        <v>3618</v>
      </c>
      <c r="E3482" s="3" t="s">
        <v>3638</v>
      </c>
      <c r="F3482" s="3" t="s">
        <v>7214</v>
      </c>
      <c r="G3482" s="3" t="s">
        <v>4493</v>
      </c>
      <c r="H3482" s="6">
        <v>1.5910599999999999</v>
      </c>
      <c r="I3482" s="6">
        <v>38.999586287443293</v>
      </c>
      <c r="J3482" s="3" t="s">
        <v>3356</v>
      </c>
      <c r="L3482" s="1" t="s">
        <v>6135</v>
      </c>
    </row>
    <row r="3483" spans="1:12">
      <c r="A3483" s="3" t="s">
        <v>7297</v>
      </c>
      <c r="C3483" s="3" t="s">
        <v>3817</v>
      </c>
      <c r="D3483" s="3" t="s">
        <v>3618</v>
      </c>
      <c r="E3483" s="3" t="s">
        <v>3638</v>
      </c>
      <c r="F3483" s="3" t="s">
        <v>7214</v>
      </c>
      <c r="G3483" s="3" t="s">
        <v>4494</v>
      </c>
      <c r="H3483" s="6">
        <v>1.3159700000000001</v>
      </c>
      <c r="I3483" s="6">
        <v>20.699983534316814</v>
      </c>
      <c r="J3483" s="3" t="s">
        <v>3356</v>
      </c>
      <c r="L3483" s="1" t="s">
        <v>6135</v>
      </c>
    </row>
    <row r="3484" spans="1:12">
      <c r="A3484" s="3" t="s">
        <v>7297</v>
      </c>
      <c r="C3484" s="3" t="s">
        <v>3817</v>
      </c>
      <c r="D3484" s="3" t="s">
        <v>3618</v>
      </c>
      <c r="E3484" s="3" t="s">
        <v>3638</v>
      </c>
      <c r="F3484" s="3" t="s">
        <v>7214</v>
      </c>
      <c r="G3484" s="3" t="s">
        <v>4300</v>
      </c>
      <c r="H3484" s="6">
        <v>1.3927</v>
      </c>
      <c r="I3484" s="6">
        <v>24.700173280466064</v>
      </c>
      <c r="J3484" s="3" t="s">
        <v>3356</v>
      </c>
      <c r="L3484" s="1" t="s">
        <v>6135</v>
      </c>
    </row>
    <row r="3485" spans="1:12">
      <c r="A3485" s="3" t="s">
        <v>7297</v>
      </c>
      <c r="C3485" s="3" t="s">
        <v>3817</v>
      </c>
      <c r="D3485" s="3" t="s">
        <v>3618</v>
      </c>
      <c r="E3485" s="3" t="s">
        <v>3638</v>
      </c>
      <c r="F3485" s="3" t="s">
        <v>7214</v>
      </c>
      <c r="G3485" s="3" t="s">
        <v>3851</v>
      </c>
      <c r="H3485" s="6">
        <v>1.4329700000000001</v>
      </c>
      <c r="I3485" s="6">
        <v>27.100044249512944</v>
      </c>
      <c r="J3485" s="3" t="s">
        <v>3356</v>
      </c>
      <c r="L3485" s="1" t="s">
        <v>6135</v>
      </c>
    </row>
    <row r="3486" spans="1:12">
      <c r="A3486" s="3" t="s">
        <v>7297</v>
      </c>
      <c r="C3486" s="3" t="s">
        <v>3817</v>
      </c>
      <c r="D3486" s="3" t="s">
        <v>3618</v>
      </c>
      <c r="E3486" s="3" t="s">
        <v>3638</v>
      </c>
      <c r="F3486" s="3" t="s">
        <v>7214</v>
      </c>
      <c r="G3486" s="3" t="s">
        <v>3852</v>
      </c>
      <c r="H3486" s="6">
        <v>1.4517899999999999</v>
      </c>
      <c r="I3486" s="6">
        <v>28.300232273447531</v>
      </c>
      <c r="J3486" s="3" t="s">
        <v>3356</v>
      </c>
      <c r="L3486" s="1" t="s">
        <v>6135</v>
      </c>
    </row>
    <row r="3487" spans="1:12">
      <c r="A3487" s="3" t="s">
        <v>7297</v>
      </c>
      <c r="C3487" s="3" t="s">
        <v>3817</v>
      </c>
      <c r="D3487" s="3" t="s">
        <v>3618</v>
      </c>
      <c r="E3487" s="3" t="s">
        <v>3638</v>
      </c>
      <c r="F3487" s="3" t="s">
        <v>7214</v>
      </c>
      <c r="G3487" s="3" t="s">
        <v>3853</v>
      </c>
      <c r="H3487" s="6">
        <v>1.53908</v>
      </c>
      <c r="I3487" s="6">
        <v>34.600310808407244</v>
      </c>
      <c r="J3487" s="3" t="s">
        <v>3356</v>
      </c>
      <c r="L3487" s="1" t="s">
        <v>6135</v>
      </c>
    </row>
    <row r="3488" spans="1:12">
      <c r="A3488" s="3" t="s">
        <v>7297</v>
      </c>
      <c r="C3488" s="3" t="s">
        <v>3817</v>
      </c>
      <c r="D3488" s="3" t="s">
        <v>3618</v>
      </c>
      <c r="E3488" s="3" t="s">
        <v>3638</v>
      </c>
      <c r="F3488" s="3" t="s">
        <v>7214</v>
      </c>
      <c r="G3488" s="3" t="s">
        <v>3854</v>
      </c>
      <c r="H3488" s="6">
        <v>1.62839</v>
      </c>
      <c r="I3488" s="6">
        <v>42.500104705262615</v>
      </c>
      <c r="J3488" s="3" t="s">
        <v>3356</v>
      </c>
      <c r="L3488" s="1" t="s">
        <v>6135</v>
      </c>
    </row>
    <row r="3489" spans="1:12">
      <c r="A3489" s="3" t="s">
        <v>7297</v>
      </c>
      <c r="C3489" s="3" t="s">
        <v>3817</v>
      </c>
      <c r="D3489" s="3" t="s">
        <v>3618</v>
      </c>
      <c r="E3489" s="3" t="s">
        <v>3638</v>
      </c>
      <c r="F3489" s="3" t="s">
        <v>7214</v>
      </c>
      <c r="G3489" s="3" t="s">
        <v>3855</v>
      </c>
      <c r="H3489" s="6">
        <v>1.4563699999999999</v>
      </c>
      <c r="I3489" s="6">
        <v>28.600261235249917</v>
      </c>
      <c r="J3489" s="3" t="s">
        <v>3356</v>
      </c>
      <c r="L3489" s="1" t="s">
        <v>6135</v>
      </c>
    </row>
    <row r="3490" spans="1:12">
      <c r="A3490" s="3" t="s">
        <v>7297</v>
      </c>
      <c r="C3490" s="3" t="s">
        <v>3817</v>
      </c>
      <c r="D3490" s="3" t="s">
        <v>3618</v>
      </c>
      <c r="E3490" s="3" t="s">
        <v>3638</v>
      </c>
      <c r="F3490" s="3" t="s">
        <v>7214</v>
      </c>
      <c r="G3490" s="3" t="s">
        <v>3856</v>
      </c>
      <c r="H3490" s="6">
        <v>1.4828699999999999</v>
      </c>
      <c r="I3490" s="6">
        <v>30.399749153486447</v>
      </c>
      <c r="J3490" s="3" t="s">
        <v>3356</v>
      </c>
      <c r="L3490" s="1" t="s">
        <v>6135</v>
      </c>
    </row>
    <row r="3491" spans="1:12">
      <c r="A3491" s="3" t="s">
        <v>7297</v>
      </c>
      <c r="C3491" s="3" t="s">
        <v>3817</v>
      </c>
      <c r="D3491" s="3" t="s">
        <v>3618</v>
      </c>
      <c r="E3491" s="3" t="s">
        <v>3638</v>
      </c>
      <c r="F3491" s="3" t="s">
        <v>7214</v>
      </c>
      <c r="G3491" s="3" t="s">
        <v>3857</v>
      </c>
      <c r="H3491" s="6">
        <v>1.5910599999999999</v>
      </c>
      <c r="I3491" s="6">
        <v>38.999586287443293</v>
      </c>
      <c r="J3491" s="3" t="s">
        <v>3356</v>
      </c>
      <c r="L3491" s="1" t="s">
        <v>6135</v>
      </c>
    </row>
    <row r="3492" spans="1:12">
      <c r="A3492" s="3" t="s">
        <v>7297</v>
      </c>
      <c r="C3492" s="3" t="s">
        <v>3817</v>
      </c>
      <c r="D3492" s="3" t="s">
        <v>3618</v>
      </c>
      <c r="E3492" s="3" t="s">
        <v>3638</v>
      </c>
      <c r="F3492" s="3" t="s">
        <v>7214</v>
      </c>
      <c r="G3492" s="3" t="s">
        <v>8026</v>
      </c>
      <c r="H3492" s="6">
        <v>1.5910599999999999</v>
      </c>
      <c r="I3492" s="6">
        <v>38.999586287443293</v>
      </c>
      <c r="J3492" s="3" t="s">
        <v>3356</v>
      </c>
      <c r="L3492" s="1" t="s">
        <v>6135</v>
      </c>
    </row>
    <row r="3493" spans="1:12">
      <c r="A3493" s="3" t="s">
        <v>7297</v>
      </c>
      <c r="C3493" s="3" t="s">
        <v>3817</v>
      </c>
      <c r="D3493" s="3" t="s">
        <v>3618</v>
      </c>
      <c r="E3493" s="3" t="s">
        <v>3638</v>
      </c>
      <c r="F3493" s="3" t="s">
        <v>7214</v>
      </c>
      <c r="G3493" s="3" t="s">
        <v>3858</v>
      </c>
      <c r="H3493" s="6">
        <v>1.7092700000000001</v>
      </c>
      <c r="I3493" s="6">
        <v>51.200004600651511</v>
      </c>
      <c r="J3493" s="3" t="s">
        <v>3356</v>
      </c>
      <c r="L3493" s="1" t="s">
        <v>6135</v>
      </c>
    </row>
    <row r="3494" spans="1:12">
      <c r="A3494" s="3" t="s">
        <v>7297</v>
      </c>
      <c r="C3494" s="3" t="s">
        <v>3817</v>
      </c>
      <c r="D3494" s="3" t="s">
        <v>3618</v>
      </c>
      <c r="E3494" s="3" t="s">
        <v>3638</v>
      </c>
      <c r="F3494" s="3" t="s">
        <v>7214</v>
      </c>
      <c r="G3494" s="3" t="s">
        <v>4068</v>
      </c>
      <c r="H3494" s="6">
        <v>1.5910599999999999</v>
      </c>
      <c r="I3494" s="6">
        <v>38.999586287443293</v>
      </c>
      <c r="J3494" s="3" t="s">
        <v>3356</v>
      </c>
      <c r="L3494" s="1" t="s">
        <v>6135</v>
      </c>
    </row>
    <row r="3495" spans="1:12">
      <c r="A3495" s="3" t="s">
        <v>7297</v>
      </c>
      <c r="C3495" s="3" t="s">
        <v>3817</v>
      </c>
      <c r="D3495" s="3" t="s">
        <v>3618</v>
      </c>
      <c r="E3495" s="3" t="s">
        <v>3638</v>
      </c>
      <c r="F3495" s="3" t="s">
        <v>7214</v>
      </c>
      <c r="G3495" s="3" t="s">
        <v>4835</v>
      </c>
      <c r="H3495" s="6">
        <v>1.53148</v>
      </c>
      <c r="I3495" s="6">
        <v>34.000084782585944</v>
      </c>
      <c r="J3495" s="3" t="s">
        <v>3356</v>
      </c>
      <c r="L3495" s="1" t="s">
        <v>6135</v>
      </c>
    </row>
    <row r="3496" spans="1:12">
      <c r="A3496" s="3" t="s">
        <v>7297</v>
      </c>
      <c r="C3496" s="3" t="s">
        <v>3817</v>
      </c>
      <c r="D3496" s="3" t="s">
        <v>3618</v>
      </c>
      <c r="E3496" s="3" t="s">
        <v>3638</v>
      </c>
      <c r="F3496" s="3" t="s">
        <v>7214</v>
      </c>
      <c r="G3496" s="3" t="s">
        <v>3711</v>
      </c>
      <c r="H3496" s="6">
        <v>1.60206</v>
      </c>
      <c r="I3496" s="6">
        <v>40.000000798724201</v>
      </c>
      <c r="J3496" s="3" t="s">
        <v>3356</v>
      </c>
      <c r="L3496" s="1" t="s">
        <v>6135</v>
      </c>
    </row>
    <row r="3497" spans="1:12">
      <c r="A3497" s="3" t="s">
        <v>7297</v>
      </c>
      <c r="C3497" s="3" t="s">
        <v>3817</v>
      </c>
      <c r="D3497" s="3" t="s">
        <v>3618</v>
      </c>
      <c r="E3497" s="3" t="s">
        <v>3638</v>
      </c>
      <c r="F3497" s="3" t="s">
        <v>7214</v>
      </c>
      <c r="G3497" s="3" t="s">
        <v>4069</v>
      </c>
      <c r="H3497" s="6">
        <v>1.3273600000000001</v>
      </c>
      <c r="I3497" s="6">
        <v>21.25005214046968</v>
      </c>
      <c r="J3497" s="3" t="s">
        <v>3356</v>
      </c>
      <c r="L3497" s="1" t="s">
        <v>6135</v>
      </c>
    </row>
    <row r="3498" spans="1:12">
      <c r="A3498" s="3" t="s">
        <v>7297</v>
      </c>
      <c r="C3498" s="3" t="s">
        <v>3817</v>
      </c>
      <c r="D3498" s="3" t="s">
        <v>3618</v>
      </c>
      <c r="E3498" s="3" t="s">
        <v>3638</v>
      </c>
      <c r="F3498" s="3" t="s">
        <v>4070</v>
      </c>
      <c r="G3498" s="3" t="s">
        <v>4071</v>
      </c>
      <c r="H3498" s="6">
        <v>1.5172000000000001</v>
      </c>
      <c r="I3498" s="6">
        <v>32.900310752470581</v>
      </c>
      <c r="J3498" s="3" t="s">
        <v>3356</v>
      </c>
      <c r="L3498" s="1" t="s">
        <v>6135</v>
      </c>
    </row>
    <row r="3499" spans="1:12">
      <c r="A3499" s="3" t="s">
        <v>7297</v>
      </c>
      <c r="C3499" s="3" t="s">
        <v>3817</v>
      </c>
      <c r="D3499" s="3" t="s">
        <v>3618</v>
      </c>
      <c r="E3499" s="3" t="s">
        <v>3638</v>
      </c>
      <c r="F3499" s="3" t="s">
        <v>4070</v>
      </c>
      <c r="G3499" s="3" t="s">
        <v>3670</v>
      </c>
      <c r="H3499" s="6">
        <v>1.40483</v>
      </c>
      <c r="I3499" s="6">
        <v>25.399782631954999</v>
      </c>
      <c r="J3499" s="3" t="s">
        <v>3356</v>
      </c>
      <c r="L3499" s="1" t="s">
        <v>6135</v>
      </c>
    </row>
    <row r="3500" spans="1:12">
      <c r="A3500" s="3" t="s">
        <v>7297</v>
      </c>
      <c r="C3500" s="3" t="s">
        <v>3817</v>
      </c>
      <c r="D3500" s="3" t="s">
        <v>3618</v>
      </c>
      <c r="E3500" s="3" t="s">
        <v>3638</v>
      </c>
      <c r="F3500" s="3" t="s">
        <v>7470</v>
      </c>
      <c r="G3500" s="3" t="s">
        <v>4028</v>
      </c>
      <c r="H3500" s="6">
        <v>1.84354</v>
      </c>
      <c r="I3500" s="6">
        <v>69.749323542444841</v>
      </c>
      <c r="J3500" s="3" t="s">
        <v>3356</v>
      </c>
      <c r="L3500" s="1" t="s">
        <v>6135</v>
      </c>
    </row>
    <row r="3501" spans="1:12">
      <c r="A3501" s="3" t="s">
        <v>7297</v>
      </c>
      <c r="C3501" s="3" t="s">
        <v>3817</v>
      </c>
      <c r="D3501" s="3" t="s">
        <v>3618</v>
      </c>
      <c r="E3501" s="3" t="s">
        <v>3638</v>
      </c>
      <c r="F3501" s="3" t="s">
        <v>7152</v>
      </c>
      <c r="G3501" s="3" t="s">
        <v>4130</v>
      </c>
      <c r="H3501" s="6">
        <v>1.8221700000000001</v>
      </c>
      <c r="I3501" s="6">
        <v>66.400293649242514</v>
      </c>
      <c r="J3501" s="3" t="s">
        <v>3356</v>
      </c>
      <c r="L3501" s="1" t="s">
        <v>6135</v>
      </c>
    </row>
    <row r="3502" spans="1:12">
      <c r="A3502" s="3" t="s">
        <v>7297</v>
      </c>
      <c r="C3502" s="3" t="s">
        <v>3817</v>
      </c>
      <c r="D3502" s="3" t="s">
        <v>3618</v>
      </c>
      <c r="E3502" s="3" t="s">
        <v>3638</v>
      </c>
      <c r="F3502" s="3" t="s">
        <v>4131</v>
      </c>
      <c r="G3502" s="3" t="s">
        <v>7496</v>
      </c>
      <c r="H3502" s="6">
        <v>1.8175699999999999</v>
      </c>
      <c r="I3502" s="6">
        <v>65.700700495992677</v>
      </c>
      <c r="J3502" s="3" t="s">
        <v>3356</v>
      </c>
      <c r="L3502" s="1" t="s">
        <v>6135</v>
      </c>
    </row>
    <row r="3503" spans="1:12">
      <c r="A3503" s="3" t="s">
        <v>7297</v>
      </c>
      <c r="C3503" s="3" t="s">
        <v>3817</v>
      </c>
      <c r="D3503" s="3" t="s">
        <v>3618</v>
      </c>
      <c r="E3503" s="3" t="s">
        <v>3638</v>
      </c>
      <c r="F3503" s="3" t="s">
        <v>4131</v>
      </c>
      <c r="G3503" s="3" t="s">
        <v>3596</v>
      </c>
      <c r="H3503" s="6">
        <v>1.8615299999999999</v>
      </c>
      <c r="I3503" s="6">
        <v>72.69926163504951</v>
      </c>
      <c r="J3503" s="3" t="s">
        <v>3356</v>
      </c>
      <c r="L3503" s="1" t="s">
        <v>6135</v>
      </c>
    </row>
    <row r="3504" spans="1:12">
      <c r="A3504" s="3" t="s">
        <v>7297</v>
      </c>
      <c r="C3504" s="3" t="s">
        <v>3817</v>
      </c>
      <c r="D3504" s="3" t="s">
        <v>3618</v>
      </c>
      <c r="E3504" s="3" t="s">
        <v>3638</v>
      </c>
      <c r="F3504" s="3" t="s">
        <v>4131</v>
      </c>
      <c r="G3504" s="3" t="s">
        <v>7639</v>
      </c>
      <c r="H3504" s="6">
        <v>1.7379899999999999</v>
      </c>
      <c r="I3504" s="6">
        <v>54.700336753096408</v>
      </c>
      <c r="J3504" s="3" t="s">
        <v>3356</v>
      </c>
      <c r="L3504" s="1" t="s">
        <v>6135</v>
      </c>
    </row>
    <row r="3505" spans="1:12">
      <c r="A3505" s="3" t="s">
        <v>7297</v>
      </c>
      <c r="C3505" s="3" t="s">
        <v>3817</v>
      </c>
      <c r="D3505" s="3" t="s">
        <v>3618</v>
      </c>
      <c r="E3505" s="3" t="s">
        <v>3638</v>
      </c>
      <c r="F3505" s="3" t="s">
        <v>4131</v>
      </c>
      <c r="G3505" s="3" t="s">
        <v>3912</v>
      </c>
      <c r="H3505" s="6">
        <v>1.57978</v>
      </c>
      <c r="I3505" s="6">
        <v>37.99968530368551</v>
      </c>
      <c r="J3505" s="3" t="s">
        <v>3356</v>
      </c>
      <c r="L3505" s="1" t="s">
        <v>6135</v>
      </c>
    </row>
    <row r="3506" spans="1:12">
      <c r="A3506" s="3" t="s">
        <v>7297</v>
      </c>
      <c r="C3506" s="3" t="s">
        <v>3817</v>
      </c>
      <c r="D3506" s="3" t="s">
        <v>3618</v>
      </c>
      <c r="E3506" s="3" t="s">
        <v>3638</v>
      </c>
      <c r="F3506" s="3" t="s">
        <v>3913</v>
      </c>
      <c r="G3506" s="3" t="s">
        <v>3914</v>
      </c>
      <c r="H3506" s="6">
        <v>1.44716</v>
      </c>
      <c r="I3506" s="6">
        <v>28.000126924345338</v>
      </c>
      <c r="J3506" s="3" t="s">
        <v>3356</v>
      </c>
      <c r="L3506" s="1" t="s">
        <v>6135</v>
      </c>
    </row>
    <row r="3507" spans="1:12">
      <c r="A3507" s="3" t="s">
        <v>7297</v>
      </c>
      <c r="C3507" s="3" t="s">
        <v>3817</v>
      </c>
      <c r="D3507" s="3" t="s">
        <v>3618</v>
      </c>
      <c r="E3507" s="3" t="s">
        <v>3638</v>
      </c>
      <c r="F3507" s="3" t="s">
        <v>3913</v>
      </c>
      <c r="G3507" s="3" t="s">
        <v>3915</v>
      </c>
      <c r="H3507" s="6">
        <v>1.44716</v>
      </c>
      <c r="I3507" s="6">
        <v>28.000126924345338</v>
      </c>
      <c r="J3507" s="3" t="s">
        <v>3356</v>
      </c>
      <c r="L3507" s="1" t="s">
        <v>6135</v>
      </c>
    </row>
    <row r="3508" spans="1:12">
      <c r="A3508" s="3" t="s">
        <v>7297</v>
      </c>
      <c r="C3508" s="3" t="s">
        <v>3817</v>
      </c>
      <c r="D3508" s="3" t="s">
        <v>3618</v>
      </c>
      <c r="E3508" s="3" t="s">
        <v>3638</v>
      </c>
      <c r="F3508" s="3" t="s">
        <v>3916</v>
      </c>
      <c r="G3508" s="3" t="s">
        <v>4269</v>
      </c>
      <c r="H3508" s="6">
        <v>1.56585</v>
      </c>
      <c r="I3508" s="6">
        <v>36.800184835450352</v>
      </c>
      <c r="J3508" s="3" t="s">
        <v>3356</v>
      </c>
      <c r="L3508" s="1" t="s">
        <v>6135</v>
      </c>
    </row>
    <row r="3509" spans="1:12">
      <c r="A3509" s="3" t="s">
        <v>7297</v>
      </c>
      <c r="C3509" s="3" t="s">
        <v>3817</v>
      </c>
      <c r="D3509" s="3" t="s">
        <v>3618</v>
      </c>
      <c r="E3509" s="3" t="s">
        <v>3638</v>
      </c>
      <c r="F3509" s="3" t="s">
        <v>4136</v>
      </c>
      <c r="G3509" s="3" t="s">
        <v>4137</v>
      </c>
      <c r="H3509" s="6">
        <v>1.4623999999999999</v>
      </c>
      <c r="I3509" s="6">
        <v>29.000133690540697</v>
      </c>
      <c r="J3509" s="3" t="s">
        <v>3356</v>
      </c>
      <c r="L3509" s="1" t="s">
        <v>6135</v>
      </c>
    </row>
    <row r="3510" spans="1:12">
      <c r="A3510" s="3" t="s">
        <v>7297</v>
      </c>
      <c r="C3510" s="3" t="s">
        <v>3817</v>
      </c>
      <c r="D3510" s="3" t="s">
        <v>3618</v>
      </c>
      <c r="E3510" s="3" t="s">
        <v>3638</v>
      </c>
      <c r="F3510" s="3" t="s">
        <v>4136</v>
      </c>
      <c r="G3510" s="3" t="s">
        <v>4119</v>
      </c>
      <c r="H3510" s="6">
        <v>1.5172000000000001</v>
      </c>
      <c r="I3510" s="6">
        <v>32.900310752470581</v>
      </c>
      <c r="J3510" s="3" t="s">
        <v>3356</v>
      </c>
      <c r="L3510" s="1" t="s">
        <v>6135</v>
      </c>
    </row>
    <row r="3511" spans="1:12">
      <c r="A3511" s="3" t="s">
        <v>7297</v>
      </c>
      <c r="C3511" s="3" t="s">
        <v>3817</v>
      </c>
      <c r="D3511" s="3" t="s">
        <v>3618</v>
      </c>
      <c r="E3511" s="3" t="s">
        <v>3638</v>
      </c>
      <c r="F3511" s="3" t="s">
        <v>4136</v>
      </c>
      <c r="G3511" s="3" t="s">
        <v>4395</v>
      </c>
      <c r="H3511" s="6">
        <v>1.60134</v>
      </c>
      <c r="I3511" s="6">
        <v>39.933741286437503</v>
      </c>
      <c r="J3511" s="3" t="s">
        <v>3356</v>
      </c>
      <c r="L3511" s="1" t="s">
        <v>6135</v>
      </c>
    </row>
    <row r="3512" spans="1:12">
      <c r="A3512" s="3" t="s">
        <v>7297</v>
      </c>
      <c r="C3512" s="3" t="s">
        <v>3817</v>
      </c>
      <c r="D3512" s="3" t="s">
        <v>3618</v>
      </c>
      <c r="E3512" s="3" t="s">
        <v>3638</v>
      </c>
      <c r="F3512" s="3" t="s">
        <v>4136</v>
      </c>
      <c r="G3512" s="3" t="s">
        <v>7543</v>
      </c>
      <c r="H3512" s="6">
        <v>1.6812400000000001</v>
      </c>
      <c r="I3512" s="6">
        <v>47.999863240390923</v>
      </c>
      <c r="J3512" s="3" t="s">
        <v>3356</v>
      </c>
      <c r="L3512" s="1" t="s">
        <v>6135</v>
      </c>
    </row>
    <row r="3513" spans="1:12">
      <c r="A3513" s="3" t="s">
        <v>7297</v>
      </c>
      <c r="C3513" s="3" t="s">
        <v>3817</v>
      </c>
      <c r="D3513" s="3" t="s">
        <v>3618</v>
      </c>
      <c r="E3513" s="3" t="s">
        <v>3638</v>
      </c>
      <c r="F3513" s="3" t="s">
        <v>4136</v>
      </c>
      <c r="G3513" s="3" t="s">
        <v>3867</v>
      </c>
      <c r="H3513" s="6">
        <v>1.5717099999999999</v>
      </c>
      <c r="I3513" s="6">
        <v>37.300100331909285</v>
      </c>
      <c r="J3513" s="3" t="s">
        <v>3356</v>
      </c>
      <c r="L3513" s="1" t="s">
        <v>6135</v>
      </c>
    </row>
    <row r="3514" spans="1:12">
      <c r="A3514" s="3" t="s">
        <v>7297</v>
      </c>
      <c r="C3514" s="3" t="s">
        <v>3817</v>
      </c>
      <c r="D3514" s="3" t="s">
        <v>3618</v>
      </c>
      <c r="E3514" s="3" t="s">
        <v>3638</v>
      </c>
      <c r="F3514" s="3" t="s">
        <v>4136</v>
      </c>
      <c r="G3514" s="3" t="s">
        <v>3433</v>
      </c>
      <c r="H3514" s="6">
        <v>1.67394</v>
      </c>
      <c r="I3514" s="6">
        <v>47.199782784917133</v>
      </c>
      <c r="J3514" s="3" t="s">
        <v>3356</v>
      </c>
      <c r="L3514" s="1" t="s">
        <v>6135</v>
      </c>
    </row>
    <row r="3515" spans="1:12">
      <c r="A3515" s="3" t="s">
        <v>7297</v>
      </c>
      <c r="C3515" s="3" t="s">
        <v>3817</v>
      </c>
      <c r="D3515" s="3" t="s">
        <v>3618</v>
      </c>
      <c r="E3515" s="3" t="s">
        <v>3638</v>
      </c>
      <c r="F3515" s="3" t="s">
        <v>3685</v>
      </c>
      <c r="G3515" s="3" t="s">
        <v>3686</v>
      </c>
      <c r="H3515" s="6">
        <v>1.43136</v>
      </c>
      <c r="I3515" s="6">
        <v>26.999765984012107</v>
      </c>
      <c r="J3515" s="3" t="s">
        <v>3356</v>
      </c>
      <c r="L3515" s="1" t="s">
        <v>6135</v>
      </c>
    </row>
    <row r="3516" spans="1:12">
      <c r="A3516" s="3" t="s">
        <v>7297</v>
      </c>
      <c r="C3516" s="3" t="s">
        <v>3817</v>
      </c>
      <c r="D3516" s="3" t="s">
        <v>3618</v>
      </c>
      <c r="E3516" s="3" t="s">
        <v>3638</v>
      </c>
      <c r="F3516" s="3" t="s">
        <v>3685</v>
      </c>
      <c r="G3516" s="3" t="s">
        <v>3687</v>
      </c>
      <c r="H3516" s="6">
        <v>1.43136</v>
      </c>
      <c r="I3516" s="6">
        <v>26.999765984012107</v>
      </c>
      <c r="J3516" s="3" t="s">
        <v>3356</v>
      </c>
      <c r="L3516" s="1" t="s">
        <v>6135</v>
      </c>
    </row>
    <row r="3517" spans="1:12">
      <c r="A3517" s="3" t="s">
        <v>7297</v>
      </c>
      <c r="C3517" s="3" t="s">
        <v>3817</v>
      </c>
      <c r="D3517" s="3" t="s">
        <v>3618</v>
      </c>
      <c r="E3517" s="3" t="s">
        <v>3638</v>
      </c>
      <c r="F3517" s="3" t="s">
        <v>3685</v>
      </c>
      <c r="G3517" s="3" t="s">
        <v>3653</v>
      </c>
      <c r="H3517" s="6">
        <v>1.65273</v>
      </c>
      <c r="I3517" s="6">
        <v>44.950031457208595</v>
      </c>
      <c r="J3517" s="3" t="s">
        <v>3356</v>
      </c>
      <c r="L3517" s="1" t="s">
        <v>6135</v>
      </c>
    </row>
    <row r="3518" spans="1:12">
      <c r="A3518" s="3" t="s">
        <v>7297</v>
      </c>
      <c r="C3518" s="3" t="s">
        <v>3817</v>
      </c>
      <c r="D3518" s="3" t="s">
        <v>3618</v>
      </c>
      <c r="E3518" s="3" t="s">
        <v>3638</v>
      </c>
      <c r="F3518" s="3" t="s">
        <v>3685</v>
      </c>
      <c r="G3518" s="3" t="s">
        <v>3654</v>
      </c>
      <c r="H3518" s="6">
        <v>1.43136</v>
      </c>
      <c r="I3518" s="6">
        <v>26.999765984012107</v>
      </c>
      <c r="J3518" s="3" t="s">
        <v>3356</v>
      </c>
      <c r="L3518" s="1" t="s">
        <v>6135</v>
      </c>
    </row>
    <row r="3519" spans="1:12">
      <c r="A3519" s="3" t="s">
        <v>7297</v>
      </c>
      <c r="C3519" s="3" t="s">
        <v>3817</v>
      </c>
      <c r="D3519" s="3" t="s">
        <v>3618</v>
      </c>
      <c r="E3519" s="3" t="s">
        <v>3638</v>
      </c>
      <c r="F3519" s="3" t="s">
        <v>3685</v>
      </c>
      <c r="G3519" s="3" t="s">
        <v>4318</v>
      </c>
      <c r="H3519" s="6">
        <v>1.1461300000000001</v>
      </c>
      <c r="I3519" s="6">
        <v>14.000063322395309</v>
      </c>
      <c r="J3519" s="3" t="s">
        <v>3356</v>
      </c>
      <c r="L3519" s="1" t="s">
        <v>6135</v>
      </c>
    </row>
    <row r="3520" spans="1:12">
      <c r="A3520" s="3" t="s">
        <v>7297</v>
      </c>
      <c r="C3520" s="3" t="s">
        <v>3817</v>
      </c>
      <c r="D3520" s="3" t="s">
        <v>3618</v>
      </c>
      <c r="E3520" s="3" t="s">
        <v>3638</v>
      </c>
      <c r="F3520" s="3" t="s">
        <v>3685</v>
      </c>
      <c r="G3520" s="3" t="s">
        <v>2175</v>
      </c>
      <c r="H3520" s="6">
        <v>1.4248799999999999</v>
      </c>
      <c r="I3520" s="6">
        <v>26.599899758559765</v>
      </c>
      <c r="J3520" s="3" t="s">
        <v>3356</v>
      </c>
      <c r="L3520" s="1" t="s">
        <v>6135</v>
      </c>
    </row>
    <row r="3521" spans="1:12">
      <c r="A3521" s="3" t="s">
        <v>7297</v>
      </c>
      <c r="C3521" s="3" t="s">
        <v>3817</v>
      </c>
      <c r="D3521" s="3" t="s">
        <v>3618</v>
      </c>
      <c r="E3521" s="3" t="s">
        <v>3638</v>
      </c>
      <c r="F3521" s="3" t="s">
        <v>3685</v>
      </c>
      <c r="G3521" s="3" t="s">
        <v>4319</v>
      </c>
      <c r="H3521" s="6">
        <v>1.3031999999999999</v>
      </c>
      <c r="I3521" s="6">
        <v>20.100182471136932</v>
      </c>
      <c r="J3521" s="3" t="s">
        <v>3356</v>
      </c>
      <c r="L3521" s="1" t="s">
        <v>6135</v>
      </c>
    </row>
    <row r="3522" spans="1:12">
      <c r="A3522" s="3" t="s">
        <v>7297</v>
      </c>
      <c r="C3522" s="3" t="s">
        <v>3817</v>
      </c>
      <c r="D3522" s="3" t="s">
        <v>3618</v>
      </c>
      <c r="E3522" s="3" t="s">
        <v>3638</v>
      </c>
      <c r="F3522" s="3" t="s">
        <v>3685</v>
      </c>
      <c r="G3522" s="3" t="s">
        <v>4325</v>
      </c>
      <c r="H3522" s="6">
        <v>1.3010299999999999</v>
      </c>
      <c r="I3522" s="6">
        <v>20.000000199681054</v>
      </c>
      <c r="J3522" s="3" t="s">
        <v>3356</v>
      </c>
      <c r="L3522" s="1" t="s">
        <v>6135</v>
      </c>
    </row>
    <row r="3523" spans="1:12">
      <c r="A3523" s="3" t="s">
        <v>7297</v>
      </c>
      <c r="C3523" s="3" t="s">
        <v>3817</v>
      </c>
      <c r="D3523" s="3" t="s">
        <v>3618</v>
      </c>
      <c r="E3523" s="3" t="s">
        <v>3638</v>
      </c>
      <c r="F3523" s="3" t="s">
        <v>3685</v>
      </c>
      <c r="G3523" s="3" t="s">
        <v>4107</v>
      </c>
      <c r="H3523" s="6">
        <v>1.13988</v>
      </c>
      <c r="I3523" s="6">
        <v>13.80002903024727</v>
      </c>
      <c r="J3523" s="3" t="s">
        <v>3356</v>
      </c>
      <c r="L3523" s="1" t="s">
        <v>6135</v>
      </c>
    </row>
    <row r="3524" spans="1:12">
      <c r="A3524" s="3" t="s">
        <v>7297</v>
      </c>
      <c r="C3524" s="3" t="s">
        <v>3817</v>
      </c>
      <c r="D3524" s="3" t="s">
        <v>3618</v>
      </c>
      <c r="E3524" s="3" t="s">
        <v>3638</v>
      </c>
      <c r="F3524" s="3" t="s">
        <v>3247</v>
      </c>
      <c r="G3524" s="3" t="s">
        <v>3248</v>
      </c>
      <c r="H3524" s="6">
        <v>1.8651</v>
      </c>
      <c r="I3524" s="6">
        <v>73.299329165177895</v>
      </c>
      <c r="J3524" s="3" t="s">
        <v>3356</v>
      </c>
      <c r="L3524" s="1" t="s">
        <v>6135</v>
      </c>
    </row>
    <row r="3525" spans="1:12">
      <c r="A3525" s="3" t="s">
        <v>7297</v>
      </c>
      <c r="C3525" s="3" t="s">
        <v>3817</v>
      </c>
      <c r="D3525" s="3" t="s">
        <v>3618</v>
      </c>
      <c r="E3525" s="3" t="s">
        <v>3638</v>
      </c>
      <c r="F3525" s="3" t="s">
        <v>3247</v>
      </c>
      <c r="G3525" s="3" t="s">
        <v>2938</v>
      </c>
      <c r="H3525" s="6">
        <v>1.7058599999999999</v>
      </c>
      <c r="I3525" s="6">
        <v>50.799565771095516</v>
      </c>
      <c r="J3525" s="3" t="s">
        <v>3356</v>
      </c>
      <c r="L3525" s="1" t="s">
        <v>6135</v>
      </c>
    </row>
    <row r="3526" spans="1:12">
      <c r="A3526" s="3" t="s">
        <v>7297</v>
      </c>
      <c r="C3526" s="3" t="s">
        <v>3817</v>
      </c>
      <c r="D3526" s="3" t="s">
        <v>3618</v>
      </c>
      <c r="E3526" s="3" t="s">
        <v>3638</v>
      </c>
      <c r="F3526" s="3" t="s">
        <v>4109</v>
      </c>
      <c r="G3526" s="3" t="s">
        <v>4110</v>
      </c>
      <c r="H3526" s="6">
        <v>1.6989700000000001</v>
      </c>
      <c r="I3526" s="6">
        <v>49.999999500797408</v>
      </c>
      <c r="J3526" s="3" t="s">
        <v>3356</v>
      </c>
      <c r="L3526" s="1" t="s">
        <v>6135</v>
      </c>
    </row>
    <row r="3527" spans="1:12">
      <c r="A3527" s="3" t="s">
        <v>7297</v>
      </c>
      <c r="C3527" s="3" t="s">
        <v>3817</v>
      </c>
      <c r="D3527" s="3" t="s">
        <v>3618</v>
      </c>
      <c r="E3527" s="3" t="s">
        <v>3638</v>
      </c>
      <c r="F3527" s="3" t="s">
        <v>4111</v>
      </c>
      <c r="G3527" s="3" t="s">
        <v>3511</v>
      </c>
      <c r="H3527" s="6">
        <v>1.2787500000000001</v>
      </c>
      <c r="I3527" s="6">
        <v>18.999842462147331</v>
      </c>
      <c r="J3527" s="3" t="s">
        <v>3356</v>
      </c>
      <c r="L3527" s="1" t="s">
        <v>6135</v>
      </c>
    </row>
    <row r="3528" spans="1:12">
      <c r="A3528" s="3" t="s">
        <v>7297</v>
      </c>
      <c r="C3528" s="3" t="s">
        <v>3817</v>
      </c>
      <c r="D3528" s="3" t="s">
        <v>3618</v>
      </c>
      <c r="E3528" s="3" t="s">
        <v>3638</v>
      </c>
      <c r="F3528" s="3" t="s">
        <v>3512</v>
      </c>
      <c r="G3528" s="3" t="s">
        <v>3681</v>
      </c>
      <c r="H3528" s="6">
        <v>2.2298100000000001</v>
      </c>
      <c r="I3528" s="6">
        <v>169.75008483602085</v>
      </c>
      <c r="J3528" s="3" t="s">
        <v>3356</v>
      </c>
      <c r="L3528" s="1" t="s">
        <v>6135</v>
      </c>
    </row>
    <row r="3529" spans="1:12">
      <c r="A3529" s="3" t="s">
        <v>7297</v>
      </c>
      <c r="C3529" s="3" t="s">
        <v>3817</v>
      </c>
      <c r="D3529" s="3" t="s">
        <v>3618</v>
      </c>
      <c r="E3529" s="3" t="s">
        <v>3638</v>
      </c>
      <c r="F3529" s="3" t="s">
        <v>3682</v>
      </c>
      <c r="G3529" s="3" t="s">
        <v>3946</v>
      </c>
      <c r="H3529" s="6">
        <v>1.2552700000000001</v>
      </c>
      <c r="I3529" s="6">
        <v>17.999896172455941</v>
      </c>
      <c r="J3529" s="3" t="s">
        <v>3356</v>
      </c>
      <c r="L3529" s="1" t="s">
        <v>6135</v>
      </c>
    </row>
    <row r="3530" spans="1:12">
      <c r="A3530" s="3" t="s">
        <v>7297</v>
      </c>
      <c r="C3530" s="3" t="s">
        <v>3817</v>
      </c>
      <c r="D3530" s="3" t="s">
        <v>3618</v>
      </c>
      <c r="E3530" s="3" t="s">
        <v>3638</v>
      </c>
      <c r="F3530" s="3" t="s">
        <v>3682</v>
      </c>
      <c r="G3530" s="3" t="s">
        <v>3947</v>
      </c>
      <c r="H3530" s="6">
        <v>1.53782</v>
      </c>
      <c r="I3530" s="6">
        <v>34.50007188671713</v>
      </c>
      <c r="J3530" s="3" t="s">
        <v>3356</v>
      </c>
      <c r="L3530" s="1" t="s">
        <v>6135</v>
      </c>
    </row>
    <row r="3531" spans="1:12">
      <c r="A3531" s="3" t="s">
        <v>7297</v>
      </c>
      <c r="C3531" s="3" t="s">
        <v>3817</v>
      </c>
      <c r="D3531" s="3" t="s">
        <v>3618</v>
      </c>
      <c r="E3531" s="3" t="s">
        <v>3638</v>
      </c>
      <c r="F3531" s="3" t="s">
        <v>3250</v>
      </c>
      <c r="G3531" s="3" t="s">
        <v>3630</v>
      </c>
      <c r="H3531" s="6">
        <v>1.8292999999999999</v>
      </c>
      <c r="I3531" s="6">
        <v>67.499413612194886</v>
      </c>
      <c r="J3531" s="3" t="s">
        <v>3356</v>
      </c>
      <c r="L3531" s="1" t="s">
        <v>6135</v>
      </c>
    </row>
    <row r="3532" spans="1:12">
      <c r="A3532" s="3" t="s">
        <v>7297</v>
      </c>
      <c r="C3532" s="3" t="s">
        <v>3817</v>
      </c>
      <c r="D3532" s="3" t="s">
        <v>3618</v>
      </c>
      <c r="E3532" s="3" t="s">
        <v>3638</v>
      </c>
      <c r="F3532" s="3" t="s">
        <v>3250</v>
      </c>
      <c r="G3532" s="3" t="s">
        <v>3706</v>
      </c>
      <c r="H3532" s="6">
        <v>1.95424</v>
      </c>
      <c r="I3532" s="6">
        <v>89.999479963720162</v>
      </c>
      <c r="J3532" s="3" t="s">
        <v>3356</v>
      </c>
      <c r="L3532" s="1" t="s">
        <v>6135</v>
      </c>
    </row>
    <row r="3533" spans="1:12">
      <c r="A3533" s="3" t="s">
        <v>7297</v>
      </c>
      <c r="C3533" s="3" t="s">
        <v>3817</v>
      </c>
      <c r="D3533" s="3" t="s">
        <v>3618</v>
      </c>
      <c r="E3533" s="3" t="s">
        <v>3638</v>
      </c>
      <c r="F3533" s="3" t="s">
        <v>3506</v>
      </c>
      <c r="G3533" s="3" t="s">
        <v>3938</v>
      </c>
      <c r="H3533" s="6">
        <v>1.2552700000000001</v>
      </c>
      <c r="I3533" s="6">
        <v>17.999896172455941</v>
      </c>
      <c r="J3533" s="3" t="s">
        <v>3356</v>
      </c>
      <c r="L3533" s="1" t="s">
        <v>6135</v>
      </c>
    </row>
    <row r="3534" spans="1:12">
      <c r="A3534" s="3" t="s">
        <v>7297</v>
      </c>
      <c r="C3534" s="3" t="s">
        <v>3817</v>
      </c>
      <c r="D3534" s="3" t="s">
        <v>3618</v>
      </c>
      <c r="E3534" s="3" t="s">
        <v>3638</v>
      </c>
      <c r="F3534" s="3" t="s">
        <v>3506</v>
      </c>
      <c r="G3534" s="3" t="s">
        <v>3707</v>
      </c>
      <c r="H3534" s="6">
        <v>1.2174799999999999</v>
      </c>
      <c r="I3534" s="6">
        <v>16.499850149526083</v>
      </c>
      <c r="J3534" s="3" t="s">
        <v>3356</v>
      </c>
      <c r="L3534" s="1" t="s">
        <v>6135</v>
      </c>
    </row>
    <row r="3535" spans="1:12">
      <c r="A3535" s="3" t="s">
        <v>7297</v>
      </c>
      <c r="C3535" s="3" t="s">
        <v>3817</v>
      </c>
      <c r="D3535" s="3" t="s">
        <v>3618</v>
      </c>
      <c r="E3535" s="3" t="s">
        <v>3638</v>
      </c>
      <c r="F3535" s="3" t="s">
        <v>3506</v>
      </c>
      <c r="G3535" s="3" t="s">
        <v>3508</v>
      </c>
      <c r="H3535" s="6">
        <v>1.4548399999999999</v>
      </c>
      <c r="I3535" s="6">
        <v>28.499681070164815</v>
      </c>
      <c r="J3535" s="3" t="s">
        <v>3356</v>
      </c>
      <c r="L3535" s="1" t="s">
        <v>6135</v>
      </c>
    </row>
    <row r="3536" spans="1:12">
      <c r="A3536" s="3" t="s">
        <v>7297</v>
      </c>
      <c r="C3536" s="3" t="s">
        <v>3817</v>
      </c>
      <c r="D3536" s="3" t="s">
        <v>3618</v>
      </c>
      <c r="E3536" s="3" t="s">
        <v>3638</v>
      </c>
      <c r="F3536" s="3" t="s">
        <v>3506</v>
      </c>
      <c r="G3536" s="3" t="s">
        <v>3509</v>
      </c>
      <c r="H3536" s="6">
        <v>1.2380500000000001</v>
      </c>
      <c r="I3536" s="6">
        <v>17.300155231477973</v>
      </c>
      <c r="J3536" s="3" t="s">
        <v>3356</v>
      </c>
      <c r="L3536" s="1" t="s">
        <v>6135</v>
      </c>
    </row>
    <row r="3537" spans="1:12">
      <c r="A3537" s="3" t="s">
        <v>7297</v>
      </c>
      <c r="C3537" s="3" t="s">
        <v>3817</v>
      </c>
      <c r="D3537" s="3" t="s">
        <v>3618</v>
      </c>
      <c r="E3537" s="3" t="s">
        <v>3638</v>
      </c>
      <c r="F3537" s="3" t="s">
        <v>3516</v>
      </c>
      <c r="G3537" s="3" t="s">
        <v>3517</v>
      </c>
      <c r="H3537" s="6">
        <v>1.9426300000000001</v>
      </c>
      <c r="I3537" s="6">
        <v>87.62539727935517</v>
      </c>
      <c r="J3537" s="3" t="s">
        <v>3356</v>
      </c>
      <c r="L3537" s="1" t="s">
        <v>6135</v>
      </c>
    </row>
    <row r="3538" spans="1:12">
      <c r="A3538" s="3" t="s">
        <v>7297</v>
      </c>
      <c r="C3538" s="3" t="s">
        <v>3817</v>
      </c>
      <c r="D3538" s="3" t="s">
        <v>3618</v>
      </c>
      <c r="E3538" s="3" t="s">
        <v>3638</v>
      </c>
      <c r="F3538" s="3" t="s">
        <v>3516</v>
      </c>
      <c r="G3538" s="3" t="s">
        <v>3261</v>
      </c>
      <c r="H3538" s="6">
        <v>1.9190799999999999</v>
      </c>
      <c r="I3538" s="6">
        <v>83.000364575513203</v>
      </c>
      <c r="J3538" s="3" t="s">
        <v>3356</v>
      </c>
      <c r="L3538" s="1" t="s">
        <v>6135</v>
      </c>
    </row>
    <row r="3539" spans="1:12">
      <c r="A3539" s="3" t="s">
        <v>7297</v>
      </c>
      <c r="C3539" s="3" t="s">
        <v>3817</v>
      </c>
      <c r="D3539" s="3" t="s">
        <v>3618</v>
      </c>
      <c r="E3539" s="3" t="s">
        <v>3638</v>
      </c>
      <c r="F3539" s="3" t="s">
        <v>3516</v>
      </c>
      <c r="G3539" s="3" t="s">
        <v>6743</v>
      </c>
      <c r="H3539" s="6">
        <v>1.91381</v>
      </c>
      <c r="I3539" s="6">
        <v>81.999272627037982</v>
      </c>
      <c r="J3539" s="3" t="s">
        <v>3356</v>
      </c>
      <c r="L3539" s="1" t="s">
        <v>6135</v>
      </c>
    </row>
    <row r="3540" spans="1:12">
      <c r="A3540" s="3" t="s">
        <v>7297</v>
      </c>
      <c r="C3540" s="3" t="s">
        <v>3817</v>
      </c>
      <c r="D3540" s="3" t="s">
        <v>3618</v>
      </c>
      <c r="E3540" s="3" t="s">
        <v>3638</v>
      </c>
      <c r="F3540" s="3" t="s">
        <v>3516</v>
      </c>
      <c r="G3540" s="3" t="s">
        <v>3262</v>
      </c>
      <c r="H3540" s="6">
        <v>1.9190799999999999</v>
      </c>
      <c r="I3540" s="6">
        <v>83.000364575513203</v>
      </c>
      <c r="J3540" s="3" t="s">
        <v>3356</v>
      </c>
      <c r="L3540" s="1" t="s">
        <v>6135</v>
      </c>
    </row>
    <row r="3541" spans="1:12">
      <c r="A3541" s="3" t="s">
        <v>7297</v>
      </c>
      <c r="C3541" s="3" t="s">
        <v>3817</v>
      </c>
      <c r="D3541" s="3" t="s">
        <v>3618</v>
      </c>
      <c r="E3541" s="3" t="s">
        <v>3638</v>
      </c>
      <c r="F3541" s="3" t="s">
        <v>3263</v>
      </c>
      <c r="G3541" s="3" t="s">
        <v>3264</v>
      </c>
      <c r="H3541" s="6">
        <v>1.77305</v>
      </c>
      <c r="I3541" s="6">
        <v>59.299359156036971</v>
      </c>
      <c r="J3541" s="3" t="s">
        <v>3356</v>
      </c>
      <c r="L3541" s="1" t="s">
        <v>6135</v>
      </c>
    </row>
    <row r="3542" spans="1:12">
      <c r="A3542" s="3" t="s">
        <v>7297</v>
      </c>
      <c r="C3542" s="3" t="s">
        <v>3817</v>
      </c>
      <c r="D3542" s="3" t="s">
        <v>3618</v>
      </c>
      <c r="E3542" s="3" t="s">
        <v>3638</v>
      </c>
      <c r="F3542" s="3" t="s">
        <v>3265</v>
      </c>
      <c r="G3542" s="3" t="s">
        <v>3487</v>
      </c>
      <c r="H3542" s="6">
        <v>1.49831</v>
      </c>
      <c r="I3542" s="6">
        <v>31.499959832873742</v>
      </c>
      <c r="J3542" s="3" t="s">
        <v>3356</v>
      </c>
      <c r="L3542" s="1" t="s">
        <v>6135</v>
      </c>
    </row>
    <row r="3543" spans="1:12">
      <c r="A3543" s="3" t="s">
        <v>7297</v>
      </c>
      <c r="C3543" s="3" t="s">
        <v>3817</v>
      </c>
      <c r="D3543" s="3" t="s">
        <v>3618</v>
      </c>
      <c r="E3543" s="3" t="s">
        <v>3638</v>
      </c>
      <c r="F3543" s="3" t="s">
        <v>3939</v>
      </c>
      <c r="G3543" s="3" t="s">
        <v>3308</v>
      </c>
      <c r="H3543" s="6">
        <v>2.0085999999999999</v>
      </c>
      <c r="I3543" s="6">
        <v>101.99995965937205</v>
      </c>
      <c r="J3543" s="3" t="s">
        <v>3356</v>
      </c>
      <c r="L3543" s="1" t="s">
        <v>6135</v>
      </c>
    </row>
    <row r="3544" spans="1:12">
      <c r="A3544" s="3" t="s">
        <v>7297</v>
      </c>
      <c r="C3544" s="3" t="s">
        <v>3817</v>
      </c>
      <c r="D3544" s="3" t="s">
        <v>3618</v>
      </c>
      <c r="E3544" s="3" t="s">
        <v>3638</v>
      </c>
      <c r="F3544" s="3" t="s">
        <v>3939</v>
      </c>
      <c r="G3544" s="3" t="s">
        <v>3309</v>
      </c>
      <c r="H3544" s="6">
        <v>1.6063799999999999</v>
      </c>
      <c r="I3544" s="6">
        <v>40.39987301155309</v>
      </c>
      <c r="J3544" s="3" t="s">
        <v>3356</v>
      </c>
      <c r="L3544" s="1" t="s">
        <v>6135</v>
      </c>
    </row>
    <row r="3545" spans="1:12">
      <c r="A3545" s="3" t="s">
        <v>7297</v>
      </c>
      <c r="C3545" s="3" t="s">
        <v>3817</v>
      </c>
      <c r="D3545" s="3" t="s">
        <v>3618</v>
      </c>
      <c r="E3545" s="3" t="s">
        <v>3638</v>
      </c>
      <c r="F3545" s="3" t="s">
        <v>3939</v>
      </c>
      <c r="G3545" s="3" t="s">
        <v>3065</v>
      </c>
      <c r="H3545" s="6">
        <v>1.8292999999999999</v>
      </c>
      <c r="I3545" s="6">
        <v>67.499413612194886</v>
      </c>
      <c r="J3545" s="3" t="s">
        <v>3356</v>
      </c>
      <c r="L3545" s="1" t="s">
        <v>6135</v>
      </c>
    </row>
    <row r="3546" spans="1:12">
      <c r="A3546" s="3" t="s">
        <v>7297</v>
      </c>
      <c r="C3546" s="3" t="s">
        <v>3817</v>
      </c>
      <c r="D3546" s="3" t="s">
        <v>3618</v>
      </c>
      <c r="E3546" s="3" t="s">
        <v>3638</v>
      </c>
      <c r="F3546" s="3" t="s">
        <v>6222</v>
      </c>
      <c r="G3546" s="3" t="s">
        <v>4467</v>
      </c>
      <c r="H3546" s="6">
        <v>2.1903299999999999</v>
      </c>
      <c r="I3546" s="6">
        <v>154.99939392303725</v>
      </c>
      <c r="J3546" s="3" t="s">
        <v>3356</v>
      </c>
      <c r="L3546" s="1" t="s">
        <v>6135</v>
      </c>
    </row>
    <row r="3547" spans="1:12">
      <c r="A3547" s="3" t="s">
        <v>7297</v>
      </c>
      <c r="C3547" s="3" t="s">
        <v>3817</v>
      </c>
      <c r="D3547" s="3" t="s">
        <v>3618</v>
      </c>
      <c r="E3547" s="3" t="s">
        <v>3638</v>
      </c>
      <c r="F3547" s="3" t="s">
        <v>6222</v>
      </c>
      <c r="G3547" s="3" t="s">
        <v>3067</v>
      </c>
      <c r="H3547" s="6">
        <v>2.3096299999999998</v>
      </c>
      <c r="I3547" s="6">
        <v>203.9999213554899</v>
      </c>
      <c r="J3547" s="3" t="s">
        <v>3356</v>
      </c>
      <c r="L3547" s="1" t="s">
        <v>6135</v>
      </c>
    </row>
    <row r="3548" spans="1:12">
      <c r="A3548" s="3" t="s">
        <v>7297</v>
      </c>
      <c r="C3548" s="3" t="s">
        <v>3817</v>
      </c>
      <c r="D3548" s="3" t="s">
        <v>3618</v>
      </c>
      <c r="E3548" s="3" t="s">
        <v>3638</v>
      </c>
      <c r="F3548" s="3" t="s">
        <v>6222</v>
      </c>
      <c r="G3548" s="3" t="s">
        <v>3068</v>
      </c>
      <c r="H3548" s="6">
        <v>2.3774899999999999</v>
      </c>
      <c r="I3548" s="6">
        <v>238.50088779739571</v>
      </c>
      <c r="J3548" s="3" t="s">
        <v>3356</v>
      </c>
      <c r="L3548" s="1" t="s">
        <v>6135</v>
      </c>
    </row>
    <row r="3549" spans="1:12">
      <c r="A3549" s="3" t="s">
        <v>7297</v>
      </c>
      <c r="C3549" s="3" t="s">
        <v>3817</v>
      </c>
      <c r="D3549" s="3" t="s">
        <v>3618</v>
      </c>
      <c r="E3549" s="3" t="s">
        <v>3638</v>
      </c>
      <c r="F3549" s="3" t="s">
        <v>6222</v>
      </c>
      <c r="G3549" s="3" t="s">
        <v>7159</v>
      </c>
      <c r="H3549" s="6">
        <v>2.2135199999999999</v>
      </c>
      <c r="I3549" s="6">
        <v>163.50084443175419</v>
      </c>
      <c r="J3549" s="3" t="s">
        <v>3356</v>
      </c>
      <c r="L3549" s="1" t="s">
        <v>6135</v>
      </c>
    </row>
    <row r="3550" spans="1:12">
      <c r="A3550" s="3" t="s">
        <v>7297</v>
      </c>
      <c r="C3550" s="3" t="s">
        <v>3817</v>
      </c>
      <c r="D3550" s="3" t="s">
        <v>3618</v>
      </c>
      <c r="E3550" s="3" t="s">
        <v>3638</v>
      </c>
      <c r="F3550" s="3" t="s">
        <v>3268</v>
      </c>
      <c r="G3550" s="3" t="s">
        <v>3269</v>
      </c>
      <c r="H3550" s="6">
        <v>1.8221700000000001</v>
      </c>
      <c r="I3550" s="6">
        <v>66.400293649242514</v>
      </c>
      <c r="J3550" s="3" t="s">
        <v>3356</v>
      </c>
      <c r="L3550" s="1" t="s">
        <v>6135</v>
      </c>
    </row>
    <row r="3551" spans="1:12">
      <c r="A3551" s="3" t="s">
        <v>7297</v>
      </c>
      <c r="C3551" s="3" t="s">
        <v>3817</v>
      </c>
      <c r="D3551" s="3" t="s">
        <v>3618</v>
      </c>
      <c r="E3551" s="3" t="s">
        <v>3638</v>
      </c>
      <c r="F3551" s="3" t="s">
        <v>3268</v>
      </c>
      <c r="G3551" s="3" t="s">
        <v>3486</v>
      </c>
      <c r="H3551" s="6">
        <v>1.83948</v>
      </c>
      <c r="I3551" s="6">
        <v>69.100310680314522</v>
      </c>
      <c r="J3551" s="3" t="s">
        <v>3356</v>
      </c>
      <c r="L3551" s="1" t="s">
        <v>6135</v>
      </c>
    </row>
    <row r="3552" spans="1:12">
      <c r="A3552" s="3" t="s">
        <v>7297</v>
      </c>
      <c r="C3552" s="3" t="s">
        <v>3817</v>
      </c>
      <c r="D3552" s="3" t="s">
        <v>3618</v>
      </c>
      <c r="E3552" s="3" t="s">
        <v>3638</v>
      </c>
      <c r="F3552" s="3" t="s">
        <v>3268</v>
      </c>
      <c r="G3552" s="3" t="s">
        <v>4551</v>
      </c>
      <c r="H3552" s="6">
        <v>1.92788</v>
      </c>
      <c r="I3552" s="6">
        <v>84.699334889369382</v>
      </c>
      <c r="J3552" s="3" t="s">
        <v>3356</v>
      </c>
      <c r="L3552" s="1" t="s">
        <v>6135</v>
      </c>
    </row>
    <row r="3553" spans="1:12">
      <c r="A3553" s="3" t="s">
        <v>7297</v>
      </c>
      <c r="C3553" s="3" t="s">
        <v>3817</v>
      </c>
      <c r="D3553" s="3" t="s">
        <v>3618</v>
      </c>
      <c r="E3553" s="3" t="s">
        <v>3638</v>
      </c>
      <c r="F3553" s="3" t="s">
        <v>3268</v>
      </c>
      <c r="G3553" s="3" t="s">
        <v>4552</v>
      </c>
      <c r="H3553" s="6">
        <v>2.0737199999999998</v>
      </c>
      <c r="I3553" s="6">
        <v>118.50045011936339</v>
      </c>
      <c r="J3553" s="3" t="s">
        <v>3356</v>
      </c>
      <c r="L3553" s="1" t="s">
        <v>6135</v>
      </c>
    </row>
    <row r="3554" spans="1:12">
      <c r="A3554" s="3" t="s">
        <v>7297</v>
      </c>
      <c r="C3554" s="3" t="s">
        <v>3817</v>
      </c>
      <c r="D3554" s="3" t="s">
        <v>3618</v>
      </c>
      <c r="E3554" s="3" t="s">
        <v>3638</v>
      </c>
      <c r="F3554" s="3" t="s">
        <v>4553</v>
      </c>
      <c r="G3554" s="3" t="s">
        <v>4554</v>
      </c>
      <c r="H3554" s="6">
        <v>1.6349800000000001</v>
      </c>
      <c r="I3554" s="6">
        <v>43.149920509745968</v>
      </c>
      <c r="J3554" s="3" t="s">
        <v>3356</v>
      </c>
      <c r="L3554" s="1" t="s">
        <v>6135</v>
      </c>
    </row>
    <row r="3555" spans="1:12">
      <c r="A3555" s="3" t="s">
        <v>7297</v>
      </c>
      <c r="C3555" s="3" t="s">
        <v>3817</v>
      </c>
      <c r="D3555" s="3" t="s">
        <v>3618</v>
      </c>
      <c r="E3555" s="3" t="s">
        <v>3638</v>
      </c>
      <c r="F3555" s="3" t="s">
        <v>3066</v>
      </c>
      <c r="G3555" s="3" t="s">
        <v>3948</v>
      </c>
      <c r="H3555" s="6">
        <v>2.1398799999999998</v>
      </c>
      <c r="I3555" s="6">
        <v>138.00029030247268</v>
      </c>
      <c r="J3555" s="3" t="s">
        <v>3356</v>
      </c>
      <c r="L3555" s="1" t="s">
        <v>6135</v>
      </c>
    </row>
    <row r="3556" spans="1:12">
      <c r="A3556" s="3" t="s">
        <v>7297</v>
      </c>
      <c r="C3556" s="3" t="s">
        <v>3817</v>
      </c>
      <c r="D3556" s="3" t="s">
        <v>3618</v>
      </c>
      <c r="E3556" s="3" t="s">
        <v>3638</v>
      </c>
      <c r="F3556" s="3" t="s">
        <v>3521</v>
      </c>
      <c r="G3556" s="3" t="s">
        <v>3522</v>
      </c>
      <c r="H3556" s="6">
        <v>1.98811</v>
      </c>
      <c r="I3556" s="6">
        <v>97.299363664014919</v>
      </c>
      <c r="J3556" s="3" t="s">
        <v>3356</v>
      </c>
      <c r="L3556" s="1" t="s">
        <v>6135</v>
      </c>
    </row>
    <row r="3557" spans="1:12">
      <c r="A3557" s="3" t="s">
        <v>7297</v>
      </c>
      <c r="C3557" s="3" t="s">
        <v>3817</v>
      </c>
      <c r="D3557" s="3" t="s">
        <v>3618</v>
      </c>
      <c r="E3557" s="3" t="s">
        <v>3638</v>
      </c>
      <c r="F3557" s="3" t="s">
        <v>3958</v>
      </c>
      <c r="G3557" s="3" t="s">
        <v>3959</v>
      </c>
      <c r="H3557" s="6">
        <v>2.2253099999999999</v>
      </c>
      <c r="I3557" s="6">
        <v>168.00027785329974</v>
      </c>
      <c r="J3557" s="3" t="s">
        <v>3356</v>
      </c>
      <c r="L3557" s="1" t="s">
        <v>6135</v>
      </c>
    </row>
    <row r="3558" spans="1:12">
      <c r="A3558" s="3" t="s">
        <v>7297</v>
      </c>
      <c r="C3558" s="3" t="s">
        <v>3817</v>
      </c>
      <c r="D3558" s="3" t="s">
        <v>3618</v>
      </c>
      <c r="E3558" s="3" t="s">
        <v>3638</v>
      </c>
      <c r="F3558" s="3" t="s">
        <v>3958</v>
      </c>
      <c r="G3558" s="3" t="s">
        <v>3960</v>
      </c>
      <c r="H3558" s="6">
        <v>2.0629599999999999</v>
      </c>
      <c r="I3558" s="6">
        <v>115.60057652230319</v>
      </c>
      <c r="J3558" s="3" t="s">
        <v>3356</v>
      </c>
      <c r="L3558" s="1" t="s">
        <v>6135</v>
      </c>
    </row>
    <row r="3559" spans="1:12">
      <c r="A3559" s="3" t="s">
        <v>7297</v>
      </c>
      <c r="C3559" s="3" t="s">
        <v>3817</v>
      </c>
      <c r="D3559" s="3" t="s">
        <v>3618</v>
      </c>
      <c r="E3559" s="3" t="s">
        <v>3638</v>
      </c>
      <c r="F3559" s="3" t="s">
        <v>3961</v>
      </c>
      <c r="G3559" s="3" t="s">
        <v>4328</v>
      </c>
      <c r="H3559" s="6">
        <v>1.72916</v>
      </c>
      <c r="I3559" s="6">
        <v>53.599408866270522</v>
      </c>
      <c r="J3559" s="3" t="s">
        <v>3356</v>
      </c>
      <c r="L3559" s="1" t="s">
        <v>6135</v>
      </c>
    </row>
    <row r="3560" spans="1:12">
      <c r="A3560" s="3" t="s">
        <v>7297</v>
      </c>
      <c r="C3560" s="3" t="s">
        <v>3817</v>
      </c>
      <c r="D3560" s="3" t="s">
        <v>3618</v>
      </c>
      <c r="E3560" s="3" t="s">
        <v>3638</v>
      </c>
      <c r="F3560" s="3" t="s">
        <v>3962</v>
      </c>
      <c r="G3560" s="3" t="s">
        <v>3963</v>
      </c>
      <c r="H3560" s="6">
        <v>1.6127800000000001</v>
      </c>
      <c r="I3560" s="6">
        <v>40.999635904176493</v>
      </c>
      <c r="J3560" s="3" t="s">
        <v>3356</v>
      </c>
      <c r="L3560" s="1" t="s">
        <v>6135</v>
      </c>
    </row>
    <row r="3561" spans="1:12">
      <c r="A3561" s="3" t="s">
        <v>7297</v>
      </c>
      <c r="C3561" s="3" t="s">
        <v>3817</v>
      </c>
      <c r="D3561" s="3" t="s">
        <v>3618</v>
      </c>
      <c r="E3561" s="3" t="s">
        <v>3638</v>
      </c>
      <c r="F3561" s="3" t="s">
        <v>3962</v>
      </c>
      <c r="G3561" s="3" t="s">
        <v>3964</v>
      </c>
      <c r="H3561" s="6">
        <v>1.7283500000000001</v>
      </c>
      <c r="I3561" s="6">
        <v>53.499534101253595</v>
      </c>
      <c r="J3561" s="3" t="s">
        <v>3356</v>
      </c>
      <c r="L3561" s="1" t="s">
        <v>6135</v>
      </c>
    </row>
    <row r="3562" spans="1:12">
      <c r="A3562" s="3" t="s">
        <v>7297</v>
      </c>
      <c r="C3562" s="3" t="s">
        <v>3817</v>
      </c>
      <c r="D3562" s="3" t="s">
        <v>3618</v>
      </c>
      <c r="E3562" s="3" t="s">
        <v>3638</v>
      </c>
      <c r="F3562" s="3" t="s">
        <v>3962</v>
      </c>
      <c r="G3562" s="3" t="s">
        <v>4547</v>
      </c>
      <c r="H3562" s="6">
        <v>1.7283500000000001</v>
      </c>
      <c r="I3562" s="6">
        <v>53.499534101253595</v>
      </c>
      <c r="J3562" s="3" t="s">
        <v>3356</v>
      </c>
      <c r="L3562" s="1" t="s">
        <v>6135</v>
      </c>
    </row>
    <row r="3563" spans="1:12">
      <c r="A3563" s="3" t="s">
        <v>7297</v>
      </c>
      <c r="C3563" s="3" t="s">
        <v>3817</v>
      </c>
      <c r="D3563" s="3" t="s">
        <v>3618</v>
      </c>
      <c r="E3563" s="3" t="s">
        <v>3638</v>
      </c>
      <c r="F3563" s="3" t="s">
        <v>4699</v>
      </c>
      <c r="G3563" s="3" t="s">
        <v>4678</v>
      </c>
      <c r="H3563" s="6">
        <v>1.1303300000000001</v>
      </c>
      <c r="I3563" s="6">
        <v>13.499882857222524</v>
      </c>
      <c r="J3563" s="3" t="s">
        <v>3356</v>
      </c>
      <c r="L3563" s="1" t="s">
        <v>6135</v>
      </c>
    </row>
    <row r="3564" spans="1:12">
      <c r="A3564" s="3" t="s">
        <v>7297</v>
      </c>
      <c r="C3564" s="3" t="s">
        <v>3817</v>
      </c>
      <c r="D3564" s="3" t="s">
        <v>3618</v>
      </c>
      <c r="E3564" s="3" t="s">
        <v>3638</v>
      </c>
      <c r="F3564" s="3" t="s">
        <v>4699</v>
      </c>
      <c r="G3564" s="3" t="s">
        <v>3876</v>
      </c>
      <c r="H3564" s="6">
        <v>1.1303300000000001</v>
      </c>
      <c r="I3564" s="6">
        <v>13.499882857222524</v>
      </c>
      <c r="J3564" s="3" t="s">
        <v>3356</v>
      </c>
      <c r="L3564" s="1" t="s">
        <v>6135</v>
      </c>
    </row>
    <row r="3565" spans="1:12">
      <c r="A3565" s="3" t="s">
        <v>7297</v>
      </c>
      <c r="C3565" s="3" t="s">
        <v>3817</v>
      </c>
      <c r="D3565" s="3" t="s">
        <v>3618</v>
      </c>
      <c r="E3565" s="3" t="s">
        <v>3638</v>
      </c>
      <c r="F3565" s="3" t="s">
        <v>7373</v>
      </c>
      <c r="G3565" s="3" t="s">
        <v>3731</v>
      </c>
      <c r="H3565" s="6">
        <v>1.15229</v>
      </c>
      <c r="I3565" s="6">
        <v>14.200054133327482</v>
      </c>
      <c r="J3565" s="3" t="s">
        <v>3356</v>
      </c>
      <c r="L3565" s="1" t="s">
        <v>6135</v>
      </c>
    </row>
    <row r="3566" spans="1:12">
      <c r="A3566" s="3" t="s">
        <v>7297</v>
      </c>
      <c r="C3566" s="3" t="s">
        <v>3817</v>
      </c>
      <c r="D3566" s="3" t="s">
        <v>3618</v>
      </c>
      <c r="E3566" s="3" t="s">
        <v>3638</v>
      </c>
      <c r="F3566" s="3" t="s">
        <v>7373</v>
      </c>
      <c r="G3566" s="3" t="s">
        <v>6589</v>
      </c>
      <c r="H3566" s="6">
        <v>1.2787500000000001</v>
      </c>
      <c r="I3566" s="6">
        <v>18.999842462147331</v>
      </c>
      <c r="J3566" s="3" t="s">
        <v>3356</v>
      </c>
      <c r="L3566" s="1" t="s">
        <v>6135</v>
      </c>
    </row>
    <row r="3567" spans="1:12">
      <c r="A3567" s="3" t="s">
        <v>7297</v>
      </c>
      <c r="C3567" s="3" t="s">
        <v>3817</v>
      </c>
      <c r="D3567" s="3" t="s">
        <v>3618</v>
      </c>
      <c r="E3567" s="3" t="s">
        <v>3638</v>
      </c>
      <c r="F3567" s="3" t="s">
        <v>7373</v>
      </c>
      <c r="G3567" s="3" t="s">
        <v>3732</v>
      </c>
      <c r="H3567" s="6">
        <v>1.2787500000000001</v>
      </c>
      <c r="I3567" s="6">
        <v>18.999842462147331</v>
      </c>
      <c r="J3567" s="3" t="s">
        <v>3356</v>
      </c>
      <c r="L3567" s="1" t="s">
        <v>6135</v>
      </c>
    </row>
    <row r="3568" spans="1:12">
      <c r="A3568" s="3" t="s">
        <v>7297</v>
      </c>
      <c r="C3568" s="3" t="s">
        <v>3817</v>
      </c>
      <c r="D3568" s="3" t="s">
        <v>3618</v>
      </c>
      <c r="E3568" s="3" t="s">
        <v>3638</v>
      </c>
      <c r="F3568" s="3" t="s">
        <v>3272</v>
      </c>
      <c r="G3568" s="3" t="s">
        <v>7291</v>
      </c>
      <c r="H3568" s="6">
        <v>2.3958499999999998</v>
      </c>
      <c r="I3568" s="6">
        <v>248.79978458526151</v>
      </c>
      <c r="J3568" s="3" t="s">
        <v>3356</v>
      </c>
      <c r="L3568" s="1" t="s">
        <v>6135</v>
      </c>
    </row>
    <row r="3569" spans="1:12">
      <c r="A3569" s="3" t="s">
        <v>7297</v>
      </c>
      <c r="C3569" s="3" t="s">
        <v>3817</v>
      </c>
      <c r="D3569" s="3" t="s">
        <v>3618</v>
      </c>
      <c r="E3569" s="3" t="s">
        <v>3638</v>
      </c>
      <c r="F3569" s="3" t="s">
        <v>3272</v>
      </c>
      <c r="G3569" s="3" t="s">
        <v>4851</v>
      </c>
      <c r="H3569" s="6">
        <v>2.2804600000000002</v>
      </c>
      <c r="I3569" s="6">
        <v>190.74800304958731</v>
      </c>
      <c r="J3569" s="3" t="s">
        <v>3356</v>
      </c>
      <c r="L3569" s="1" t="s">
        <v>6135</v>
      </c>
    </row>
    <row r="3570" spans="1:12">
      <c r="A3570" s="3" t="s">
        <v>7297</v>
      </c>
      <c r="C3570" s="3" t="s">
        <v>3817</v>
      </c>
      <c r="D3570" s="3" t="s">
        <v>3618</v>
      </c>
      <c r="E3570" s="3" t="s">
        <v>3638</v>
      </c>
      <c r="F3570" s="3" t="s">
        <v>3273</v>
      </c>
      <c r="G3570" s="3" t="s">
        <v>3323</v>
      </c>
      <c r="H3570" s="6">
        <v>1.8095600000000001</v>
      </c>
      <c r="I3570" s="6">
        <v>64.500042381453241</v>
      </c>
      <c r="J3570" s="3" t="s">
        <v>3356</v>
      </c>
      <c r="L3570" s="1" t="s">
        <v>6135</v>
      </c>
    </row>
    <row r="3571" spans="1:12">
      <c r="A3571" s="3" t="s">
        <v>7297</v>
      </c>
      <c r="C3571" s="3" t="s">
        <v>3817</v>
      </c>
      <c r="D3571" s="3" t="s">
        <v>3618</v>
      </c>
      <c r="E3571" s="3" t="s">
        <v>3638</v>
      </c>
      <c r="F3571" s="3" t="s">
        <v>4702</v>
      </c>
      <c r="G3571" s="3" t="s">
        <v>2414</v>
      </c>
      <c r="H3571" s="6">
        <v>1.5966</v>
      </c>
      <c r="I3571" s="6">
        <v>39.500264159788394</v>
      </c>
      <c r="J3571" s="3" t="s">
        <v>3356</v>
      </c>
      <c r="L3571" s="1" t="s">
        <v>6135</v>
      </c>
    </row>
    <row r="3572" spans="1:12">
      <c r="A3572" s="3" t="s">
        <v>7297</v>
      </c>
      <c r="C3572" s="3" t="s">
        <v>3817</v>
      </c>
      <c r="D3572" s="3" t="s">
        <v>3618</v>
      </c>
      <c r="E3572" s="3" t="s">
        <v>3638</v>
      </c>
      <c r="F3572" s="3" t="s">
        <v>4702</v>
      </c>
      <c r="G3572" s="3" t="s">
        <v>4703</v>
      </c>
      <c r="H3572" s="6">
        <v>1.60206</v>
      </c>
      <c r="I3572" s="6">
        <v>40.000000798724201</v>
      </c>
      <c r="J3572" s="3" t="s">
        <v>3356</v>
      </c>
      <c r="L3572" s="1" t="s">
        <v>6135</v>
      </c>
    </row>
    <row r="3573" spans="1:12">
      <c r="A3573" s="3" t="s">
        <v>7297</v>
      </c>
      <c r="C3573" s="3" t="s">
        <v>3817</v>
      </c>
      <c r="D3573" s="3" t="s">
        <v>3618</v>
      </c>
      <c r="E3573" s="3" t="s">
        <v>3638</v>
      </c>
      <c r="F3573" s="3" t="s">
        <v>4702</v>
      </c>
      <c r="G3573" s="3" t="s">
        <v>7368</v>
      </c>
      <c r="H3573" s="6">
        <v>0.67210000000000003</v>
      </c>
      <c r="I3573" s="6">
        <v>4.7000231817980112</v>
      </c>
      <c r="J3573" s="3" t="s">
        <v>3356</v>
      </c>
      <c r="L3573" s="1" t="s">
        <v>6135</v>
      </c>
    </row>
    <row r="3574" spans="1:12">
      <c r="A3574" s="3" t="s">
        <v>7297</v>
      </c>
      <c r="C3574" s="3" t="s">
        <v>3817</v>
      </c>
      <c r="D3574" s="3" t="s">
        <v>3618</v>
      </c>
      <c r="E3574" s="3" t="s">
        <v>3638</v>
      </c>
      <c r="F3574" s="3" t="s">
        <v>4702</v>
      </c>
      <c r="G3574" s="3" t="s">
        <v>7369</v>
      </c>
      <c r="H3574" s="6">
        <v>1.60206</v>
      </c>
      <c r="I3574" s="6">
        <v>40.000000798724201</v>
      </c>
      <c r="J3574" s="3" t="s">
        <v>3356</v>
      </c>
      <c r="L3574" s="1" t="s">
        <v>6135</v>
      </c>
    </row>
    <row r="3575" spans="1:12">
      <c r="A3575" s="3" t="s">
        <v>7297</v>
      </c>
      <c r="C3575" s="3" t="s">
        <v>3817</v>
      </c>
      <c r="D3575" s="3" t="s">
        <v>3618</v>
      </c>
      <c r="E3575" s="3" t="s">
        <v>3638</v>
      </c>
      <c r="F3575" s="3" t="s">
        <v>4702</v>
      </c>
      <c r="G3575" s="3" t="s">
        <v>7370</v>
      </c>
      <c r="H3575" s="6">
        <v>1.67302</v>
      </c>
      <c r="I3575" s="6">
        <v>47.099901620379349</v>
      </c>
      <c r="J3575" s="3" t="s">
        <v>3356</v>
      </c>
      <c r="L3575" s="1" t="s">
        <v>6135</v>
      </c>
    </row>
    <row r="3576" spans="1:12">
      <c r="A3576" s="3" t="s">
        <v>7297</v>
      </c>
      <c r="C3576" s="3" t="s">
        <v>3817</v>
      </c>
      <c r="D3576" s="3" t="s">
        <v>3618</v>
      </c>
      <c r="E3576" s="3" t="s">
        <v>3638</v>
      </c>
      <c r="F3576" s="3" t="s">
        <v>4662</v>
      </c>
      <c r="G3576" s="3" t="s">
        <v>4656</v>
      </c>
      <c r="H3576" s="6">
        <v>1.3283799999999999</v>
      </c>
      <c r="I3576" s="6">
        <v>21.300019449380763</v>
      </c>
      <c r="J3576" s="3" t="s">
        <v>3356</v>
      </c>
      <c r="L3576" s="1" t="s">
        <v>6135</v>
      </c>
    </row>
    <row r="3577" spans="1:12">
      <c r="A3577" s="3" t="s">
        <v>7297</v>
      </c>
      <c r="C3577" s="3" t="s">
        <v>3817</v>
      </c>
      <c r="D3577" s="3" t="s">
        <v>3618</v>
      </c>
      <c r="E3577" s="3" t="s">
        <v>3638</v>
      </c>
      <c r="F3577" s="3" t="s">
        <v>4657</v>
      </c>
      <c r="G3577" s="3" t="s">
        <v>4010</v>
      </c>
      <c r="H3577" s="6">
        <v>1.53148</v>
      </c>
      <c r="I3577" s="6">
        <v>34.000084782585944</v>
      </c>
      <c r="J3577" s="3" t="s">
        <v>3356</v>
      </c>
      <c r="L3577" s="1" t="s">
        <v>6135</v>
      </c>
    </row>
    <row r="3578" spans="1:12">
      <c r="A3578" s="3" t="s">
        <v>7297</v>
      </c>
      <c r="C3578" s="3" t="s">
        <v>3817</v>
      </c>
      <c r="D3578" s="3" t="s">
        <v>3618</v>
      </c>
      <c r="E3578" s="3" t="s">
        <v>3638</v>
      </c>
      <c r="F3578" s="3" t="s">
        <v>4657</v>
      </c>
      <c r="G3578" s="3" t="s">
        <v>4658</v>
      </c>
      <c r="H3578" s="6">
        <v>1.8656999999999999</v>
      </c>
      <c r="I3578" s="6">
        <v>73.400665915604193</v>
      </c>
      <c r="J3578" s="3" t="s">
        <v>3356</v>
      </c>
      <c r="L3578" s="1" t="s">
        <v>6135</v>
      </c>
    </row>
    <row r="3579" spans="1:12">
      <c r="A3579" s="3" t="s">
        <v>7297</v>
      </c>
      <c r="C3579" s="3" t="s">
        <v>3817</v>
      </c>
      <c r="D3579" s="3" t="s">
        <v>3618</v>
      </c>
      <c r="E3579" s="3" t="s">
        <v>3638</v>
      </c>
      <c r="F3579" s="3" t="s">
        <v>4657</v>
      </c>
      <c r="G3579" s="3" t="s">
        <v>3569</v>
      </c>
      <c r="H3579" s="6">
        <v>1.7892300000000001</v>
      </c>
      <c r="I3579" s="6">
        <v>61.550275332678588</v>
      </c>
      <c r="J3579" s="3" t="s">
        <v>3356</v>
      </c>
      <c r="L3579" s="1" t="s">
        <v>6135</v>
      </c>
    </row>
    <row r="3580" spans="1:12">
      <c r="A3580" s="3" t="s">
        <v>7297</v>
      </c>
      <c r="C3580" s="3" t="s">
        <v>3817</v>
      </c>
      <c r="D3580" s="3" t="s">
        <v>3618</v>
      </c>
      <c r="E3580" s="3" t="s">
        <v>3638</v>
      </c>
      <c r="F3580" s="3" t="s">
        <v>4657</v>
      </c>
      <c r="G3580" s="3" t="s">
        <v>4659</v>
      </c>
      <c r="H3580" s="6">
        <v>1.8656999999999999</v>
      </c>
      <c r="I3580" s="6">
        <v>73.400665915604193</v>
      </c>
      <c r="J3580" s="3" t="s">
        <v>3356</v>
      </c>
      <c r="L3580" s="1" t="s">
        <v>6135</v>
      </c>
    </row>
    <row r="3581" spans="1:12">
      <c r="A3581" s="3" t="s">
        <v>7297</v>
      </c>
      <c r="C3581" s="3" t="s">
        <v>3817</v>
      </c>
      <c r="D3581" s="3" t="s">
        <v>3618</v>
      </c>
      <c r="E3581" s="3" t="s">
        <v>3638</v>
      </c>
      <c r="F3581" s="3" t="s">
        <v>4657</v>
      </c>
      <c r="G3581" s="3" t="s">
        <v>4660</v>
      </c>
      <c r="H3581" s="6">
        <v>1.7958799999999999</v>
      </c>
      <c r="I3581" s="6">
        <v>62.499997503987004</v>
      </c>
      <c r="J3581" s="3" t="s">
        <v>3356</v>
      </c>
      <c r="L3581" s="1" t="s">
        <v>6135</v>
      </c>
    </row>
    <row r="3582" spans="1:12">
      <c r="A3582" s="3" t="s">
        <v>7297</v>
      </c>
      <c r="C3582" s="3" t="s">
        <v>3817</v>
      </c>
      <c r="D3582" s="3" t="s">
        <v>3618</v>
      </c>
      <c r="E3582" s="3" t="s">
        <v>3638</v>
      </c>
      <c r="F3582" s="3" t="s">
        <v>4657</v>
      </c>
      <c r="G3582" s="3" t="s">
        <v>4661</v>
      </c>
      <c r="H3582" s="6">
        <v>1.8656999999999999</v>
      </c>
      <c r="I3582" s="6">
        <v>73.400665915604193</v>
      </c>
      <c r="J3582" s="3" t="s">
        <v>3356</v>
      </c>
      <c r="L3582" s="1" t="s">
        <v>6135</v>
      </c>
    </row>
    <row r="3583" spans="1:12">
      <c r="A3583" s="3" t="s">
        <v>7297</v>
      </c>
      <c r="C3583" s="3" t="s">
        <v>3817</v>
      </c>
      <c r="D3583" s="3" t="s">
        <v>3618</v>
      </c>
      <c r="E3583" s="3" t="s">
        <v>3638</v>
      </c>
      <c r="F3583" s="3" t="s">
        <v>4657</v>
      </c>
      <c r="G3583" s="3" t="s">
        <v>2049</v>
      </c>
      <c r="H3583" s="6">
        <v>1.8656999999999999</v>
      </c>
      <c r="I3583" s="6">
        <v>73.400665915604193</v>
      </c>
      <c r="J3583" s="3" t="s">
        <v>3356</v>
      </c>
      <c r="L3583" s="1" t="s">
        <v>6135</v>
      </c>
    </row>
    <row r="3584" spans="1:12">
      <c r="A3584" s="3" t="s">
        <v>7297</v>
      </c>
      <c r="C3584" s="3" t="s">
        <v>3817</v>
      </c>
      <c r="D3584" s="3" t="s">
        <v>3618</v>
      </c>
      <c r="E3584" s="3" t="s">
        <v>3638</v>
      </c>
      <c r="F3584" s="3" t="s">
        <v>4657</v>
      </c>
      <c r="G3584" s="3" t="s">
        <v>2050</v>
      </c>
      <c r="H3584" s="6">
        <v>1.8656999999999999</v>
      </c>
      <c r="I3584" s="6">
        <v>73.400665915604193</v>
      </c>
      <c r="J3584" s="3" t="s">
        <v>3356</v>
      </c>
      <c r="L3584" s="1" t="s">
        <v>6135</v>
      </c>
    </row>
    <row r="3585" spans="1:12">
      <c r="A3585" s="3" t="s">
        <v>7297</v>
      </c>
      <c r="C3585" s="3" t="s">
        <v>3817</v>
      </c>
      <c r="D3585" s="3" t="s">
        <v>3618</v>
      </c>
      <c r="E3585" s="3" t="s">
        <v>3638</v>
      </c>
      <c r="F3585" s="3" t="s">
        <v>4657</v>
      </c>
      <c r="G3585" s="3" t="s">
        <v>4665</v>
      </c>
      <c r="H3585" s="6">
        <v>1.8656999999999999</v>
      </c>
      <c r="I3585" s="6">
        <v>73.400665915604193</v>
      </c>
      <c r="J3585" s="3" t="s">
        <v>3356</v>
      </c>
      <c r="L3585" s="1" t="s">
        <v>6135</v>
      </c>
    </row>
    <row r="3586" spans="1:12">
      <c r="A3586" s="3" t="s">
        <v>7297</v>
      </c>
      <c r="C3586" s="3" t="s">
        <v>3817</v>
      </c>
      <c r="D3586" s="3" t="s">
        <v>3618</v>
      </c>
      <c r="E3586" s="3" t="s">
        <v>3638</v>
      </c>
      <c r="F3586" s="3" t="s">
        <v>4657</v>
      </c>
      <c r="G3586" s="3" t="s">
        <v>4407</v>
      </c>
      <c r="H3586" s="6">
        <v>1.8656999999999999</v>
      </c>
      <c r="I3586" s="6">
        <v>73.400665915604193</v>
      </c>
      <c r="J3586" s="3" t="s">
        <v>3356</v>
      </c>
      <c r="L3586" s="1" t="s">
        <v>6135</v>
      </c>
    </row>
    <row r="3587" spans="1:12">
      <c r="A3587" s="3" t="s">
        <v>7297</v>
      </c>
      <c r="C3587" s="3" t="s">
        <v>3817</v>
      </c>
      <c r="D3587" s="3" t="s">
        <v>3618</v>
      </c>
      <c r="E3587" s="3" t="s">
        <v>3638</v>
      </c>
      <c r="F3587" s="3" t="s">
        <v>4657</v>
      </c>
      <c r="G3587" s="3" t="s">
        <v>4666</v>
      </c>
      <c r="H3587" s="6">
        <v>1.8656999999999999</v>
      </c>
      <c r="I3587" s="6">
        <v>73.400665915604193</v>
      </c>
      <c r="J3587" s="3" t="s">
        <v>3356</v>
      </c>
      <c r="L3587" s="1" t="s">
        <v>6135</v>
      </c>
    </row>
    <row r="3588" spans="1:12">
      <c r="A3588" s="3" t="s">
        <v>7297</v>
      </c>
      <c r="C3588" s="3" t="s">
        <v>3817</v>
      </c>
      <c r="D3588" s="3" t="s">
        <v>3618</v>
      </c>
      <c r="E3588" s="3" t="s">
        <v>3638</v>
      </c>
      <c r="F3588" s="3" t="s">
        <v>4657</v>
      </c>
      <c r="G3588" s="3" t="s">
        <v>4668</v>
      </c>
      <c r="H3588" s="6">
        <v>1.8656999999999999</v>
      </c>
      <c r="I3588" s="6">
        <v>73.400665915604193</v>
      </c>
      <c r="J3588" s="3" t="s">
        <v>3356</v>
      </c>
      <c r="L3588" s="1" t="s">
        <v>6135</v>
      </c>
    </row>
    <row r="3589" spans="1:12">
      <c r="A3589" s="3" t="s">
        <v>7297</v>
      </c>
      <c r="C3589" s="3" t="s">
        <v>3817</v>
      </c>
      <c r="D3589" s="3" t="s">
        <v>3618</v>
      </c>
      <c r="E3589" s="3" t="s">
        <v>3638</v>
      </c>
      <c r="F3589" s="3" t="s">
        <v>4657</v>
      </c>
      <c r="G3589" s="3" t="s">
        <v>4848</v>
      </c>
      <c r="H3589" s="6">
        <v>1.8656999999999999</v>
      </c>
      <c r="I3589" s="6">
        <v>73.400665915604193</v>
      </c>
      <c r="J3589" s="3" t="s">
        <v>3356</v>
      </c>
      <c r="L3589" s="1" t="s">
        <v>6135</v>
      </c>
    </row>
    <row r="3590" spans="1:12">
      <c r="A3590" s="3" t="s">
        <v>7297</v>
      </c>
      <c r="C3590" s="3" t="s">
        <v>3817</v>
      </c>
      <c r="D3590" s="3" t="s">
        <v>3618</v>
      </c>
      <c r="E3590" s="3" t="s">
        <v>3638</v>
      </c>
      <c r="F3590" s="3" t="s">
        <v>3827</v>
      </c>
      <c r="G3590" s="3" t="s">
        <v>3946</v>
      </c>
      <c r="H3590" s="6">
        <v>1.4014</v>
      </c>
      <c r="I3590" s="6">
        <v>25.199968621092381</v>
      </c>
      <c r="J3590" s="3" t="s">
        <v>3356</v>
      </c>
      <c r="L3590" s="1" t="s">
        <v>6135</v>
      </c>
    </row>
    <row r="3591" spans="1:12">
      <c r="A3591" s="3" t="s">
        <v>7297</v>
      </c>
      <c r="C3591" s="3" t="s">
        <v>3817</v>
      </c>
      <c r="D3591" s="3" t="s">
        <v>3618</v>
      </c>
      <c r="E3591" s="3" t="s">
        <v>3638</v>
      </c>
      <c r="F3591" s="3" t="s">
        <v>3827</v>
      </c>
      <c r="G3591" s="3" t="s">
        <v>4849</v>
      </c>
      <c r="H3591" s="6">
        <v>1.4014</v>
      </c>
      <c r="I3591" s="6">
        <v>25.199968621092381</v>
      </c>
      <c r="J3591" s="3" t="s">
        <v>3356</v>
      </c>
      <c r="L3591" s="1" t="s">
        <v>6135</v>
      </c>
    </row>
    <row r="3592" spans="1:12">
      <c r="A3592" s="3" t="s">
        <v>7297</v>
      </c>
      <c r="C3592" s="3" t="s">
        <v>3817</v>
      </c>
      <c r="D3592" s="3" t="s">
        <v>3618</v>
      </c>
      <c r="E3592" s="3" t="s">
        <v>3638</v>
      </c>
      <c r="F3592" s="3" t="s">
        <v>3827</v>
      </c>
      <c r="G3592" s="3" t="s">
        <v>3914</v>
      </c>
      <c r="H3592" s="6">
        <v>1.3617300000000001</v>
      </c>
      <c r="I3592" s="6">
        <v>23.000114603619075</v>
      </c>
      <c r="J3592" s="3" t="s">
        <v>3356</v>
      </c>
      <c r="L3592" s="1" t="s">
        <v>6135</v>
      </c>
    </row>
    <row r="3593" spans="1:12">
      <c r="A3593" s="3" t="s">
        <v>7297</v>
      </c>
      <c r="C3593" s="3" t="s">
        <v>3817</v>
      </c>
      <c r="D3593" s="3" t="s">
        <v>3618</v>
      </c>
      <c r="E3593" s="3" t="s">
        <v>3638</v>
      </c>
      <c r="F3593" s="3" t="s">
        <v>3827</v>
      </c>
      <c r="G3593" s="3" t="s">
        <v>7327</v>
      </c>
      <c r="H3593" s="6">
        <v>1.46835</v>
      </c>
      <c r="I3593" s="6">
        <v>29.400180720978682</v>
      </c>
      <c r="J3593" s="3" t="s">
        <v>3356</v>
      </c>
      <c r="L3593" s="1" t="s">
        <v>6135</v>
      </c>
    </row>
    <row r="3594" spans="1:12">
      <c r="A3594" s="3" t="s">
        <v>7297</v>
      </c>
      <c r="C3594" s="3" t="s">
        <v>3817</v>
      </c>
      <c r="D3594" s="3" t="s">
        <v>3618</v>
      </c>
      <c r="E3594" s="3" t="s">
        <v>3638</v>
      </c>
      <c r="F3594" s="3" t="s">
        <v>3827</v>
      </c>
      <c r="G3594" s="3" t="s">
        <v>4850</v>
      </c>
      <c r="H3594" s="6">
        <v>1.4014</v>
      </c>
      <c r="I3594" s="6">
        <v>25.199968621092381</v>
      </c>
      <c r="J3594" s="3" t="s">
        <v>3356</v>
      </c>
      <c r="L3594" s="1" t="s">
        <v>6135</v>
      </c>
    </row>
    <row r="3595" spans="1:12">
      <c r="A3595" s="3" t="s">
        <v>7297</v>
      </c>
      <c r="C3595" s="3" t="s">
        <v>3817</v>
      </c>
      <c r="D3595" s="3" t="s">
        <v>3618</v>
      </c>
      <c r="E3595" s="3" t="s">
        <v>3638</v>
      </c>
      <c r="F3595" s="3" t="s">
        <v>3827</v>
      </c>
      <c r="G3595" s="3" t="s">
        <v>7363</v>
      </c>
      <c r="H3595" s="6">
        <v>1.47712</v>
      </c>
      <c r="I3595" s="6">
        <v>29.999913327161494</v>
      </c>
      <c r="J3595" s="3" t="s">
        <v>3356</v>
      </c>
      <c r="L3595" s="1" t="s">
        <v>6135</v>
      </c>
    </row>
    <row r="3596" spans="1:12">
      <c r="A3596" s="3" t="s">
        <v>7297</v>
      </c>
      <c r="C3596" s="3" t="s">
        <v>3817</v>
      </c>
      <c r="D3596" s="3" t="s">
        <v>3618</v>
      </c>
      <c r="E3596" s="3" t="s">
        <v>3638</v>
      </c>
      <c r="F3596" s="3" t="s">
        <v>3827</v>
      </c>
      <c r="G3596" s="3" t="s">
        <v>7584</v>
      </c>
      <c r="H3596" s="6">
        <v>1.3283799999999999</v>
      </c>
      <c r="I3596" s="6">
        <v>21.300019449380763</v>
      </c>
      <c r="J3596" s="3" t="s">
        <v>3356</v>
      </c>
      <c r="L3596" s="1" t="s">
        <v>6135</v>
      </c>
    </row>
    <row r="3597" spans="1:12">
      <c r="A3597" s="3" t="s">
        <v>7297</v>
      </c>
      <c r="C3597" s="3" t="s">
        <v>3817</v>
      </c>
      <c r="D3597" s="3" t="s">
        <v>3618</v>
      </c>
      <c r="E3597" s="3" t="s">
        <v>3638</v>
      </c>
      <c r="F3597" s="3" t="s">
        <v>3827</v>
      </c>
      <c r="G3597" s="3" t="s">
        <v>3368</v>
      </c>
      <c r="H3597" s="6">
        <v>1.39794</v>
      </c>
      <c r="I3597" s="6">
        <v>24.999999500797397</v>
      </c>
      <c r="J3597" s="3" t="s">
        <v>3356</v>
      </c>
      <c r="L3597" s="1" t="s">
        <v>6135</v>
      </c>
    </row>
    <row r="3598" spans="1:12">
      <c r="A3598" s="3" t="s">
        <v>7297</v>
      </c>
      <c r="C3598" s="3" t="s">
        <v>3817</v>
      </c>
      <c r="D3598" s="3" t="s">
        <v>3618</v>
      </c>
      <c r="E3598" s="3" t="s">
        <v>3638</v>
      </c>
      <c r="F3598" s="3" t="s">
        <v>3827</v>
      </c>
      <c r="G3598" s="3" t="s">
        <v>3733</v>
      </c>
      <c r="H3598" s="6">
        <v>1.4014</v>
      </c>
      <c r="I3598" s="6">
        <v>25.199968621092381</v>
      </c>
      <c r="J3598" s="3" t="s">
        <v>3356</v>
      </c>
      <c r="L3598" s="1" t="s">
        <v>6135</v>
      </c>
    </row>
    <row r="3599" spans="1:12">
      <c r="A3599" s="3" t="s">
        <v>7297</v>
      </c>
      <c r="C3599" s="3" t="s">
        <v>3817</v>
      </c>
      <c r="D3599" s="3" t="s">
        <v>3618</v>
      </c>
      <c r="E3599" s="3" t="s">
        <v>3638</v>
      </c>
      <c r="F3599" s="3" t="s">
        <v>3827</v>
      </c>
      <c r="G3599" s="3" t="s">
        <v>3295</v>
      </c>
      <c r="H3599" s="6">
        <v>1.4313637641589874</v>
      </c>
      <c r="I3599" s="6">
        <v>27</v>
      </c>
      <c r="J3599" s="3" t="s">
        <v>3356</v>
      </c>
      <c r="L3599" s="1" t="s">
        <v>6135</v>
      </c>
    </row>
    <row r="3600" spans="1:12">
      <c r="A3600" s="3" t="s">
        <v>7297</v>
      </c>
      <c r="C3600" s="3" t="s">
        <v>3817</v>
      </c>
      <c r="D3600" s="3" t="s">
        <v>3618</v>
      </c>
      <c r="E3600" s="3" t="s">
        <v>3638</v>
      </c>
      <c r="F3600" s="3" t="s">
        <v>3827</v>
      </c>
      <c r="G3600" s="3" t="s">
        <v>3688</v>
      </c>
      <c r="H3600" s="6">
        <v>1.4014</v>
      </c>
      <c r="I3600" s="6">
        <v>25.199968621092381</v>
      </c>
      <c r="J3600" s="3" t="s">
        <v>3356</v>
      </c>
      <c r="L3600" s="1" t="s">
        <v>6135</v>
      </c>
    </row>
    <row r="3601" spans="1:12">
      <c r="A3601" s="3" t="s">
        <v>7297</v>
      </c>
      <c r="C3601" s="3" t="s">
        <v>3817</v>
      </c>
      <c r="D3601" s="3" t="s">
        <v>3618</v>
      </c>
      <c r="E3601" s="3" t="s">
        <v>3638</v>
      </c>
      <c r="F3601" s="3" t="s">
        <v>3827</v>
      </c>
      <c r="G3601" s="3" t="s">
        <v>2311</v>
      </c>
      <c r="H3601" s="6">
        <v>1.3521799999999999</v>
      </c>
      <c r="I3601" s="6">
        <v>22.499869541650284</v>
      </c>
      <c r="J3601" s="3" t="s">
        <v>3356</v>
      </c>
      <c r="L3601" s="1" t="s">
        <v>6135</v>
      </c>
    </row>
    <row r="3602" spans="1:12">
      <c r="A3602" s="3" t="s">
        <v>7297</v>
      </c>
      <c r="C3602" s="3" t="s">
        <v>3817</v>
      </c>
      <c r="D3602" s="3" t="s">
        <v>3618</v>
      </c>
      <c r="E3602" s="3" t="s">
        <v>3638</v>
      </c>
      <c r="F3602" s="3" t="s">
        <v>3827</v>
      </c>
      <c r="G3602" s="3" t="s">
        <v>4856</v>
      </c>
      <c r="H3602" s="6">
        <v>1.31175</v>
      </c>
      <c r="I3602" s="6">
        <v>20.499817747416984</v>
      </c>
      <c r="J3602" s="3" t="s">
        <v>3356</v>
      </c>
      <c r="L3602" s="1" t="s">
        <v>6135</v>
      </c>
    </row>
    <row r="3603" spans="1:12">
      <c r="A3603" s="3" t="s">
        <v>7297</v>
      </c>
      <c r="C3603" s="3" t="s">
        <v>3817</v>
      </c>
      <c r="D3603" s="3" t="s">
        <v>3618</v>
      </c>
      <c r="E3603" s="3" t="s">
        <v>3638</v>
      </c>
      <c r="F3603" s="3" t="s">
        <v>3398</v>
      </c>
      <c r="G3603" s="3" t="s">
        <v>3734</v>
      </c>
      <c r="H3603" s="6">
        <v>1.78176</v>
      </c>
      <c r="I3603" s="6">
        <v>60.500644343935861</v>
      </c>
      <c r="J3603" s="3" t="s">
        <v>3356</v>
      </c>
      <c r="L3603" s="1" t="s">
        <v>6135</v>
      </c>
    </row>
    <row r="3604" spans="1:12">
      <c r="A3604" s="3" t="s">
        <v>7297</v>
      </c>
      <c r="C3604" s="3" t="s">
        <v>3817</v>
      </c>
      <c r="D3604" s="3" t="s">
        <v>3618</v>
      </c>
      <c r="E3604" s="3" t="s">
        <v>3638</v>
      </c>
      <c r="F3604" s="3" t="s">
        <v>3398</v>
      </c>
      <c r="G3604" s="3" t="s">
        <v>3399</v>
      </c>
      <c r="H3604" s="6">
        <v>1.52244</v>
      </c>
      <c r="I3604" s="6">
        <v>33.299675392897669</v>
      </c>
      <c r="J3604" s="3" t="s">
        <v>3356</v>
      </c>
      <c r="L3604" s="1" t="s">
        <v>6135</v>
      </c>
    </row>
    <row r="3605" spans="1:12">
      <c r="A3605" s="3" t="s">
        <v>7297</v>
      </c>
      <c r="C3605" s="3" t="s">
        <v>3817</v>
      </c>
      <c r="D3605" s="3" t="s">
        <v>3618</v>
      </c>
      <c r="E3605" s="3" t="s">
        <v>3638</v>
      </c>
      <c r="F3605" s="3" t="s">
        <v>3398</v>
      </c>
      <c r="G3605" s="3" t="s">
        <v>7322</v>
      </c>
      <c r="H3605" s="6">
        <v>1.78176</v>
      </c>
      <c r="I3605" s="6">
        <v>60.500644343935861</v>
      </c>
      <c r="J3605" s="3" t="s">
        <v>3356</v>
      </c>
      <c r="L3605" s="1" t="s">
        <v>6135</v>
      </c>
    </row>
    <row r="3606" spans="1:12">
      <c r="A3606" s="3" t="s">
        <v>7297</v>
      </c>
      <c r="C3606" s="3" t="s">
        <v>3817</v>
      </c>
      <c r="D3606" s="3" t="s">
        <v>3618</v>
      </c>
      <c r="E3606" s="3" t="s">
        <v>3638</v>
      </c>
      <c r="F3606" s="3" t="s">
        <v>3398</v>
      </c>
      <c r="G3606" s="3" t="s">
        <v>7323</v>
      </c>
      <c r="H3606" s="6">
        <v>1.78176</v>
      </c>
      <c r="I3606" s="6">
        <v>60.500644343935861</v>
      </c>
      <c r="J3606" s="3" t="s">
        <v>3356</v>
      </c>
      <c r="L3606" s="1" t="s">
        <v>6135</v>
      </c>
    </row>
    <row r="3607" spans="1:12">
      <c r="A3607" s="3" t="s">
        <v>7297</v>
      </c>
      <c r="C3607" s="3" t="s">
        <v>3817</v>
      </c>
      <c r="D3607" s="3" t="s">
        <v>3618</v>
      </c>
      <c r="E3607" s="3" t="s">
        <v>3638</v>
      </c>
      <c r="F3607" s="3" t="s">
        <v>3398</v>
      </c>
      <c r="G3607" s="3" t="s">
        <v>3944</v>
      </c>
      <c r="H3607" s="6">
        <v>1.78176</v>
      </c>
      <c r="I3607" s="6">
        <v>60.500644343935861</v>
      </c>
      <c r="J3607" s="3" t="s">
        <v>3356</v>
      </c>
      <c r="L3607" s="1" t="s">
        <v>6135</v>
      </c>
    </row>
    <row r="3608" spans="1:12">
      <c r="A3608" s="3" t="s">
        <v>7297</v>
      </c>
      <c r="C3608" s="3" t="s">
        <v>3817</v>
      </c>
      <c r="D3608" s="3" t="s">
        <v>3618</v>
      </c>
      <c r="E3608" s="3" t="s">
        <v>3638</v>
      </c>
      <c r="F3608" s="3" t="s">
        <v>3398</v>
      </c>
      <c r="G3608" s="3" t="s">
        <v>4841</v>
      </c>
      <c r="H3608" s="6">
        <v>2.0013000000000001</v>
      </c>
      <c r="I3608" s="6">
        <v>100.29978451983322</v>
      </c>
      <c r="J3608" s="3" t="s">
        <v>3356</v>
      </c>
      <c r="L3608" s="1" t="s">
        <v>6135</v>
      </c>
    </row>
    <row r="3609" spans="1:12">
      <c r="A3609" s="3" t="s">
        <v>7297</v>
      </c>
      <c r="C3609" s="3" t="s">
        <v>3817</v>
      </c>
      <c r="D3609" s="3" t="s">
        <v>3618</v>
      </c>
      <c r="E3609" s="3" t="s">
        <v>3638</v>
      </c>
      <c r="F3609" s="3" t="s">
        <v>3398</v>
      </c>
      <c r="G3609" s="3" t="s">
        <v>4207</v>
      </c>
      <c r="H3609" s="6">
        <v>1.76193</v>
      </c>
      <c r="I3609" s="6">
        <v>57.800287684070526</v>
      </c>
      <c r="J3609" s="3" t="s">
        <v>3356</v>
      </c>
      <c r="L3609" s="1" t="s">
        <v>6135</v>
      </c>
    </row>
    <row r="3610" spans="1:12">
      <c r="A3610" s="3" t="s">
        <v>7297</v>
      </c>
      <c r="C3610" s="3" t="s">
        <v>3817</v>
      </c>
      <c r="D3610" s="3" t="s">
        <v>3618</v>
      </c>
      <c r="E3610" s="3" t="s">
        <v>3638</v>
      </c>
      <c r="F3610" s="3" t="s">
        <v>3398</v>
      </c>
      <c r="G3610" s="3" t="s">
        <v>3162</v>
      </c>
      <c r="H3610" s="6">
        <v>1.84073</v>
      </c>
      <c r="I3610" s="6">
        <v>69.299483857675455</v>
      </c>
      <c r="J3610" s="3" t="s">
        <v>3356</v>
      </c>
      <c r="L3610" s="1" t="s">
        <v>6135</v>
      </c>
    </row>
    <row r="3611" spans="1:12">
      <c r="A3611" s="3" t="s">
        <v>7297</v>
      </c>
      <c r="C3611" s="3" t="s">
        <v>3817</v>
      </c>
      <c r="D3611" s="3" t="s">
        <v>3618</v>
      </c>
      <c r="E3611" s="3" t="s">
        <v>3638</v>
      </c>
      <c r="F3611" s="3" t="s">
        <v>3398</v>
      </c>
      <c r="G3611" s="3" t="s">
        <v>7374</v>
      </c>
      <c r="H3611" s="6">
        <v>1.78176</v>
      </c>
      <c r="I3611" s="6">
        <v>60.500644343935861</v>
      </c>
      <c r="J3611" s="3" t="s">
        <v>3356</v>
      </c>
      <c r="L3611" s="1" t="s">
        <v>6135</v>
      </c>
    </row>
    <row r="3612" spans="1:12">
      <c r="A3612" s="3" t="s">
        <v>7297</v>
      </c>
      <c r="C3612" s="3" t="s">
        <v>3817</v>
      </c>
      <c r="D3612" s="3" t="s">
        <v>3618</v>
      </c>
      <c r="E3612" s="3" t="s">
        <v>3638</v>
      </c>
      <c r="F3612" s="3" t="s">
        <v>3398</v>
      </c>
      <c r="G3612" s="3" t="s">
        <v>7375</v>
      </c>
      <c r="H3612" s="6">
        <v>1.78176</v>
      </c>
      <c r="I3612" s="6">
        <v>60.500644343935861</v>
      </c>
      <c r="J3612" s="3" t="s">
        <v>3356</v>
      </c>
      <c r="L3612" s="1" t="s">
        <v>6135</v>
      </c>
    </row>
    <row r="3613" spans="1:12">
      <c r="A3613" s="3" t="s">
        <v>7297</v>
      </c>
      <c r="C3613" s="3" t="s">
        <v>3817</v>
      </c>
      <c r="D3613" s="3" t="s">
        <v>3618</v>
      </c>
      <c r="E3613" s="3" t="s">
        <v>3638</v>
      </c>
      <c r="F3613" s="3" t="s">
        <v>3398</v>
      </c>
      <c r="G3613" s="3" t="s">
        <v>7376</v>
      </c>
      <c r="H3613" s="6">
        <v>1.78176</v>
      </c>
      <c r="I3613" s="6">
        <v>60.500644343935861</v>
      </c>
      <c r="J3613" s="3" t="s">
        <v>3356</v>
      </c>
      <c r="L3613" s="1" t="s">
        <v>6135</v>
      </c>
    </row>
    <row r="3614" spans="1:12">
      <c r="A3614" s="3" t="s">
        <v>7297</v>
      </c>
      <c r="C3614" s="3" t="s">
        <v>3817</v>
      </c>
      <c r="D3614" s="3" t="s">
        <v>3618</v>
      </c>
      <c r="E3614" s="3" t="s">
        <v>3638</v>
      </c>
      <c r="F3614" s="3" t="s">
        <v>3398</v>
      </c>
      <c r="G3614" s="3" t="s">
        <v>3587</v>
      </c>
      <c r="H3614" s="6">
        <v>1.78176</v>
      </c>
      <c r="I3614" s="6">
        <v>60.500644343935861</v>
      </c>
      <c r="J3614" s="3" t="s">
        <v>3356</v>
      </c>
      <c r="L3614" s="1" t="s">
        <v>6135</v>
      </c>
    </row>
    <row r="3615" spans="1:12">
      <c r="A3615" s="3" t="s">
        <v>7297</v>
      </c>
      <c r="C3615" s="3" t="s">
        <v>3817</v>
      </c>
      <c r="D3615" s="3" t="s">
        <v>3618</v>
      </c>
      <c r="E3615" s="3" t="s">
        <v>3638</v>
      </c>
      <c r="F3615" s="3" t="s">
        <v>3398</v>
      </c>
      <c r="G3615" s="3" t="s">
        <v>3744</v>
      </c>
      <c r="H3615" s="6">
        <v>1.7656700000000001</v>
      </c>
      <c r="I3615" s="6">
        <v>58.300194010500242</v>
      </c>
      <c r="J3615" s="3" t="s">
        <v>3356</v>
      </c>
      <c r="L3615" s="1" t="s">
        <v>6135</v>
      </c>
    </row>
    <row r="3616" spans="1:12">
      <c r="A3616" s="3" t="s">
        <v>7297</v>
      </c>
      <c r="C3616" s="3" t="s">
        <v>3817</v>
      </c>
      <c r="D3616" s="3" t="s">
        <v>3618</v>
      </c>
      <c r="E3616" s="3" t="s">
        <v>3638</v>
      </c>
      <c r="F3616" s="3" t="s">
        <v>3398</v>
      </c>
      <c r="G3616" s="3" t="s">
        <v>7380</v>
      </c>
      <c r="H3616" s="6">
        <v>1.78176</v>
      </c>
      <c r="I3616" s="6">
        <v>60.500644343935861</v>
      </c>
      <c r="J3616" s="3" t="s">
        <v>3356</v>
      </c>
      <c r="L3616" s="1" t="s">
        <v>6135</v>
      </c>
    </row>
    <row r="3617" spans="1:12">
      <c r="A3617" s="3" t="s">
        <v>7297</v>
      </c>
      <c r="C3617" s="3" t="s">
        <v>3817</v>
      </c>
      <c r="D3617" s="3" t="s">
        <v>3618</v>
      </c>
      <c r="E3617" s="3" t="s">
        <v>3638</v>
      </c>
      <c r="F3617" s="3" t="s">
        <v>3398</v>
      </c>
      <c r="G3617" s="3" t="s">
        <v>7328</v>
      </c>
      <c r="H3617" s="6">
        <v>1.78176</v>
      </c>
      <c r="I3617" s="6">
        <v>60.500644343935861</v>
      </c>
      <c r="J3617" s="3" t="s">
        <v>3356</v>
      </c>
      <c r="L3617" s="1" t="s">
        <v>6135</v>
      </c>
    </row>
    <row r="3618" spans="1:12">
      <c r="A3618" s="3" t="s">
        <v>7297</v>
      </c>
      <c r="C3618" s="3" t="s">
        <v>3817</v>
      </c>
      <c r="D3618" s="3" t="s">
        <v>3618</v>
      </c>
      <c r="E3618" s="3" t="s">
        <v>3638</v>
      </c>
      <c r="F3618" s="3" t="s">
        <v>3398</v>
      </c>
      <c r="G3618" s="3" t="s">
        <v>7329</v>
      </c>
      <c r="H3618" s="6">
        <v>1.78888</v>
      </c>
      <c r="I3618" s="6">
        <v>61.500691653966378</v>
      </c>
      <c r="J3618" s="3" t="s">
        <v>3356</v>
      </c>
      <c r="L3618" s="1" t="s">
        <v>6135</v>
      </c>
    </row>
    <row r="3619" spans="1:12">
      <c r="A3619" s="3" t="s">
        <v>7297</v>
      </c>
      <c r="C3619" s="3" t="s">
        <v>3817</v>
      </c>
      <c r="D3619" s="3" t="s">
        <v>3618</v>
      </c>
      <c r="E3619" s="3" t="s">
        <v>3638</v>
      </c>
      <c r="F3619" s="3" t="s">
        <v>3398</v>
      </c>
      <c r="G3619" s="3" t="s">
        <v>2183</v>
      </c>
      <c r="H3619" s="6">
        <v>1.78176</v>
      </c>
      <c r="I3619" s="6">
        <v>60.500644343935861</v>
      </c>
      <c r="J3619" s="3" t="s">
        <v>3356</v>
      </c>
      <c r="L3619" s="1" t="s">
        <v>6135</v>
      </c>
    </row>
    <row r="3620" spans="1:12">
      <c r="A3620" s="3" t="s">
        <v>7297</v>
      </c>
      <c r="C3620" s="3" t="s">
        <v>3817</v>
      </c>
      <c r="D3620" s="3" t="s">
        <v>3618</v>
      </c>
      <c r="E3620" s="3" t="s">
        <v>3638</v>
      </c>
      <c r="F3620" s="3" t="s">
        <v>3398</v>
      </c>
      <c r="G3620" s="3" t="s">
        <v>4025</v>
      </c>
      <c r="H3620" s="6">
        <v>1.7634300000000001</v>
      </c>
      <c r="I3620" s="6">
        <v>58.000267960159121</v>
      </c>
      <c r="J3620" s="3" t="s">
        <v>3356</v>
      </c>
      <c r="L3620" s="1" t="s">
        <v>6135</v>
      </c>
    </row>
    <row r="3621" spans="1:12">
      <c r="A3621" s="3" t="s">
        <v>7297</v>
      </c>
      <c r="C3621" s="3" t="s">
        <v>3817</v>
      </c>
      <c r="D3621" s="3" t="s">
        <v>3618</v>
      </c>
      <c r="E3621" s="3" t="s">
        <v>3638</v>
      </c>
      <c r="F3621" s="3" t="s">
        <v>3398</v>
      </c>
      <c r="G3621" s="3" t="s">
        <v>4026</v>
      </c>
      <c r="H3621" s="6">
        <v>1.74194</v>
      </c>
      <c r="I3621" s="6">
        <v>55.200117223230812</v>
      </c>
      <c r="J3621" s="3" t="s">
        <v>3356</v>
      </c>
      <c r="L3621" s="1" t="s">
        <v>6135</v>
      </c>
    </row>
    <row r="3622" spans="1:12">
      <c r="A3622" s="3" t="s">
        <v>7297</v>
      </c>
      <c r="C3622" s="3" t="s">
        <v>3817</v>
      </c>
      <c r="D3622" s="3" t="s">
        <v>3618</v>
      </c>
      <c r="E3622" s="3" t="s">
        <v>3638</v>
      </c>
      <c r="F3622" s="3" t="s">
        <v>3398</v>
      </c>
      <c r="G3622" s="3" t="s">
        <v>3750</v>
      </c>
      <c r="H3622" s="6">
        <v>1.78176</v>
      </c>
      <c r="I3622" s="6">
        <v>60.500644343935861</v>
      </c>
      <c r="J3622" s="3" t="s">
        <v>3356</v>
      </c>
      <c r="L3622" s="1" t="s">
        <v>6135</v>
      </c>
    </row>
    <row r="3623" spans="1:12">
      <c r="A3623" s="3" t="s">
        <v>7297</v>
      </c>
      <c r="C3623" s="3" t="s">
        <v>3817</v>
      </c>
      <c r="D3623" s="3" t="s">
        <v>3618</v>
      </c>
      <c r="E3623" s="3" t="s">
        <v>3638</v>
      </c>
      <c r="F3623" s="3" t="s">
        <v>3398</v>
      </c>
      <c r="G3623" s="3" t="s">
        <v>4624</v>
      </c>
      <c r="H3623" s="6">
        <v>1.78176</v>
      </c>
      <c r="I3623" s="6">
        <v>60.500644343935861</v>
      </c>
      <c r="J3623" s="3" t="s">
        <v>3356</v>
      </c>
      <c r="L3623" s="1" t="s">
        <v>6135</v>
      </c>
    </row>
    <row r="3624" spans="1:12">
      <c r="A3624" s="3" t="s">
        <v>7297</v>
      </c>
      <c r="C3624" s="3" t="s">
        <v>3817</v>
      </c>
      <c r="D3624" s="3" t="s">
        <v>3618</v>
      </c>
      <c r="E3624" s="3" t="s">
        <v>3638</v>
      </c>
      <c r="F3624" s="3" t="s">
        <v>3398</v>
      </c>
      <c r="G3624" s="3" t="s">
        <v>7381</v>
      </c>
      <c r="H3624" s="6">
        <v>2.1583600000000001</v>
      </c>
      <c r="I3624" s="6">
        <v>143.99917369273325</v>
      </c>
      <c r="J3624" s="3" t="s">
        <v>3356</v>
      </c>
      <c r="L3624" s="1" t="s">
        <v>6135</v>
      </c>
    </row>
    <row r="3625" spans="1:12">
      <c r="A3625" s="3" t="s">
        <v>7297</v>
      </c>
      <c r="C3625" s="3" t="s">
        <v>3817</v>
      </c>
      <c r="D3625" s="3" t="s">
        <v>3618</v>
      </c>
      <c r="E3625" s="3" t="s">
        <v>3638</v>
      </c>
      <c r="F3625" s="3" t="s">
        <v>3398</v>
      </c>
      <c r="G3625" s="3" t="s">
        <v>3302</v>
      </c>
      <c r="H3625" s="6">
        <v>1.6989700000000001</v>
      </c>
      <c r="I3625" s="6">
        <v>49.999999500797408</v>
      </c>
      <c r="J3625" s="3" t="s">
        <v>3356</v>
      </c>
      <c r="L3625" s="1" t="s">
        <v>6135</v>
      </c>
    </row>
    <row r="3626" spans="1:12">
      <c r="A3626" s="3" t="s">
        <v>7297</v>
      </c>
      <c r="C3626" s="3" t="s">
        <v>3817</v>
      </c>
      <c r="D3626" s="3" t="s">
        <v>3618</v>
      </c>
      <c r="E3626" s="3" t="s">
        <v>3638</v>
      </c>
      <c r="F3626" s="3" t="s">
        <v>3398</v>
      </c>
      <c r="G3626" s="3" t="s">
        <v>3567</v>
      </c>
      <c r="H3626" s="6">
        <v>1.7403599999999999</v>
      </c>
      <c r="I3626" s="6">
        <v>54.999659397640222</v>
      </c>
      <c r="J3626" s="3" t="s">
        <v>3356</v>
      </c>
      <c r="L3626" s="1" t="s">
        <v>6135</v>
      </c>
    </row>
    <row r="3627" spans="1:12">
      <c r="A3627" s="3" t="s">
        <v>7297</v>
      </c>
      <c r="C3627" s="3" t="s">
        <v>3817</v>
      </c>
      <c r="D3627" s="3" t="s">
        <v>3618</v>
      </c>
      <c r="E3627" s="3" t="s">
        <v>3638</v>
      </c>
      <c r="F3627" s="3" t="s">
        <v>3398</v>
      </c>
      <c r="G3627" s="3" t="s">
        <v>4863</v>
      </c>
      <c r="H3627" s="6">
        <v>1.9019999999999999</v>
      </c>
      <c r="I3627" s="6">
        <v>79.79946872679767</v>
      </c>
      <c r="J3627" s="3" t="s">
        <v>3356</v>
      </c>
      <c r="L3627" s="1" t="s">
        <v>6135</v>
      </c>
    </row>
    <row r="3628" spans="1:12">
      <c r="A3628" s="3" t="s">
        <v>7297</v>
      </c>
      <c r="C3628" s="3" t="s">
        <v>3817</v>
      </c>
      <c r="D3628" s="3" t="s">
        <v>3618</v>
      </c>
      <c r="E3628" s="3" t="s">
        <v>3638</v>
      </c>
      <c r="F3628" s="3" t="s">
        <v>3398</v>
      </c>
      <c r="G3628" s="3" t="s">
        <v>4706</v>
      </c>
      <c r="H3628" s="6">
        <v>1.78176</v>
      </c>
      <c r="I3628" s="6">
        <v>60.500644343935861</v>
      </c>
      <c r="J3628" s="3" t="s">
        <v>3356</v>
      </c>
      <c r="L3628" s="1" t="s">
        <v>6135</v>
      </c>
    </row>
    <row r="3629" spans="1:12">
      <c r="A3629" s="3" t="s">
        <v>7297</v>
      </c>
      <c r="C3629" s="3" t="s">
        <v>3817</v>
      </c>
      <c r="D3629" s="3" t="s">
        <v>3618</v>
      </c>
      <c r="E3629" s="3" t="s">
        <v>3638</v>
      </c>
      <c r="F3629" s="3" t="s">
        <v>3563</v>
      </c>
      <c r="G3629" s="3" t="s">
        <v>3564</v>
      </c>
      <c r="H3629" s="6">
        <v>1.8325100000000001</v>
      </c>
      <c r="I3629" s="6">
        <v>68.000170244089148</v>
      </c>
      <c r="J3629" s="3" t="s">
        <v>3356</v>
      </c>
      <c r="L3629" s="1" t="s">
        <v>6135</v>
      </c>
    </row>
    <row r="3630" spans="1:12">
      <c r="A3630" s="3" t="s">
        <v>7297</v>
      </c>
      <c r="C3630" s="3" t="s">
        <v>3817</v>
      </c>
      <c r="D3630" s="3" t="s">
        <v>3618</v>
      </c>
      <c r="E3630" s="3" t="s">
        <v>3638</v>
      </c>
      <c r="F3630" s="3" t="s">
        <v>3563</v>
      </c>
      <c r="G3630" s="3" t="s">
        <v>3746</v>
      </c>
      <c r="H3630" s="6">
        <v>1.8325100000000001</v>
      </c>
      <c r="I3630" s="6">
        <v>68.000170244089148</v>
      </c>
      <c r="J3630" s="3" t="s">
        <v>3356</v>
      </c>
      <c r="L3630" s="1" t="s">
        <v>6135</v>
      </c>
    </row>
    <row r="3631" spans="1:12">
      <c r="A3631" s="3" t="s">
        <v>7297</v>
      </c>
      <c r="C3631" s="3" t="s">
        <v>3817</v>
      </c>
      <c r="D3631" s="3" t="s">
        <v>3618</v>
      </c>
      <c r="E3631" s="3" t="s">
        <v>3638</v>
      </c>
      <c r="F3631" s="3" t="s">
        <v>3563</v>
      </c>
      <c r="G3631" s="3" t="s">
        <v>3747</v>
      </c>
      <c r="H3631" s="6">
        <v>1.91116</v>
      </c>
      <c r="I3631" s="6">
        <v>81.500448746729631</v>
      </c>
      <c r="J3631" s="3" t="s">
        <v>3356</v>
      </c>
      <c r="L3631" s="1" t="s">
        <v>6135</v>
      </c>
    </row>
    <row r="3632" spans="1:12">
      <c r="A3632" s="3" t="s">
        <v>7297</v>
      </c>
      <c r="C3632" s="3" t="s">
        <v>3817</v>
      </c>
      <c r="D3632" s="3" t="s">
        <v>3618</v>
      </c>
      <c r="E3632" s="3" t="s">
        <v>3638</v>
      </c>
      <c r="F3632" s="3" t="s">
        <v>3563</v>
      </c>
      <c r="G3632" s="3" t="s">
        <v>3748</v>
      </c>
      <c r="H3632" s="6">
        <v>1.8325100000000001</v>
      </c>
      <c r="I3632" s="6">
        <v>68.000170244089148</v>
      </c>
      <c r="J3632" s="3" t="s">
        <v>3356</v>
      </c>
      <c r="L3632" s="1" t="s">
        <v>6135</v>
      </c>
    </row>
    <row r="3633" spans="1:12">
      <c r="A3633" s="3" t="s">
        <v>7297</v>
      </c>
      <c r="C3633" s="3" t="s">
        <v>3817</v>
      </c>
      <c r="D3633" s="3" t="s">
        <v>3618</v>
      </c>
      <c r="E3633" s="3" t="s">
        <v>3638</v>
      </c>
      <c r="F3633" s="3" t="s">
        <v>3563</v>
      </c>
      <c r="G3633" s="3" t="s">
        <v>4174</v>
      </c>
      <c r="H3633" s="6">
        <v>1.5652600000000001</v>
      </c>
      <c r="I3633" s="6">
        <v>36.750224800474854</v>
      </c>
      <c r="J3633" s="3" t="s">
        <v>3356</v>
      </c>
      <c r="L3633" s="1" t="s">
        <v>6135</v>
      </c>
    </row>
    <row r="3634" spans="1:12">
      <c r="A3634" s="3" t="s">
        <v>7297</v>
      </c>
      <c r="C3634" s="3" t="s">
        <v>3817</v>
      </c>
      <c r="D3634" s="3" t="s">
        <v>3618</v>
      </c>
      <c r="E3634" s="3" t="s">
        <v>3638</v>
      </c>
      <c r="F3634" s="3" t="s">
        <v>3563</v>
      </c>
      <c r="G3634" s="3" t="s">
        <v>4704</v>
      </c>
      <c r="H3634" s="6">
        <v>1.8325100000000001</v>
      </c>
      <c r="I3634" s="6">
        <v>68.000170244089148</v>
      </c>
      <c r="J3634" s="3" t="s">
        <v>3356</v>
      </c>
      <c r="L3634" s="1" t="s">
        <v>6135</v>
      </c>
    </row>
    <row r="3635" spans="1:12">
      <c r="A3635" s="3" t="s">
        <v>7297</v>
      </c>
      <c r="C3635" s="3" t="s">
        <v>3817</v>
      </c>
      <c r="D3635" s="3" t="s">
        <v>3618</v>
      </c>
      <c r="E3635" s="3" t="s">
        <v>3638</v>
      </c>
      <c r="F3635" s="3" t="s">
        <v>3563</v>
      </c>
      <c r="G3635" s="3" t="s">
        <v>4681</v>
      </c>
      <c r="H3635" s="6">
        <v>1.63347</v>
      </c>
      <c r="I3635" s="6">
        <v>43.000152915127025</v>
      </c>
      <c r="J3635" s="3" t="s">
        <v>3356</v>
      </c>
      <c r="L3635" s="1" t="s">
        <v>6135</v>
      </c>
    </row>
    <row r="3636" spans="1:12">
      <c r="A3636" s="3" t="s">
        <v>7297</v>
      </c>
      <c r="C3636" s="3" t="s">
        <v>3817</v>
      </c>
      <c r="D3636" s="3" t="s">
        <v>3618</v>
      </c>
      <c r="E3636" s="3" t="s">
        <v>3638</v>
      </c>
      <c r="F3636" s="3" t="s">
        <v>3563</v>
      </c>
      <c r="G3636" s="3" t="s">
        <v>2233</v>
      </c>
      <c r="H3636" s="6">
        <v>1.5440700000000001</v>
      </c>
      <c r="I3636" s="6">
        <v>35.000157607101464</v>
      </c>
      <c r="J3636" s="3" t="s">
        <v>3356</v>
      </c>
      <c r="L3636" s="1" t="s">
        <v>6135</v>
      </c>
    </row>
    <row r="3637" spans="1:12">
      <c r="A3637" s="3" t="s">
        <v>7297</v>
      </c>
      <c r="C3637" s="3" t="s">
        <v>3817</v>
      </c>
      <c r="D3637" s="3" t="s">
        <v>3618</v>
      </c>
      <c r="E3637" s="3" t="s">
        <v>3638</v>
      </c>
      <c r="F3637" s="3" t="s">
        <v>3563</v>
      </c>
      <c r="G3637" s="3" t="s">
        <v>4705</v>
      </c>
      <c r="H3637" s="6">
        <v>1.8325100000000001</v>
      </c>
      <c r="I3637" s="6">
        <v>68.000170244089148</v>
      </c>
      <c r="J3637" s="3" t="s">
        <v>3356</v>
      </c>
      <c r="L3637" s="1" t="s">
        <v>6135</v>
      </c>
    </row>
    <row r="3638" spans="1:12">
      <c r="A3638" s="3" t="s">
        <v>7297</v>
      </c>
      <c r="C3638" s="3" t="s">
        <v>3817</v>
      </c>
      <c r="D3638" s="3" t="s">
        <v>3618</v>
      </c>
      <c r="E3638" s="3" t="s">
        <v>3638</v>
      </c>
      <c r="F3638" s="3" t="s">
        <v>3563</v>
      </c>
      <c r="G3638" s="3" t="s">
        <v>3568</v>
      </c>
      <c r="H3638" s="6">
        <v>1.6232500000000001</v>
      </c>
      <c r="I3638" s="6">
        <v>42.000068624663172</v>
      </c>
      <c r="J3638" s="3" t="s">
        <v>3356</v>
      </c>
      <c r="L3638" s="1" t="s">
        <v>6135</v>
      </c>
    </row>
    <row r="3639" spans="1:12">
      <c r="A3639" s="3" t="s">
        <v>7297</v>
      </c>
      <c r="C3639" s="3" t="s">
        <v>3817</v>
      </c>
      <c r="D3639" s="3" t="s">
        <v>3618</v>
      </c>
      <c r="E3639" s="3" t="s">
        <v>3638</v>
      </c>
      <c r="F3639" s="3" t="s">
        <v>3563</v>
      </c>
      <c r="G3639" s="3" t="s">
        <v>4665</v>
      </c>
      <c r="H3639" s="6">
        <v>1.92117</v>
      </c>
      <c r="I3639" s="6">
        <v>83.400758421587113</v>
      </c>
      <c r="J3639" s="3" t="s">
        <v>3356</v>
      </c>
      <c r="L3639" s="1" t="s">
        <v>6135</v>
      </c>
    </row>
    <row r="3640" spans="1:12">
      <c r="A3640" s="3" t="s">
        <v>7297</v>
      </c>
      <c r="C3640" s="3" t="s">
        <v>3817</v>
      </c>
      <c r="D3640" s="3" t="s">
        <v>3618</v>
      </c>
      <c r="E3640" s="3" t="s">
        <v>3638</v>
      </c>
      <c r="F3640" s="3" t="s">
        <v>3563</v>
      </c>
      <c r="G3640" s="3" t="s">
        <v>2329</v>
      </c>
      <c r="H3640" s="6">
        <v>1.87737</v>
      </c>
      <c r="I3640" s="6">
        <v>75.399766337294324</v>
      </c>
      <c r="J3640" s="3" t="s">
        <v>3356</v>
      </c>
      <c r="L3640" s="1" t="s">
        <v>6135</v>
      </c>
    </row>
    <row r="3641" spans="1:12">
      <c r="A3641" s="3" t="s">
        <v>7297</v>
      </c>
      <c r="C3641" s="3" t="s">
        <v>3817</v>
      </c>
      <c r="D3641" s="3" t="s">
        <v>3618</v>
      </c>
      <c r="E3641" s="3" t="s">
        <v>3638</v>
      </c>
      <c r="F3641" s="3" t="s">
        <v>3772</v>
      </c>
      <c r="G3641" s="3" t="s">
        <v>3641</v>
      </c>
      <c r="H3641" s="6">
        <v>1.9722</v>
      </c>
      <c r="I3641" s="6">
        <v>93.79938696184891</v>
      </c>
      <c r="J3641" s="3" t="s">
        <v>3356</v>
      </c>
      <c r="L3641" s="1" t="s">
        <v>6135</v>
      </c>
    </row>
    <row r="3642" spans="1:12">
      <c r="A3642" s="3" t="s">
        <v>7297</v>
      </c>
      <c r="C3642" s="3" t="s">
        <v>3817</v>
      </c>
      <c r="D3642" s="3" t="s">
        <v>3618</v>
      </c>
      <c r="E3642" s="3" t="s">
        <v>3638</v>
      </c>
      <c r="F3642" s="3" t="s">
        <v>6744</v>
      </c>
      <c r="G3642" s="3" t="s">
        <v>3573</v>
      </c>
      <c r="H3642" s="6">
        <v>1.30535</v>
      </c>
      <c r="I3642" s="6">
        <v>20.199936304099325</v>
      </c>
      <c r="J3642" s="3" t="s">
        <v>3356</v>
      </c>
      <c r="L3642" s="1" t="s">
        <v>6135</v>
      </c>
    </row>
    <row r="3643" spans="1:12">
      <c r="A3643" s="3" t="s">
        <v>7297</v>
      </c>
      <c r="C3643" s="3" t="s">
        <v>3817</v>
      </c>
      <c r="D3643" s="3" t="s">
        <v>3618</v>
      </c>
      <c r="E3643" s="3" t="s">
        <v>3638</v>
      </c>
      <c r="F3643" s="3" t="s">
        <v>6744</v>
      </c>
      <c r="G3643" s="3" t="s">
        <v>3572</v>
      </c>
      <c r="H3643" s="6">
        <v>1.72428</v>
      </c>
      <c r="I3643" s="6">
        <v>53.000504063966503</v>
      </c>
      <c r="J3643" s="3" t="s">
        <v>3356</v>
      </c>
      <c r="L3643" s="1" t="s">
        <v>6135</v>
      </c>
    </row>
    <row r="3644" spans="1:12">
      <c r="A3644" s="3" t="s">
        <v>7297</v>
      </c>
      <c r="C3644" s="3" t="s">
        <v>3817</v>
      </c>
      <c r="D3644" s="3" t="s">
        <v>3618</v>
      </c>
      <c r="E3644" s="3" t="s">
        <v>3638</v>
      </c>
      <c r="F3644" s="3" t="s">
        <v>6744</v>
      </c>
      <c r="G3644" s="3" t="s">
        <v>3751</v>
      </c>
      <c r="H3644" s="6">
        <v>1.62839</v>
      </c>
      <c r="I3644" s="6">
        <v>42.500104705262615</v>
      </c>
      <c r="J3644" s="3" t="s">
        <v>3356</v>
      </c>
      <c r="L3644" s="1" t="s">
        <v>6135</v>
      </c>
    </row>
    <row r="3645" spans="1:12">
      <c r="A3645" s="3" t="s">
        <v>7297</v>
      </c>
      <c r="C3645" s="3" t="s">
        <v>3817</v>
      </c>
      <c r="D3645" s="3" t="s">
        <v>3618</v>
      </c>
      <c r="E3645" s="3" t="s">
        <v>3638</v>
      </c>
      <c r="F3645" s="3" t="s">
        <v>6744</v>
      </c>
      <c r="G3645" s="3" t="s">
        <v>3752</v>
      </c>
      <c r="H3645" s="6">
        <v>1.7058599999999999</v>
      </c>
      <c r="I3645" s="6">
        <v>50.799565771095516</v>
      </c>
      <c r="J3645" s="3" t="s">
        <v>3356</v>
      </c>
      <c r="L3645" s="1" t="s">
        <v>6135</v>
      </c>
    </row>
    <row r="3646" spans="1:12">
      <c r="A3646" s="3" t="s">
        <v>7297</v>
      </c>
      <c r="C3646" s="3" t="s">
        <v>3817</v>
      </c>
      <c r="D3646" s="3" t="s">
        <v>3618</v>
      </c>
      <c r="E3646" s="3" t="s">
        <v>3638</v>
      </c>
      <c r="F3646" s="3" t="s">
        <v>6744</v>
      </c>
      <c r="G3646" s="3" t="s">
        <v>3753</v>
      </c>
      <c r="H3646" s="6">
        <v>1.7061500000000001</v>
      </c>
      <c r="I3646" s="6">
        <v>50.833498492750408</v>
      </c>
      <c r="J3646" s="3" t="s">
        <v>3356</v>
      </c>
      <c r="L3646" s="1" t="s">
        <v>6135</v>
      </c>
    </row>
    <row r="3647" spans="1:12">
      <c r="A3647" s="3" t="s">
        <v>7297</v>
      </c>
      <c r="C3647" s="3" t="s">
        <v>3817</v>
      </c>
      <c r="D3647" s="3" t="s">
        <v>3618</v>
      </c>
      <c r="E3647" s="3" t="s">
        <v>3638</v>
      </c>
      <c r="F3647" s="3" t="s">
        <v>6744</v>
      </c>
      <c r="G3647" s="3" t="s">
        <v>6455</v>
      </c>
      <c r="H3647" s="6">
        <v>1.94939</v>
      </c>
      <c r="I3647" s="6">
        <v>88.99999863825758</v>
      </c>
      <c r="J3647" s="3" t="s">
        <v>3356</v>
      </c>
      <c r="L3647" s="1" t="s">
        <v>6135</v>
      </c>
    </row>
    <row r="3648" spans="1:12">
      <c r="A3648" s="3" t="s">
        <v>7297</v>
      </c>
      <c r="C3648" s="3" t="s">
        <v>3817</v>
      </c>
      <c r="D3648" s="3" t="s">
        <v>3618</v>
      </c>
      <c r="E3648" s="3" t="s">
        <v>3638</v>
      </c>
      <c r="F3648" s="3" t="s">
        <v>6744</v>
      </c>
      <c r="G3648" s="3" t="s">
        <v>3625</v>
      </c>
      <c r="H3648" s="6">
        <v>1.24055</v>
      </c>
      <c r="I3648" s="6">
        <v>17.400030117569148</v>
      </c>
      <c r="J3648" s="3" t="s">
        <v>3356</v>
      </c>
      <c r="L3648" s="1" t="s">
        <v>6135</v>
      </c>
    </row>
    <row r="3649" spans="1:12">
      <c r="A3649" s="3" t="s">
        <v>7297</v>
      </c>
      <c r="C3649" s="3" t="s">
        <v>3817</v>
      </c>
      <c r="D3649" s="3" t="s">
        <v>3618</v>
      </c>
      <c r="E3649" s="3" t="s">
        <v>3638</v>
      </c>
      <c r="F3649" s="3" t="s">
        <v>6744</v>
      </c>
      <c r="G3649" s="3" t="s">
        <v>6747</v>
      </c>
      <c r="H3649" s="6">
        <v>1.62839</v>
      </c>
      <c r="I3649" s="6">
        <v>42.500104705262615</v>
      </c>
      <c r="J3649" s="3" t="s">
        <v>3356</v>
      </c>
      <c r="L3649" s="1" t="s">
        <v>6135</v>
      </c>
    </row>
    <row r="3650" spans="1:12">
      <c r="A3650" s="3" t="s">
        <v>7297</v>
      </c>
      <c r="C3650" s="3" t="s">
        <v>3817</v>
      </c>
      <c r="D3650" s="3" t="s">
        <v>3618</v>
      </c>
      <c r="E3650" s="3" t="s">
        <v>3638</v>
      </c>
      <c r="F3650" s="3" t="s">
        <v>6744</v>
      </c>
      <c r="G3650" s="3" t="s">
        <v>3574</v>
      </c>
      <c r="H3650" s="6">
        <v>1.83569</v>
      </c>
      <c r="I3650" s="6">
        <v>68.49990986022847</v>
      </c>
      <c r="J3650" s="3" t="s">
        <v>3356</v>
      </c>
      <c r="L3650" s="1" t="s">
        <v>6135</v>
      </c>
    </row>
    <row r="3651" spans="1:12">
      <c r="A3651" s="3" t="s">
        <v>7297</v>
      </c>
      <c r="C3651" s="3" t="s">
        <v>3817</v>
      </c>
      <c r="D3651" s="3" t="s">
        <v>3618</v>
      </c>
      <c r="E3651" s="3" t="s">
        <v>3638</v>
      </c>
      <c r="F3651" s="3" t="s">
        <v>6744</v>
      </c>
      <c r="G3651" s="3" t="s">
        <v>4683</v>
      </c>
      <c r="H3651" s="6">
        <v>1.65418</v>
      </c>
      <c r="I3651" s="6">
        <v>45.100359115603396</v>
      </c>
      <c r="J3651" s="3" t="s">
        <v>3356</v>
      </c>
      <c r="L3651" s="1" t="s">
        <v>6135</v>
      </c>
    </row>
    <row r="3652" spans="1:12">
      <c r="A3652" s="3" t="s">
        <v>7297</v>
      </c>
      <c r="C3652" s="3" t="s">
        <v>3817</v>
      </c>
      <c r="D3652" s="3" t="s">
        <v>3618</v>
      </c>
      <c r="E3652" s="3" t="s">
        <v>3638</v>
      </c>
      <c r="F3652" s="3" t="s">
        <v>6744</v>
      </c>
      <c r="G3652" s="3" t="s">
        <v>4216</v>
      </c>
      <c r="H3652" s="6">
        <v>1.6901999999999999</v>
      </c>
      <c r="I3652" s="6">
        <v>49.000442279323579</v>
      </c>
      <c r="J3652" s="3" t="s">
        <v>3356</v>
      </c>
      <c r="L3652" s="1" t="s">
        <v>6135</v>
      </c>
    </row>
    <row r="3653" spans="1:12">
      <c r="A3653" s="3" t="s">
        <v>7297</v>
      </c>
      <c r="C3653" s="3" t="s">
        <v>3817</v>
      </c>
      <c r="D3653" s="3" t="s">
        <v>3618</v>
      </c>
      <c r="E3653" s="3" t="s">
        <v>3638</v>
      </c>
      <c r="F3653" s="3" t="s">
        <v>6744</v>
      </c>
      <c r="G3653" s="3" t="s">
        <v>3427</v>
      </c>
      <c r="H3653" s="6">
        <v>1.62839</v>
      </c>
      <c r="I3653" s="6">
        <v>42.500104705262615</v>
      </c>
      <c r="J3653" s="3" t="s">
        <v>3356</v>
      </c>
      <c r="L3653" s="1" t="s">
        <v>6135</v>
      </c>
    </row>
    <row r="3654" spans="1:12">
      <c r="A3654" s="3" t="s">
        <v>7297</v>
      </c>
      <c r="C3654" s="3" t="s">
        <v>3817</v>
      </c>
      <c r="D3654" s="3" t="s">
        <v>3618</v>
      </c>
      <c r="E3654" s="3" t="s">
        <v>3638</v>
      </c>
      <c r="F3654" s="3" t="s">
        <v>6744</v>
      </c>
      <c r="G3654" s="3" t="s">
        <v>4217</v>
      </c>
      <c r="H3654" s="6">
        <v>1.75051</v>
      </c>
      <c r="I3654" s="6">
        <v>56.300208084698262</v>
      </c>
      <c r="J3654" s="3" t="s">
        <v>3356</v>
      </c>
      <c r="L3654" s="1" t="s">
        <v>6135</v>
      </c>
    </row>
    <row r="3655" spans="1:12">
      <c r="A3655" s="3" t="s">
        <v>7297</v>
      </c>
      <c r="C3655" s="3" t="s">
        <v>3817</v>
      </c>
      <c r="D3655" s="3" t="s">
        <v>3618</v>
      </c>
      <c r="E3655" s="3" t="s">
        <v>3638</v>
      </c>
      <c r="F3655" s="3" t="s">
        <v>4218</v>
      </c>
      <c r="G3655" s="3" t="s">
        <v>4219</v>
      </c>
      <c r="H3655" s="6">
        <v>1.5289200000000001</v>
      </c>
      <c r="I3655" s="6">
        <v>33.800256809707761</v>
      </c>
      <c r="J3655" s="3" t="s">
        <v>3356</v>
      </c>
      <c r="L3655" s="1" t="s">
        <v>6135</v>
      </c>
    </row>
    <row r="3656" spans="1:12">
      <c r="A3656" s="3" t="s">
        <v>7297</v>
      </c>
      <c r="C3656" s="3" t="s">
        <v>3817</v>
      </c>
      <c r="D3656" s="3" t="s">
        <v>3618</v>
      </c>
      <c r="E3656" s="3" t="s">
        <v>3638</v>
      </c>
      <c r="F3656" s="3" t="s">
        <v>4993</v>
      </c>
      <c r="G3656" s="3" t="s">
        <v>7544</v>
      </c>
      <c r="H3656" s="6">
        <v>1.7096899999999999</v>
      </c>
      <c r="I3656" s="6">
        <v>51.249543345186211</v>
      </c>
      <c r="J3656" s="3" t="s">
        <v>3356</v>
      </c>
      <c r="L3656" s="1" t="s">
        <v>6135</v>
      </c>
    </row>
    <row r="3657" spans="1:12">
      <c r="A3657" s="3" t="s">
        <v>7297</v>
      </c>
      <c r="C3657" s="3" t="s">
        <v>3817</v>
      </c>
      <c r="D3657" s="3" t="s">
        <v>3618</v>
      </c>
      <c r="E3657" s="3" t="s">
        <v>3638</v>
      </c>
      <c r="F3657" s="3" t="s">
        <v>7545</v>
      </c>
      <c r="G3657" s="3" t="s">
        <v>7546</v>
      </c>
      <c r="H3657" s="6">
        <v>1.9283999999999999</v>
      </c>
      <c r="I3657" s="6">
        <v>84.800809888969184</v>
      </c>
      <c r="J3657" s="3" t="s">
        <v>3356</v>
      </c>
      <c r="L3657" s="1" t="s">
        <v>6135</v>
      </c>
    </row>
    <row r="3658" spans="1:12">
      <c r="A3658" s="3" t="s">
        <v>7297</v>
      </c>
      <c r="C3658" s="3" t="s">
        <v>3817</v>
      </c>
      <c r="D3658" s="3" t="s">
        <v>3618</v>
      </c>
      <c r="E3658" s="3" t="s">
        <v>3638</v>
      </c>
      <c r="F3658" s="3" t="s">
        <v>7384</v>
      </c>
      <c r="G3658" s="3" t="s">
        <v>7385</v>
      </c>
      <c r="H3658" s="6">
        <v>1.8503400000000001</v>
      </c>
      <c r="I3658" s="6">
        <v>70.850023722986734</v>
      </c>
      <c r="J3658" s="3" t="s">
        <v>3356</v>
      </c>
      <c r="L3658" s="1" t="s">
        <v>6135</v>
      </c>
    </row>
    <row r="3659" spans="1:12">
      <c r="A3659" s="3" t="s">
        <v>7297</v>
      </c>
      <c r="C3659" s="3" t="s">
        <v>3817</v>
      </c>
      <c r="D3659" s="3" t="s">
        <v>3618</v>
      </c>
      <c r="E3659" s="3" t="s">
        <v>3638</v>
      </c>
      <c r="F3659" s="3" t="s">
        <v>4890</v>
      </c>
      <c r="G3659" s="3" t="s">
        <v>7386</v>
      </c>
      <c r="H3659" s="6">
        <v>1.1139399999999999</v>
      </c>
      <c r="I3659" s="6">
        <v>12.999899653754545</v>
      </c>
      <c r="J3659" s="3" t="s">
        <v>3356</v>
      </c>
      <c r="L3659" s="1" t="s">
        <v>6135</v>
      </c>
    </row>
    <row r="3660" spans="1:12">
      <c r="A3660" s="3" t="s">
        <v>7297</v>
      </c>
      <c r="C3660" s="3" t="s">
        <v>3817</v>
      </c>
      <c r="D3660" s="3" t="s">
        <v>3618</v>
      </c>
      <c r="E3660" s="3" t="s">
        <v>3638</v>
      </c>
      <c r="F3660" s="3" t="s">
        <v>4890</v>
      </c>
      <c r="G3660" s="3" t="s">
        <v>4014</v>
      </c>
      <c r="H3660" s="6">
        <v>1.1139399999999999</v>
      </c>
      <c r="I3660" s="6">
        <v>12.999899653754545</v>
      </c>
      <c r="J3660" s="3" t="s">
        <v>3356</v>
      </c>
      <c r="L3660" s="1" t="s">
        <v>6135</v>
      </c>
    </row>
    <row r="3661" spans="1:12">
      <c r="A3661" s="3" t="s">
        <v>7297</v>
      </c>
      <c r="C3661" s="3" t="s">
        <v>3817</v>
      </c>
      <c r="D3661" s="3" t="s">
        <v>3618</v>
      </c>
      <c r="E3661" s="3" t="s">
        <v>3638</v>
      </c>
      <c r="F3661" s="3" t="s">
        <v>7387</v>
      </c>
      <c r="G3661" s="3" t="s">
        <v>4446</v>
      </c>
      <c r="H3661" s="6">
        <v>1.3263400000000001</v>
      </c>
      <c r="I3661" s="6">
        <v>21.200202048914448</v>
      </c>
      <c r="J3661" s="3" t="s">
        <v>3356</v>
      </c>
      <c r="L3661" s="1" t="s">
        <v>6135</v>
      </c>
    </row>
    <row r="3662" spans="1:12">
      <c r="A3662" s="3" t="s">
        <v>7297</v>
      </c>
      <c r="C3662" s="3" t="s">
        <v>3817</v>
      </c>
      <c r="D3662" s="3" t="s">
        <v>3618</v>
      </c>
      <c r="E3662" s="3" t="s">
        <v>3638</v>
      </c>
      <c r="F3662" s="3" t="s">
        <v>1997</v>
      </c>
      <c r="G3662" s="3" t="s">
        <v>4232</v>
      </c>
      <c r="H3662" s="6">
        <v>1.57978</v>
      </c>
      <c r="I3662" s="6">
        <v>37.99968530368551</v>
      </c>
      <c r="J3662" s="3" t="s">
        <v>3356</v>
      </c>
      <c r="L3662" s="1" t="s">
        <v>6135</v>
      </c>
    </row>
    <row r="3663" spans="1:12">
      <c r="A3663" s="3" t="s">
        <v>7297</v>
      </c>
      <c r="C3663" s="3" t="s">
        <v>3817</v>
      </c>
      <c r="D3663" s="3" t="s">
        <v>3618</v>
      </c>
      <c r="E3663" s="3" t="s">
        <v>3638</v>
      </c>
      <c r="F3663" s="3" t="s">
        <v>4233</v>
      </c>
      <c r="G3663" s="3" t="s">
        <v>4254</v>
      </c>
      <c r="H3663" s="6">
        <v>1.94939</v>
      </c>
      <c r="I3663" s="6">
        <v>88.99999863825758</v>
      </c>
      <c r="J3663" s="3" t="s">
        <v>3356</v>
      </c>
      <c r="L3663" s="1" t="s">
        <v>6135</v>
      </c>
    </row>
    <row r="3664" spans="1:12">
      <c r="A3664" s="3" t="s">
        <v>7297</v>
      </c>
      <c r="C3664" s="3" t="s">
        <v>3817</v>
      </c>
      <c r="D3664" s="3" t="s">
        <v>3618</v>
      </c>
      <c r="E3664" s="3" t="s">
        <v>3638</v>
      </c>
      <c r="F3664" s="3" t="s">
        <v>4233</v>
      </c>
      <c r="G3664" s="3" t="s">
        <v>3981</v>
      </c>
      <c r="H3664" s="6">
        <v>1.94939</v>
      </c>
      <c r="I3664" s="6">
        <v>88.99999863825758</v>
      </c>
      <c r="J3664" s="3" t="s">
        <v>3356</v>
      </c>
      <c r="L3664" s="1" t="s">
        <v>6135</v>
      </c>
    </row>
    <row r="3665" spans="1:12">
      <c r="A3665" s="3" t="s">
        <v>7297</v>
      </c>
      <c r="C3665" s="3" t="s">
        <v>3817</v>
      </c>
      <c r="D3665" s="3" t="s">
        <v>3618</v>
      </c>
      <c r="E3665" s="3" t="s">
        <v>3638</v>
      </c>
      <c r="F3665" s="3" t="s">
        <v>4233</v>
      </c>
      <c r="G3665" s="3" t="s">
        <v>3162</v>
      </c>
      <c r="H3665" s="6">
        <v>1.94939</v>
      </c>
      <c r="I3665" s="6">
        <v>88.99999863825758</v>
      </c>
      <c r="J3665" s="3" t="s">
        <v>3356</v>
      </c>
      <c r="L3665" s="1" t="s">
        <v>6135</v>
      </c>
    </row>
    <row r="3666" spans="1:12">
      <c r="A3666" s="3" t="s">
        <v>7297</v>
      </c>
      <c r="C3666" s="3" t="s">
        <v>3817</v>
      </c>
      <c r="D3666" s="3" t="s">
        <v>3618</v>
      </c>
      <c r="E3666" s="3" t="s">
        <v>3638</v>
      </c>
      <c r="F3666" s="3" t="s">
        <v>4233</v>
      </c>
      <c r="G3666" s="3" t="s">
        <v>2002</v>
      </c>
      <c r="H3666" s="6">
        <v>1.94939</v>
      </c>
      <c r="I3666" s="6">
        <v>88.99999863825758</v>
      </c>
      <c r="J3666" s="3" t="s">
        <v>3356</v>
      </c>
      <c r="L3666" s="1" t="s">
        <v>6135</v>
      </c>
    </row>
    <row r="3667" spans="1:12">
      <c r="A3667" s="3" t="s">
        <v>7297</v>
      </c>
      <c r="C3667" s="3" t="s">
        <v>3817</v>
      </c>
      <c r="D3667" s="3" t="s">
        <v>3618</v>
      </c>
      <c r="E3667" s="3" t="s">
        <v>3638</v>
      </c>
      <c r="F3667" s="3" t="s">
        <v>4233</v>
      </c>
      <c r="G3667" s="3" t="s">
        <v>4242</v>
      </c>
      <c r="H3667" s="6">
        <v>1.7596700000000001</v>
      </c>
      <c r="I3667" s="6">
        <v>57.500285360875971</v>
      </c>
      <c r="J3667" s="3" t="s">
        <v>3356</v>
      </c>
      <c r="L3667" s="1" t="s">
        <v>6135</v>
      </c>
    </row>
    <row r="3668" spans="1:12">
      <c r="A3668" s="3" t="s">
        <v>7297</v>
      </c>
      <c r="C3668" s="3" t="s">
        <v>3817</v>
      </c>
      <c r="D3668" s="3" t="s">
        <v>3618</v>
      </c>
      <c r="E3668" s="3" t="s">
        <v>3638</v>
      </c>
      <c r="F3668" s="3" t="s">
        <v>4233</v>
      </c>
      <c r="G3668" s="3" t="s">
        <v>3982</v>
      </c>
      <c r="H3668" s="6">
        <v>1.9030899999999999</v>
      </c>
      <c r="I3668" s="6">
        <v>80.000002396172576</v>
      </c>
      <c r="J3668" s="3" t="s">
        <v>3356</v>
      </c>
      <c r="L3668" s="1" t="s">
        <v>6135</v>
      </c>
    </row>
    <row r="3669" spans="1:12">
      <c r="A3669" s="3" t="s">
        <v>7297</v>
      </c>
      <c r="C3669" s="3" t="s">
        <v>3817</v>
      </c>
      <c r="D3669" s="3" t="s">
        <v>3618</v>
      </c>
      <c r="E3669" s="3" t="s">
        <v>3638</v>
      </c>
      <c r="F3669" s="3" t="s">
        <v>4233</v>
      </c>
      <c r="G3669" s="3" t="s">
        <v>4025</v>
      </c>
      <c r="H3669" s="6">
        <v>1.6190899999999999</v>
      </c>
      <c r="I3669" s="6">
        <v>41.59968096868144</v>
      </c>
      <c r="J3669" s="3" t="s">
        <v>3356</v>
      </c>
      <c r="L3669" s="1" t="s">
        <v>6135</v>
      </c>
    </row>
    <row r="3670" spans="1:12">
      <c r="A3670" s="3" t="s">
        <v>7297</v>
      </c>
      <c r="C3670" s="3" t="s">
        <v>3817</v>
      </c>
      <c r="D3670" s="3" t="s">
        <v>3618</v>
      </c>
      <c r="E3670" s="3" t="s">
        <v>3638</v>
      </c>
      <c r="F3670" s="3" t="s">
        <v>4233</v>
      </c>
      <c r="G3670" s="3" t="s">
        <v>3972</v>
      </c>
      <c r="H3670" s="6">
        <v>1.8893</v>
      </c>
      <c r="I3670" s="6">
        <v>77.499696187757564</v>
      </c>
      <c r="J3670" s="3" t="s">
        <v>3356</v>
      </c>
      <c r="L3670" s="1" t="s">
        <v>6135</v>
      </c>
    </row>
    <row r="3671" spans="1:12">
      <c r="A3671" s="3" t="s">
        <v>7297</v>
      </c>
      <c r="C3671" s="3" t="s">
        <v>3817</v>
      </c>
      <c r="D3671" s="3" t="s">
        <v>3618</v>
      </c>
      <c r="E3671" s="3" t="s">
        <v>3638</v>
      </c>
      <c r="F3671" s="3" t="s">
        <v>4233</v>
      </c>
      <c r="G3671" s="3" t="s">
        <v>3529</v>
      </c>
      <c r="H3671" s="6">
        <v>1.94939</v>
      </c>
      <c r="I3671" s="6">
        <v>88.99999863825758</v>
      </c>
      <c r="J3671" s="3" t="s">
        <v>3356</v>
      </c>
      <c r="L3671" s="1" t="s">
        <v>6135</v>
      </c>
    </row>
    <row r="3672" spans="1:12">
      <c r="A3672" s="3" t="s">
        <v>7297</v>
      </c>
      <c r="C3672" s="3" t="s">
        <v>3817</v>
      </c>
      <c r="D3672" s="3" t="s">
        <v>3618</v>
      </c>
      <c r="E3672" s="3" t="s">
        <v>3638</v>
      </c>
      <c r="F3672" s="3" t="s">
        <v>4233</v>
      </c>
      <c r="G3672" s="3" t="s">
        <v>7095</v>
      </c>
      <c r="H3672" s="6">
        <v>1.94939</v>
      </c>
      <c r="I3672" s="6">
        <v>88.99999863825758</v>
      </c>
      <c r="J3672" s="3" t="s">
        <v>3356</v>
      </c>
      <c r="L3672" s="1" t="s">
        <v>6135</v>
      </c>
    </row>
    <row r="3673" spans="1:12">
      <c r="A3673" s="3" t="s">
        <v>7297</v>
      </c>
      <c r="C3673" s="3" t="s">
        <v>3817</v>
      </c>
      <c r="D3673" s="3" t="s">
        <v>3618</v>
      </c>
      <c r="E3673" s="3" t="s">
        <v>3638</v>
      </c>
      <c r="F3673" s="3" t="s">
        <v>4233</v>
      </c>
      <c r="G3673" s="3" t="s">
        <v>7370</v>
      </c>
      <c r="H3673" s="6">
        <v>1.95424</v>
      </c>
      <c r="I3673" s="6">
        <v>89.999479963720162</v>
      </c>
      <c r="J3673" s="3" t="s">
        <v>3356</v>
      </c>
      <c r="L3673" s="1" t="s">
        <v>6135</v>
      </c>
    </row>
    <row r="3674" spans="1:12">
      <c r="A3674" s="3" t="s">
        <v>7297</v>
      </c>
      <c r="C3674" s="3" t="s">
        <v>3817</v>
      </c>
      <c r="D3674" s="3" t="s">
        <v>3618</v>
      </c>
      <c r="E3674" s="3" t="s">
        <v>3638</v>
      </c>
      <c r="F3674" s="3" t="s">
        <v>4233</v>
      </c>
      <c r="G3674" s="3" t="s">
        <v>6382</v>
      </c>
      <c r="H3674" s="6">
        <v>1.94939</v>
      </c>
      <c r="I3674" s="6">
        <v>88.99999863825758</v>
      </c>
      <c r="J3674" s="3" t="s">
        <v>3356</v>
      </c>
      <c r="L3674" s="1" t="s">
        <v>6135</v>
      </c>
    </row>
    <row r="3675" spans="1:12">
      <c r="A3675" s="3" t="s">
        <v>7297</v>
      </c>
      <c r="C3675" s="3" t="s">
        <v>3817</v>
      </c>
      <c r="D3675" s="3" t="s">
        <v>3618</v>
      </c>
      <c r="E3675" s="3" t="s">
        <v>3638</v>
      </c>
      <c r="F3675" s="3" t="s">
        <v>4233</v>
      </c>
      <c r="G3675" s="3" t="s">
        <v>3530</v>
      </c>
      <c r="H3675" s="6">
        <v>1.94939</v>
      </c>
      <c r="I3675" s="6">
        <v>88.99999863825758</v>
      </c>
      <c r="J3675" s="3" t="s">
        <v>3356</v>
      </c>
      <c r="L3675" s="1" t="s">
        <v>6135</v>
      </c>
    </row>
    <row r="3676" spans="1:12">
      <c r="A3676" s="3" t="s">
        <v>7297</v>
      </c>
      <c r="C3676" s="3" t="s">
        <v>3817</v>
      </c>
      <c r="D3676" s="3" t="s">
        <v>3618</v>
      </c>
      <c r="E3676" s="3" t="s">
        <v>3638</v>
      </c>
      <c r="F3676" s="3" t="s">
        <v>4277</v>
      </c>
      <c r="G3676" s="3" t="s">
        <v>4278</v>
      </c>
      <c r="H3676" s="6">
        <v>2.1643500000000002</v>
      </c>
      <c r="I3676" s="6">
        <v>145.99903995290228</v>
      </c>
      <c r="J3676" s="3" t="s">
        <v>3356</v>
      </c>
      <c r="L3676" s="1" t="s">
        <v>6135</v>
      </c>
    </row>
    <row r="3677" spans="1:12">
      <c r="A3677" s="3" t="s">
        <v>7297</v>
      </c>
      <c r="C3677" s="3" t="s">
        <v>3817</v>
      </c>
      <c r="D3677" s="3" t="s">
        <v>3618</v>
      </c>
      <c r="E3677" s="3" t="s">
        <v>3638</v>
      </c>
      <c r="F3677" s="3" t="s">
        <v>3532</v>
      </c>
      <c r="G3677" s="3" t="s">
        <v>3533</v>
      </c>
      <c r="H3677" s="6">
        <v>1.4232499999999999</v>
      </c>
      <c r="I3677" s="6">
        <v>26.500251767403348</v>
      </c>
      <c r="J3677" s="3" t="s">
        <v>3356</v>
      </c>
      <c r="L3677" s="1" t="s">
        <v>6135</v>
      </c>
    </row>
    <row r="3678" spans="1:12">
      <c r="A3678" s="3" t="s">
        <v>7297</v>
      </c>
      <c r="C3678" s="3" t="s">
        <v>3817</v>
      </c>
      <c r="D3678" s="3" t="s">
        <v>3618</v>
      </c>
      <c r="E3678" s="3" t="s">
        <v>3638</v>
      </c>
      <c r="F3678" s="3" t="s">
        <v>3532</v>
      </c>
      <c r="G3678" s="3" t="s">
        <v>3534</v>
      </c>
      <c r="H3678" s="6">
        <v>1.4232499999999999</v>
      </c>
      <c r="I3678" s="6">
        <v>26.500251767403348</v>
      </c>
      <c r="J3678" s="3" t="s">
        <v>3356</v>
      </c>
      <c r="L3678" s="1" t="s">
        <v>6135</v>
      </c>
    </row>
    <row r="3679" spans="1:12">
      <c r="A3679" s="3" t="s">
        <v>7297</v>
      </c>
      <c r="C3679" s="3" t="s">
        <v>3817</v>
      </c>
      <c r="D3679" s="3" t="s">
        <v>3618</v>
      </c>
      <c r="E3679" s="3" t="s">
        <v>3638</v>
      </c>
      <c r="F3679" s="3" t="s">
        <v>4747</v>
      </c>
      <c r="G3679" s="3" t="s">
        <v>2328</v>
      </c>
      <c r="H3679" s="6">
        <v>1.74586</v>
      </c>
      <c r="I3679" s="6">
        <v>55.700616241547877</v>
      </c>
      <c r="J3679" s="3" t="s">
        <v>3356</v>
      </c>
      <c r="L3679" s="1" t="s">
        <v>6135</v>
      </c>
    </row>
    <row r="3680" spans="1:12">
      <c r="A3680" s="3" t="s">
        <v>7297</v>
      </c>
      <c r="C3680" s="3" t="s">
        <v>3817</v>
      </c>
      <c r="D3680" s="3" t="s">
        <v>3618</v>
      </c>
      <c r="E3680" s="3" t="s">
        <v>3638</v>
      </c>
      <c r="F3680" s="3" t="s">
        <v>4747</v>
      </c>
      <c r="G3680" s="3" t="s">
        <v>4174</v>
      </c>
      <c r="H3680" s="6">
        <v>1.9655899999999999</v>
      </c>
      <c r="I3680" s="6">
        <v>92.382561542213608</v>
      </c>
      <c r="J3680" s="3" t="s">
        <v>3356</v>
      </c>
      <c r="L3680" s="1" t="s">
        <v>6135</v>
      </c>
    </row>
    <row r="3681" spans="1:12">
      <c r="A3681" s="3" t="s">
        <v>7297</v>
      </c>
      <c r="C3681" s="3" t="s">
        <v>3817</v>
      </c>
      <c r="D3681" s="3" t="s">
        <v>3618</v>
      </c>
      <c r="E3681" s="3" t="s">
        <v>3638</v>
      </c>
      <c r="F3681" s="3" t="s">
        <v>4747</v>
      </c>
      <c r="G3681" s="3" t="s">
        <v>3535</v>
      </c>
      <c r="H3681" s="6">
        <v>2.1476799999999998</v>
      </c>
      <c r="I3681" s="6">
        <v>140.50118916157743</v>
      </c>
      <c r="J3681" s="3" t="s">
        <v>3356</v>
      </c>
      <c r="L3681" s="1" t="s">
        <v>6135</v>
      </c>
    </row>
    <row r="3682" spans="1:12">
      <c r="A3682" s="3" t="s">
        <v>7297</v>
      </c>
      <c r="C3682" s="3" t="s">
        <v>3817</v>
      </c>
      <c r="D3682" s="3" t="s">
        <v>3618</v>
      </c>
      <c r="E3682" s="3" t="s">
        <v>3638</v>
      </c>
      <c r="F3682" s="3" t="s">
        <v>3991</v>
      </c>
      <c r="G3682" s="3" t="s">
        <v>4427</v>
      </c>
      <c r="H3682" s="6">
        <v>1.3802099999999999</v>
      </c>
      <c r="I3682" s="6">
        <v>23.999931380578893</v>
      </c>
      <c r="J3682" s="3" t="s">
        <v>3356</v>
      </c>
      <c r="L3682" s="1" t="s">
        <v>6135</v>
      </c>
    </row>
    <row r="3683" spans="1:12">
      <c r="A3683" s="3" t="s">
        <v>7297</v>
      </c>
      <c r="C3683" s="3" t="s">
        <v>3817</v>
      </c>
      <c r="D3683" s="3" t="s">
        <v>3618</v>
      </c>
      <c r="E3683" s="3" t="s">
        <v>3638</v>
      </c>
      <c r="F3683" s="3" t="s">
        <v>3991</v>
      </c>
      <c r="G3683" s="3" t="s">
        <v>4425</v>
      </c>
      <c r="H3683" s="6">
        <v>1.3802099999999999</v>
      </c>
      <c r="I3683" s="6">
        <v>23.999931380578893</v>
      </c>
      <c r="J3683" s="3" t="s">
        <v>3356</v>
      </c>
      <c r="L3683" s="1" t="s">
        <v>6135</v>
      </c>
    </row>
    <row r="3684" spans="1:12">
      <c r="A3684" s="3" t="s">
        <v>7297</v>
      </c>
      <c r="C3684" s="3" t="s">
        <v>3817</v>
      </c>
      <c r="D3684" s="3" t="s">
        <v>3618</v>
      </c>
      <c r="E3684" s="3" t="s">
        <v>3638</v>
      </c>
      <c r="F3684" s="3" t="s">
        <v>4426</v>
      </c>
      <c r="G3684" s="3" t="s">
        <v>7364</v>
      </c>
      <c r="H3684" s="6">
        <v>1.94448</v>
      </c>
      <c r="I3684" s="6">
        <v>87.999458550589068</v>
      </c>
      <c r="J3684" s="3" t="s">
        <v>3356</v>
      </c>
      <c r="L3684" s="1" t="s">
        <v>6135</v>
      </c>
    </row>
    <row r="3685" spans="1:12">
      <c r="A3685" s="3" t="s">
        <v>7297</v>
      </c>
      <c r="C3685" s="3" t="s">
        <v>3817</v>
      </c>
      <c r="D3685" s="3" t="s">
        <v>3618</v>
      </c>
      <c r="E3685" s="3" t="s">
        <v>3638</v>
      </c>
      <c r="F3685" s="3" t="s">
        <v>4426</v>
      </c>
      <c r="G3685" s="3" t="s">
        <v>4204</v>
      </c>
      <c r="H3685" s="6">
        <v>1.88649</v>
      </c>
      <c r="I3685" s="6">
        <v>76.999871427713714</v>
      </c>
      <c r="J3685" s="3" t="s">
        <v>3356</v>
      </c>
      <c r="L3685" s="1" t="s">
        <v>6135</v>
      </c>
    </row>
    <row r="3686" spans="1:12">
      <c r="A3686" s="3" t="s">
        <v>7297</v>
      </c>
      <c r="C3686" s="3" t="s">
        <v>3817</v>
      </c>
      <c r="D3686" s="3" t="s">
        <v>3618</v>
      </c>
      <c r="E3686" s="3" t="s">
        <v>3638</v>
      </c>
      <c r="F3686" s="3" t="s">
        <v>4426</v>
      </c>
      <c r="G3686" s="3" t="s">
        <v>4205</v>
      </c>
      <c r="H3686" s="6">
        <v>2.0588099999999998</v>
      </c>
      <c r="I3686" s="6">
        <v>114.50118992599597</v>
      </c>
      <c r="J3686" s="3" t="s">
        <v>3356</v>
      </c>
      <c r="L3686" s="1" t="s">
        <v>6135</v>
      </c>
    </row>
    <row r="3687" spans="1:12">
      <c r="A3687" s="3" t="s">
        <v>7297</v>
      </c>
      <c r="C3687" s="3" t="s">
        <v>3817</v>
      </c>
      <c r="D3687" s="3" t="s">
        <v>3618</v>
      </c>
      <c r="E3687" s="3" t="s">
        <v>3638</v>
      </c>
      <c r="F3687" s="3" t="s">
        <v>4426</v>
      </c>
      <c r="G3687" s="3" t="s">
        <v>3784</v>
      </c>
      <c r="H3687" s="6">
        <v>1.88649</v>
      </c>
      <c r="I3687" s="6">
        <v>76.999871427713714</v>
      </c>
      <c r="J3687" s="3" t="s">
        <v>3356</v>
      </c>
      <c r="L3687" s="1" t="s">
        <v>6135</v>
      </c>
    </row>
    <row r="3688" spans="1:12">
      <c r="A3688" s="3" t="s">
        <v>7297</v>
      </c>
      <c r="C3688" s="3" t="s">
        <v>3817</v>
      </c>
      <c r="D3688" s="3" t="s">
        <v>3618</v>
      </c>
      <c r="E3688" s="3" t="s">
        <v>3638</v>
      </c>
      <c r="F3688" s="3" t="s">
        <v>4426</v>
      </c>
      <c r="G3688" s="3" t="s">
        <v>4485</v>
      </c>
      <c r="H3688" s="6">
        <v>1.88649</v>
      </c>
      <c r="I3688" s="6">
        <v>76.999871427713714</v>
      </c>
      <c r="J3688" s="3" t="s">
        <v>3356</v>
      </c>
      <c r="L3688" s="1" t="s">
        <v>6135</v>
      </c>
    </row>
    <row r="3689" spans="1:12">
      <c r="A3689" s="3" t="s">
        <v>7297</v>
      </c>
      <c r="C3689" s="3" t="s">
        <v>3817</v>
      </c>
      <c r="D3689" s="3" t="s">
        <v>3618</v>
      </c>
      <c r="E3689" s="3" t="s">
        <v>3638</v>
      </c>
      <c r="F3689" s="3" t="s">
        <v>4426</v>
      </c>
      <c r="G3689" s="3" t="s">
        <v>3785</v>
      </c>
      <c r="H3689" s="6">
        <v>1.88649</v>
      </c>
      <c r="I3689" s="6">
        <v>76.999871427713714</v>
      </c>
      <c r="J3689" s="3" t="s">
        <v>3356</v>
      </c>
      <c r="L3689" s="1" t="s">
        <v>6135</v>
      </c>
    </row>
    <row r="3690" spans="1:12">
      <c r="A3690" s="3" t="s">
        <v>7297</v>
      </c>
      <c r="C3690" s="3" t="s">
        <v>3817</v>
      </c>
      <c r="D3690" s="3" t="s">
        <v>3618</v>
      </c>
      <c r="E3690" s="3" t="s">
        <v>3638</v>
      </c>
      <c r="F3690" s="3" t="s">
        <v>4426</v>
      </c>
      <c r="G3690" s="3" t="s">
        <v>8028</v>
      </c>
      <c r="H3690" s="6">
        <v>1.88649</v>
      </c>
      <c r="I3690" s="6">
        <v>76.999871427713714</v>
      </c>
      <c r="J3690" s="3" t="s">
        <v>3356</v>
      </c>
      <c r="L3690" s="1" t="s">
        <v>6135</v>
      </c>
    </row>
    <row r="3691" spans="1:12">
      <c r="A3691" s="3" t="s">
        <v>7297</v>
      </c>
      <c r="C3691" s="3" t="s">
        <v>3817</v>
      </c>
      <c r="D3691" s="3" t="s">
        <v>3618</v>
      </c>
      <c r="E3691" s="3" t="s">
        <v>3638</v>
      </c>
      <c r="F3691" s="3" t="s">
        <v>4426</v>
      </c>
      <c r="G3691" s="3" t="s">
        <v>3786</v>
      </c>
      <c r="H3691" s="6">
        <v>1.88649</v>
      </c>
      <c r="I3691" s="6">
        <v>76.999871427713714</v>
      </c>
      <c r="J3691" s="3" t="s">
        <v>3356</v>
      </c>
      <c r="L3691" s="1" t="s">
        <v>6135</v>
      </c>
    </row>
    <row r="3692" spans="1:12">
      <c r="A3692" s="3" t="s">
        <v>7297</v>
      </c>
      <c r="C3692" s="3" t="s">
        <v>3817</v>
      </c>
      <c r="D3692" s="3" t="s">
        <v>3618</v>
      </c>
      <c r="E3692" s="3" t="s">
        <v>3638</v>
      </c>
      <c r="F3692" s="3" t="s">
        <v>4426</v>
      </c>
      <c r="G3692" s="3" t="s">
        <v>8029</v>
      </c>
      <c r="H3692" s="6">
        <v>1.88649</v>
      </c>
      <c r="I3692" s="6">
        <v>76.999871427713714</v>
      </c>
      <c r="J3692" s="3" t="s">
        <v>3356</v>
      </c>
      <c r="L3692" s="1" t="s">
        <v>6135</v>
      </c>
    </row>
    <row r="3693" spans="1:12">
      <c r="A3693" s="3" t="s">
        <v>7297</v>
      </c>
      <c r="C3693" s="3" t="s">
        <v>3817</v>
      </c>
      <c r="D3693" s="3" t="s">
        <v>3618</v>
      </c>
      <c r="E3693" s="3" t="s">
        <v>3638</v>
      </c>
      <c r="F3693" s="3" t="s">
        <v>4426</v>
      </c>
      <c r="G3693" s="3" t="s">
        <v>2189</v>
      </c>
      <c r="H3693" s="6">
        <v>1.88649</v>
      </c>
      <c r="I3693" s="6">
        <v>76.999871427713714</v>
      </c>
      <c r="J3693" s="3" t="s">
        <v>3356</v>
      </c>
      <c r="L3693" s="1" t="s">
        <v>6135</v>
      </c>
    </row>
    <row r="3694" spans="1:12">
      <c r="A3694" s="3" t="s">
        <v>7297</v>
      </c>
      <c r="C3694" s="3" t="s">
        <v>3817</v>
      </c>
      <c r="D3694" s="3" t="s">
        <v>3618</v>
      </c>
      <c r="E3694" s="3" t="s">
        <v>3638</v>
      </c>
      <c r="F3694" s="3" t="s">
        <v>4426</v>
      </c>
      <c r="G3694" s="3" t="s">
        <v>8030</v>
      </c>
      <c r="H3694" s="6">
        <v>1.88649</v>
      </c>
      <c r="I3694" s="6">
        <v>76.999871427713714</v>
      </c>
      <c r="J3694" s="3" t="s">
        <v>3356</v>
      </c>
      <c r="L3694" s="1" t="s">
        <v>6135</v>
      </c>
    </row>
    <row r="3695" spans="1:12">
      <c r="A3695" s="3" t="s">
        <v>7297</v>
      </c>
      <c r="C3695" s="3" t="s">
        <v>3817</v>
      </c>
      <c r="D3695" s="3" t="s">
        <v>3618</v>
      </c>
      <c r="E3695" s="3" t="s">
        <v>3638</v>
      </c>
      <c r="F3695" s="3" t="s">
        <v>4426</v>
      </c>
      <c r="G3695" s="3" t="s">
        <v>2937</v>
      </c>
      <c r="H3695" s="6">
        <v>1.88649</v>
      </c>
      <c r="I3695" s="6">
        <v>76.999871427713714</v>
      </c>
      <c r="J3695" s="3" t="s">
        <v>3356</v>
      </c>
      <c r="L3695" s="1" t="s">
        <v>6135</v>
      </c>
    </row>
    <row r="3696" spans="1:12">
      <c r="A3696" s="3" t="s">
        <v>7297</v>
      </c>
      <c r="C3696" s="3" t="s">
        <v>3817</v>
      </c>
      <c r="D3696" s="3" t="s">
        <v>3618</v>
      </c>
      <c r="E3696" s="3" t="s">
        <v>3638</v>
      </c>
      <c r="F3696" s="3" t="s">
        <v>4426</v>
      </c>
      <c r="G3696" s="3" t="s">
        <v>8031</v>
      </c>
      <c r="H3696" s="6">
        <v>1.88649</v>
      </c>
      <c r="I3696" s="6">
        <v>76.999871427713714</v>
      </c>
      <c r="J3696" s="3" t="s">
        <v>3356</v>
      </c>
      <c r="L3696" s="1" t="s">
        <v>6135</v>
      </c>
    </row>
    <row r="3697" spans="1:12">
      <c r="A3697" s="3" t="s">
        <v>7297</v>
      </c>
      <c r="C3697" s="3" t="s">
        <v>3817</v>
      </c>
      <c r="D3697" s="3" t="s">
        <v>3618</v>
      </c>
      <c r="E3697" s="3" t="s">
        <v>3638</v>
      </c>
      <c r="F3697" s="3" t="s">
        <v>4426</v>
      </c>
      <c r="G3697" s="3" t="s">
        <v>7488</v>
      </c>
      <c r="H3697" s="6">
        <v>1.55023</v>
      </c>
      <c r="I3697" s="6">
        <v>35.5001346244483</v>
      </c>
      <c r="J3697" s="3" t="s">
        <v>3356</v>
      </c>
      <c r="L3697" s="1" t="s">
        <v>6135</v>
      </c>
    </row>
    <row r="3698" spans="1:12">
      <c r="A3698" s="3" t="s">
        <v>7297</v>
      </c>
      <c r="C3698" s="3" t="s">
        <v>3817</v>
      </c>
      <c r="D3698" s="3" t="s">
        <v>3618</v>
      </c>
      <c r="E3698" s="3" t="s">
        <v>3638</v>
      </c>
      <c r="F3698" s="3" t="s">
        <v>4426</v>
      </c>
      <c r="G3698" s="3" t="s">
        <v>8032</v>
      </c>
      <c r="H3698" s="6">
        <v>1.88649</v>
      </c>
      <c r="I3698" s="6">
        <v>76.999871427713714</v>
      </c>
      <c r="J3698" s="3" t="s">
        <v>3356</v>
      </c>
      <c r="L3698" s="1" t="s">
        <v>6135</v>
      </c>
    </row>
    <row r="3699" spans="1:12">
      <c r="A3699" s="3" t="s">
        <v>7297</v>
      </c>
      <c r="C3699" s="3" t="s">
        <v>3817</v>
      </c>
      <c r="D3699" s="3" t="s">
        <v>3618</v>
      </c>
      <c r="E3699" s="3" t="s">
        <v>3638</v>
      </c>
      <c r="F3699" s="3" t="s">
        <v>4426</v>
      </c>
      <c r="G3699" s="3" t="s">
        <v>8033</v>
      </c>
      <c r="H3699" s="6">
        <v>1.88649</v>
      </c>
      <c r="I3699" s="6">
        <v>76.999871427713714</v>
      </c>
      <c r="J3699" s="3" t="s">
        <v>3356</v>
      </c>
      <c r="L3699" s="1" t="s">
        <v>6135</v>
      </c>
    </row>
    <row r="3700" spans="1:12">
      <c r="A3700" s="3" t="s">
        <v>7297</v>
      </c>
      <c r="C3700" s="3" t="s">
        <v>3817</v>
      </c>
      <c r="D3700" s="3" t="s">
        <v>3618</v>
      </c>
      <c r="E3700" s="3" t="s">
        <v>3638</v>
      </c>
      <c r="F3700" s="3" t="s">
        <v>4426</v>
      </c>
      <c r="G3700" s="3" t="s">
        <v>8034</v>
      </c>
      <c r="H3700" s="6">
        <v>1.88649</v>
      </c>
      <c r="I3700" s="6">
        <v>76.999871427713714</v>
      </c>
      <c r="J3700" s="3" t="s">
        <v>3356</v>
      </c>
      <c r="L3700" s="1" t="s">
        <v>6135</v>
      </c>
    </row>
    <row r="3701" spans="1:12">
      <c r="A3701" s="3" t="s">
        <v>7297</v>
      </c>
      <c r="C3701" s="3" t="s">
        <v>3817</v>
      </c>
      <c r="D3701" s="3" t="s">
        <v>3618</v>
      </c>
      <c r="E3701" s="3" t="s">
        <v>3638</v>
      </c>
      <c r="F3701" s="3" t="s">
        <v>4426</v>
      </c>
      <c r="G3701" s="3" t="s">
        <v>8035</v>
      </c>
      <c r="H3701" s="6">
        <v>1.88649</v>
      </c>
      <c r="I3701" s="6">
        <v>76.999871427713714</v>
      </c>
      <c r="J3701" s="3" t="s">
        <v>3356</v>
      </c>
      <c r="L3701" s="1" t="s">
        <v>6135</v>
      </c>
    </row>
    <row r="3702" spans="1:12">
      <c r="A3702" s="3" t="s">
        <v>7297</v>
      </c>
      <c r="C3702" s="3" t="s">
        <v>3817</v>
      </c>
      <c r="D3702" s="3" t="s">
        <v>3618</v>
      </c>
      <c r="E3702" s="3" t="s">
        <v>3638</v>
      </c>
      <c r="F3702" s="3" t="s">
        <v>4426</v>
      </c>
      <c r="G3702" s="3" t="s">
        <v>6356</v>
      </c>
      <c r="H3702" s="6">
        <v>1.88649</v>
      </c>
      <c r="I3702" s="6">
        <v>76.999871427713714</v>
      </c>
      <c r="J3702" s="3" t="s">
        <v>3356</v>
      </c>
      <c r="L3702" s="1" t="s">
        <v>6135</v>
      </c>
    </row>
    <row r="3703" spans="1:12">
      <c r="A3703" s="3" t="s">
        <v>7297</v>
      </c>
      <c r="C3703" s="3" t="s">
        <v>3817</v>
      </c>
      <c r="D3703" s="3" t="s">
        <v>3618</v>
      </c>
      <c r="E3703" s="3" t="s">
        <v>3638</v>
      </c>
      <c r="F3703" s="3" t="s">
        <v>4426</v>
      </c>
      <c r="G3703" s="3" t="s">
        <v>3228</v>
      </c>
      <c r="H3703" s="6">
        <v>1.88649</v>
      </c>
      <c r="I3703" s="6">
        <v>76.999871427713714</v>
      </c>
      <c r="J3703" s="3" t="s">
        <v>3356</v>
      </c>
      <c r="L3703" s="1" t="s">
        <v>6135</v>
      </c>
    </row>
    <row r="3704" spans="1:12">
      <c r="A3704" s="3" t="s">
        <v>7297</v>
      </c>
      <c r="C3704" s="3" t="s">
        <v>3817</v>
      </c>
      <c r="D3704" s="3" t="s">
        <v>3618</v>
      </c>
      <c r="E3704" s="3" t="s">
        <v>3638</v>
      </c>
      <c r="F3704" s="3" t="s">
        <v>4426</v>
      </c>
      <c r="G3704" s="3" t="s">
        <v>3229</v>
      </c>
      <c r="H3704" s="6">
        <v>1.88649</v>
      </c>
      <c r="I3704" s="6">
        <v>76.999871427713714</v>
      </c>
      <c r="J3704" s="3" t="s">
        <v>3356</v>
      </c>
      <c r="L3704" s="1" t="s">
        <v>6135</v>
      </c>
    </row>
    <row r="3705" spans="1:12">
      <c r="A3705" s="3" t="s">
        <v>7297</v>
      </c>
      <c r="C3705" s="3" t="s">
        <v>3817</v>
      </c>
      <c r="D3705" s="3" t="s">
        <v>3618</v>
      </c>
      <c r="E3705" s="3" t="s">
        <v>3638</v>
      </c>
      <c r="F3705" s="3" t="s">
        <v>4426</v>
      </c>
      <c r="G3705" s="3" t="s">
        <v>5476</v>
      </c>
      <c r="H3705" s="6">
        <v>1.88649</v>
      </c>
      <c r="I3705" s="6">
        <v>76.999871427713714</v>
      </c>
      <c r="J3705" s="3" t="s">
        <v>3356</v>
      </c>
      <c r="L3705" s="1" t="s">
        <v>6135</v>
      </c>
    </row>
    <row r="3706" spans="1:12">
      <c r="A3706" s="3" t="s">
        <v>7297</v>
      </c>
      <c r="C3706" s="3" t="s">
        <v>3817</v>
      </c>
      <c r="D3706" s="3" t="s">
        <v>3618</v>
      </c>
      <c r="E3706" s="3" t="s">
        <v>3638</v>
      </c>
      <c r="F3706" s="3" t="s">
        <v>4426</v>
      </c>
      <c r="G3706" s="3" t="s">
        <v>4857</v>
      </c>
      <c r="H3706" s="6">
        <v>1.88649</v>
      </c>
      <c r="I3706" s="6">
        <v>76.999871427713714</v>
      </c>
      <c r="J3706" s="3" t="s">
        <v>3356</v>
      </c>
      <c r="L3706" s="1" t="s">
        <v>6135</v>
      </c>
    </row>
    <row r="3707" spans="1:12">
      <c r="A3707" s="3" t="s">
        <v>7297</v>
      </c>
      <c r="C3707" s="3" t="s">
        <v>3817</v>
      </c>
      <c r="D3707" s="3" t="s">
        <v>3618</v>
      </c>
      <c r="E3707" s="3" t="s">
        <v>3638</v>
      </c>
      <c r="F3707" s="3" t="s">
        <v>4426</v>
      </c>
      <c r="G3707" s="3" t="s">
        <v>3624</v>
      </c>
      <c r="H3707" s="6">
        <v>1.88649</v>
      </c>
      <c r="I3707" s="6">
        <v>76.999871427713714</v>
      </c>
      <c r="J3707" s="3" t="s">
        <v>3356</v>
      </c>
      <c r="L3707" s="1" t="s">
        <v>6135</v>
      </c>
    </row>
    <row r="3708" spans="1:12">
      <c r="A3708" s="3" t="s">
        <v>7297</v>
      </c>
      <c r="C3708" s="3" t="s">
        <v>3817</v>
      </c>
      <c r="D3708" s="3" t="s">
        <v>3618</v>
      </c>
      <c r="E3708" s="3" t="s">
        <v>3638</v>
      </c>
      <c r="F3708" s="3" t="s">
        <v>4426</v>
      </c>
      <c r="G3708" s="3" t="s">
        <v>5523</v>
      </c>
      <c r="H3708" s="6">
        <v>1.8836599999999999</v>
      </c>
      <c r="I3708" s="6">
        <v>76.499747201323302</v>
      </c>
      <c r="J3708" s="3" t="s">
        <v>3356</v>
      </c>
      <c r="L3708" s="1" t="s">
        <v>6135</v>
      </c>
    </row>
    <row r="3709" spans="1:12">
      <c r="A3709" s="3" t="s">
        <v>7297</v>
      </c>
      <c r="C3709" s="3" t="s">
        <v>3817</v>
      </c>
      <c r="D3709" s="3" t="s">
        <v>3618</v>
      </c>
      <c r="E3709" s="3" t="s">
        <v>3638</v>
      </c>
      <c r="F3709" s="3" t="s">
        <v>4611</v>
      </c>
      <c r="G3709" s="3" t="s">
        <v>5477</v>
      </c>
      <c r="H3709" s="6">
        <v>2.2638699999999998</v>
      </c>
      <c r="I3709" s="6">
        <v>183.59886834633892</v>
      </c>
      <c r="J3709" s="3" t="s">
        <v>3356</v>
      </c>
      <c r="L3709" s="1" t="s">
        <v>6135</v>
      </c>
    </row>
    <row r="3710" spans="1:12">
      <c r="A3710" s="3" t="s">
        <v>7297</v>
      </c>
      <c r="C3710" s="3" t="s">
        <v>3817</v>
      </c>
      <c r="D3710" s="3" t="s">
        <v>3618</v>
      </c>
      <c r="E3710" s="3" t="s">
        <v>3638</v>
      </c>
      <c r="F3710" s="3" t="s">
        <v>5478</v>
      </c>
      <c r="G3710" s="3" t="s">
        <v>5479</v>
      </c>
      <c r="H3710" s="6">
        <v>1.6693199999999999</v>
      </c>
      <c r="I3710" s="6">
        <v>46.700335436188617</v>
      </c>
      <c r="J3710" s="3" t="s">
        <v>3356</v>
      </c>
      <c r="L3710" s="1" t="s">
        <v>6135</v>
      </c>
    </row>
    <row r="3711" spans="1:12">
      <c r="A3711" s="3" t="s">
        <v>7297</v>
      </c>
      <c r="C3711" s="3" t="s">
        <v>3817</v>
      </c>
      <c r="D3711" s="3" t="s">
        <v>3618</v>
      </c>
      <c r="E3711" s="3" t="s">
        <v>3638</v>
      </c>
      <c r="F3711" s="3" t="s">
        <v>5432</v>
      </c>
      <c r="G3711" s="3" t="s">
        <v>5433</v>
      </c>
      <c r="H3711" s="6">
        <v>1.67025</v>
      </c>
      <c r="I3711" s="6">
        <v>46.800446878939681</v>
      </c>
      <c r="J3711" s="3" t="s">
        <v>3356</v>
      </c>
      <c r="L3711" s="1" t="s">
        <v>6135</v>
      </c>
    </row>
    <row r="3712" spans="1:12">
      <c r="A3712" s="3" t="s">
        <v>7297</v>
      </c>
      <c r="C3712" s="3" t="s">
        <v>3817</v>
      </c>
      <c r="D3712" s="3" t="s">
        <v>3618</v>
      </c>
      <c r="E3712" s="3" t="s">
        <v>3638</v>
      </c>
      <c r="F3712" s="3" t="s">
        <v>5432</v>
      </c>
      <c r="G3712" s="3" t="s">
        <v>5434</v>
      </c>
      <c r="H3712" s="6">
        <v>1.3598399999999999</v>
      </c>
      <c r="I3712" s="6">
        <v>22.900238213836374</v>
      </c>
      <c r="J3712" s="3" t="s">
        <v>3356</v>
      </c>
      <c r="L3712" s="1" t="s">
        <v>6135</v>
      </c>
    </row>
    <row r="3713" spans="1:12">
      <c r="A3713" s="3" t="s">
        <v>7297</v>
      </c>
      <c r="C3713" s="3" t="s">
        <v>3817</v>
      </c>
      <c r="D3713" s="3" t="s">
        <v>3618</v>
      </c>
      <c r="E3713" s="3" t="s">
        <v>3638</v>
      </c>
      <c r="F3713" s="3" t="s">
        <v>5435</v>
      </c>
      <c r="G3713" s="3" t="s">
        <v>7354</v>
      </c>
      <c r="H3713" s="6">
        <v>1.7179500000000001</v>
      </c>
      <c r="I3713" s="6">
        <v>52.233604937723022</v>
      </c>
      <c r="J3713" s="3" t="s">
        <v>3356</v>
      </c>
      <c r="L3713" s="1" t="s">
        <v>6135</v>
      </c>
    </row>
    <row r="3714" spans="1:12">
      <c r="A3714" s="3" t="s">
        <v>7297</v>
      </c>
      <c r="C3714" s="3" t="s">
        <v>3817</v>
      </c>
      <c r="D3714" s="3" t="s">
        <v>3618</v>
      </c>
      <c r="E3714" s="3" t="s">
        <v>3638</v>
      </c>
      <c r="F3714" s="3" t="s">
        <v>5435</v>
      </c>
      <c r="G3714" s="3" t="s">
        <v>4781</v>
      </c>
      <c r="H3714" s="6">
        <v>1.87852</v>
      </c>
      <c r="I3714" s="6">
        <v>75.599687447996104</v>
      </c>
      <c r="J3714" s="3" t="s">
        <v>3356</v>
      </c>
      <c r="L3714" s="1" t="s">
        <v>6135</v>
      </c>
    </row>
    <row r="3715" spans="1:12">
      <c r="A3715" s="3" t="s">
        <v>7297</v>
      </c>
      <c r="C3715" s="3" t="s">
        <v>3817</v>
      </c>
      <c r="D3715" s="3" t="s">
        <v>3618</v>
      </c>
      <c r="E3715" s="3" t="s">
        <v>5436</v>
      </c>
      <c r="F3715" s="3" t="s">
        <v>6057</v>
      </c>
      <c r="G3715" s="3" t="s">
        <v>6058</v>
      </c>
      <c r="H3715" s="6">
        <v>3.8412000000000002</v>
      </c>
      <c r="I3715" s="6">
        <v>6937.4521394212425</v>
      </c>
      <c r="J3715" s="3" t="s">
        <v>3356</v>
      </c>
      <c r="L3715" s="1" t="s">
        <v>6135</v>
      </c>
    </row>
    <row r="3716" spans="1:12">
      <c r="A3716" s="3" t="s">
        <v>7297</v>
      </c>
      <c r="C3716" s="3" t="s">
        <v>3817</v>
      </c>
      <c r="D3716" s="3" t="s">
        <v>3618</v>
      </c>
      <c r="E3716" s="3" t="s">
        <v>8046</v>
      </c>
      <c r="F3716" s="3" t="s">
        <v>8047</v>
      </c>
      <c r="G3716" s="3" t="s">
        <v>4847</v>
      </c>
      <c r="H3716" s="6">
        <v>2.12548</v>
      </c>
      <c r="I3716" s="6">
        <v>133.4996109303938</v>
      </c>
      <c r="J3716" s="3" t="s">
        <v>3356</v>
      </c>
      <c r="L3716" s="1" t="s">
        <v>6135</v>
      </c>
    </row>
    <row r="3717" spans="1:12">
      <c r="A3717" s="3" t="s">
        <v>7297</v>
      </c>
      <c r="C3717" s="3" t="s">
        <v>3817</v>
      </c>
      <c r="D3717" s="3" t="s">
        <v>3618</v>
      </c>
      <c r="E3717" s="3" t="s">
        <v>8046</v>
      </c>
      <c r="F3717" s="3" t="s">
        <v>8047</v>
      </c>
      <c r="G3717" s="3" t="s">
        <v>8048</v>
      </c>
      <c r="H3717" s="6">
        <v>1.9845299999999999</v>
      </c>
      <c r="I3717" s="6">
        <v>96.500596975408996</v>
      </c>
      <c r="J3717" s="3" t="s">
        <v>3356</v>
      </c>
      <c r="L3717" s="1" t="s">
        <v>6135</v>
      </c>
    </row>
    <row r="3718" spans="1:12">
      <c r="A3718" s="3" t="s">
        <v>7297</v>
      </c>
      <c r="C3718" s="3" t="s">
        <v>3817</v>
      </c>
      <c r="D3718" s="3" t="s">
        <v>3618</v>
      </c>
      <c r="E3718" s="3" t="s">
        <v>8046</v>
      </c>
      <c r="F3718" s="3" t="s">
        <v>8049</v>
      </c>
      <c r="G3718" s="3" t="s">
        <v>8050</v>
      </c>
      <c r="H3718" s="6">
        <v>2.1760899999999999</v>
      </c>
      <c r="I3718" s="6">
        <v>149.99956513820399</v>
      </c>
      <c r="J3718" s="3" t="s">
        <v>3356</v>
      </c>
      <c r="L3718" s="1" t="s">
        <v>6135</v>
      </c>
    </row>
    <row r="3719" spans="1:12">
      <c r="A3719" s="3" t="s">
        <v>7297</v>
      </c>
      <c r="C3719" s="3" t="s">
        <v>3817</v>
      </c>
      <c r="D3719" s="3" t="s">
        <v>3618</v>
      </c>
      <c r="E3719" s="3" t="s">
        <v>8046</v>
      </c>
      <c r="F3719" s="3" t="s">
        <v>8049</v>
      </c>
      <c r="G3719" s="3" t="s">
        <v>5922</v>
      </c>
      <c r="H3719" s="6">
        <v>2.3222200000000002</v>
      </c>
      <c r="I3719" s="6">
        <v>210.00034102666152</v>
      </c>
      <c r="J3719" s="3" t="s">
        <v>3356</v>
      </c>
      <c r="L3719" s="1" t="s">
        <v>6135</v>
      </c>
    </row>
    <row r="3720" spans="1:12">
      <c r="A3720" s="3" t="s">
        <v>7297</v>
      </c>
      <c r="C3720" s="3" t="s">
        <v>3817</v>
      </c>
      <c r="D3720" s="3" t="s">
        <v>3618</v>
      </c>
      <c r="E3720" s="3" t="s">
        <v>8046</v>
      </c>
      <c r="F3720" s="3" t="s">
        <v>8049</v>
      </c>
      <c r="G3720" s="3" t="s">
        <v>4620</v>
      </c>
      <c r="H3720" s="6">
        <v>2.3673600000000001</v>
      </c>
      <c r="I3720" s="6">
        <v>233.0021883893082</v>
      </c>
      <c r="J3720" s="3" t="s">
        <v>3356</v>
      </c>
      <c r="L3720" s="1" t="s">
        <v>6135</v>
      </c>
    </row>
    <row r="3721" spans="1:12">
      <c r="A3721" s="3" t="s">
        <v>7297</v>
      </c>
      <c r="C3721" s="3" t="s">
        <v>3817</v>
      </c>
      <c r="D3721" s="3" t="s">
        <v>3618</v>
      </c>
      <c r="E3721" s="3" t="s">
        <v>8046</v>
      </c>
      <c r="F3721" s="3" t="s">
        <v>8051</v>
      </c>
      <c r="G3721" s="3" t="s">
        <v>7265</v>
      </c>
      <c r="H3721" s="6">
        <v>2.1760899999999999</v>
      </c>
      <c r="I3721" s="6">
        <v>149.99956513820399</v>
      </c>
      <c r="J3721" s="3" t="s">
        <v>3356</v>
      </c>
      <c r="L3721" s="1" t="s">
        <v>6135</v>
      </c>
    </row>
    <row r="3722" spans="1:12">
      <c r="A3722" s="3" t="s">
        <v>7297</v>
      </c>
      <c r="C3722" s="3" t="s">
        <v>3817</v>
      </c>
      <c r="D3722" s="3" t="s">
        <v>3618</v>
      </c>
      <c r="E3722" s="3" t="s">
        <v>8046</v>
      </c>
      <c r="F3722" s="3" t="s">
        <v>8052</v>
      </c>
      <c r="G3722" s="3" t="s">
        <v>8053</v>
      </c>
      <c r="H3722" s="6">
        <v>2.11727</v>
      </c>
      <c r="I3722" s="6">
        <v>130.99960918073103</v>
      </c>
      <c r="J3722" s="3" t="s">
        <v>3356</v>
      </c>
      <c r="L3722" s="1" t="s">
        <v>6135</v>
      </c>
    </row>
    <row r="3723" spans="1:12">
      <c r="A3723" s="3" t="s">
        <v>7297</v>
      </c>
      <c r="C3723" s="3" t="s">
        <v>3817</v>
      </c>
      <c r="D3723" s="3" t="s">
        <v>3618</v>
      </c>
      <c r="E3723" s="3" t="s">
        <v>8046</v>
      </c>
      <c r="F3723" s="3" t="s">
        <v>6328</v>
      </c>
      <c r="G3723" s="3" t="s">
        <v>5692</v>
      </c>
      <c r="H3723" s="6">
        <v>2.1055100000000002</v>
      </c>
      <c r="I3723" s="6">
        <v>127.49994575531669</v>
      </c>
      <c r="J3723" s="3" t="s">
        <v>3356</v>
      </c>
      <c r="L3723" s="1" t="s">
        <v>6135</v>
      </c>
    </row>
    <row r="3724" spans="1:12">
      <c r="A3724" s="3" t="s">
        <v>7297</v>
      </c>
      <c r="C3724" s="3" t="s">
        <v>3817</v>
      </c>
      <c r="D3724" s="3" t="s">
        <v>3618</v>
      </c>
      <c r="E3724" s="3" t="s">
        <v>8046</v>
      </c>
      <c r="F3724" s="3" t="s">
        <v>6329</v>
      </c>
      <c r="G3724" s="3" t="s">
        <v>6330</v>
      </c>
      <c r="H3724" s="6">
        <v>1.8451</v>
      </c>
      <c r="I3724" s="6">
        <v>70.000315913089707</v>
      </c>
      <c r="J3724" s="3" t="s">
        <v>3356</v>
      </c>
      <c r="L3724" s="1" t="s">
        <v>6135</v>
      </c>
    </row>
    <row r="3725" spans="1:12">
      <c r="A3725" s="3" t="s">
        <v>7297</v>
      </c>
      <c r="C3725" s="3" t="s">
        <v>3817</v>
      </c>
      <c r="D3725" s="3" t="s">
        <v>3618</v>
      </c>
      <c r="E3725" s="3" t="s">
        <v>3438</v>
      </c>
      <c r="F3725" s="3" t="s">
        <v>6232</v>
      </c>
      <c r="G3725" s="3" t="s">
        <v>6233</v>
      </c>
      <c r="H3725" s="6">
        <v>1.94201</v>
      </c>
      <c r="I3725" s="6">
        <v>87.500392270536665</v>
      </c>
      <c r="J3725" s="3" t="s">
        <v>3356</v>
      </c>
      <c r="L3725" s="1" t="s">
        <v>6135</v>
      </c>
    </row>
    <row r="3726" spans="1:12">
      <c r="A3726" s="3" t="s">
        <v>7297</v>
      </c>
      <c r="C3726" s="3" t="s">
        <v>3817</v>
      </c>
      <c r="D3726" s="3" t="s">
        <v>3618</v>
      </c>
      <c r="E3726" s="3" t="s">
        <v>3438</v>
      </c>
      <c r="F3726" s="3" t="s">
        <v>6232</v>
      </c>
      <c r="G3726" s="3" t="s">
        <v>6234</v>
      </c>
      <c r="H3726" s="6">
        <v>1.9637899999999999</v>
      </c>
      <c r="I3726" s="6">
        <v>92.000460251551033</v>
      </c>
      <c r="J3726" s="3" t="s">
        <v>3356</v>
      </c>
      <c r="L3726" s="1" t="s">
        <v>6135</v>
      </c>
    </row>
    <row r="3727" spans="1:12">
      <c r="A3727" s="3" t="s">
        <v>7297</v>
      </c>
      <c r="C3727" s="3" t="s">
        <v>3817</v>
      </c>
      <c r="D3727" s="3" t="s">
        <v>3618</v>
      </c>
      <c r="E3727" s="3" t="s">
        <v>3438</v>
      </c>
      <c r="F3727" s="3" t="s">
        <v>6232</v>
      </c>
      <c r="G3727" s="3" t="s">
        <v>6235</v>
      </c>
      <c r="H3727" s="6">
        <v>2.07918</v>
      </c>
      <c r="I3727" s="6">
        <v>119.99965570481169</v>
      </c>
      <c r="J3727" s="3" t="s">
        <v>3356</v>
      </c>
      <c r="L3727" s="1" t="s">
        <v>6135</v>
      </c>
    </row>
    <row r="3728" spans="1:12">
      <c r="A3728" s="3" t="s">
        <v>7297</v>
      </c>
      <c r="C3728" s="3" t="s">
        <v>3817</v>
      </c>
      <c r="D3728" s="3" t="s">
        <v>3618</v>
      </c>
      <c r="E3728" s="3" t="s">
        <v>3438</v>
      </c>
      <c r="F3728" s="3" t="s">
        <v>6232</v>
      </c>
      <c r="G3728" s="3" t="s">
        <v>6236</v>
      </c>
      <c r="H3728" s="6">
        <v>1.9991300000000001</v>
      </c>
      <c r="I3728" s="6">
        <v>99.799875613326449</v>
      </c>
      <c r="J3728" s="3" t="s">
        <v>3356</v>
      </c>
      <c r="L3728" s="1" t="s">
        <v>6135</v>
      </c>
    </row>
    <row r="3729" spans="1:12">
      <c r="A3729" s="3" t="s">
        <v>7297</v>
      </c>
      <c r="C3729" s="3" t="s">
        <v>3817</v>
      </c>
      <c r="D3729" s="3" t="s">
        <v>3618</v>
      </c>
      <c r="E3729" s="3" t="s">
        <v>3438</v>
      </c>
      <c r="F3729" s="3" t="s">
        <v>6237</v>
      </c>
      <c r="G3729" s="3" t="s">
        <v>4473</v>
      </c>
      <c r="H3729" s="6">
        <v>1.5910599999999999</v>
      </c>
      <c r="I3729" s="6">
        <v>38.999586287443293</v>
      </c>
      <c r="J3729" s="3" t="s">
        <v>3356</v>
      </c>
      <c r="L3729" s="1" t="s">
        <v>6135</v>
      </c>
    </row>
    <row r="3730" spans="1:12">
      <c r="A3730" s="3" t="s">
        <v>7297</v>
      </c>
      <c r="C3730" s="3" t="s">
        <v>3817</v>
      </c>
      <c r="D3730" s="3" t="s">
        <v>3618</v>
      </c>
      <c r="E3730" s="3" t="s">
        <v>3438</v>
      </c>
      <c r="F3730" s="3" t="s">
        <v>3468</v>
      </c>
      <c r="G3730" s="3" t="s">
        <v>6228</v>
      </c>
      <c r="H3730" s="6">
        <v>2.2671700000000001</v>
      </c>
      <c r="I3730" s="6">
        <v>184.99926373938769</v>
      </c>
      <c r="J3730" s="3" t="s">
        <v>3356</v>
      </c>
      <c r="L3730" s="1" t="s">
        <v>6135</v>
      </c>
    </row>
    <row r="3731" spans="1:12">
      <c r="A3731" s="3" t="s">
        <v>7297</v>
      </c>
      <c r="C3731" s="3" t="s">
        <v>3817</v>
      </c>
      <c r="D3731" s="3" t="s">
        <v>3618</v>
      </c>
      <c r="E3731" s="3" t="s">
        <v>3438</v>
      </c>
      <c r="F3731" s="3" t="s">
        <v>3468</v>
      </c>
      <c r="G3731" s="3" t="s">
        <v>7983</v>
      </c>
      <c r="H3731" s="6">
        <v>3.6327600000000002</v>
      </c>
      <c r="I3731" s="6">
        <v>4292.9912173916864</v>
      </c>
      <c r="J3731" s="3" t="s">
        <v>3356</v>
      </c>
      <c r="L3731" s="1" t="s">
        <v>6135</v>
      </c>
    </row>
    <row r="3732" spans="1:12">
      <c r="A3732" s="3" t="s">
        <v>7297</v>
      </c>
      <c r="C3732" s="3" t="s">
        <v>3817</v>
      </c>
      <c r="D3732" s="3" t="s">
        <v>3618</v>
      </c>
      <c r="E3732" s="3" t="s">
        <v>3438</v>
      </c>
      <c r="F3732" s="3" t="s">
        <v>3468</v>
      </c>
      <c r="G3732" s="3" t="s">
        <v>7984</v>
      </c>
      <c r="H3732" s="6">
        <v>2.9047200000000002</v>
      </c>
      <c r="I3732" s="6">
        <v>803.00823671429134</v>
      </c>
      <c r="J3732" s="3" t="s">
        <v>3356</v>
      </c>
      <c r="L3732" s="1" t="s">
        <v>6135</v>
      </c>
    </row>
    <row r="3733" spans="1:12">
      <c r="A3733" s="3" t="s">
        <v>7297</v>
      </c>
      <c r="C3733" s="3" t="s">
        <v>3817</v>
      </c>
      <c r="D3733" s="3" t="s">
        <v>3618</v>
      </c>
      <c r="E3733" s="3" t="s">
        <v>3438</v>
      </c>
      <c r="F3733" s="3" t="s">
        <v>3468</v>
      </c>
      <c r="G3733" s="3" t="s">
        <v>7990</v>
      </c>
      <c r="H3733" s="6">
        <v>2.3979400000000002</v>
      </c>
      <c r="I3733" s="6">
        <v>249.99999500797404</v>
      </c>
      <c r="J3733" s="3" t="s">
        <v>3356</v>
      </c>
      <c r="L3733" s="1" t="s">
        <v>6135</v>
      </c>
    </row>
    <row r="3734" spans="1:12">
      <c r="A3734" s="3" t="s">
        <v>7297</v>
      </c>
      <c r="C3734" s="3" t="s">
        <v>3817</v>
      </c>
      <c r="D3734" s="3" t="s">
        <v>3618</v>
      </c>
      <c r="E3734" s="3" t="s">
        <v>3438</v>
      </c>
      <c r="F3734" s="3" t="s">
        <v>3468</v>
      </c>
      <c r="G3734" s="3" t="s">
        <v>7991</v>
      </c>
      <c r="H3734" s="6">
        <v>2.2787500000000001</v>
      </c>
      <c r="I3734" s="6">
        <v>189.99842462147336</v>
      </c>
      <c r="J3734" s="3" t="s">
        <v>3356</v>
      </c>
      <c r="L3734" s="1" t="s">
        <v>6135</v>
      </c>
    </row>
    <row r="3735" spans="1:12">
      <c r="A3735" s="3" t="s">
        <v>7297</v>
      </c>
      <c r="C3735" s="3" t="s">
        <v>3817</v>
      </c>
      <c r="D3735" s="3" t="s">
        <v>3618</v>
      </c>
      <c r="E3735" s="3" t="s">
        <v>3438</v>
      </c>
      <c r="F3735" s="3" t="s">
        <v>3468</v>
      </c>
      <c r="G3735" s="3" t="s">
        <v>7992</v>
      </c>
      <c r="H3735" s="6">
        <v>2.8451</v>
      </c>
      <c r="I3735" s="6">
        <v>700.0031591308973</v>
      </c>
      <c r="J3735" s="3" t="s">
        <v>3356</v>
      </c>
      <c r="L3735" s="1" t="s">
        <v>6135</v>
      </c>
    </row>
    <row r="3736" spans="1:12">
      <c r="A3736" s="3" t="s">
        <v>7297</v>
      </c>
      <c r="C3736" s="3" t="s">
        <v>3817</v>
      </c>
      <c r="D3736" s="3" t="s">
        <v>3618</v>
      </c>
      <c r="E3736" s="3" t="s">
        <v>3438</v>
      </c>
      <c r="F3736" s="3" t="s">
        <v>3468</v>
      </c>
      <c r="G3736" s="3" t="s">
        <v>7989</v>
      </c>
      <c r="H3736" s="6">
        <v>2.9047200000000002</v>
      </c>
      <c r="I3736" s="6">
        <v>803.00823671429134</v>
      </c>
      <c r="J3736" s="3" t="s">
        <v>3356</v>
      </c>
      <c r="L3736" s="1" t="s">
        <v>6135</v>
      </c>
    </row>
    <row r="3737" spans="1:12">
      <c r="A3737" s="3" t="s">
        <v>7297</v>
      </c>
      <c r="C3737" s="3" t="s">
        <v>3817</v>
      </c>
      <c r="D3737" s="3" t="s">
        <v>3618</v>
      </c>
      <c r="E3737" s="3" t="s">
        <v>3438</v>
      </c>
      <c r="F3737" s="3" t="s">
        <v>3468</v>
      </c>
      <c r="G3737" s="3" t="s">
        <v>6465</v>
      </c>
      <c r="H3737" s="6">
        <v>2.6830500000000002</v>
      </c>
      <c r="I3737" s="6">
        <v>482.00328711001845</v>
      </c>
      <c r="J3737" s="3" t="s">
        <v>3356</v>
      </c>
      <c r="L3737" s="1" t="s">
        <v>6135</v>
      </c>
    </row>
    <row r="3738" spans="1:12">
      <c r="A3738" s="3" t="s">
        <v>7297</v>
      </c>
      <c r="C3738" s="3" t="s">
        <v>3817</v>
      </c>
      <c r="D3738" s="3" t="s">
        <v>3618</v>
      </c>
      <c r="E3738" s="3" t="s">
        <v>3438</v>
      </c>
      <c r="F3738" s="3" t="s">
        <v>3468</v>
      </c>
      <c r="G3738" s="3" t="s">
        <v>4300</v>
      </c>
      <c r="H3738" s="6">
        <v>2.13354</v>
      </c>
      <c r="I3738" s="6">
        <v>136.00034184601287</v>
      </c>
      <c r="J3738" s="3" t="s">
        <v>3356</v>
      </c>
      <c r="L3738" s="1" t="s">
        <v>6135</v>
      </c>
    </row>
    <row r="3739" spans="1:12">
      <c r="A3739" s="3" t="s">
        <v>7297</v>
      </c>
      <c r="C3739" s="3" t="s">
        <v>3817</v>
      </c>
      <c r="D3739" s="3" t="s">
        <v>3618</v>
      </c>
      <c r="E3739" s="3" t="s">
        <v>3438</v>
      </c>
      <c r="F3739" s="3" t="s">
        <v>3468</v>
      </c>
      <c r="G3739" s="3" t="s">
        <v>6466</v>
      </c>
      <c r="H3739" s="6">
        <v>2.6056599999999999</v>
      </c>
      <c r="I3739" s="6">
        <v>403.32951115834646</v>
      </c>
      <c r="J3739" s="3" t="s">
        <v>3356</v>
      </c>
      <c r="L3739" s="1" t="s">
        <v>6135</v>
      </c>
    </row>
    <row r="3740" spans="1:12">
      <c r="A3740" s="3" t="s">
        <v>7297</v>
      </c>
      <c r="C3740" s="3" t="s">
        <v>3817</v>
      </c>
      <c r="D3740" s="3" t="s">
        <v>3618</v>
      </c>
      <c r="E3740" s="3" t="s">
        <v>3438</v>
      </c>
      <c r="F3740" s="3" t="s">
        <v>3468</v>
      </c>
      <c r="G3740" s="3" t="s">
        <v>6467</v>
      </c>
      <c r="H3740" s="6">
        <v>2.63679</v>
      </c>
      <c r="I3740" s="6">
        <v>433.3013079656464</v>
      </c>
      <c r="J3740" s="3" t="s">
        <v>3356</v>
      </c>
      <c r="L3740" s="1" t="s">
        <v>6135</v>
      </c>
    </row>
    <row r="3741" spans="1:12">
      <c r="A3741" s="3" t="s">
        <v>7297</v>
      </c>
      <c r="C3741" s="3" t="s">
        <v>3817</v>
      </c>
      <c r="D3741" s="3" t="s">
        <v>6415</v>
      </c>
      <c r="E3741" s="3" t="s">
        <v>6416</v>
      </c>
      <c r="F3741" s="3" t="s">
        <v>6599</v>
      </c>
      <c r="G3741" s="3" t="s">
        <v>3712</v>
      </c>
      <c r="H3741" s="6">
        <v>3.5910600000000001</v>
      </c>
      <c r="I3741" s="6">
        <v>3899.9586287443362</v>
      </c>
      <c r="J3741" s="3" t="s">
        <v>3356</v>
      </c>
      <c r="L3741" s="1" t="s">
        <v>6135</v>
      </c>
    </row>
    <row r="3742" spans="1:12">
      <c r="A3742" s="3" t="s">
        <v>7297</v>
      </c>
      <c r="C3742" s="3" t="s">
        <v>3817</v>
      </c>
      <c r="D3742" s="3" t="s">
        <v>6415</v>
      </c>
      <c r="E3742" s="3" t="s">
        <v>6416</v>
      </c>
      <c r="F3742" s="3" t="s">
        <v>6599</v>
      </c>
      <c r="G3742" s="3" t="s">
        <v>4477</v>
      </c>
      <c r="H3742" s="6">
        <v>3.5854599999999999</v>
      </c>
      <c r="I3742" s="6">
        <v>3849.993532947145</v>
      </c>
      <c r="J3742" s="3" t="s">
        <v>3356</v>
      </c>
      <c r="L3742" s="1" t="s">
        <v>6135</v>
      </c>
    </row>
    <row r="3743" spans="1:12">
      <c r="A3743" s="3" t="s">
        <v>7297</v>
      </c>
      <c r="C3743" s="3" t="s">
        <v>3817</v>
      </c>
      <c r="D3743" s="3" t="s">
        <v>6415</v>
      </c>
      <c r="E3743" s="3" t="s">
        <v>6416</v>
      </c>
      <c r="F3743" s="3" t="s">
        <v>6599</v>
      </c>
      <c r="G3743" s="3" t="s">
        <v>3089</v>
      </c>
      <c r="H3743" s="6">
        <v>3.6369899999999999</v>
      </c>
      <c r="I3743" s="6">
        <v>4335.0089654558778</v>
      </c>
      <c r="J3743" s="3" t="s">
        <v>3356</v>
      </c>
      <c r="L3743" s="1" t="s">
        <v>6135</v>
      </c>
    </row>
    <row r="3744" spans="1:12">
      <c r="A3744" s="3" t="s">
        <v>7297</v>
      </c>
      <c r="C3744" s="3" t="s">
        <v>3817</v>
      </c>
      <c r="D3744" s="3" t="s">
        <v>6415</v>
      </c>
      <c r="E3744" s="3" t="s">
        <v>6594</v>
      </c>
      <c r="F3744" s="3" t="s">
        <v>3328</v>
      </c>
      <c r="G3744" s="3" t="s">
        <v>3499</v>
      </c>
      <c r="H3744" s="6">
        <v>3.5809199999999999</v>
      </c>
      <c r="I3744" s="6">
        <v>3809.9563493981541</v>
      </c>
      <c r="J3744" s="3" t="s">
        <v>3356</v>
      </c>
      <c r="L3744" s="1" t="s">
        <v>6135</v>
      </c>
    </row>
    <row r="3745" spans="1:12">
      <c r="A3745" s="3" t="s">
        <v>7297</v>
      </c>
      <c r="C3745" s="3" t="s">
        <v>3817</v>
      </c>
      <c r="D3745" s="3" t="s">
        <v>6415</v>
      </c>
      <c r="E3745" s="3" t="s">
        <v>6594</v>
      </c>
      <c r="F3745" s="3" t="s">
        <v>3328</v>
      </c>
      <c r="G3745" s="3" t="s">
        <v>3914</v>
      </c>
      <c r="H3745" s="6">
        <v>3.17319</v>
      </c>
      <c r="I3745" s="6">
        <v>1490.0128025794261</v>
      </c>
      <c r="J3745" s="3" t="s">
        <v>3356</v>
      </c>
      <c r="L3745" s="1" t="s">
        <v>6135</v>
      </c>
    </row>
    <row r="3746" spans="1:12">
      <c r="A3746" s="3" t="s">
        <v>7297</v>
      </c>
      <c r="C3746" s="3" t="s">
        <v>3817</v>
      </c>
      <c r="D3746" s="3" t="s">
        <v>6415</v>
      </c>
      <c r="E3746" s="3" t="s">
        <v>6594</v>
      </c>
      <c r="F3746" s="3" t="s">
        <v>3328</v>
      </c>
      <c r="G3746" s="3" t="s">
        <v>3502</v>
      </c>
      <c r="H3746" s="6">
        <v>3.7283499999999998</v>
      </c>
      <c r="I3746" s="6">
        <v>5349.9534101253548</v>
      </c>
      <c r="J3746" s="3" t="s">
        <v>3356</v>
      </c>
      <c r="L3746" s="1" t="s">
        <v>6135</v>
      </c>
    </row>
    <row r="3747" spans="1:12">
      <c r="A3747" s="3" t="s">
        <v>7297</v>
      </c>
      <c r="C3747" s="3" t="s">
        <v>3817</v>
      </c>
      <c r="D3747" s="3" t="s">
        <v>6415</v>
      </c>
      <c r="E3747" s="3" t="s">
        <v>6594</v>
      </c>
      <c r="F3747" s="3" t="s">
        <v>3328</v>
      </c>
      <c r="G3747" s="3" t="s">
        <v>3757</v>
      </c>
      <c r="H3747" s="6">
        <v>3.6812399999999998</v>
      </c>
      <c r="I3747" s="6">
        <v>4799.9863240390969</v>
      </c>
      <c r="J3747" s="3" t="s">
        <v>3356</v>
      </c>
      <c r="L3747" s="1" t="s">
        <v>6135</v>
      </c>
    </row>
    <row r="3748" spans="1:12">
      <c r="A3748" s="3" t="s">
        <v>7297</v>
      </c>
      <c r="C3748" s="3" t="s">
        <v>3817</v>
      </c>
      <c r="D3748" s="3" t="s">
        <v>6415</v>
      </c>
      <c r="E3748" s="3" t="s">
        <v>6594</v>
      </c>
      <c r="F3748" s="3" t="s">
        <v>3758</v>
      </c>
      <c r="G3748" s="3" t="s">
        <v>3759</v>
      </c>
      <c r="H3748" s="6">
        <v>3.3324400000000001</v>
      </c>
      <c r="I3748" s="6">
        <v>2150.0076242905643</v>
      </c>
      <c r="J3748" s="3" t="s">
        <v>3356</v>
      </c>
      <c r="L3748" s="1" t="s">
        <v>6135</v>
      </c>
    </row>
    <row r="3749" spans="1:12">
      <c r="A3749" s="3" t="s">
        <v>7297</v>
      </c>
      <c r="C3749" s="3" t="s">
        <v>3817</v>
      </c>
      <c r="D3749" s="3" t="s">
        <v>6415</v>
      </c>
      <c r="E3749" s="3" t="s">
        <v>6594</v>
      </c>
      <c r="F3749" s="3" t="s">
        <v>3758</v>
      </c>
      <c r="G3749" s="3" t="s">
        <v>3969</v>
      </c>
      <c r="H3749" s="6">
        <v>3.0128400000000002</v>
      </c>
      <c r="I3749" s="6">
        <v>1030.0065820841057</v>
      </c>
      <c r="J3749" s="3" t="s">
        <v>3356</v>
      </c>
      <c r="L3749" s="1" t="s">
        <v>6135</v>
      </c>
    </row>
    <row r="3750" spans="1:12">
      <c r="A3750" s="3" t="s">
        <v>7297</v>
      </c>
      <c r="C3750" s="3" t="s">
        <v>3817</v>
      </c>
      <c r="D3750" s="3" t="s">
        <v>6415</v>
      </c>
      <c r="E3750" s="3" t="s">
        <v>6594</v>
      </c>
      <c r="F3750" s="3" t="s">
        <v>3758</v>
      </c>
      <c r="G3750" s="3" t="s">
        <v>4748</v>
      </c>
      <c r="H3750" s="6">
        <v>3.65706</v>
      </c>
      <c r="I3750" s="6">
        <v>4540.0433533453206</v>
      </c>
      <c r="J3750" s="3" t="s">
        <v>3356</v>
      </c>
      <c r="L3750" s="1" t="s">
        <v>6135</v>
      </c>
    </row>
    <row r="3751" spans="1:12">
      <c r="A3751" s="3" t="s">
        <v>7297</v>
      </c>
      <c r="C3751" s="3" t="s">
        <v>3817</v>
      </c>
      <c r="D3751" s="3" t="s">
        <v>6415</v>
      </c>
      <c r="E3751" s="3" t="s">
        <v>6594</v>
      </c>
      <c r="F3751" s="3" t="s">
        <v>3760</v>
      </c>
      <c r="G3751" s="3" t="s">
        <v>3761</v>
      </c>
      <c r="H3751" s="6">
        <v>2.1139399999999999</v>
      </c>
      <c r="I3751" s="6">
        <v>129.99899653754548</v>
      </c>
      <c r="J3751" s="3" t="s">
        <v>3356</v>
      </c>
      <c r="L3751" s="1" t="s">
        <v>6135</v>
      </c>
    </row>
    <row r="3752" spans="1:12">
      <c r="A3752" s="3" t="s">
        <v>7297</v>
      </c>
      <c r="C3752" s="3" t="s">
        <v>3817</v>
      </c>
      <c r="D3752" s="3" t="s">
        <v>6415</v>
      </c>
      <c r="E3752" s="3" t="s">
        <v>6594</v>
      </c>
      <c r="F3752" s="3" t="s">
        <v>3760</v>
      </c>
      <c r="G3752" s="3" t="s">
        <v>3762</v>
      </c>
      <c r="H3752" s="6">
        <v>1.6464000000000001</v>
      </c>
      <c r="I3752" s="6">
        <v>44.299619910036391</v>
      </c>
      <c r="J3752" s="3" t="s">
        <v>3356</v>
      </c>
      <c r="L3752" s="1" t="s">
        <v>6135</v>
      </c>
    </row>
    <row r="3753" spans="1:12">
      <c r="A3753" s="3" t="s">
        <v>7297</v>
      </c>
      <c r="C3753" s="3" t="s">
        <v>3817</v>
      </c>
      <c r="D3753" s="3" t="s">
        <v>6415</v>
      </c>
      <c r="E3753" s="3" t="s">
        <v>6594</v>
      </c>
      <c r="F3753" s="3" t="s">
        <v>3500</v>
      </c>
      <c r="G3753" s="3" t="s">
        <v>6422</v>
      </c>
      <c r="H3753" s="6">
        <v>3.1760899999999999</v>
      </c>
      <c r="I3753" s="6">
        <v>1499.9956513820403</v>
      </c>
      <c r="J3753" s="3" t="s">
        <v>3356</v>
      </c>
      <c r="L3753" s="1" t="s">
        <v>6135</v>
      </c>
    </row>
    <row r="3754" spans="1:12">
      <c r="A3754" s="3" t="s">
        <v>7297</v>
      </c>
      <c r="C3754" s="3" t="s">
        <v>3817</v>
      </c>
      <c r="D3754" s="3" t="s">
        <v>6415</v>
      </c>
      <c r="E3754" s="3" t="s">
        <v>6594</v>
      </c>
      <c r="F3754" s="3" t="s">
        <v>3500</v>
      </c>
      <c r="G3754" s="3" t="s">
        <v>6423</v>
      </c>
      <c r="H3754" s="6">
        <v>4.0064700000000002</v>
      </c>
      <c r="I3754" s="6">
        <v>10150.092497959375</v>
      </c>
      <c r="J3754" s="3" t="s">
        <v>3356</v>
      </c>
      <c r="L3754" s="1" t="s">
        <v>6135</v>
      </c>
    </row>
    <row r="3755" spans="1:12">
      <c r="A3755" s="3" t="s">
        <v>7297</v>
      </c>
      <c r="C3755" s="3" t="s">
        <v>3817</v>
      </c>
      <c r="D3755" s="3" t="s">
        <v>6415</v>
      </c>
      <c r="E3755" s="3" t="s">
        <v>6594</v>
      </c>
      <c r="F3755" s="3" t="s">
        <v>3500</v>
      </c>
      <c r="G3755" s="3" t="s">
        <v>3501</v>
      </c>
      <c r="H3755" s="6">
        <v>3.62364</v>
      </c>
      <c r="I3755" s="6">
        <v>4203.7801970002665</v>
      </c>
      <c r="J3755" s="3" t="s">
        <v>3356</v>
      </c>
      <c r="L3755" s="1" t="s">
        <v>6135</v>
      </c>
    </row>
    <row r="3756" spans="1:12">
      <c r="A3756" s="3" t="s">
        <v>7297</v>
      </c>
      <c r="C3756" s="3" t="s">
        <v>3817</v>
      </c>
      <c r="D3756" s="3" t="s">
        <v>6415</v>
      </c>
      <c r="E3756" s="3" t="s">
        <v>6594</v>
      </c>
      <c r="F3756" s="3" t="s">
        <v>3500</v>
      </c>
      <c r="G3756" s="3" t="s">
        <v>6417</v>
      </c>
      <c r="H3756" s="6">
        <v>3.6478700000000002</v>
      </c>
      <c r="I3756" s="6">
        <v>4444.981932143789</v>
      </c>
      <c r="J3756" s="3" t="s">
        <v>3356</v>
      </c>
      <c r="L3756" s="1" t="s">
        <v>6135</v>
      </c>
    </row>
    <row r="3757" spans="1:12">
      <c r="A3757" s="3" t="s">
        <v>7297</v>
      </c>
      <c r="C3757" s="3" t="s">
        <v>3817</v>
      </c>
      <c r="D3757" s="3" t="s">
        <v>6415</v>
      </c>
      <c r="E3757" s="3" t="s">
        <v>6594</v>
      </c>
      <c r="F3757" s="3" t="s">
        <v>3500</v>
      </c>
      <c r="G3757" s="3" t="s">
        <v>6427</v>
      </c>
      <c r="H3757" s="6">
        <v>3.0607000000000002</v>
      </c>
      <c r="I3757" s="6">
        <v>1150.0057186992374</v>
      </c>
      <c r="J3757" s="3" t="s">
        <v>3356</v>
      </c>
      <c r="L3757" s="1" t="s">
        <v>6135</v>
      </c>
    </row>
    <row r="3758" spans="1:12">
      <c r="A3758" s="3" t="s">
        <v>7297</v>
      </c>
      <c r="C3758" s="3" t="s">
        <v>3817</v>
      </c>
      <c r="D3758" s="3" t="s">
        <v>6415</v>
      </c>
      <c r="E3758" s="3" t="s">
        <v>6594</v>
      </c>
      <c r="F3758" s="3" t="s">
        <v>3500</v>
      </c>
      <c r="G3758" s="3" t="s">
        <v>6419</v>
      </c>
      <c r="H3758" s="6">
        <v>3.1837399999999998</v>
      </c>
      <c r="I3758" s="6">
        <v>1526.6518207127306</v>
      </c>
      <c r="J3758" s="3" t="s">
        <v>3356</v>
      </c>
      <c r="L3758" s="1" t="s">
        <v>6135</v>
      </c>
    </row>
    <row r="3759" spans="1:12">
      <c r="A3759" s="3" t="s">
        <v>7297</v>
      </c>
      <c r="C3759" s="3" t="s">
        <v>3817</v>
      </c>
      <c r="D3759" s="3" t="s">
        <v>6415</v>
      </c>
      <c r="E3759" s="3" t="s">
        <v>6594</v>
      </c>
      <c r="F3759" s="3" t="s">
        <v>6595</v>
      </c>
      <c r="G3759" s="3" t="s">
        <v>6596</v>
      </c>
      <c r="H3759" s="6">
        <v>3.6796899999999999</v>
      </c>
      <c r="I3759" s="6">
        <v>4782.8856740776882</v>
      </c>
      <c r="J3759" s="3" t="s">
        <v>3356</v>
      </c>
      <c r="L3759" s="1" t="s">
        <v>6135</v>
      </c>
    </row>
    <row r="3760" spans="1:12">
      <c r="A3760" s="3" t="s">
        <v>7297</v>
      </c>
      <c r="C3760" s="3" t="s">
        <v>3817</v>
      </c>
      <c r="D3760" s="3" t="s">
        <v>6415</v>
      </c>
      <c r="E3760" s="3" t="s">
        <v>6594</v>
      </c>
      <c r="F3760" s="3" t="s">
        <v>6597</v>
      </c>
      <c r="G3760" s="3" t="s">
        <v>3429</v>
      </c>
      <c r="H3760" s="6">
        <v>4.6566700000000001</v>
      </c>
      <c r="I3760" s="6">
        <v>45359.681872881119</v>
      </c>
      <c r="J3760" s="3" t="s">
        <v>3356</v>
      </c>
      <c r="L3760" s="1" t="s">
        <v>6135</v>
      </c>
    </row>
    <row r="3761" spans="1:12">
      <c r="A3761" s="3" t="s">
        <v>7297</v>
      </c>
      <c r="C3761" s="3" t="s">
        <v>3817</v>
      </c>
      <c r="D3761" s="3" t="s">
        <v>6415</v>
      </c>
      <c r="E3761" s="3" t="s">
        <v>6594</v>
      </c>
      <c r="F3761" s="3" t="s">
        <v>6598</v>
      </c>
      <c r="G3761" s="3" t="s">
        <v>3331</v>
      </c>
      <c r="H3761" s="6">
        <v>3.07918</v>
      </c>
      <c r="I3761" s="6">
        <v>1199.9965570481172</v>
      </c>
      <c r="J3761" s="3" t="s">
        <v>3356</v>
      </c>
      <c r="L3761" s="1" t="s">
        <v>6135</v>
      </c>
    </row>
    <row r="3762" spans="1:12">
      <c r="A3762" s="3" t="s">
        <v>7297</v>
      </c>
      <c r="C3762" s="3" t="s">
        <v>3817</v>
      </c>
      <c r="D3762" s="3" t="s">
        <v>6415</v>
      </c>
      <c r="E3762" s="3" t="s">
        <v>6594</v>
      </c>
      <c r="F3762" s="3" t="s">
        <v>6598</v>
      </c>
      <c r="G3762" s="3" t="s">
        <v>3287</v>
      </c>
      <c r="H3762" s="6">
        <v>3.17231</v>
      </c>
      <c r="I3762" s="6">
        <v>1486.9966838387322</v>
      </c>
      <c r="J3762" s="3" t="s">
        <v>3356</v>
      </c>
      <c r="L3762" s="1" t="s">
        <v>6135</v>
      </c>
    </row>
    <row r="3763" spans="1:12">
      <c r="A3763" s="3" t="s">
        <v>7297</v>
      </c>
      <c r="C3763" s="3" t="s">
        <v>3817</v>
      </c>
      <c r="D3763" s="3" t="s">
        <v>6415</v>
      </c>
      <c r="E3763" s="3" t="s">
        <v>6594</v>
      </c>
      <c r="F3763" s="3" t="s">
        <v>3288</v>
      </c>
      <c r="G3763" s="3" t="s">
        <v>3329</v>
      </c>
      <c r="H3763" s="6">
        <v>3.1398799999999998</v>
      </c>
      <c r="I3763" s="6">
        <v>1380.0029030247269</v>
      </c>
      <c r="J3763" s="3" t="s">
        <v>3356</v>
      </c>
      <c r="L3763" s="1" t="s">
        <v>6135</v>
      </c>
    </row>
    <row r="3764" spans="1:12">
      <c r="A3764" s="3" t="s">
        <v>7297</v>
      </c>
      <c r="C3764" s="3" t="s">
        <v>3817</v>
      </c>
      <c r="D3764" s="3" t="s">
        <v>6415</v>
      </c>
      <c r="E3764" s="3" t="s">
        <v>3330</v>
      </c>
      <c r="F3764" s="3" t="s">
        <v>3283</v>
      </c>
      <c r="G3764" s="3" t="s">
        <v>3284</v>
      </c>
      <c r="H3764" s="6">
        <v>3.71265</v>
      </c>
      <c r="I3764" s="6">
        <v>5160.0035450694977</v>
      </c>
      <c r="J3764" s="3" t="s">
        <v>3356</v>
      </c>
      <c r="L3764" s="1" t="s">
        <v>6135</v>
      </c>
    </row>
    <row r="3765" spans="1:12">
      <c r="A3765" s="3" t="s">
        <v>7297</v>
      </c>
      <c r="C3765" s="3" t="s">
        <v>3817</v>
      </c>
      <c r="D3765" s="3" t="s">
        <v>6415</v>
      </c>
      <c r="E3765" s="3" t="s">
        <v>3330</v>
      </c>
      <c r="F3765" s="3" t="s">
        <v>3283</v>
      </c>
      <c r="G3765" s="3" t="s">
        <v>3285</v>
      </c>
      <c r="H3765" s="6">
        <v>3.5440700000000001</v>
      </c>
      <c r="I3765" s="6">
        <v>3500.0157607101446</v>
      </c>
      <c r="J3765" s="3" t="s">
        <v>3356</v>
      </c>
      <c r="L3765" s="1" t="s">
        <v>6135</v>
      </c>
    </row>
    <row r="3766" spans="1:12">
      <c r="A3766" s="3" t="s">
        <v>7297</v>
      </c>
      <c r="C3766" s="3" t="s">
        <v>3817</v>
      </c>
      <c r="D3766" s="3" t="s">
        <v>6415</v>
      </c>
      <c r="E3766" s="3" t="s">
        <v>3286</v>
      </c>
      <c r="F3766" s="3" t="s">
        <v>3119</v>
      </c>
      <c r="G3766" s="3" t="s">
        <v>3284</v>
      </c>
      <c r="H3766" s="6">
        <v>2.5178600000000002</v>
      </c>
      <c r="I3766" s="6">
        <v>329.50347568431044</v>
      </c>
      <c r="J3766" s="3" t="s">
        <v>3356</v>
      </c>
      <c r="L3766" s="1" t="s">
        <v>6135</v>
      </c>
    </row>
    <row r="3767" spans="1:12">
      <c r="A3767" s="3" t="s">
        <v>7297</v>
      </c>
      <c r="C3767" s="3" t="s">
        <v>3817</v>
      </c>
      <c r="D3767" s="3" t="s">
        <v>6415</v>
      </c>
      <c r="E3767" s="3" t="s">
        <v>3286</v>
      </c>
      <c r="F3767" s="3" t="s">
        <v>3120</v>
      </c>
      <c r="G3767" s="3" t="s">
        <v>3769</v>
      </c>
      <c r="H3767" s="6">
        <v>4.3489500000000003</v>
      </c>
      <c r="I3767" s="6">
        <v>22333.150881274611</v>
      </c>
      <c r="J3767" s="3" t="s">
        <v>3356</v>
      </c>
      <c r="L3767" s="1" t="s">
        <v>6135</v>
      </c>
    </row>
    <row r="3768" spans="1:12">
      <c r="A3768" s="3" t="s">
        <v>7297</v>
      </c>
      <c r="C3768" s="3" t="s">
        <v>3817</v>
      </c>
      <c r="D3768" s="3" t="s">
        <v>6415</v>
      </c>
      <c r="E3768" s="3" t="s">
        <v>3286</v>
      </c>
      <c r="F3768" s="3" t="s">
        <v>3300</v>
      </c>
      <c r="G3768" s="3" t="s">
        <v>4375</v>
      </c>
      <c r="H3768" s="6">
        <v>3.6242800000000002</v>
      </c>
      <c r="I3768" s="6">
        <v>4209.9796832627626</v>
      </c>
      <c r="J3768" s="3" t="s">
        <v>3356</v>
      </c>
      <c r="L3768" s="1" t="s">
        <v>6135</v>
      </c>
    </row>
    <row r="3769" spans="1:12">
      <c r="A3769" s="3" t="s">
        <v>7297</v>
      </c>
      <c r="C3769" s="3" t="s">
        <v>3817</v>
      </c>
      <c r="D3769" s="3" t="s">
        <v>6415</v>
      </c>
      <c r="E3769" s="3" t="s">
        <v>3286</v>
      </c>
      <c r="F3769" s="3" t="s">
        <v>3300</v>
      </c>
      <c r="G3769" s="3" t="s">
        <v>2134</v>
      </c>
      <c r="H3769" s="6">
        <v>3.7415500000000002</v>
      </c>
      <c r="I3769" s="6">
        <v>5515.0569316624042</v>
      </c>
      <c r="J3769" s="3" t="s">
        <v>3356</v>
      </c>
      <c r="L3769" s="1" t="s">
        <v>6135</v>
      </c>
    </row>
  </sheetData>
  <phoneticPr fontId="0" type="noConversion"/>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24"/>
  <sheetViews>
    <sheetView workbookViewId="0">
      <selection activeCell="N13" sqref="N13"/>
    </sheetView>
  </sheetViews>
  <sheetFormatPr defaultColWidth="11.42578125" defaultRowHeight="12.75"/>
  <cols>
    <col min="1" max="1" width="8.7109375" bestFit="1" customWidth="1"/>
    <col min="2" max="2" width="24.140625" customWidth="1"/>
    <col min="3" max="3" width="6.140625" bestFit="1" customWidth="1"/>
    <col min="4" max="4" width="14.7109375" bestFit="1" customWidth="1"/>
    <col min="5" max="5" width="14.140625" bestFit="1" customWidth="1"/>
    <col min="6" max="6" width="14.42578125" bestFit="1" customWidth="1"/>
    <col min="7" max="7" width="12.28515625" bestFit="1" customWidth="1"/>
    <col min="8" max="8" width="8.140625" bestFit="1" customWidth="1"/>
    <col min="9" max="9" width="16" style="82" bestFit="1" customWidth="1"/>
    <col min="10" max="10" width="17.85546875" style="82" customWidth="1"/>
    <col min="11" max="11" width="9.140625" style="82" bestFit="1" customWidth="1"/>
    <col min="12" max="12" width="10.85546875" style="82" customWidth="1"/>
  </cols>
  <sheetData>
    <row r="1" spans="1:25" ht="25.5">
      <c r="A1" s="22" t="s">
        <v>3588</v>
      </c>
      <c r="B1" s="23" t="s">
        <v>5042</v>
      </c>
      <c r="C1" s="24" t="s">
        <v>4431</v>
      </c>
      <c r="D1" s="24" t="s">
        <v>4223</v>
      </c>
      <c r="E1" s="24" t="s">
        <v>5090</v>
      </c>
      <c r="F1" s="24" t="s">
        <v>3590</v>
      </c>
      <c r="G1" s="24" t="s">
        <v>4481</v>
      </c>
      <c r="H1" s="25" t="s">
        <v>3353</v>
      </c>
      <c r="I1" s="99" t="s">
        <v>3600</v>
      </c>
      <c r="J1" s="100" t="s">
        <v>3815</v>
      </c>
      <c r="K1" s="101" t="s">
        <v>5200</v>
      </c>
    </row>
    <row r="2" spans="1:25">
      <c r="A2" s="51" t="s">
        <v>2594</v>
      </c>
      <c r="B2" s="52" t="s">
        <v>2170</v>
      </c>
      <c r="C2" t="s">
        <v>3817</v>
      </c>
      <c r="D2" t="s">
        <v>2663</v>
      </c>
      <c r="E2" t="s">
        <v>2839</v>
      </c>
      <c r="F2" s="33" t="s">
        <v>3133</v>
      </c>
      <c r="G2" s="33" t="s">
        <v>3693</v>
      </c>
      <c r="H2" s="40">
        <f t="shared" ref="H2:H20" si="0">LOG(I2)</f>
        <v>1.5938396610812713</v>
      </c>
      <c r="I2" s="82">
        <f>AVERAGE(30, 42, 37, 48)</f>
        <v>39.25</v>
      </c>
      <c r="J2" s="79" t="s">
        <v>3114</v>
      </c>
      <c r="K2" s="102">
        <v>259</v>
      </c>
      <c r="N2" s="16"/>
      <c r="O2" s="16"/>
      <c r="P2" s="16"/>
      <c r="Q2" s="16"/>
      <c r="R2" s="16"/>
      <c r="S2" s="16"/>
      <c r="T2" s="16"/>
      <c r="U2" s="16"/>
      <c r="V2" s="16"/>
      <c r="W2" s="16"/>
      <c r="X2" s="16"/>
      <c r="Y2" s="18"/>
    </row>
    <row r="3" spans="1:25">
      <c r="A3" s="51" t="s">
        <v>2594</v>
      </c>
      <c r="B3" s="52" t="s">
        <v>2170</v>
      </c>
      <c r="C3" t="s">
        <v>3817</v>
      </c>
      <c r="D3" t="s">
        <v>2663</v>
      </c>
      <c r="E3" t="s">
        <v>2839</v>
      </c>
      <c r="F3" s="33" t="s">
        <v>3133</v>
      </c>
      <c r="G3" s="33" t="s">
        <v>3100</v>
      </c>
      <c r="H3" s="40">
        <f t="shared" si="0"/>
        <v>1.3623567926545359</v>
      </c>
      <c r="I3" s="82">
        <f>AVERAGE(21.3, 26.5, 21.3)</f>
        <v>23.033333333333331</v>
      </c>
      <c r="J3" s="79" t="s">
        <v>3101</v>
      </c>
      <c r="K3" s="102">
        <v>259</v>
      </c>
    </row>
    <row r="4" spans="1:25">
      <c r="A4" s="51" t="s">
        <v>2594</v>
      </c>
      <c r="B4" s="52" t="s">
        <v>2170</v>
      </c>
      <c r="C4" t="s">
        <v>3817</v>
      </c>
      <c r="D4" t="s">
        <v>2663</v>
      </c>
      <c r="E4" t="s">
        <v>2839</v>
      </c>
      <c r="F4" s="33" t="s">
        <v>3133</v>
      </c>
      <c r="G4" s="33" t="s">
        <v>3102</v>
      </c>
      <c r="H4" s="40">
        <f t="shared" si="0"/>
        <v>1.5797835966168101</v>
      </c>
      <c r="I4" s="82">
        <f>AVERAGE(40, 50, 24)</f>
        <v>38</v>
      </c>
      <c r="J4" s="79" t="s">
        <v>3103</v>
      </c>
      <c r="K4" s="102">
        <v>259</v>
      </c>
      <c r="N4" s="16"/>
      <c r="O4" s="16"/>
      <c r="P4" s="16"/>
      <c r="Q4" s="16"/>
      <c r="R4" s="16"/>
      <c r="S4" s="16"/>
      <c r="T4" s="16"/>
      <c r="U4" s="16"/>
      <c r="V4" s="16"/>
      <c r="W4" s="16"/>
      <c r="X4" s="16"/>
      <c r="Y4" s="18"/>
    </row>
    <row r="5" spans="1:25">
      <c r="A5" s="51" t="s">
        <v>2594</v>
      </c>
      <c r="B5" s="52" t="s">
        <v>2170</v>
      </c>
      <c r="C5" t="s">
        <v>3817</v>
      </c>
      <c r="D5" t="s">
        <v>2663</v>
      </c>
      <c r="E5" t="s">
        <v>2839</v>
      </c>
      <c r="F5" s="33" t="s">
        <v>6197</v>
      </c>
      <c r="G5" s="33" t="s">
        <v>3789</v>
      </c>
      <c r="H5" s="40">
        <f t="shared" si="0"/>
        <v>1.3617278360175928</v>
      </c>
      <c r="I5" s="82">
        <f>AVERAGE(21, 26, 20, 25)</f>
        <v>23</v>
      </c>
      <c r="J5" s="79" t="s">
        <v>2966</v>
      </c>
      <c r="K5" s="102">
        <v>259</v>
      </c>
      <c r="N5" s="16"/>
      <c r="O5" s="16"/>
      <c r="P5" s="16"/>
      <c r="Q5" s="16"/>
      <c r="R5" s="16"/>
      <c r="S5" s="16"/>
      <c r="T5" s="16"/>
      <c r="U5" s="16"/>
      <c r="V5" s="16"/>
      <c r="W5" s="16"/>
      <c r="X5" s="16"/>
      <c r="Y5" s="18"/>
    </row>
    <row r="6" spans="1:25" ht="38.25">
      <c r="A6" s="51" t="s">
        <v>2594</v>
      </c>
      <c r="B6" s="52" t="s">
        <v>2170</v>
      </c>
      <c r="C6" t="s">
        <v>3817</v>
      </c>
      <c r="D6" t="s">
        <v>2663</v>
      </c>
      <c r="E6" t="s">
        <v>2839</v>
      </c>
      <c r="F6" s="33" t="s">
        <v>2840</v>
      </c>
      <c r="G6" s="33" t="s">
        <v>7358</v>
      </c>
      <c r="H6" s="40">
        <f t="shared" si="0"/>
        <v>0.51188336097887432</v>
      </c>
      <c r="I6" s="82">
        <f>AVERAGE(3.1, 3.4)</f>
        <v>3.25</v>
      </c>
      <c r="J6" s="79" t="s">
        <v>6069</v>
      </c>
      <c r="K6" s="102" t="s">
        <v>6980</v>
      </c>
      <c r="N6" s="16"/>
      <c r="O6" s="16"/>
      <c r="P6" s="16"/>
      <c r="Q6" s="16"/>
      <c r="R6" s="16"/>
      <c r="S6" s="16"/>
      <c r="T6" s="16"/>
      <c r="U6" s="16"/>
      <c r="V6" s="16"/>
      <c r="W6" s="16"/>
      <c r="X6" s="16"/>
      <c r="Y6" s="18"/>
    </row>
    <row r="7" spans="1:25" ht="38.25">
      <c r="A7" s="51" t="s">
        <v>2594</v>
      </c>
      <c r="B7" s="52" t="s">
        <v>2170</v>
      </c>
      <c r="C7" t="s">
        <v>3817</v>
      </c>
      <c r="D7" t="s">
        <v>2663</v>
      </c>
      <c r="E7" s="33" t="s">
        <v>2839</v>
      </c>
      <c r="F7" s="33" t="s">
        <v>2840</v>
      </c>
      <c r="G7" s="33" t="s">
        <v>8172</v>
      </c>
      <c r="H7" s="40">
        <f t="shared" si="0"/>
        <v>0.62324929039790034</v>
      </c>
      <c r="I7" s="82">
        <f>AVERAGE(4.1, 4.3)</f>
        <v>4.1999999999999993</v>
      </c>
      <c r="J7" s="79" t="s">
        <v>5954</v>
      </c>
      <c r="K7" s="102" t="s">
        <v>6980</v>
      </c>
      <c r="N7" s="16"/>
      <c r="O7" s="16"/>
      <c r="P7" s="16"/>
      <c r="Q7" s="16"/>
      <c r="R7" s="16"/>
      <c r="S7" s="16"/>
      <c r="T7" s="16"/>
      <c r="U7" s="16"/>
      <c r="V7" s="16"/>
      <c r="W7" s="16"/>
      <c r="X7" s="16"/>
      <c r="Y7" s="18"/>
    </row>
    <row r="8" spans="1:25" ht="38.25">
      <c r="A8" s="51" t="s">
        <v>2594</v>
      </c>
      <c r="B8" s="52" t="s">
        <v>2170</v>
      </c>
      <c r="C8" t="s">
        <v>3817</v>
      </c>
      <c r="D8" t="s">
        <v>2663</v>
      </c>
      <c r="E8" t="s">
        <v>2839</v>
      </c>
      <c r="F8" s="33" t="s">
        <v>2840</v>
      </c>
      <c r="G8" s="33" t="s">
        <v>5925</v>
      </c>
      <c r="H8" s="40">
        <f t="shared" si="0"/>
        <v>0.73639650227664244</v>
      </c>
      <c r="I8" s="82">
        <f>AVERAGE(5.5, 5.4)</f>
        <v>5.45</v>
      </c>
      <c r="J8" s="79" t="s">
        <v>3132</v>
      </c>
      <c r="K8" s="102" t="s">
        <v>6980</v>
      </c>
      <c r="N8" s="16"/>
      <c r="O8" s="16"/>
      <c r="P8" s="16"/>
      <c r="Q8" s="16"/>
      <c r="R8" s="16"/>
      <c r="S8" s="16"/>
      <c r="T8" s="16"/>
      <c r="U8" s="16"/>
      <c r="V8" s="16"/>
      <c r="W8" s="16"/>
      <c r="X8" s="16"/>
      <c r="Y8" s="18"/>
    </row>
    <row r="9" spans="1:25" ht="38.25">
      <c r="A9" s="51" t="s">
        <v>2594</v>
      </c>
      <c r="B9" s="52" t="s">
        <v>2170</v>
      </c>
      <c r="C9" t="s">
        <v>3817</v>
      </c>
      <c r="D9" t="s">
        <v>2663</v>
      </c>
      <c r="E9" s="33" t="s">
        <v>2839</v>
      </c>
      <c r="F9" s="33" t="s">
        <v>2840</v>
      </c>
      <c r="G9" s="33" t="s">
        <v>5934</v>
      </c>
      <c r="H9" s="40">
        <f t="shared" si="0"/>
        <v>1.0413926851582251</v>
      </c>
      <c r="I9" s="82">
        <v>11</v>
      </c>
      <c r="J9" s="79" t="s">
        <v>5955</v>
      </c>
      <c r="K9" s="102" t="s">
        <v>6980</v>
      </c>
      <c r="N9" s="16"/>
      <c r="O9" s="16"/>
      <c r="P9" s="16"/>
      <c r="Q9" s="16"/>
      <c r="R9" s="16"/>
      <c r="S9" s="16"/>
      <c r="T9" s="16"/>
      <c r="U9" s="16"/>
      <c r="V9" s="16"/>
      <c r="W9" s="16"/>
      <c r="X9" s="16"/>
      <c r="Y9" s="18"/>
    </row>
    <row r="10" spans="1:25" ht="38.25">
      <c r="A10" s="51" t="s">
        <v>2594</v>
      </c>
      <c r="B10" s="52" t="s">
        <v>2170</v>
      </c>
      <c r="C10" t="s">
        <v>3817</v>
      </c>
      <c r="D10" t="s">
        <v>2663</v>
      </c>
      <c r="E10" t="s">
        <v>2839</v>
      </c>
      <c r="F10" s="33" t="s">
        <v>2840</v>
      </c>
      <c r="G10" s="33" t="s">
        <v>5956</v>
      </c>
      <c r="H10" s="40">
        <f t="shared" si="0"/>
        <v>1.0773679052841565</v>
      </c>
      <c r="I10" s="82">
        <f>AVERAGE(9.6, 14.3)</f>
        <v>11.95</v>
      </c>
      <c r="J10" s="79" t="s">
        <v>6269</v>
      </c>
      <c r="K10" s="102" t="s">
        <v>6980</v>
      </c>
      <c r="N10" s="16"/>
      <c r="O10" s="16"/>
      <c r="P10" s="16"/>
      <c r="Q10" s="16"/>
      <c r="R10" s="16"/>
      <c r="S10" s="16"/>
      <c r="T10" s="16"/>
      <c r="U10" s="16"/>
      <c r="V10" s="16"/>
      <c r="W10" s="16"/>
      <c r="X10" s="16"/>
      <c r="Y10" s="18"/>
    </row>
    <row r="11" spans="1:25" ht="51">
      <c r="A11" s="51" t="s">
        <v>2594</v>
      </c>
      <c r="B11" s="52" t="s">
        <v>2170</v>
      </c>
      <c r="C11" t="s">
        <v>3817</v>
      </c>
      <c r="D11" t="s">
        <v>2663</v>
      </c>
      <c r="E11" t="s">
        <v>1425</v>
      </c>
      <c r="F11" s="33" t="s">
        <v>1724</v>
      </c>
      <c r="G11" s="33" t="s">
        <v>2688</v>
      </c>
      <c r="H11" s="40" t="e">
        <f t="shared" si="0"/>
        <v>#NUM!</v>
      </c>
      <c r="I11" s="82">
        <v>-999</v>
      </c>
      <c r="J11" s="79" t="s">
        <v>1520</v>
      </c>
      <c r="K11" s="102" t="s">
        <v>6980</v>
      </c>
      <c r="N11" s="16"/>
      <c r="O11" s="16"/>
      <c r="P11" s="16"/>
      <c r="Q11" s="16"/>
      <c r="R11" s="16"/>
      <c r="S11" s="16"/>
      <c r="T11" s="16"/>
      <c r="U11" s="16"/>
      <c r="V11" s="16"/>
      <c r="W11" s="16"/>
      <c r="X11" s="16"/>
      <c r="Y11" s="18"/>
    </row>
    <row r="12" spans="1:25" ht="38.25">
      <c r="A12" s="51" t="s">
        <v>2594</v>
      </c>
      <c r="B12" s="52" t="s">
        <v>2170</v>
      </c>
      <c r="C12" t="s">
        <v>3817</v>
      </c>
      <c r="D12" t="s">
        <v>2663</v>
      </c>
      <c r="E12" t="s">
        <v>1425</v>
      </c>
      <c r="F12" s="33" t="s">
        <v>1724</v>
      </c>
      <c r="G12" s="33" t="s">
        <v>1521</v>
      </c>
      <c r="H12" s="40" t="e">
        <f t="shared" si="0"/>
        <v>#NUM!</v>
      </c>
      <c r="I12" s="82">
        <v>-999</v>
      </c>
      <c r="J12" s="79" t="s">
        <v>1350</v>
      </c>
      <c r="K12" s="102" t="s">
        <v>6980</v>
      </c>
      <c r="N12" s="16"/>
      <c r="O12" s="16"/>
      <c r="P12" s="16"/>
      <c r="Q12" s="16"/>
      <c r="R12" s="16"/>
      <c r="S12" s="16"/>
      <c r="T12" s="16"/>
      <c r="U12" s="16"/>
      <c r="V12" s="16"/>
      <c r="W12" s="16"/>
      <c r="X12" s="16"/>
      <c r="Y12" s="18"/>
    </row>
    <row r="13" spans="1:25" ht="38.25">
      <c r="A13" s="51" t="s">
        <v>2594</v>
      </c>
      <c r="B13" s="52" t="s">
        <v>2170</v>
      </c>
      <c r="C13" t="s">
        <v>3817</v>
      </c>
      <c r="D13" t="s">
        <v>2663</v>
      </c>
      <c r="E13" t="s">
        <v>1425</v>
      </c>
      <c r="F13" s="33" t="s">
        <v>2967</v>
      </c>
      <c r="G13" s="33" t="s">
        <v>2968</v>
      </c>
      <c r="H13" s="40">
        <f t="shared" si="0"/>
        <v>0.64345267648618742</v>
      </c>
      <c r="I13" s="82">
        <f>AVERAGE(3.8, 5)</f>
        <v>4.4000000000000004</v>
      </c>
      <c r="J13" s="79" t="s">
        <v>2969</v>
      </c>
      <c r="K13" s="102" t="s">
        <v>6980</v>
      </c>
      <c r="N13" s="16"/>
      <c r="O13" s="16"/>
      <c r="P13" s="16"/>
      <c r="Q13" s="16"/>
      <c r="R13" s="16"/>
      <c r="S13" s="16"/>
      <c r="T13" s="16"/>
      <c r="U13" s="16"/>
      <c r="V13" s="16"/>
      <c r="W13" s="16"/>
      <c r="X13" s="16"/>
      <c r="Y13" s="18"/>
    </row>
    <row r="14" spans="1:25" ht="38.25">
      <c r="A14" s="51" t="s">
        <v>2594</v>
      </c>
      <c r="B14" s="52" t="s">
        <v>2170</v>
      </c>
      <c r="C14" t="s">
        <v>3817</v>
      </c>
      <c r="D14" t="s">
        <v>2663</v>
      </c>
      <c r="E14" t="s">
        <v>1425</v>
      </c>
      <c r="F14" s="33" t="s">
        <v>1724</v>
      </c>
      <c r="G14" s="33" t="s">
        <v>1328</v>
      </c>
      <c r="H14" s="40">
        <f t="shared" si="0"/>
        <v>0.82930377283102497</v>
      </c>
      <c r="I14" s="82">
        <f>AVERAGE(6.4, 7.1)</f>
        <v>6.75</v>
      </c>
      <c r="J14" s="79" t="s">
        <v>1683</v>
      </c>
      <c r="K14" s="102" t="s">
        <v>6980</v>
      </c>
      <c r="N14" s="16"/>
      <c r="O14" s="16"/>
      <c r="P14" s="16"/>
      <c r="Q14" s="16"/>
      <c r="R14" s="16"/>
      <c r="S14" s="16"/>
      <c r="T14" s="16"/>
      <c r="U14" s="16"/>
      <c r="V14" s="16"/>
      <c r="W14" s="16"/>
      <c r="X14" s="16"/>
      <c r="Y14" s="18"/>
    </row>
    <row r="15" spans="1:25" ht="38.25">
      <c r="A15" s="51" t="s">
        <v>2594</v>
      </c>
      <c r="B15" s="52" t="s">
        <v>2170</v>
      </c>
      <c r="C15" t="s">
        <v>3817</v>
      </c>
      <c r="D15" t="s">
        <v>2663</v>
      </c>
      <c r="E15" t="s">
        <v>1425</v>
      </c>
      <c r="F15" s="33" t="s">
        <v>1724</v>
      </c>
      <c r="G15" s="33" t="s">
        <v>1522</v>
      </c>
      <c r="H15" s="40">
        <f t="shared" si="0"/>
        <v>0.87506126339170009</v>
      </c>
      <c r="I15" s="82">
        <v>7.5</v>
      </c>
      <c r="J15" s="79" t="s">
        <v>1327</v>
      </c>
      <c r="K15" s="102" t="s">
        <v>6980</v>
      </c>
      <c r="N15" s="16"/>
      <c r="O15" s="16"/>
      <c r="P15" s="16"/>
      <c r="Q15" s="16"/>
      <c r="R15" s="16"/>
      <c r="S15" s="16"/>
      <c r="T15" s="16"/>
      <c r="U15" s="16"/>
      <c r="V15" s="16"/>
      <c r="W15" s="16"/>
      <c r="X15" s="16"/>
      <c r="Y15" s="18"/>
    </row>
    <row r="16" spans="1:25" ht="38.25">
      <c r="A16" s="51" t="s">
        <v>2594</v>
      </c>
      <c r="B16" s="52" t="s">
        <v>2170</v>
      </c>
      <c r="C16" t="s">
        <v>3817</v>
      </c>
      <c r="D16" t="s">
        <v>2663</v>
      </c>
      <c r="E16" t="s">
        <v>1425</v>
      </c>
      <c r="F16" s="33" t="s">
        <v>1724</v>
      </c>
      <c r="G16" s="33" t="s">
        <v>5946</v>
      </c>
      <c r="H16" s="40">
        <f t="shared" si="0"/>
        <v>0.91907809237607396</v>
      </c>
      <c r="I16" s="82">
        <v>8.3000000000000007</v>
      </c>
      <c r="J16" s="79" t="s">
        <v>2970</v>
      </c>
      <c r="K16" s="102" t="s">
        <v>6980</v>
      </c>
      <c r="N16" s="16"/>
      <c r="O16" s="16"/>
      <c r="P16" s="16"/>
      <c r="Q16" s="16"/>
      <c r="R16" s="16"/>
      <c r="S16" s="16"/>
      <c r="T16" s="16"/>
      <c r="U16" s="16"/>
      <c r="V16" s="16"/>
      <c r="W16" s="16"/>
      <c r="X16" s="16"/>
      <c r="Y16" s="18"/>
    </row>
    <row r="17" spans="1:25" ht="38.25">
      <c r="A17" s="51" t="s">
        <v>2594</v>
      </c>
      <c r="B17" s="52" t="s">
        <v>2170</v>
      </c>
      <c r="C17" t="s">
        <v>3817</v>
      </c>
      <c r="D17" t="s">
        <v>2663</v>
      </c>
      <c r="E17" t="s">
        <v>1425</v>
      </c>
      <c r="F17" s="33" t="s">
        <v>1724</v>
      </c>
      <c r="G17" s="33" t="s">
        <v>2971</v>
      </c>
      <c r="H17" s="40">
        <f t="shared" si="0"/>
        <v>0.9956351945975499</v>
      </c>
      <c r="I17" s="82">
        <f>AVERAGE(9.5, 10.3)</f>
        <v>9.9</v>
      </c>
      <c r="J17" s="79" t="s">
        <v>2876</v>
      </c>
      <c r="K17" s="102" t="s">
        <v>6980</v>
      </c>
      <c r="N17" s="16"/>
      <c r="O17" s="16"/>
      <c r="P17" s="16"/>
      <c r="Q17" s="16"/>
      <c r="R17" s="16"/>
      <c r="S17" s="16"/>
      <c r="T17" s="16"/>
      <c r="U17" s="16"/>
      <c r="V17" s="16"/>
      <c r="W17" s="16"/>
      <c r="X17" s="16"/>
      <c r="Y17" s="18"/>
    </row>
    <row r="18" spans="1:25" ht="38.25">
      <c r="A18" s="51" t="s">
        <v>2594</v>
      </c>
      <c r="B18" s="52" t="s">
        <v>2170</v>
      </c>
      <c r="C18" t="s">
        <v>3817</v>
      </c>
      <c r="D18" t="s">
        <v>2663</v>
      </c>
      <c r="E18" t="s">
        <v>1425</v>
      </c>
      <c r="F18" s="33" t="s">
        <v>1724</v>
      </c>
      <c r="G18" s="33" t="s">
        <v>4846</v>
      </c>
      <c r="H18" s="40">
        <f t="shared" si="0"/>
        <v>1.0492180226701815</v>
      </c>
      <c r="I18" s="82">
        <f>AVERAGE(9.4, 13)</f>
        <v>11.2</v>
      </c>
      <c r="J18" s="79" t="s">
        <v>6128</v>
      </c>
      <c r="K18" s="102" t="s">
        <v>6980</v>
      </c>
      <c r="N18" s="16"/>
      <c r="O18" s="16"/>
      <c r="P18" s="16"/>
      <c r="Q18" s="16"/>
      <c r="R18" s="16"/>
      <c r="S18" s="16"/>
      <c r="T18" s="16"/>
      <c r="U18" s="16"/>
      <c r="V18" s="16"/>
      <c r="W18" s="16"/>
      <c r="X18" s="16"/>
      <c r="Y18" s="18"/>
    </row>
    <row r="19" spans="1:25" ht="38.25">
      <c r="A19" s="51" t="s">
        <v>2594</v>
      </c>
      <c r="B19" s="52" t="s">
        <v>2170</v>
      </c>
      <c r="C19" t="s">
        <v>3817</v>
      </c>
      <c r="D19" t="s">
        <v>2663</v>
      </c>
      <c r="E19" t="s">
        <v>1425</v>
      </c>
      <c r="F19" s="33" t="s">
        <v>1724</v>
      </c>
      <c r="G19" s="33" t="s">
        <v>2795</v>
      </c>
      <c r="H19" s="40">
        <f t="shared" si="0"/>
        <v>1.0511525224473812</v>
      </c>
      <c r="I19" s="82">
        <f>AVERAGE(11, 11.5)</f>
        <v>11.25</v>
      </c>
      <c r="J19" s="79" t="s">
        <v>2685</v>
      </c>
      <c r="K19" s="102" t="s">
        <v>6980</v>
      </c>
      <c r="N19" s="16"/>
      <c r="O19" s="16"/>
      <c r="P19" s="16"/>
      <c r="Q19" s="16"/>
      <c r="R19" s="16"/>
      <c r="S19" s="16"/>
      <c r="T19" s="16"/>
      <c r="U19" s="16"/>
      <c r="V19" s="16"/>
      <c r="W19" s="16"/>
      <c r="X19" s="16"/>
      <c r="Y19" s="18"/>
    </row>
    <row r="20" spans="1:25" ht="38.25">
      <c r="A20" s="51" t="s">
        <v>2594</v>
      </c>
      <c r="B20" s="52" t="s">
        <v>2170</v>
      </c>
      <c r="C20" t="s">
        <v>3817</v>
      </c>
      <c r="D20" t="s">
        <v>2663</v>
      </c>
      <c r="E20" t="s">
        <v>1425</v>
      </c>
      <c r="F20" s="33" t="s">
        <v>1724</v>
      </c>
      <c r="G20" s="33" t="s">
        <v>6129</v>
      </c>
      <c r="H20" s="40">
        <f t="shared" si="0"/>
        <v>1.2054750367408908</v>
      </c>
      <c r="I20" s="82">
        <f>AVERAGE(16, 16.1)</f>
        <v>16.05</v>
      </c>
      <c r="J20" s="79" t="s">
        <v>2704</v>
      </c>
      <c r="K20" s="102" t="s">
        <v>6980</v>
      </c>
      <c r="N20" s="16"/>
      <c r="O20" s="16"/>
      <c r="P20" s="16"/>
      <c r="Q20" s="16"/>
      <c r="R20" s="16"/>
      <c r="S20" s="16"/>
      <c r="T20" s="16"/>
      <c r="U20" s="16"/>
      <c r="V20" s="16"/>
      <c r="W20" s="16"/>
      <c r="X20" s="16"/>
      <c r="Y20" s="18"/>
    </row>
    <row r="21" spans="1:25" ht="38.25">
      <c r="A21" s="51" t="s">
        <v>2594</v>
      </c>
      <c r="B21" s="52" t="s">
        <v>2170</v>
      </c>
      <c r="C21" t="s">
        <v>3817</v>
      </c>
      <c r="D21" t="s">
        <v>2663</v>
      </c>
      <c r="E21" t="s">
        <v>1425</v>
      </c>
      <c r="F21" s="33" t="s">
        <v>1724</v>
      </c>
      <c r="G21" s="33" t="s">
        <v>2686</v>
      </c>
      <c r="H21" s="40">
        <f t="shared" ref="H21:H52" si="1">LOG(I21)</f>
        <v>1.2442771208018428</v>
      </c>
      <c r="I21" s="82">
        <f>AVERAGE(15.8, 19.3)</f>
        <v>17.55</v>
      </c>
      <c r="J21" s="79" t="s">
        <v>2687</v>
      </c>
      <c r="K21" s="102" t="s">
        <v>6980</v>
      </c>
      <c r="N21" s="16"/>
      <c r="O21" s="16"/>
      <c r="P21" s="16"/>
      <c r="Q21" s="16"/>
      <c r="R21" s="16"/>
      <c r="S21" s="16"/>
      <c r="T21" s="16"/>
      <c r="U21" s="16"/>
      <c r="V21" s="16"/>
      <c r="W21" s="16"/>
      <c r="X21" s="16"/>
      <c r="Y21" s="18"/>
    </row>
    <row r="22" spans="1:25" ht="38.25">
      <c r="A22" s="51" t="s">
        <v>2594</v>
      </c>
      <c r="B22" s="52" t="s">
        <v>2170</v>
      </c>
      <c r="C22" t="s">
        <v>3817</v>
      </c>
      <c r="D22" t="s">
        <v>2663</v>
      </c>
      <c r="E22" t="s">
        <v>1425</v>
      </c>
      <c r="F22" s="33" t="s">
        <v>1724</v>
      </c>
      <c r="G22" s="33" t="s">
        <v>5519</v>
      </c>
      <c r="H22" s="40">
        <f t="shared" si="1"/>
        <v>1.5757649805367193</v>
      </c>
      <c r="I22" s="82">
        <f>AVERAGE(36.5, 38.8)</f>
        <v>37.65</v>
      </c>
      <c r="J22" s="79" t="s">
        <v>2794</v>
      </c>
      <c r="K22" s="102" t="s">
        <v>6980</v>
      </c>
      <c r="N22" s="16"/>
      <c r="O22" s="16"/>
      <c r="P22" s="16"/>
      <c r="Q22" s="16"/>
      <c r="R22" s="16"/>
      <c r="S22" s="16"/>
      <c r="T22" s="16"/>
      <c r="U22" s="16"/>
      <c r="V22" s="16"/>
      <c r="W22" s="16"/>
      <c r="X22" s="16"/>
      <c r="Y22" s="18"/>
    </row>
    <row r="23" spans="1:25" ht="25.5">
      <c r="A23" s="51" t="s">
        <v>2594</v>
      </c>
      <c r="B23" s="52" t="s">
        <v>2170</v>
      </c>
      <c r="C23" t="s">
        <v>3817</v>
      </c>
      <c r="D23" t="s">
        <v>2663</v>
      </c>
      <c r="E23" t="s">
        <v>2533</v>
      </c>
      <c r="F23" s="33" t="s">
        <v>6040</v>
      </c>
      <c r="G23" s="33" t="s">
        <v>6041</v>
      </c>
      <c r="H23" s="40">
        <f t="shared" si="1"/>
        <v>1.0977777345392834</v>
      </c>
      <c r="I23" s="82">
        <f>AVERAGE(13.1, 13.5, 10.5, 13)</f>
        <v>12.525</v>
      </c>
      <c r="J23" s="79" t="s">
        <v>2838</v>
      </c>
      <c r="K23" s="102">
        <v>259</v>
      </c>
      <c r="N23" s="16"/>
      <c r="O23" s="16"/>
      <c r="P23" s="16"/>
      <c r="Q23" s="16"/>
      <c r="R23" s="16"/>
      <c r="S23" s="16"/>
      <c r="T23" s="16"/>
      <c r="U23" s="16"/>
      <c r="V23" s="16"/>
      <c r="W23" s="16"/>
      <c r="X23" s="16"/>
      <c r="Y23" s="18"/>
    </row>
    <row r="24" spans="1:25" ht="51">
      <c r="A24" s="51" t="s">
        <v>2594</v>
      </c>
      <c r="B24" s="52" t="s">
        <v>2170</v>
      </c>
      <c r="C24" t="s">
        <v>3817</v>
      </c>
      <c r="D24" t="s">
        <v>2663</v>
      </c>
      <c r="E24" t="s">
        <v>2533</v>
      </c>
      <c r="F24" s="33" t="s">
        <v>2496</v>
      </c>
      <c r="G24" s="33" t="s">
        <v>7296</v>
      </c>
      <c r="H24" s="40">
        <f t="shared" si="1"/>
        <v>0.95544721057769555</v>
      </c>
      <c r="I24" s="82">
        <f>AVERAGE(8, 13, 6.6, 8.5)</f>
        <v>9.0250000000000004</v>
      </c>
      <c r="J24" s="79" t="s">
        <v>1358</v>
      </c>
      <c r="K24" s="102">
        <v>259</v>
      </c>
      <c r="L24" s="82" t="s">
        <v>1677</v>
      </c>
    </row>
    <row r="25" spans="1:25" ht="25.5">
      <c r="A25" s="51" t="s">
        <v>2594</v>
      </c>
      <c r="B25" s="52" t="s">
        <v>2170</v>
      </c>
      <c r="C25" t="s">
        <v>3817</v>
      </c>
      <c r="D25" t="s">
        <v>2663</v>
      </c>
      <c r="E25" t="s">
        <v>2533</v>
      </c>
      <c r="F25" s="33" t="s">
        <v>1189</v>
      </c>
      <c r="G25" s="33" t="s">
        <v>5532</v>
      </c>
      <c r="H25" s="40">
        <f t="shared" si="1"/>
        <v>1.2174839442139063</v>
      </c>
      <c r="I25" s="82">
        <f>AVERAGE(15.5, 17.5)</f>
        <v>16.5</v>
      </c>
      <c r="J25" s="79" t="s">
        <v>1359</v>
      </c>
      <c r="K25" s="102">
        <v>259</v>
      </c>
    </row>
    <row r="26" spans="1:25" ht="38.25">
      <c r="A26" s="51" t="s">
        <v>2594</v>
      </c>
      <c r="B26" s="52" t="s">
        <v>2170</v>
      </c>
      <c r="C26" t="s">
        <v>3817</v>
      </c>
      <c r="D26" t="s">
        <v>2663</v>
      </c>
      <c r="E26" t="s">
        <v>2533</v>
      </c>
      <c r="F26" s="33" t="s">
        <v>1189</v>
      </c>
      <c r="G26" s="33" t="s">
        <v>1360</v>
      </c>
      <c r="H26" s="40" t="e">
        <f t="shared" si="1"/>
        <v>#NUM!</v>
      </c>
      <c r="I26" s="82">
        <v>-999</v>
      </c>
      <c r="J26" s="79" t="s">
        <v>1536</v>
      </c>
      <c r="K26" s="102" t="s">
        <v>6980</v>
      </c>
      <c r="N26" s="16"/>
      <c r="O26" s="16"/>
      <c r="P26" s="16"/>
      <c r="Q26" s="16"/>
      <c r="R26" s="16"/>
      <c r="S26" s="16"/>
      <c r="T26" s="16"/>
      <c r="U26" s="16"/>
      <c r="V26" s="16"/>
      <c r="W26" s="16"/>
      <c r="X26" s="16"/>
      <c r="Y26" s="18"/>
    </row>
    <row r="27" spans="1:25" ht="38.25">
      <c r="A27" s="51" t="s">
        <v>2594</v>
      </c>
      <c r="B27" s="52" t="s">
        <v>2170</v>
      </c>
      <c r="C27" t="s">
        <v>3817</v>
      </c>
      <c r="D27" t="s">
        <v>2663</v>
      </c>
      <c r="E27" t="s">
        <v>2533</v>
      </c>
      <c r="F27" s="33" t="s">
        <v>2496</v>
      </c>
      <c r="G27" s="33" t="s">
        <v>8172</v>
      </c>
      <c r="H27" s="40">
        <f t="shared" si="1"/>
        <v>1.1903316981702914</v>
      </c>
      <c r="I27" s="82">
        <f>AVERAGE(14, 17)</f>
        <v>15.5</v>
      </c>
      <c r="J27" s="79" t="s">
        <v>1187</v>
      </c>
      <c r="K27" s="102" t="s">
        <v>6980</v>
      </c>
      <c r="N27" s="16"/>
      <c r="O27" s="16"/>
      <c r="P27" s="16"/>
      <c r="Q27" s="16"/>
      <c r="R27" s="16"/>
      <c r="S27" s="16"/>
      <c r="T27" s="16"/>
      <c r="U27" s="16"/>
      <c r="V27" s="16"/>
      <c r="W27" s="16"/>
      <c r="X27" s="16"/>
      <c r="Y27" s="18"/>
    </row>
    <row r="28" spans="1:25" ht="38.25">
      <c r="A28" s="51" t="s">
        <v>2594</v>
      </c>
      <c r="B28" s="52" t="s">
        <v>2170</v>
      </c>
      <c r="C28" t="s">
        <v>3817</v>
      </c>
      <c r="D28" t="s">
        <v>2663</v>
      </c>
      <c r="E28" t="s">
        <v>2533</v>
      </c>
      <c r="F28" s="33" t="s">
        <v>2501</v>
      </c>
      <c r="G28" s="33" t="s">
        <v>1537</v>
      </c>
      <c r="H28" s="40">
        <f t="shared" si="1"/>
        <v>1.4166405073382811</v>
      </c>
      <c r="I28" s="82">
        <f>AVERAGE(24.7, 27.5)</f>
        <v>26.1</v>
      </c>
      <c r="J28" s="79" t="s">
        <v>6487</v>
      </c>
      <c r="K28" s="102" t="s">
        <v>6980</v>
      </c>
      <c r="N28" s="16"/>
      <c r="O28" s="16"/>
      <c r="P28" s="16"/>
      <c r="Q28" s="16"/>
      <c r="R28" s="16"/>
      <c r="S28" s="16"/>
      <c r="T28" s="16"/>
      <c r="U28" s="16"/>
      <c r="V28" s="16"/>
      <c r="W28" s="16"/>
      <c r="X28" s="16"/>
      <c r="Y28" s="18"/>
    </row>
    <row r="29" spans="1:25" ht="38.25">
      <c r="A29" s="51" t="s">
        <v>2594</v>
      </c>
      <c r="B29" s="52" t="s">
        <v>2170</v>
      </c>
      <c r="C29" t="s">
        <v>3817</v>
      </c>
      <c r="D29" t="s">
        <v>2663</v>
      </c>
      <c r="E29" t="s">
        <v>6203</v>
      </c>
      <c r="F29" s="33" t="s">
        <v>1629</v>
      </c>
      <c r="G29" s="33" t="s">
        <v>1356</v>
      </c>
      <c r="H29" s="40">
        <f t="shared" si="1"/>
        <v>1.6384892569546374</v>
      </c>
      <c r="I29" s="82">
        <f>AVERAGE(40, 47)</f>
        <v>43.5</v>
      </c>
      <c r="J29" s="79" t="s">
        <v>1718</v>
      </c>
      <c r="K29" s="102">
        <v>259</v>
      </c>
      <c r="N29" s="16"/>
      <c r="O29" s="16"/>
      <c r="P29" s="16"/>
      <c r="Q29" s="16"/>
      <c r="R29" s="16"/>
      <c r="S29" s="16"/>
      <c r="T29" s="16"/>
      <c r="U29" s="16"/>
      <c r="V29" s="16"/>
      <c r="W29" s="16"/>
      <c r="X29" s="16"/>
      <c r="Y29" s="18"/>
    </row>
    <row r="30" spans="1:25" ht="38.25">
      <c r="A30" s="51" t="s">
        <v>2594</v>
      </c>
      <c r="B30" s="52" t="s">
        <v>2170</v>
      </c>
      <c r="C30" t="s">
        <v>3817</v>
      </c>
      <c r="D30" t="s">
        <v>2663</v>
      </c>
      <c r="E30" t="s">
        <v>6203</v>
      </c>
      <c r="F30" s="33" t="s">
        <v>6204</v>
      </c>
      <c r="G30" s="33" t="s">
        <v>6087</v>
      </c>
      <c r="H30" s="40" t="e">
        <f t="shared" si="1"/>
        <v>#NUM!</v>
      </c>
      <c r="I30" s="82">
        <v>-999</v>
      </c>
      <c r="J30" s="79" t="s">
        <v>1396</v>
      </c>
      <c r="K30" s="102" t="s">
        <v>6980</v>
      </c>
      <c r="N30" s="16"/>
      <c r="O30" s="16"/>
      <c r="P30" s="16"/>
      <c r="Q30" s="16"/>
      <c r="R30" s="16"/>
      <c r="S30" s="16"/>
      <c r="T30" s="16"/>
      <c r="U30" s="16"/>
      <c r="V30" s="16"/>
      <c r="W30" s="16"/>
      <c r="X30" s="16"/>
      <c r="Y30" s="18"/>
    </row>
    <row r="31" spans="1:25" ht="76.5">
      <c r="A31" s="51" t="s">
        <v>2594</v>
      </c>
      <c r="B31" s="52" t="s">
        <v>2170</v>
      </c>
      <c r="C31" t="s">
        <v>3817</v>
      </c>
      <c r="D31" t="s">
        <v>2663</v>
      </c>
      <c r="E31" t="s">
        <v>6203</v>
      </c>
      <c r="F31" s="33" t="s">
        <v>6204</v>
      </c>
      <c r="G31" s="33" t="s">
        <v>3109</v>
      </c>
      <c r="H31" s="40">
        <f t="shared" si="1"/>
        <v>2.6296643920005542</v>
      </c>
      <c r="I31" s="82">
        <f>AVERAGE(330, 550, 325, 500)</f>
        <v>426.25</v>
      </c>
      <c r="J31" s="79" t="s">
        <v>2929</v>
      </c>
      <c r="K31" s="102">
        <v>259</v>
      </c>
      <c r="N31" s="16"/>
      <c r="O31" s="16"/>
      <c r="P31" s="16"/>
      <c r="Q31" s="16"/>
      <c r="R31" s="16"/>
      <c r="S31" s="16"/>
      <c r="T31" s="16"/>
      <c r="U31" s="16"/>
      <c r="V31" s="16"/>
      <c r="W31" s="16"/>
      <c r="X31" s="16"/>
      <c r="Y31" s="18"/>
    </row>
    <row r="32" spans="1:25" ht="38.25">
      <c r="A32" s="51" t="s">
        <v>2594</v>
      </c>
      <c r="B32" s="52" t="s">
        <v>2170</v>
      </c>
      <c r="C32" t="s">
        <v>3817</v>
      </c>
      <c r="D32" t="s">
        <v>2663</v>
      </c>
      <c r="E32" t="s">
        <v>6203</v>
      </c>
      <c r="F32" s="33" t="s">
        <v>6204</v>
      </c>
      <c r="G32" s="33" t="s">
        <v>3110</v>
      </c>
      <c r="H32" s="40">
        <f t="shared" si="1"/>
        <v>2.5664374921950701</v>
      </c>
      <c r="I32" s="82">
        <f>AVERAGE(319, 447, 333, 375)</f>
        <v>368.5</v>
      </c>
      <c r="J32" s="79" t="s">
        <v>1397</v>
      </c>
      <c r="K32" s="102">
        <v>259</v>
      </c>
      <c r="N32" s="16"/>
      <c r="O32" s="16"/>
      <c r="P32" s="16"/>
      <c r="Q32" s="16"/>
      <c r="R32" s="16"/>
      <c r="S32" s="16"/>
      <c r="T32" s="16"/>
      <c r="U32" s="16"/>
      <c r="V32" s="16"/>
      <c r="W32" s="16"/>
      <c r="X32" s="16"/>
      <c r="Y32" s="18"/>
    </row>
    <row r="33" spans="1:25" ht="38.25">
      <c r="A33" s="51" t="s">
        <v>2594</v>
      </c>
      <c r="B33" s="52" t="s">
        <v>2170</v>
      </c>
      <c r="C33" t="s">
        <v>3817</v>
      </c>
      <c r="D33" t="s">
        <v>2663</v>
      </c>
      <c r="E33" t="s">
        <v>6203</v>
      </c>
      <c r="F33" s="33" t="s">
        <v>1727</v>
      </c>
      <c r="G33" s="33" t="s">
        <v>3789</v>
      </c>
      <c r="H33" s="40">
        <f t="shared" si="1"/>
        <v>1.2392994791268925</v>
      </c>
      <c r="I33" s="82">
        <f>AVERAGE(17.1, 17.6)</f>
        <v>17.350000000000001</v>
      </c>
      <c r="J33" s="79" t="s">
        <v>1310</v>
      </c>
      <c r="K33" s="102" t="s">
        <v>6980</v>
      </c>
      <c r="N33" s="16"/>
      <c r="O33" s="16"/>
      <c r="P33" s="16"/>
      <c r="Q33" s="16"/>
      <c r="R33" s="16"/>
      <c r="S33" s="16"/>
      <c r="T33" s="16"/>
      <c r="U33" s="16"/>
      <c r="V33" s="16"/>
      <c r="W33" s="16"/>
      <c r="X33" s="16"/>
      <c r="Y33" s="18"/>
    </row>
    <row r="34" spans="1:25" ht="38.25">
      <c r="A34" s="51" t="s">
        <v>2594</v>
      </c>
      <c r="B34" s="52" t="s">
        <v>2170</v>
      </c>
      <c r="C34" t="s">
        <v>3817</v>
      </c>
      <c r="D34" t="s">
        <v>2663</v>
      </c>
      <c r="E34" t="s">
        <v>6203</v>
      </c>
      <c r="F34" s="33" t="s">
        <v>1525</v>
      </c>
      <c r="G34" s="33" t="s">
        <v>4171</v>
      </c>
      <c r="H34" s="40">
        <f t="shared" si="1"/>
        <v>1.2417954312951989</v>
      </c>
      <c r="I34" s="82">
        <f>AVERAGE(16.8, 18.1)</f>
        <v>17.450000000000003</v>
      </c>
      <c r="J34" s="79" t="s">
        <v>1628</v>
      </c>
      <c r="K34" s="102" t="s">
        <v>6980</v>
      </c>
    </row>
    <row r="35" spans="1:25" ht="38.25">
      <c r="A35" s="51" t="s">
        <v>2594</v>
      </c>
      <c r="B35" s="52" t="s">
        <v>2170</v>
      </c>
      <c r="C35" t="s">
        <v>3817</v>
      </c>
      <c r="D35" t="s">
        <v>2663</v>
      </c>
      <c r="E35" t="s">
        <v>6203</v>
      </c>
      <c r="F35" s="33" t="s">
        <v>1727</v>
      </c>
      <c r="G35" s="33" t="s">
        <v>1311</v>
      </c>
      <c r="H35" s="40">
        <f t="shared" si="1"/>
        <v>1.2442771208018428</v>
      </c>
      <c r="I35" s="82">
        <f>AVERAGE(18.5, 16.6)</f>
        <v>17.55</v>
      </c>
      <c r="J35" s="79" t="s">
        <v>3116</v>
      </c>
      <c r="K35" s="102" t="s">
        <v>6980</v>
      </c>
    </row>
    <row r="36" spans="1:25" ht="38.25">
      <c r="A36" s="51" t="s">
        <v>2594</v>
      </c>
      <c r="B36" s="52" t="s">
        <v>2170</v>
      </c>
      <c r="C36" t="s">
        <v>3817</v>
      </c>
      <c r="D36" t="s">
        <v>2663</v>
      </c>
      <c r="E36" t="s">
        <v>6203</v>
      </c>
      <c r="F36" s="33" t="s">
        <v>3254</v>
      </c>
      <c r="G36" s="33" t="s">
        <v>4232</v>
      </c>
      <c r="H36" s="40">
        <f t="shared" si="1"/>
        <v>1.3996737214810382</v>
      </c>
      <c r="I36" s="82">
        <f>AVERAGE(24.5, 25.7)</f>
        <v>25.1</v>
      </c>
      <c r="J36" s="79" t="s">
        <v>2746</v>
      </c>
      <c r="K36" s="102" t="s">
        <v>6980</v>
      </c>
      <c r="N36" s="16"/>
      <c r="O36" s="16"/>
      <c r="P36" s="16"/>
      <c r="Q36" s="16"/>
      <c r="R36" s="16"/>
      <c r="S36" s="16"/>
      <c r="T36" s="16"/>
      <c r="U36" s="16"/>
      <c r="V36" s="16"/>
      <c r="W36" s="16"/>
      <c r="X36" s="16"/>
      <c r="Y36" s="18"/>
    </row>
    <row r="37" spans="1:25" ht="38.25">
      <c r="A37" s="51" t="s">
        <v>2594</v>
      </c>
      <c r="B37" s="52" t="s">
        <v>2170</v>
      </c>
      <c r="C37" t="s">
        <v>3817</v>
      </c>
      <c r="D37" t="s">
        <v>2663</v>
      </c>
      <c r="E37" t="s">
        <v>6203</v>
      </c>
      <c r="F37" s="33" t="s">
        <v>1629</v>
      </c>
      <c r="G37" s="33" t="s">
        <v>6264</v>
      </c>
      <c r="H37" s="40">
        <f t="shared" si="1"/>
        <v>1.4623979978989561</v>
      </c>
      <c r="I37" s="82">
        <v>29</v>
      </c>
      <c r="J37" s="79" t="s">
        <v>3253</v>
      </c>
      <c r="K37" s="102" t="s">
        <v>6980</v>
      </c>
      <c r="N37" s="16"/>
      <c r="O37" s="16"/>
      <c r="P37" s="16"/>
      <c r="Q37" s="16"/>
      <c r="R37" s="16"/>
      <c r="S37" s="16"/>
      <c r="T37" s="16"/>
      <c r="U37" s="16"/>
      <c r="V37" s="16"/>
      <c r="W37" s="16"/>
      <c r="X37" s="16"/>
      <c r="Y37" s="18"/>
    </row>
    <row r="38" spans="1:25" ht="38.25">
      <c r="A38" s="51" t="s">
        <v>2594</v>
      </c>
      <c r="B38" s="52" t="s">
        <v>2170</v>
      </c>
      <c r="C38" t="s">
        <v>3817</v>
      </c>
      <c r="D38" t="s">
        <v>2663</v>
      </c>
      <c r="E38" t="s">
        <v>6203</v>
      </c>
      <c r="F38" s="33" t="s">
        <v>1629</v>
      </c>
      <c r="G38" s="33" t="s">
        <v>4303</v>
      </c>
      <c r="H38" s="40">
        <f t="shared" si="1"/>
        <v>1.4892551683692605</v>
      </c>
      <c r="I38" s="82">
        <f>AVERAGE(29.7, 32)</f>
        <v>30.85</v>
      </c>
      <c r="J38" s="79" t="s">
        <v>1355</v>
      </c>
      <c r="K38" s="102" t="s">
        <v>6980</v>
      </c>
      <c r="N38" s="16"/>
      <c r="O38" s="16"/>
      <c r="P38" s="16"/>
      <c r="Q38" s="16"/>
      <c r="R38" s="16"/>
      <c r="S38" s="16"/>
      <c r="T38" s="16"/>
      <c r="U38" s="16"/>
      <c r="V38" s="16"/>
      <c r="W38" s="16"/>
      <c r="X38" s="16"/>
      <c r="Y38" s="18"/>
    </row>
    <row r="39" spans="1:25" ht="38.25">
      <c r="A39" s="51" t="s">
        <v>2594</v>
      </c>
      <c r="B39" s="52" t="s">
        <v>2170</v>
      </c>
      <c r="C39" t="s">
        <v>3817</v>
      </c>
      <c r="D39" t="s">
        <v>2663</v>
      </c>
      <c r="E39" t="s">
        <v>6203</v>
      </c>
      <c r="F39" s="33" t="s">
        <v>1629</v>
      </c>
      <c r="G39" s="33" t="s">
        <v>2303</v>
      </c>
      <c r="H39" s="40">
        <f t="shared" si="1"/>
        <v>1.5477747053878226</v>
      </c>
      <c r="I39" s="82">
        <v>35.299999999999997</v>
      </c>
      <c r="J39" s="79" t="s">
        <v>6263</v>
      </c>
      <c r="K39" s="102" t="s">
        <v>6980</v>
      </c>
      <c r="N39" s="16"/>
      <c r="O39" s="16"/>
      <c r="P39" s="16"/>
      <c r="Q39" s="16"/>
      <c r="R39" s="16"/>
      <c r="S39" s="16"/>
      <c r="T39" s="16"/>
      <c r="U39" s="16"/>
      <c r="V39" s="16"/>
      <c r="W39" s="16"/>
      <c r="X39" s="16"/>
      <c r="Y39" s="18"/>
    </row>
    <row r="40" spans="1:25" ht="38.25">
      <c r="A40" s="51" t="s">
        <v>2594</v>
      </c>
      <c r="B40" s="52" t="s">
        <v>2170</v>
      </c>
      <c r="C40" t="s">
        <v>3817</v>
      </c>
      <c r="D40" t="s">
        <v>2663</v>
      </c>
      <c r="E40" t="s">
        <v>6203</v>
      </c>
      <c r="F40" s="33" t="s">
        <v>1629</v>
      </c>
      <c r="G40" s="33" t="s">
        <v>1614</v>
      </c>
      <c r="H40" s="40">
        <f t="shared" si="1"/>
        <v>1.6242820958356683</v>
      </c>
      <c r="I40" s="82">
        <f>AVERAGE(44.2, 40)</f>
        <v>42.1</v>
      </c>
      <c r="J40" s="79" t="s">
        <v>2302</v>
      </c>
      <c r="K40" s="102" t="s">
        <v>6980</v>
      </c>
      <c r="N40" s="16"/>
      <c r="O40" s="16"/>
      <c r="P40" s="16"/>
      <c r="Q40" s="16"/>
      <c r="R40" s="16"/>
      <c r="S40" s="16"/>
      <c r="T40" s="16"/>
      <c r="U40" s="16"/>
      <c r="V40" s="16"/>
      <c r="W40" s="16"/>
      <c r="X40" s="16"/>
      <c r="Y40" s="18"/>
    </row>
    <row r="41" spans="1:25" ht="38.25">
      <c r="A41" s="51" t="s">
        <v>2594</v>
      </c>
      <c r="B41" s="52" t="s">
        <v>2170</v>
      </c>
      <c r="C41" t="s">
        <v>3817</v>
      </c>
      <c r="D41" t="s">
        <v>2663</v>
      </c>
      <c r="E41" t="s">
        <v>6203</v>
      </c>
      <c r="F41" s="33" t="s">
        <v>1574</v>
      </c>
      <c r="G41" s="33" t="s">
        <v>3078</v>
      </c>
      <c r="H41" s="40">
        <f t="shared" si="1"/>
        <v>1.887054378050957</v>
      </c>
      <c r="I41" s="82">
        <f>AVERAGE(70, 84.2)</f>
        <v>77.099999999999994</v>
      </c>
      <c r="J41" s="79" t="s">
        <v>1524</v>
      </c>
      <c r="K41" s="102" t="s">
        <v>6980</v>
      </c>
      <c r="N41" s="16"/>
      <c r="O41" s="16"/>
      <c r="P41" s="16"/>
      <c r="Q41" s="16"/>
      <c r="R41" s="16"/>
      <c r="S41" s="16"/>
      <c r="T41" s="16"/>
      <c r="U41" s="16"/>
      <c r="V41" s="16"/>
      <c r="W41" s="16"/>
      <c r="X41" s="16"/>
      <c r="Y41" s="18"/>
    </row>
    <row r="42" spans="1:25" ht="38.25">
      <c r="A42" s="51" t="s">
        <v>2594</v>
      </c>
      <c r="B42" s="52" t="s">
        <v>2170</v>
      </c>
      <c r="C42" t="s">
        <v>3817</v>
      </c>
      <c r="D42" t="s">
        <v>2663</v>
      </c>
      <c r="E42" t="s">
        <v>6203</v>
      </c>
      <c r="F42" s="33" t="s">
        <v>1629</v>
      </c>
      <c r="G42" s="33" t="s">
        <v>1630</v>
      </c>
      <c r="H42" s="40">
        <f t="shared" si="1"/>
        <v>1.9417598138146952</v>
      </c>
      <c r="I42" s="82">
        <f>AVERAGE(82.6, 92.3)</f>
        <v>87.449999999999989</v>
      </c>
      <c r="J42" s="79" t="s">
        <v>1631</v>
      </c>
      <c r="K42" s="102" t="s">
        <v>6980</v>
      </c>
      <c r="N42" s="16"/>
      <c r="O42" s="16"/>
      <c r="P42" s="16"/>
      <c r="Q42" s="16"/>
      <c r="R42" s="16"/>
      <c r="S42" s="16"/>
      <c r="T42" s="16"/>
      <c r="U42" s="16"/>
      <c r="V42" s="16"/>
      <c r="W42" s="16"/>
      <c r="X42" s="16"/>
      <c r="Y42" s="18"/>
    </row>
    <row r="43" spans="1:25" ht="38.25">
      <c r="A43" s="51" t="s">
        <v>2594</v>
      </c>
      <c r="B43" s="52" t="s">
        <v>2170</v>
      </c>
      <c r="C43" t="s">
        <v>3817</v>
      </c>
      <c r="D43" t="s">
        <v>2663</v>
      </c>
      <c r="E43" t="s">
        <v>6203</v>
      </c>
      <c r="F43" s="33" t="s">
        <v>2716</v>
      </c>
      <c r="G43" s="33" t="s">
        <v>2948</v>
      </c>
      <c r="H43" s="40">
        <f t="shared" si="1"/>
        <v>1.9481683617271317</v>
      </c>
      <c r="I43" s="82">
        <f>AVERAGE(91.8, 85.7)</f>
        <v>88.75</v>
      </c>
      <c r="J43" s="79" t="s">
        <v>1726</v>
      </c>
      <c r="K43" s="102" t="s">
        <v>6980</v>
      </c>
    </row>
    <row r="44" spans="1:25" ht="38.25">
      <c r="A44" s="51" t="s">
        <v>2594</v>
      </c>
      <c r="B44" s="52" t="s">
        <v>2170</v>
      </c>
      <c r="C44" t="s">
        <v>3817</v>
      </c>
      <c r="D44" t="s">
        <v>2663</v>
      </c>
      <c r="E44" t="s">
        <v>6203</v>
      </c>
      <c r="F44" s="33" t="s">
        <v>6204</v>
      </c>
      <c r="G44" s="33" t="s">
        <v>4141</v>
      </c>
      <c r="H44" s="40">
        <f t="shared" si="1"/>
        <v>2.4734869700645685</v>
      </c>
      <c r="I44" s="82">
        <f>AVERAGE(347, 248)</f>
        <v>297.5</v>
      </c>
      <c r="J44" s="79" t="s">
        <v>6125</v>
      </c>
      <c r="K44" s="102" t="s">
        <v>6980</v>
      </c>
      <c r="N44" s="16"/>
      <c r="O44" s="16"/>
      <c r="P44" s="16"/>
      <c r="Q44" s="16"/>
      <c r="R44" s="16"/>
      <c r="S44" s="16"/>
      <c r="T44" s="16"/>
      <c r="U44" s="16"/>
      <c r="V44" s="16"/>
      <c r="W44" s="16"/>
      <c r="X44" s="16"/>
      <c r="Y44" s="18"/>
    </row>
    <row r="45" spans="1:25" ht="38.25">
      <c r="A45" s="51" t="s">
        <v>2594</v>
      </c>
      <c r="B45" s="52" t="s">
        <v>2170</v>
      </c>
      <c r="C45" t="s">
        <v>3817</v>
      </c>
      <c r="D45" t="s">
        <v>2663</v>
      </c>
      <c r="E45" t="s">
        <v>6203</v>
      </c>
      <c r="F45" s="33" t="s">
        <v>1574</v>
      </c>
      <c r="G45" s="33" t="s">
        <v>7357</v>
      </c>
      <c r="H45" s="40">
        <f t="shared" si="1"/>
        <v>2.6053050461411096</v>
      </c>
      <c r="I45" s="82">
        <f>AVERAGE(489, 317)</f>
        <v>403</v>
      </c>
      <c r="J45" s="79" t="s">
        <v>1570</v>
      </c>
      <c r="K45" s="102" t="s">
        <v>6980</v>
      </c>
      <c r="N45" s="16"/>
      <c r="O45" s="16"/>
      <c r="P45" s="16"/>
      <c r="Q45" s="16"/>
      <c r="R45" s="16"/>
      <c r="S45" s="16"/>
      <c r="T45" s="16"/>
      <c r="U45" s="16"/>
      <c r="V45" s="16"/>
      <c r="W45" s="16"/>
      <c r="X45" s="16"/>
      <c r="Y45" s="18"/>
    </row>
    <row r="46" spans="1:25" ht="38.25">
      <c r="A46" s="51" t="s">
        <v>2594</v>
      </c>
      <c r="B46" s="52" t="s">
        <v>2170</v>
      </c>
      <c r="C46" t="s">
        <v>3817</v>
      </c>
      <c r="D46" t="s">
        <v>2663</v>
      </c>
      <c r="E46" t="s">
        <v>6203</v>
      </c>
      <c r="F46" s="33" t="s">
        <v>1476</v>
      </c>
      <c r="G46" s="33" t="s">
        <v>1477</v>
      </c>
      <c r="H46" s="40">
        <f t="shared" si="1"/>
        <v>2.7781512503836434</v>
      </c>
      <c r="I46" s="84">
        <v>600</v>
      </c>
      <c r="K46" s="102" t="s">
        <v>6980</v>
      </c>
      <c r="N46" s="16"/>
      <c r="O46" s="16"/>
      <c r="P46" s="16"/>
      <c r="Q46" s="16"/>
      <c r="R46" s="16"/>
      <c r="S46" s="16"/>
      <c r="T46" s="16"/>
      <c r="U46" s="16"/>
      <c r="V46" s="16"/>
      <c r="W46" s="16"/>
      <c r="X46" s="16"/>
      <c r="Y46" s="18"/>
    </row>
    <row r="47" spans="1:25" ht="38.25">
      <c r="A47" s="51" t="s">
        <v>2594</v>
      </c>
      <c r="B47" s="52" t="s">
        <v>2170</v>
      </c>
      <c r="C47" t="s">
        <v>3817</v>
      </c>
      <c r="D47" t="s">
        <v>2663</v>
      </c>
      <c r="E47" t="s">
        <v>6203</v>
      </c>
      <c r="F47" s="33" t="s">
        <v>6204</v>
      </c>
      <c r="G47" s="33" t="s">
        <v>4179</v>
      </c>
      <c r="H47" s="40">
        <f t="shared" si="1"/>
        <v>2.7871060930365701</v>
      </c>
      <c r="I47" s="82">
        <f>AVERAGE(625, 600)</f>
        <v>612.5</v>
      </c>
      <c r="J47" s="79" t="s">
        <v>3061</v>
      </c>
      <c r="K47" s="102" t="s">
        <v>6980</v>
      </c>
      <c r="N47" s="16"/>
      <c r="O47" s="16"/>
      <c r="P47" s="16"/>
      <c r="Q47" s="16"/>
      <c r="R47" s="16"/>
      <c r="S47" s="16"/>
      <c r="T47" s="16"/>
      <c r="U47" s="16"/>
      <c r="V47" s="16"/>
      <c r="W47" s="16"/>
      <c r="X47" s="16"/>
      <c r="Y47" s="18"/>
    </row>
    <row r="48" spans="1:25" ht="38.25">
      <c r="A48" s="51" t="s">
        <v>2594</v>
      </c>
      <c r="B48" s="52" t="s">
        <v>2170</v>
      </c>
      <c r="C48" t="s">
        <v>3817</v>
      </c>
      <c r="D48" t="s">
        <v>2663</v>
      </c>
      <c r="E48" t="s">
        <v>6203</v>
      </c>
      <c r="F48" s="33" t="s">
        <v>6204</v>
      </c>
      <c r="G48" s="33" t="s">
        <v>2930</v>
      </c>
      <c r="H48" s="40">
        <f t="shared" si="1"/>
        <v>3.0155693064298799</v>
      </c>
      <c r="I48" s="82">
        <f>AVERAGE(995, 1078)</f>
        <v>1036.5</v>
      </c>
      <c r="J48" s="79" t="s">
        <v>2947</v>
      </c>
      <c r="K48" s="102" t="s">
        <v>6980</v>
      </c>
      <c r="N48" s="16"/>
      <c r="O48" s="16"/>
      <c r="P48" s="16"/>
      <c r="Q48" s="16"/>
      <c r="R48" s="16"/>
      <c r="S48" s="16"/>
      <c r="T48" s="16"/>
      <c r="U48" s="16"/>
      <c r="V48" s="16"/>
      <c r="W48" s="16"/>
      <c r="X48" s="16"/>
      <c r="Y48" s="18"/>
    </row>
    <row r="49" spans="1:25" ht="38.25">
      <c r="A49" s="51" t="s">
        <v>2594</v>
      </c>
      <c r="B49" s="52" t="s">
        <v>2170</v>
      </c>
      <c r="C49" t="s">
        <v>3817</v>
      </c>
      <c r="D49" t="s">
        <v>2663</v>
      </c>
      <c r="E49" t="s">
        <v>1684</v>
      </c>
      <c r="F49" s="33" t="s">
        <v>1332</v>
      </c>
      <c r="G49" s="33" t="s">
        <v>1377</v>
      </c>
      <c r="H49" s="40">
        <f t="shared" si="1"/>
        <v>0.98900461569853682</v>
      </c>
      <c r="I49" s="82">
        <f>AVERAGE(9, 10.5)</f>
        <v>9.75</v>
      </c>
      <c r="J49" s="79" t="s">
        <v>6561</v>
      </c>
      <c r="K49" s="102" t="s">
        <v>6980</v>
      </c>
      <c r="N49" s="16"/>
      <c r="O49" s="16"/>
      <c r="P49" s="16"/>
      <c r="Q49" s="16"/>
      <c r="R49" s="16"/>
      <c r="S49" s="16"/>
      <c r="T49" s="16"/>
      <c r="U49" s="16"/>
      <c r="V49" s="16"/>
      <c r="W49" s="16"/>
      <c r="X49" s="16"/>
      <c r="Y49" s="18"/>
    </row>
    <row r="50" spans="1:25" ht="38.25">
      <c r="A50" s="51" t="s">
        <v>2594</v>
      </c>
      <c r="B50" s="52" t="s">
        <v>2170</v>
      </c>
      <c r="C50" t="s">
        <v>3817</v>
      </c>
      <c r="D50" t="s">
        <v>2663</v>
      </c>
      <c r="E50" t="s">
        <v>1684</v>
      </c>
      <c r="F50" s="33" t="s">
        <v>1332</v>
      </c>
      <c r="G50" s="33" t="s">
        <v>6253</v>
      </c>
      <c r="H50" s="40">
        <f t="shared" si="1"/>
        <v>1.0128372247051722</v>
      </c>
      <c r="I50" s="82">
        <v>10.3</v>
      </c>
      <c r="J50" s="79" t="s">
        <v>1142</v>
      </c>
      <c r="K50" s="102" t="s">
        <v>6980</v>
      </c>
      <c r="N50" s="16"/>
      <c r="O50" s="16"/>
      <c r="P50" s="16"/>
      <c r="Q50" s="16"/>
      <c r="R50" s="16"/>
      <c r="S50" s="16"/>
      <c r="T50" s="16"/>
      <c r="U50" s="16"/>
      <c r="V50" s="16"/>
      <c r="W50" s="16"/>
      <c r="X50" s="16"/>
      <c r="Y50" s="18"/>
    </row>
    <row r="51" spans="1:25" ht="38.25">
      <c r="A51" s="51" t="s">
        <v>2594</v>
      </c>
      <c r="B51" s="52" t="s">
        <v>2170</v>
      </c>
      <c r="C51" t="s">
        <v>3817</v>
      </c>
      <c r="D51" t="s">
        <v>2663</v>
      </c>
      <c r="E51" t="s">
        <v>1684</v>
      </c>
      <c r="F51" s="33" t="s">
        <v>1332</v>
      </c>
      <c r="G51" s="33" t="s">
        <v>5303</v>
      </c>
      <c r="H51" s="40">
        <f t="shared" si="1"/>
        <v>1.0681858617461617</v>
      </c>
      <c r="I51" s="82">
        <v>11.7</v>
      </c>
      <c r="J51" s="79" t="s">
        <v>1374</v>
      </c>
      <c r="K51" s="102" t="s">
        <v>6980</v>
      </c>
      <c r="N51" s="16"/>
      <c r="O51" s="16"/>
      <c r="P51" s="16"/>
      <c r="Q51" s="16"/>
      <c r="R51" s="16"/>
      <c r="S51" s="16"/>
      <c r="T51" s="16"/>
      <c r="U51" s="16"/>
      <c r="V51" s="16"/>
      <c r="W51" s="16"/>
      <c r="X51" s="16"/>
      <c r="Y51" s="18"/>
    </row>
    <row r="52" spans="1:25" ht="38.25">
      <c r="A52" s="51" t="s">
        <v>2594</v>
      </c>
      <c r="B52" s="52" t="s">
        <v>2170</v>
      </c>
      <c r="C52" t="s">
        <v>3817</v>
      </c>
      <c r="D52" t="s">
        <v>2663</v>
      </c>
      <c r="E52" t="s">
        <v>1684</v>
      </c>
      <c r="F52" s="33" t="s">
        <v>1332</v>
      </c>
      <c r="G52" s="33" t="s">
        <v>1375</v>
      </c>
      <c r="H52" s="40">
        <f t="shared" si="1"/>
        <v>1.2201080880400552</v>
      </c>
      <c r="I52" s="82">
        <v>16.600000000000001</v>
      </c>
      <c r="J52" s="79" t="s">
        <v>1376</v>
      </c>
      <c r="K52" s="102" t="s">
        <v>6980</v>
      </c>
      <c r="N52" s="16"/>
      <c r="O52" s="16"/>
      <c r="P52" s="16"/>
      <c r="Q52" s="16"/>
      <c r="R52" s="16"/>
      <c r="S52" s="16"/>
      <c r="T52" s="16"/>
      <c r="U52" s="16"/>
      <c r="V52" s="16"/>
      <c r="W52" s="16"/>
      <c r="X52" s="16"/>
      <c r="Y52" s="18"/>
    </row>
    <row r="53" spans="1:25" ht="38.25">
      <c r="A53" s="51" t="s">
        <v>2594</v>
      </c>
      <c r="B53" s="52" t="s">
        <v>2170</v>
      </c>
      <c r="C53" t="s">
        <v>3817</v>
      </c>
      <c r="D53" t="s">
        <v>2663</v>
      </c>
      <c r="E53" t="s">
        <v>6205</v>
      </c>
      <c r="F53" s="33" t="s">
        <v>1342</v>
      </c>
      <c r="G53" s="33" t="s">
        <v>1343</v>
      </c>
      <c r="H53" s="40" t="e">
        <f t="shared" ref="H53:H74" si="2">LOG(I53)</f>
        <v>#NUM!</v>
      </c>
      <c r="I53" s="82">
        <v>-999</v>
      </c>
      <c r="J53" s="79" t="s">
        <v>1137</v>
      </c>
      <c r="K53" s="102" t="s">
        <v>6980</v>
      </c>
      <c r="N53" s="16"/>
      <c r="O53" s="16"/>
      <c r="P53" s="16"/>
      <c r="Q53" s="16"/>
      <c r="R53" s="16"/>
      <c r="S53" s="16"/>
      <c r="T53" s="16"/>
      <c r="U53" s="16"/>
      <c r="V53" s="16"/>
      <c r="W53" s="16"/>
      <c r="X53" s="16"/>
      <c r="Y53" s="18"/>
    </row>
    <row r="54" spans="1:25" ht="25.5">
      <c r="A54" s="51" t="s">
        <v>2594</v>
      </c>
      <c r="B54" s="52" t="s">
        <v>2170</v>
      </c>
      <c r="C54" t="s">
        <v>3817</v>
      </c>
      <c r="D54" t="s">
        <v>2663</v>
      </c>
      <c r="E54" t="s">
        <v>6205</v>
      </c>
      <c r="F54" s="33" t="s">
        <v>3104</v>
      </c>
      <c r="G54" s="33" t="s">
        <v>1337</v>
      </c>
      <c r="H54" s="40">
        <f t="shared" si="2"/>
        <v>1.0273496077747566</v>
      </c>
      <c r="I54" s="84">
        <f>AVERAGE(8, 16, 7.1, 11.5)</f>
        <v>10.65</v>
      </c>
      <c r="J54" s="79" t="s">
        <v>3105</v>
      </c>
      <c r="K54" s="102">
        <v>259</v>
      </c>
      <c r="L54" s="82" t="s">
        <v>1849</v>
      </c>
      <c r="N54" s="16"/>
      <c r="O54" s="16"/>
      <c r="P54" s="16"/>
      <c r="Q54" s="16"/>
      <c r="R54" s="16"/>
      <c r="S54" s="16"/>
      <c r="T54" s="16"/>
      <c r="U54" s="16"/>
      <c r="V54" s="16"/>
      <c r="W54" s="16"/>
      <c r="X54" s="16"/>
      <c r="Y54" s="18"/>
    </row>
    <row r="55" spans="1:25" ht="51">
      <c r="A55" s="51" t="s">
        <v>2594</v>
      </c>
      <c r="B55" s="52" t="s">
        <v>2170</v>
      </c>
      <c r="C55" t="s">
        <v>3817</v>
      </c>
      <c r="D55" t="s">
        <v>2663</v>
      </c>
      <c r="E55" t="s">
        <v>6205</v>
      </c>
      <c r="F55" s="33" t="s">
        <v>3104</v>
      </c>
      <c r="G55" s="33" t="s">
        <v>1995</v>
      </c>
      <c r="H55" s="40" t="e">
        <f t="shared" si="2"/>
        <v>#NUM!</v>
      </c>
      <c r="I55" s="82">
        <v>-999</v>
      </c>
      <c r="J55" s="79" t="s">
        <v>1513</v>
      </c>
      <c r="K55" s="102" t="s">
        <v>6980</v>
      </c>
      <c r="N55" s="16"/>
      <c r="O55" s="16"/>
      <c r="P55" s="16"/>
      <c r="Q55" s="16"/>
      <c r="R55" s="16"/>
      <c r="S55" s="16"/>
      <c r="T55" s="16"/>
      <c r="U55" s="16"/>
      <c r="V55" s="16"/>
      <c r="W55" s="16"/>
      <c r="X55" s="16"/>
      <c r="Y55" s="18"/>
    </row>
    <row r="56" spans="1:25" ht="38.25">
      <c r="A56" s="51" t="s">
        <v>2594</v>
      </c>
      <c r="B56" s="52" t="s">
        <v>2170</v>
      </c>
      <c r="C56" t="s">
        <v>3817</v>
      </c>
      <c r="D56" t="s">
        <v>2663</v>
      </c>
      <c r="E56" t="s">
        <v>6205</v>
      </c>
      <c r="F56" s="33" t="s">
        <v>3104</v>
      </c>
      <c r="G56" s="33" t="s">
        <v>6297</v>
      </c>
      <c r="H56" s="40">
        <f t="shared" si="2"/>
        <v>1.2007137339640133</v>
      </c>
      <c r="I56" s="82">
        <f>AVERAGE(12.5, 16, 17, 18)</f>
        <v>15.875</v>
      </c>
      <c r="J56" s="79" t="s">
        <v>1590</v>
      </c>
      <c r="K56" s="102">
        <v>259</v>
      </c>
      <c r="N56" s="16"/>
      <c r="O56" s="16"/>
      <c r="P56" s="16"/>
      <c r="Q56" s="16"/>
      <c r="R56" s="16"/>
      <c r="S56" s="16"/>
      <c r="T56" s="16"/>
      <c r="U56" s="16"/>
      <c r="V56" s="16"/>
      <c r="W56" s="16"/>
      <c r="X56" s="16"/>
      <c r="Y56" s="18"/>
    </row>
    <row r="57" spans="1:25" ht="38.25">
      <c r="A57" s="51" t="s">
        <v>2594</v>
      </c>
      <c r="B57" s="52" t="s">
        <v>2170</v>
      </c>
      <c r="C57" t="s">
        <v>3817</v>
      </c>
      <c r="D57" t="s">
        <v>2663</v>
      </c>
      <c r="E57" t="s">
        <v>6205</v>
      </c>
      <c r="F57" s="33" t="s">
        <v>6130</v>
      </c>
      <c r="G57" s="33" t="s">
        <v>3134</v>
      </c>
      <c r="H57" s="40" t="e">
        <f t="shared" si="2"/>
        <v>#NUM!</v>
      </c>
      <c r="I57" s="82">
        <v>-999</v>
      </c>
      <c r="J57" s="79" t="s">
        <v>3147</v>
      </c>
      <c r="K57" s="102" t="s">
        <v>6980</v>
      </c>
      <c r="N57" s="16"/>
      <c r="O57" s="16"/>
      <c r="P57" s="16"/>
      <c r="Q57" s="16"/>
      <c r="R57" s="16"/>
      <c r="S57" s="16"/>
      <c r="T57" s="16"/>
      <c r="U57" s="16"/>
      <c r="V57" s="16"/>
      <c r="W57" s="16"/>
      <c r="X57" s="16"/>
      <c r="Y57" s="18"/>
    </row>
    <row r="58" spans="1:25" ht="38.25">
      <c r="A58" s="51" t="s">
        <v>2594</v>
      </c>
      <c r="B58" s="52" t="s">
        <v>2170</v>
      </c>
      <c r="C58" t="s">
        <v>3817</v>
      </c>
      <c r="D58" t="s">
        <v>2663</v>
      </c>
      <c r="E58" t="s">
        <v>6205</v>
      </c>
      <c r="F58" s="33" t="s">
        <v>2710</v>
      </c>
      <c r="G58" s="33" t="s">
        <v>3149</v>
      </c>
      <c r="H58" s="40">
        <f t="shared" si="2"/>
        <v>0.51851393987788741</v>
      </c>
      <c r="I58" s="82">
        <v>3.3</v>
      </c>
      <c r="J58" s="79" t="s">
        <v>2709</v>
      </c>
      <c r="K58" s="102" t="s">
        <v>6980</v>
      </c>
      <c r="N58" s="16"/>
      <c r="O58" s="16"/>
      <c r="P58" s="16"/>
      <c r="Q58" s="16"/>
      <c r="R58" s="16"/>
      <c r="S58" s="16"/>
      <c r="T58" s="16"/>
      <c r="U58" s="16"/>
      <c r="V58" s="16"/>
      <c r="W58" s="16"/>
      <c r="X58" s="16"/>
      <c r="Y58" s="18"/>
    </row>
    <row r="59" spans="1:25" ht="38.25">
      <c r="A59" s="51" t="s">
        <v>2594</v>
      </c>
      <c r="B59" s="52" t="s">
        <v>2170</v>
      </c>
      <c r="C59" t="s">
        <v>3817</v>
      </c>
      <c r="D59" t="s">
        <v>2663</v>
      </c>
      <c r="E59" t="s">
        <v>6205</v>
      </c>
      <c r="F59" s="33" t="s">
        <v>2710</v>
      </c>
      <c r="G59" s="33" t="s">
        <v>5676</v>
      </c>
      <c r="H59" s="40">
        <f t="shared" si="2"/>
        <v>0.51851393987788741</v>
      </c>
      <c r="I59" s="82">
        <v>3.3</v>
      </c>
      <c r="J59" s="79" t="s">
        <v>6181</v>
      </c>
      <c r="K59" s="102" t="s">
        <v>6980</v>
      </c>
      <c r="N59" s="16"/>
      <c r="O59" s="16"/>
      <c r="P59" s="16"/>
      <c r="Q59" s="16"/>
      <c r="R59" s="16"/>
      <c r="S59" s="16"/>
      <c r="T59" s="16"/>
      <c r="U59" s="16"/>
      <c r="V59" s="16"/>
      <c r="W59" s="16"/>
      <c r="X59" s="16"/>
      <c r="Y59" s="18"/>
    </row>
    <row r="60" spans="1:25" ht="38.25">
      <c r="A60" s="51" t="s">
        <v>2594</v>
      </c>
      <c r="B60" s="52" t="s">
        <v>2170</v>
      </c>
      <c r="C60" t="s">
        <v>3817</v>
      </c>
      <c r="D60" t="s">
        <v>2663</v>
      </c>
      <c r="E60" t="s">
        <v>6205</v>
      </c>
      <c r="F60" s="33" t="s">
        <v>2710</v>
      </c>
      <c r="G60" s="33" t="s">
        <v>2837</v>
      </c>
      <c r="H60" s="40">
        <f t="shared" si="2"/>
        <v>0.66745295288995399</v>
      </c>
      <c r="I60" s="82">
        <f>AVERAGE(4.3, 5)</f>
        <v>4.6500000000000004</v>
      </c>
      <c r="J60" s="79" t="s">
        <v>6180</v>
      </c>
      <c r="K60" s="102" t="s">
        <v>6980</v>
      </c>
      <c r="N60" s="16"/>
      <c r="O60" s="16"/>
      <c r="P60" s="16"/>
      <c r="Q60" s="16"/>
      <c r="R60" s="16"/>
      <c r="S60" s="16"/>
      <c r="T60" s="16"/>
      <c r="U60" s="16"/>
      <c r="V60" s="16"/>
      <c r="W60" s="16"/>
      <c r="X60" s="16"/>
      <c r="Y60" s="18"/>
    </row>
    <row r="61" spans="1:25" ht="38.25">
      <c r="A61" s="51" t="s">
        <v>2594</v>
      </c>
      <c r="B61" s="52" t="s">
        <v>2170</v>
      </c>
      <c r="C61" t="s">
        <v>3817</v>
      </c>
      <c r="D61" t="s">
        <v>2663</v>
      </c>
      <c r="E61" t="s">
        <v>6205</v>
      </c>
      <c r="F61" s="33" t="s">
        <v>1138</v>
      </c>
      <c r="G61" s="33" t="s">
        <v>1622</v>
      </c>
      <c r="H61" s="40">
        <f t="shared" si="2"/>
        <v>0.69019608002851374</v>
      </c>
      <c r="I61" s="82">
        <f>AVERAGE(4.7, 5.1)</f>
        <v>4.9000000000000004</v>
      </c>
      <c r="J61" s="79" t="s">
        <v>1511</v>
      </c>
      <c r="K61" s="102" t="s">
        <v>6980</v>
      </c>
      <c r="N61" s="16"/>
      <c r="O61" s="16"/>
      <c r="P61" s="16"/>
      <c r="Q61" s="16"/>
      <c r="R61" s="16"/>
      <c r="S61" s="16"/>
      <c r="T61" s="16"/>
      <c r="U61" s="16"/>
      <c r="V61" s="16"/>
      <c r="W61" s="16"/>
      <c r="X61" s="16"/>
      <c r="Y61" s="18"/>
    </row>
    <row r="62" spans="1:25" ht="38.25">
      <c r="A62" s="51" t="s">
        <v>2594</v>
      </c>
      <c r="B62" s="52" t="s">
        <v>2170</v>
      </c>
      <c r="C62" t="s">
        <v>3817</v>
      </c>
      <c r="D62" t="s">
        <v>2663</v>
      </c>
      <c r="E62" t="s">
        <v>6205</v>
      </c>
      <c r="F62" s="33" t="s">
        <v>1485</v>
      </c>
      <c r="G62" s="33" t="s">
        <v>1486</v>
      </c>
      <c r="H62" s="40">
        <f t="shared" si="2"/>
        <v>0.71808629478309161</v>
      </c>
      <c r="I62" s="82">
        <f>AVERAGE(6.2, 4.25)</f>
        <v>5.2249999999999996</v>
      </c>
      <c r="J62" s="79" t="s">
        <v>6265</v>
      </c>
      <c r="K62" s="102" t="s">
        <v>6980</v>
      </c>
      <c r="N62" s="16"/>
      <c r="O62" s="16"/>
      <c r="P62" s="16"/>
      <c r="Q62" s="16"/>
      <c r="R62" s="16"/>
      <c r="S62" s="16"/>
      <c r="T62" s="16"/>
      <c r="U62" s="16"/>
      <c r="V62" s="16"/>
      <c r="W62" s="16"/>
      <c r="X62" s="16"/>
      <c r="Y62" s="18"/>
    </row>
    <row r="63" spans="1:25" ht="38.25">
      <c r="A63" s="51" t="s">
        <v>2594</v>
      </c>
      <c r="B63" s="52" t="s">
        <v>2170</v>
      </c>
      <c r="C63" t="s">
        <v>3817</v>
      </c>
      <c r="D63" t="s">
        <v>2663</v>
      </c>
      <c r="E63" t="s">
        <v>6205</v>
      </c>
      <c r="F63" s="33" t="s">
        <v>2710</v>
      </c>
      <c r="G63" s="33" t="s">
        <v>3713</v>
      </c>
      <c r="H63" s="40">
        <f t="shared" si="2"/>
        <v>0.77451696572854956</v>
      </c>
      <c r="I63" s="82">
        <f>AVERAGE(5.5, 6.4)</f>
        <v>5.95</v>
      </c>
      <c r="J63" s="79" t="s">
        <v>2836</v>
      </c>
      <c r="K63" s="102" t="s">
        <v>6980</v>
      </c>
      <c r="N63" s="16"/>
      <c r="O63" s="16"/>
      <c r="P63" s="16"/>
      <c r="Q63" s="16"/>
      <c r="R63" s="16"/>
      <c r="S63" s="16"/>
      <c r="T63" s="16"/>
      <c r="U63" s="16"/>
      <c r="V63" s="16"/>
      <c r="W63" s="16"/>
      <c r="X63" s="16"/>
      <c r="Y63" s="18"/>
    </row>
    <row r="64" spans="1:25" ht="38.25">
      <c r="A64" s="51" t="s">
        <v>2594</v>
      </c>
      <c r="B64" s="52" t="s">
        <v>2170</v>
      </c>
      <c r="C64" t="s">
        <v>3817</v>
      </c>
      <c r="D64" t="s">
        <v>2663</v>
      </c>
      <c r="E64" t="s">
        <v>6205</v>
      </c>
      <c r="F64" s="33" t="s">
        <v>3104</v>
      </c>
      <c r="G64" s="33" t="s">
        <v>2311</v>
      </c>
      <c r="H64" s="40">
        <f t="shared" si="2"/>
        <v>0.85125834871907524</v>
      </c>
      <c r="I64" s="82">
        <f>AVERAGE(6.7, 7.5)</f>
        <v>7.1</v>
      </c>
      <c r="J64" s="79" t="s">
        <v>6124</v>
      </c>
      <c r="K64" s="102" t="s">
        <v>6980</v>
      </c>
      <c r="N64" s="16"/>
      <c r="O64" s="16"/>
      <c r="P64" s="16"/>
      <c r="Q64" s="16"/>
      <c r="R64" s="16"/>
      <c r="S64" s="16"/>
      <c r="T64" s="16"/>
      <c r="U64" s="16"/>
      <c r="V64" s="16"/>
      <c r="W64" s="16"/>
      <c r="X64" s="16"/>
      <c r="Y64" s="18"/>
    </row>
    <row r="65" spans="1:25" ht="38.25">
      <c r="A65" s="51" t="s">
        <v>2594</v>
      </c>
      <c r="B65" s="52" t="s">
        <v>2170</v>
      </c>
      <c r="C65" t="s">
        <v>3817</v>
      </c>
      <c r="D65" t="s">
        <v>2663</v>
      </c>
      <c r="E65" t="s">
        <v>6205</v>
      </c>
      <c r="F65" s="33" t="s">
        <v>6206</v>
      </c>
      <c r="G65" s="33" t="s">
        <v>6266</v>
      </c>
      <c r="H65" s="40">
        <f t="shared" si="2"/>
        <v>0.89209460269048035</v>
      </c>
      <c r="I65" s="82">
        <v>7.8</v>
      </c>
      <c r="J65" s="79" t="s">
        <v>6267</v>
      </c>
      <c r="K65" s="102" t="s">
        <v>6980</v>
      </c>
      <c r="N65" s="16"/>
      <c r="O65" s="16"/>
      <c r="P65" s="16"/>
      <c r="Q65" s="16"/>
      <c r="R65" s="16"/>
      <c r="S65" s="16"/>
      <c r="T65" s="16"/>
      <c r="U65" s="16"/>
      <c r="V65" s="16"/>
      <c r="W65" s="16"/>
      <c r="X65" s="16"/>
      <c r="Y65" s="18"/>
    </row>
    <row r="66" spans="1:25" ht="38.25">
      <c r="A66" s="51" t="s">
        <v>2594</v>
      </c>
      <c r="B66" s="52" t="s">
        <v>2170</v>
      </c>
      <c r="C66" t="s">
        <v>3817</v>
      </c>
      <c r="D66" t="s">
        <v>2663</v>
      </c>
      <c r="E66" t="s">
        <v>6205</v>
      </c>
      <c r="F66" s="33" t="s">
        <v>2729</v>
      </c>
      <c r="G66" s="33" t="s">
        <v>3789</v>
      </c>
      <c r="H66" s="40">
        <f t="shared" si="2"/>
        <v>0.90036712865647028</v>
      </c>
      <c r="I66" s="84">
        <f>AVERAGE(8.3, 7.6)</f>
        <v>7.95</v>
      </c>
      <c r="J66" s="79" t="s">
        <v>3235</v>
      </c>
      <c r="K66" s="102" t="s">
        <v>6980</v>
      </c>
      <c r="N66" s="16"/>
      <c r="O66" s="16"/>
      <c r="P66" s="16"/>
      <c r="Q66" s="16"/>
      <c r="R66" s="16"/>
      <c r="S66" s="16"/>
      <c r="T66" s="16"/>
      <c r="U66" s="16"/>
      <c r="V66" s="16"/>
      <c r="W66" s="16"/>
      <c r="X66" s="16"/>
      <c r="Y66" s="18"/>
    </row>
    <row r="67" spans="1:25" ht="38.25">
      <c r="A67" s="51" t="s">
        <v>2594</v>
      </c>
      <c r="B67" s="52" t="s">
        <v>2170</v>
      </c>
      <c r="C67" t="s">
        <v>3817</v>
      </c>
      <c r="D67" t="s">
        <v>2663</v>
      </c>
      <c r="E67" t="s">
        <v>6205</v>
      </c>
      <c r="F67" s="33" t="s">
        <v>6035</v>
      </c>
      <c r="G67" s="33" t="s">
        <v>4300</v>
      </c>
      <c r="H67" s="40">
        <f t="shared" si="2"/>
        <v>0.90308998699194354</v>
      </c>
      <c r="I67" s="82">
        <v>8</v>
      </c>
      <c r="J67" s="79" t="s">
        <v>6039</v>
      </c>
      <c r="K67" s="102" t="s">
        <v>6980</v>
      </c>
      <c r="N67" s="16"/>
      <c r="O67" s="16"/>
      <c r="P67" s="16"/>
      <c r="Q67" s="16"/>
      <c r="R67" s="16"/>
      <c r="S67" s="16"/>
      <c r="T67" s="16"/>
      <c r="U67" s="16"/>
      <c r="V67" s="16"/>
      <c r="W67" s="16"/>
      <c r="X67" s="16"/>
      <c r="Y67" s="18"/>
    </row>
    <row r="68" spans="1:25" ht="38.25">
      <c r="A68" s="51" t="s">
        <v>2594</v>
      </c>
      <c r="B68" s="52" t="s">
        <v>2170</v>
      </c>
      <c r="C68" t="s">
        <v>3817</v>
      </c>
      <c r="D68" t="s">
        <v>2663</v>
      </c>
      <c r="E68" t="s">
        <v>6205</v>
      </c>
      <c r="F68" s="33" t="s">
        <v>2729</v>
      </c>
      <c r="G68" s="33" t="s">
        <v>1463</v>
      </c>
      <c r="H68" s="40">
        <f t="shared" si="2"/>
        <v>0.96378782734555524</v>
      </c>
      <c r="I68" s="82">
        <f>AVERAGE(8.8, 9.6)</f>
        <v>9.1999999999999993</v>
      </c>
      <c r="J68" s="79" t="s">
        <v>1464</v>
      </c>
      <c r="K68" s="102" t="s">
        <v>6980</v>
      </c>
    </row>
    <row r="69" spans="1:25" ht="38.25">
      <c r="A69" s="51" t="s">
        <v>2594</v>
      </c>
      <c r="B69" s="52" t="s">
        <v>2170</v>
      </c>
      <c r="C69" t="s">
        <v>3817</v>
      </c>
      <c r="D69" t="s">
        <v>2663</v>
      </c>
      <c r="E69" t="s">
        <v>6205</v>
      </c>
      <c r="F69" s="33" t="s">
        <v>3148</v>
      </c>
      <c r="G69" s="33" t="s">
        <v>2705</v>
      </c>
      <c r="H69" s="40">
        <f t="shared" si="2"/>
        <v>1.0492180226701815</v>
      </c>
      <c r="I69" s="82">
        <v>11.2</v>
      </c>
      <c r="J69" s="79" t="s">
        <v>6560</v>
      </c>
      <c r="K69" s="102" t="s">
        <v>6980</v>
      </c>
      <c r="N69" s="16"/>
      <c r="O69" s="16"/>
      <c r="P69" s="16"/>
      <c r="Q69" s="16"/>
      <c r="R69" s="16"/>
      <c r="S69" s="16"/>
      <c r="T69" s="16"/>
      <c r="U69" s="16"/>
      <c r="V69" s="16"/>
      <c r="W69" s="16"/>
      <c r="X69" s="16"/>
      <c r="Y69" s="18"/>
    </row>
    <row r="70" spans="1:25" ht="38.25">
      <c r="A70" s="51" t="s">
        <v>2594</v>
      </c>
      <c r="B70" s="52" t="s">
        <v>2170</v>
      </c>
      <c r="C70" t="s">
        <v>3817</v>
      </c>
      <c r="D70" t="s">
        <v>2663</v>
      </c>
      <c r="E70" t="s">
        <v>6205</v>
      </c>
      <c r="F70" s="33" t="s">
        <v>2676</v>
      </c>
      <c r="G70" s="33" t="s">
        <v>5532</v>
      </c>
      <c r="H70" s="40">
        <f t="shared" si="2"/>
        <v>1.0569048513364727</v>
      </c>
      <c r="I70" s="82">
        <v>11.4</v>
      </c>
      <c r="J70" s="79" t="s">
        <v>2796</v>
      </c>
      <c r="K70" s="102" t="s">
        <v>6980</v>
      </c>
      <c r="N70" s="16"/>
      <c r="O70" s="16"/>
      <c r="P70" s="16"/>
      <c r="Q70" s="16"/>
      <c r="R70" s="16"/>
      <c r="S70" s="16"/>
      <c r="T70" s="16"/>
      <c r="U70" s="16"/>
      <c r="V70" s="16"/>
      <c r="W70" s="16"/>
      <c r="X70" s="16"/>
      <c r="Y70" s="18"/>
    </row>
    <row r="71" spans="1:25" ht="38.25">
      <c r="A71" s="51" t="s">
        <v>2594</v>
      </c>
      <c r="B71" s="52" t="s">
        <v>2170</v>
      </c>
      <c r="C71" t="s">
        <v>3817</v>
      </c>
      <c r="D71" t="s">
        <v>2663</v>
      </c>
      <c r="E71" t="s">
        <v>6205</v>
      </c>
      <c r="F71" s="33" t="s">
        <v>2729</v>
      </c>
      <c r="G71" s="33" t="s">
        <v>5110</v>
      </c>
      <c r="H71" s="40">
        <f t="shared" si="2"/>
        <v>1.0681858617461617</v>
      </c>
      <c r="I71" s="82">
        <f>AVERAGE(12.1, 11.3)</f>
        <v>11.7</v>
      </c>
      <c r="J71" s="79" t="s">
        <v>1593</v>
      </c>
      <c r="K71" s="102" t="s">
        <v>6980</v>
      </c>
      <c r="N71" s="16"/>
      <c r="O71" s="16"/>
      <c r="P71" s="16"/>
      <c r="Q71" s="16"/>
      <c r="R71" s="16"/>
      <c r="S71" s="16"/>
      <c r="T71" s="16"/>
      <c r="U71" s="16"/>
      <c r="V71" s="16"/>
      <c r="W71" s="16"/>
      <c r="X71" s="16"/>
      <c r="Y71" s="18"/>
    </row>
    <row r="72" spans="1:25" ht="38.25">
      <c r="A72" s="51" t="s">
        <v>2594</v>
      </c>
      <c r="B72" s="52" t="s">
        <v>2170</v>
      </c>
      <c r="C72" t="s">
        <v>3817</v>
      </c>
      <c r="D72" t="s">
        <v>2663</v>
      </c>
      <c r="E72" t="s">
        <v>6205</v>
      </c>
      <c r="F72" s="33" t="s">
        <v>2729</v>
      </c>
      <c r="G72" s="33" t="s">
        <v>1591</v>
      </c>
      <c r="H72" s="40">
        <f t="shared" si="2"/>
        <v>1.1335389083702174</v>
      </c>
      <c r="I72" s="82">
        <v>13.6</v>
      </c>
      <c r="J72" s="79" t="s">
        <v>1592</v>
      </c>
      <c r="K72" s="102" t="s">
        <v>6980</v>
      </c>
      <c r="N72" s="16"/>
      <c r="O72" s="16"/>
      <c r="P72" s="16"/>
      <c r="Q72" s="16"/>
      <c r="R72" s="16"/>
      <c r="S72" s="16"/>
      <c r="T72" s="16"/>
      <c r="U72" s="16"/>
      <c r="V72" s="16"/>
      <c r="W72" s="16"/>
      <c r="X72" s="16"/>
      <c r="Y72" s="18"/>
    </row>
    <row r="73" spans="1:25" ht="38.25">
      <c r="A73" s="51" t="s">
        <v>2594</v>
      </c>
      <c r="B73" s="52" t="s">
        <v>2170</v>
      </c>
      <c r="C73" t="s">
        <v>3817</v>
      </c>
      <c r="D73" t="s">
        <v>2663</v>
      </c>
      <c r="E73" t="s">
        <v>6205</v>
      </c>
      <c r="F73" s="33" t="s">
        <v>2729</v>
      </c>
      <c r="G73" s="33" t="s">
        <v>1594</v>
      </c>
      <c r="H73" s="40">
        <f t="shared" si="2"/>
        <v>1.1522883443830565</v>
      </c>
      <c r="I73" s="82">
        <v>14.2</v>
      </c>
      <c r="J73" s="79" t="s">
        <v>1571</v>
      </c>
      <c r="K73" s="102" t="s">
        <v>6980</v>
      </c>
      <c r="N73" s="16"/>
      <c r="O73" s="16"/>
      <c r="P73" s="16"/>
      <c r="Q73" s="16"/>
      <c r="R73" s="16"/>
      <c r="S73" s="16"/>
      <c r="T73" s="16"/>
      <c r="U73" s="16"/>
      <c r="V73" s="16"/>
      <c r="W73" s="16"/>
      <c r="X73" s="16"/>
      <c r="Y73" s="18"/>
    </row>
    <row r="74" spans="1:25" ht="38.25">
      <c r="A74" s="51" t="s">
        <v>2594</v>
      </c>
      <c r="B74" s="52" t="s">
        <v>2170</v>
      </c>
      <c r="C74" t="s">
        <v>3817</v>
      </c>
      <c r="D74" t="s">
        <v>2663</v>
      </c>
      <c r="E74" t="s">
        <v>6205</v>
      </c>
      <c r="F74" s="33" t="s">
        <v>2729</v>
      </c>
      <c r="G74" s="33" t="s">
        <v>1721</v>
      </c>
      <c r="H74" s="40">
        <f t="shared" si="2"/>
        <v>1.2041199826559248</v>
      </c>
      <c r="I74" s="82">
        <f>AVERAGE(15.6, 16.4)</f>
        <v>16</v>
      </c>
      <c r="J74" s="79" t="s">
        <v>1722</v>
      </c>
      <c r="K74" s="102" t="s">
        <v>6980</v>
      </c>
    </row>
    <row r="75" spans="1:25" ht="63.75">
      <c r="A75" s="34" t="s">
        <v>2594</v>
      </c>
      <c r="B75" s="33" t="s">
        <v>2170</v>
      </c>
      <c r="C75" s="33" t="s">
        <v>3817</v>
      </c>
      <c r="D75" s="33" t="s">
        <v>3423</v>
      </c>
      <c r="E75" s="33" t="s">
        <v>3424</v>
      </c>
      <c r="F75" s="33" t="s">
        <v>7489</v>
      </c>
      <c r="G75" s="33" t="s">
        <v>5812</v>
      </c>
      <c r="H75" s="40">
        <v>-999</v>
      </c>
      <c r="I75" s="84">
        <v>-999</v>
      </c>
      <c r="J75" s="79" t="s">
        <v>8091</v>
      </c>
      <c r="K75" s="102" t="s">
        <v>6980</v>
      </c>
      <c r="L75" s="85"/>
      <c r="M75" s="16"/>
      <c r="N75" s="16"/>
      <c r="O75" s="16"/>
      <c r="P75" s="16"/>
      <c r="Q75" s="16"/>
      <c r="R75" s="16"/>
      <c r="S75" s="16"/>
      <c r="T75" s="16"/>
      <c r="U75" s="16"/>
      <c r="V75" s="16"/>
      <c r="W75" s="16"/>
      <c r="X75" s="16"/>
      <c r="Y75" s="18"/>
    </row>
    <row r="76" spans="1:25" ht="51">
      <c r="A76" s="34" t="s">
        <v>2594</v>
      </c>
      <c r="B76" s="33" t="s">
        <v>2170</v>
      </c>
      <c r="C76" s="33" t="s">
        <v>3817</v>
      </c>
      <c r="D76" s="33" t="s">
        <v>3423</v>
      </c>
      <c r="E76" s="33" t="s">
        <v>3424</v>
      </c>
      <c r="F76" s="33" t="s">
        <v>7489</v>
      </c>
      <c r="G76" s="33" t="s">
        <v>5385</v>
      </c>
      <c r="H76" s="40">
        <v>-999</v>
      </c>
      <c r="I76" s="84">
        <v>-999</v>
      </c>
      <c r="J76" s="79" t="s">
        <v>7073</v>
      </c>
      <c r="K76" s="102" t="s">
        <v>6980</v>
      </c>
      <c r="L76" s="85"/>
      <c r="M76" s="16"/>
      <c r="N76" s="16"/>
      <c r="O76" s="16"/>
      <c r="P76" s="16"/>
      <c r="Q76" s="16"/>
      <c r="R76" s="16"/>
      <c r="S76" s="16"/>
      <c r="T76" s="16"/>
      <c r="U76" s="16"/>
      <c r="V76" s="16"/>
      <c r="W76" s="16"/>
      <c r="X76" s="16"/>
      <c r="Y76" s="18"/>
    </row>
    <row r="77" spans="1:25" ht="89.25">
      <c r="A77" s="34" t="s">
        <v>2594</v>
      </c>
      <c r="B77" s="33" t="s">
        <v>2449</v>
      </c>
      <c r="C77" s="33" t="s">
        <v>3817</v>
      </c>
      <c r="D77" s="33" t="s">
        <v>3423</v>
      </c>
      <c r="E77" s="33" t="s">
        <v>3424</v>
      </c>
      <c r="F77" s="33" t="s">
        <v>4389</v>
      </c>
      <c r="G77" s="33" t="s">
        <v>5308</v>
      </c>
      <c r="H77" s="40">
        <v>-999</v>
      </c>
      <c r="I77" s="84">
        <v>-999</v>
      </c>
      <c r="J77" s="79" t="s">
        <v>4963</v>
      </c>
      <c r="K77" s="102" t="s">
        <v>6980</v>
      </c>
      <c r="L77" s="85" t="s">
        <v>7076</v>
      </c>
      <c r="M77" s="16"/>
      <c r="N77" s="16"/>
      <c r="O77" s="16"/>
      <c r="P77" s="16"/>
      <c r="Q77" s="16"/>
      <c r="R77" s="16"/>
      <c r="S77" s="16"/>
      <c r="T77" s="16"/>
      <c r="U77" s="16"/>
      <c r="V77" s="16"/>
      <c r="W77" s="16"/>
      <c r="X77" s="16"/>
      <c r="Y77" s="18"/>
    </row>
    <row r="78" spans="1:25" ht="114.75">
      <c r="A78" s="34" t="s">
        <v>2594</v>
      </c>
      <c r="B78" s="33" t="s">
        <v>2170</v>
      </c>
      <c r="C78" s="33" t="s">
        <v>3817</v>
      </c>
      <c r="D78" s="33" t="s">
        <v>3423</v>
      </c>
      <c r="E78" s="33" t="s">
        <v>3424</v>
      </c>
      <c r="F78" s="33" t="s">
        <v>5400</v>
      </c>
      <c r="G78" s="33" t="s">
        <v>5401</v>
      </c>
      <c r="H78" s="40">
        <v>-999</v>
      </c>
      <c r="I78" s="84">
        <v>-999</v>
      </c>
      <c r="J78" s="79" t="s">
        <v>5131</v>
      </c>
      <c r="K78" s="102" t="s">
        <v>6980</v>
      </c>
      <c r="L78" s="85" t="s">
        <v>4878</v>
      </c>
      <c r="M78" s="16"/>
      <c r="N78" s="16"/>
      <c r="O78" s="16"/>
      <c r="P78" s="16"/>
      <c r="Q78" s="16"/>
      <c r="R78" s="16"/>
      <c r="S78" s="16"/>
      <c r="T78" s="16"/>
      <c r="U78" s="16"/>
      <c r="V78" s="16"/>
      <c r="W78" s="16"/>
      <c r="X78" s="16"/>
      <c r="Y78" s="18"/>
    </row>
    <row r="79" spans="1:25" ht="51">
      <c r="A79" s="34" t="s">
        <v>2594</v>
      </c>
      <c r="B79" s="31" t="s">
        <v>2170</v>
      </c>
      <c r="C79" s="33" t="s">
        <v>3817</v>
      </c>
      <c r="D79" s="33" t="s">
        <v>3423</v>
      </c>
      <c r="E79" s="33" t="s">
        <v>3424</v>
      </c>
      <c r="F79" s="33" t="s">
        <v>4058</v>
      </c>
      <c r="G79" s="33" t="s">
        <v>5182</v>
      </c>
      <c r="H79" s="40">
        <f t="shared" ref="H79:H92" si="3">LOG(I79)</f>
        <v>1.173186268412274</v>
      </c>
      <c r="I79" s="84">
        <v>14.9</v>
      </c>
      <c r="J79" s="79" t="s">
        <v>7791</v>
      </c>
      <c r="K79" s="102" t="s">
        <v>6980</v>
      </c>
      <c r="L79" s="85" t="s">
        <v>4979</v>
      </c>
      <c r="M79" s="16"/>
      <c r="N79" s="16"/>
      <c r="O79" s="16"/>
      <c r="P79" s="16"/>
      <c r="Q79" s="16"/>
      <c r="R79" s="16"/>
      <c r="S79" s="16"/>
      <c r="T79" s="16"/>
      <c r="U79" s="16"/>
      <c r="V79" s="16"/>
      <c r="W79" s="16"/>
      <c r="X79" s="16"/>
      <c r="Y79" s="18"/>
    </row>
    <row r="80" spans="1:25" ht="127.5">
      <c r="A80" s="34" t="s">
        <v>2594</v>
      </c>
      <c r="B80" s="31" t="s">
        <v>2170</v>
      </c>
      <c r="C80" s="33" t="s">
        <v>3817</v>
      </c>
      <c r="D80" s="33" t="s">
        <v>3423</v>
      </c>
      <c r="E80" s="33" t="s">
        <v>3424</v>
      </c>
      <c r="F80" s="33" t="s">
        <v>4118</v>
      </c>
      <c r="G80" s="33" t="s">
        <v>7148</v>
      </c>
      <c r="H80" s="40">
        <f t="shared" si="3"/>
        <v>1.2041199826559248</v>
      </c>
      <c r="I80" s="84">
        <v>16</v>
      </c>
      <c r="J80" s="79" t="s">
        <v>7020</v>
      </c>
      <c r="K80" s="102" t="s">
        <v>6980</v>
      </c>
      <c r="L80" s="85" t="s">
        <v>7021</v>
      </c>
      <c r="M80" s="16"/>
      <c r="N80" s="16"/>
      <c r="O80" s="16"/>
      <c r="P80" s="16"/>
      <c r="Q80" s="16"/>
      <c r="R80" s="16"/>
      <c r="S80" s="16"/>
      <c r="T80" s="16"/>
      <c r="U80" s="16"/>
      <c r="V80" s="16"/>
      <c r="W80" s="16"/>
      <c r="X80" s="16"/>
      <c r="Y80" s="18"/>
    </row>
    <row r="81" spans="1:25" ht="127.5">
      <c r="A81" s="34" t="s">
        <v>2594</v>
      </c>
      <c r="B81" s="31" t="s">
        <v>2170</v>
      </c>
      <c r="C81" s="33" t="s">
        <v>3817</v>
      </c>
      <c r="D81" s="33" t="s">
        <v>3423</v>
      </c>
      <c r="E81" s="33" t="s">
        <v>3424</v>
      </c>
      <c r="F81" s="33" t="s">
        <v>4118</v>
      </c>
      <c r="G81" s="33" t="s">
        <v>4096</v>
      </c>
      <c r="H81" s="40">
        <f t="shared" si="3"/>
        <v>1.5471591213274176</v>
      </c>
      <c r="I81" s="84">
        <v>35.25</v>
      </c>
      <c r="J81" s="79" t="s">
        <v>7017</v>
      </c>
      <c r="K81" s="102" t="s">
        <v>6980</v>
      </c>
      <c r="L81" s="85" t="s">
        <v>7021</v>
      </c>
      <c r="M81" s="16"/>
      <c r="N81" s="16"/>
      <c r="O81" s="16"/>
      <c r="P81" s="16"/>
      <c r="Q81" s="16"/>
      <c r="R81" s="16"/>
      <c r="S81" s="16"/>
      <c r="T81" s="16"/>
      <c r="U81" s="16"/>
      <c r="V81" s="16"/>
      <c r="W81" s="16"/>
      <c r="X81" s="16"/>
      <c r="Y81" s="18"/>
    </row>
    <row r="82" spans="1:25" ht="76.5">
      <c r="A82" s="34" t="s">
        <v>2594</v>
      </c>
      <c r="B82" s="33" t="s">
        <v>2170</v>
      </c>
      <c r="C82" s="33" t="s">
        <v>3817</v>
      </c>
      <c r="D82" s="33" t="s">
        <v>3423</v>
      </c>
      <c r="E82" s="33" t="s">
        <v>3424</v>
      </c>
      <c r="F82" s="33" t="s">
        <v>5668</v>
      </c>
      <c r="G82" s="33" t="s">
        <v>4178</v>
      </c>
      <c r="H82" s="40">
        <f t="shared" si="3"/>
        <v>1.6409780573583321</v>
      </c>
      <c r="I82" s="84">
        <f>AVERAGE(28.5, 59)</f>
        <v>43.75</v>
      </c>
      <c r="J82" s="79" t="s">
        <v>5128</v>
      </c>
      <c r="K82" s="102" t="s">
        <v>6980</v>
      </c>
      <c r="L82" s="85" t="s">
        <v>5127</v>
      </c>
      <c r="M82" s="16"/>
      <c r="N82" s="16"/>
      <c r="O82" s="16"/>
      <c r="P82" s="16"/>
      <c r="Q82" s="16"/>
      <c r="R82" s="16"/>
      <c r="S82" s="16"/>
      <c r="T82" s="16"/>
      <c r="U82" s="16"/>
      <c r="V82" s="16"/>
      <c r="W82" s="16"/>
      <c r="X82" s="16"/>
      <c r="Y82" s="18"/>
    </row>
    <row r="83" spans="1:25" ht="38.25">
      <c r="A83" s="34" t="s">
        <v>2594</v>
      </c>
      <c r="B83" s="33" t="s">
        <v>2170</v>
      </c>
      <c r="C83" s="33" t="s">
        <v>3817</v>
      </c>
      <c r="D83" s="33" t="s">
        <v>3423</v>
      </c>
      <c r="E83" s="33" t="s">
        <v>3424</v>
      </c>
      <c r="F83" s="33" t="s">
        <v>7489</v>
      </c>
      <c r="G83" s="33" t="s">
        <v>3607</v>
      </c>
      <c r="H83" s="40">
        <f t="shared" si="3"/>
        <v>1.6794278966121188</v>
      </c>
      <c r="I83" s="84">
        <v>47.8</v>
      </c>
      <c r="J83" s="79" t="s">
        <v>6865</v>
      </c>
      <c r="K83" s="102" t="s">
        <v>6980</v>
      </c>
      <c r="L83" s="85"/>
      <c r="M83" s="16"/>
      <c r="N83" s="16"/>
      <c r="O83" s="16"/>
      <c r="P83" s="16"/>
      <c r="Q83" s="16"/>
      <c r="R83" s="16"/>
      <c r="S83" s="16"/>
      <c r="T83" s="16"/>
      <c r="U83" s="16"/>
      <c r="V83" s="16"/>
      <c r="W83" s="16"/>
      <c r="X83" s="16"/>
      <c r="Y83" s="18"/>
    </row>
    <row r="84" spans="1:25" ht="38.25">
      <c r="A84" s="34" t="s">
        <v>2594</v>
      </c>
      <c r="B84" s="33" t="s">
        <v>2170</v>
      </c>
      <c r="C84" s="33" t="s">
        <v>3817</v>
      </c>
      <c r="D84" s="33" t="s">
        <v>3423</v>
      </c>
      <c r="E84" s="33" t="s">
        <v>3424</v>
      </c>
      <c r="F84" s="33" t="s">
        <v>7489</v>
      </c>
      <c r="G84" s="33" t="s">
        <v>7088</v>
      </c>
      <c r="H84" s="40">
        <f t="shared" si="3"/>
        <v>1.6848453616444126</v>
      </c>
      <c r="I84" s="84">
        <f>AVERAGE(42.8,54)</f>
        <v>48.4</v>
      </c>
      <c r="J84" s="79" t="s">
        <v>7569</v>
      </c>
      <c r="K84" s="102" t="s">
        <v>6980</v>
      </c>
      <c r="L84" s="85"/>
      <c r="M84" s="16"/>
      <c r="N84" s="16"/>
      <c r="O84" s="16"/>
      <c r="P84" s="16"/>
      <c r="Q84" s="16"/>
      <c r="R84" s="16"/>
      <c r="S84" s="16"/>
      <c r="T84" s="16"/>
      <c r="U84" s="16"/>
      <c r="V84" s="16"/>
      <c r="W84" s="16"/>
      <c r="X84" s="16"/>
      <c r="Y84" s="18"/>
    </row>
    <row r="85" spans="1:25" ht="38.25">
      <c r="A85" s="34" t="s">
        <v>2594</v>
      </c>
      <c r="B85" s="33" t="s">
        <v>2170</v>
      </c>
      <c r="C85" s="33" t="s">
        <v>3817</v>
      </c>
      <c r="D85" s="33" t="s">
        <v>3423</v>
      </c>
      <c r="E85" s="33" t="s">
        <v>3424</v>
      </c>
      <c r="F85" s="33" t="s">
        <v>5400</v>
      </c>
      <c r="G85" s="33" t="s">
        <v>3630</v>
      </c>
      <c r="H85" s="40">
        <f t="shared" si="3"/>
        <v>2.1414497734004674</v>
      </c>
      <c r="I85" s="84">
        <v>138.5</v>
      </c>
      <c r="J85" s="79" t="s">
        <v>8307</v>
      </c>
      <c r="K85" s="102" t="s">
        <v>6980</v>
      </c>
      <c r="L85" s="85"/>
      <c r="M85" s="16"/>
      <c r="N85" s="16"/>
      <c r="O85" s="16"/>
      <c r="P85" s="16"/>
      <c r="Q85" s="16"/>
      <c r="R85" s="16"/>
      <c r="S85" s="16"/>
      <c r="T85" s="16"/>
      <c r="U85" s="16"/>
      <c r="V85" s="16"/>
      <c r="W85" s="16"/>
      <c r="X85" s="16"/>
      <c r="Y85" s="18"/>
    </row>
    <row r="86" spans="1:25" ht="153">
      <c r="A86" s="34" t="s">
        <v>2594</v>
      </c>
      <c r="B86" s="33" t="s">
        <v>2170</v>
      </c>
      <c r="C86" s="33" t="s">
        <v>3817</v>
      </c>
      <c r="D86" s="33" t="s">
        <v>3423</v>
      </c>
      <c r="E86" s="33" t="s">
        <v>3424</v>
      </c>
      <c r="F86" s="33" t="s">
        <v>5668</v>
      </c>
      <c r="G86" s="33" t="s">
        <v>7486</v>
      </c>
      <c r="H86" s="40">
        <f t="shared" si="3"/>
        <v>2.1445742076096161</v>
      </c>
      <c r="I86" s="84">
        <f>AVERAGE(211, 68)</f>
        <v>139.5</v>
      </c>
      <c r="J86" s="79" t="s">
        <v>5088</v>
      </c>
      <c r="K86" s="102" t="s">
        <v>6980</v>
      </c>
      <c r="L86" s="85" t="s">
        <v>7556</v>
      </c>
      <c r="M86" s="16"/>
      <c r="N86" s="16"/>
      <c r="O86" s="16"/>
      <c r="P86" s="16"/>
      <c r="Q86" s="16"/>
      <c r="R86" s="16"/>
      <c r="S86" s="16"/>
      <c r="T86" s="16"/>
      <c r="U86" s="16"/>
      <c r="V86" s="16"/>
      <c r="W86" s="16"/>
      <c r="X86" s="16"/>
      <c r="Y86" s="18"/>
    </row>
    <row r="87" spans="1:25" ht="38.25">
      <c r="A87" s="34" t="s">
        <v>2594</v>
      </c>
      <c r="B87" s="33" t="s">
        <v>2170</v>
      </c>
      <c r="C87" s="33" t="s">
        <v>3817</v>
      </c>
      <c r="D87" s="33" t="s">
        <v>3423</v>
      </c>
      <c r="E87" s="33" t="s">
        <v>3424</v>
      </c>
      <c r="F87" s="33" t="s">
        <v>5669</v>
      </c>
      <c r="G87" s="33" t="s">
        <v>5639</v>
      </c>
      <c r="H87" s="40">
        <f t="shared" si="3"/>
        <v>2.3010299956639813</v>
      </c>
      <c r="I87" s="84">
        <v>200</v>
      </c>
      <c r="J87" s="79" t="s">
        <v>5129</v>
      </c>
      <c r="K87" s="102" t="s">
        <v>6980</v>
      </c>
      <c r="L87" s="85"/>
      <c r="M87" s="16"/>
      <c r="N87" s="16"/>
      <c r="O87" s="16"/>
      <c r="P87" s="16"/>
      <c r="Q87" s="16"/>
      <c r="R87" s="16"/>
      <c r="S87" s="16"/>
      <c r="T87" s="16"/>
      <c r="U87" s="16"/>
      <c r="V87" s="16"/>
      <c r="W87" s="16"/>
      <c r="X87" s="16"/>
      <c r="Y87" s="18"/>
    </row>
    <row r="88" spans="1:25" ht="38.25">
      <c r="A88" s="34" t="s">
        <v>2594</v>
      </c>
      <c r="B88" s="31" t="s">
        <v>2170</v>
      </c>
      <c r="C88" s="33" t="s">
        <v>3817</v>
      </c>
      <c r="D88" s="33" t="s">
        <v>3423</v>
      </c>
      <c r="E88" s="33" t="s">
        <v>3424</v>
      </c>
      <c r="F88" s="33" t="s">
        <v>5670</v>
      </c>
      <c r="G88" s="33" t="s">
        <v>5671</v>
      </c>
      <c r="H88" s="40">
        <f t="shared" si="3"/>
        <v>2.3263358609287512</v>
      </c>
      <c r="I88" s="84">
        <v>212</v>
      </c>
      <c r="J88" s="79" t="s">
        <v>5019</v>
      </c>
      <c r="K88" s="102" t="s">
        <v>6980</v>
      </c>
      <c r="L88" s="85"/>
      <c r="M88" s="16"/>
      <c r="N88" s="16"/>
      <c r="O88" s="16"/>
      <c r="P88" s="16"/>
      <c r="Q88" s="16"/>
      <c r="R88" s="16"/>
      <c r="S88" s="16"/>
      <c r="T88" s="16"/>
      <c r="U88" s="16"/>
      <c r="V88" s="16"/>
      <c r="W88" s="16"/>
      <c r="X88" s="16"/>
      <c r="Y88" s="18"/>
    </row>
    <row r="89" spans="1:25" ht="76.5">
      <c r="A89" s="34" t="s">
        <v>2594</v>
      </c>
      <c r="B89" s="33" t="s">
        <v>2170</v>
      </c>
      <c r="C89" s="33" t="s">
        <v>3817</v>
      </c>
      <c r="D89" s="33" t="s">
        <v>3423</v>
      </c>
      <c r="E89" s="33" t="s">
        <v>3424</v>
      </c>
      <c r="F89" s="33" t="s">
        <v>4389</v>
      </c>
      <c r="G89" s="33" t="s">
        <v>5307</v>
      </c>
      <c r="H89" s="40">
        <f t="shared" si="3"/>
        <v>2.8041394323353503</v>
      </c>
      <c r="I89" s="84">
        <v>637</v>
      </c>
      <c r="J89" s="79" t="s">
        <v>7074</v>
      </c>
      <c r="K89" s="102" t="s">
        <v>6980</v>
      </c>
      <c r="L89" s="85" t="s">
        <v>7075</v>
      </c>
      <c r="M89" s="16"/>
      <c r="N89" s="16"/>
      <c r="O89" s="16"/>
      <c r="P89" s="16"/>
      <c r="Q89" s="16"/>
      <c r="R89" s="16"/>
      <c r="S89" s="16"/>
      <c r="T89" s="16"/>
      <c r="U89" s="16"/>
      <c r="V89" s="16"/>
      <c r="W89" s="16"/>
      <c r="X89" s="16"/>
      <c r="Y89" s="18"/>
    </row>
    <row r="90" spans="1:25" ht="63.75">
      <c r="A90" s="38" t="s">
        <v>2594</v>
      </c>
      <c r="B90" s="35" t="s">
        <v>2170</v>
      </c>
      <c r="C90" s="33" t="s">
        <v>5092</v>
      </c>
      <c r="D90" s="35" t="s">
        <v>3423</v>
      </c>
      <c r="E90" s="33" t="s">
        <v>3475</v>
      </c>
      <c r="F90" s="33" t="s">
        <v>5112</v>
      </c>
      <c r="G90" s="33" t="s">
        <v>6359</v>
      </c>
      <c r="H90" s="40">
        <f>LOG(I90)</f>
        <v>4.4771212547196626</v>
      </c>
      <c r="I90" s="84">
        <v>30000</v>
      </c>
      <c r="J90" s="79" t="s">
        <v>2570</v>
      </c>
      <c r="K90" s="102" t="s">
        <v>6980</v>
      </c>
      <c r="M90" t="s">
        <v>1433</v>
      </c>
      <c r="N90" s="16"/>
      <c r="O90" s="16"/>
      <c r="P90" s="16"/>
      <c r="Q90" s="16"/>
      <c r="R90" s="16"/>
      <c r="S90" s="16"/>
      <c r="T90" s="16"/>
      <c r="U90" s="16"/>
      <c r="V90" s="16"/>
      <c r="W90" s="16"/>
      <c r="X90" s="16"/>
      <c r="Y90" s="18"/>
    </row>
    <row r="91" spans="1:25" ht="38.25">
      <c r="A91" s="34" t="s">
        <v>2594</v>
      </c>
      <c r="B91" s="33" t="s">
        <v>2170</v>
      </c>
      <c r="C91" s="33" t="s">
        <v>3817</v>
      </c>
      <c r="D91" s="33" t="s">
        <v>2079</v>
      </c>
      <c r="E91" s="33" t="s">
        <v>3474</v>
      </c>
      <c r="F91" s="33" t="s">
        <v>5482</v>
      </c>
      <c r="G91" s="33" t="s">
        <v>5249</v>
      </c>
      <c r="H91" s="40">
        <f t="shared" si="3"/>
        <v>1.6444385894678386</v>
      </c>
      <c r="I91" s="84">
        <f>AVERAGE(39.1, 49.1)</f>
        <v>44.1</v>
      </c>
      <c r="J91" s="79" t="s">
        <v>5130</v>
      </c>
      <c r="K91" s="102" t="s">
        <v>6980</v>
      </c>
      <c r="L91" s="85"/>
      <c r="M91" s="16"/>
      <c r="N91" s="16"/>
      <c r="O91" s="16"/>
      <c r="P91" s="16"/>
      <c r="Q91" s="16"/>
      <c r="R91" s="16"/>
      <c r="S91" s="16"/>
      <c r="T91" s="16"/>
      <c r="U91" s="16"/>
      <c r="V91" s="16"/>
      <c r="W91" s="16"/>
      <c r="X91" s="16"/>
      <c r="Y91" s="18"/>
    </row>
    <row r="92" spans="1:25" ht="38.25">
      <c r="A92" s="47" t="s">
        <v>2594</v>
      </c>
      <c r="B92" t="s">
        <v>2170</v>
      </c>
      <c r="C92" t="s">
        <v>3817</v>
      </c>
      <c r="D92" t="s">
        <v>2079</v>
      </c>
      <c r="E92" t="s">
        <v>4842</v>
      </c>
      <c r="F92" t="s">
        <v>2174</v>
      </c>
      <c r="G92" t="s">
        <v>2178</v>
      </c>
      <c r="H92" s="14">
        <f t="shared" si="3"/>
        <v>1.3010299956639813</v>
      </c>
      <c r="I92" s="103">
        <f>AVERAGE(19.8, 20.2)</f>
        <v>20</v>
      </c>
      <c r="J92" s="82" t="s">
        <v>7419</v>
      </c>
      <c r="K92" s="104" t="s">
        <v>6980</v>
      </c>
    </row>
    <row r="93" spans="1:25" ht="51">
      <c r="A93" s="51" t="s">
        <v>2594</v>
      </c>
      <c r="B93" s="52" t="s">
        <v>2170</v>
      </c>
      <c r="C93" t="s">
        <v>5092</v>
      </c>
      <c r="D93" t="s">
        <v>2079</v>
      </c>
      <c r="E93" t="s">
        <v>1789</v>
      </c>
      <c r="F93" s="33" t="s">
        <v>1575</v>
      </c>
      <c r="G93" s="33" t="s">
        <v>1351</v>
      </c>
      <c r="H93" s="40">
        <f>LOG(I93)</f>
        <v>5</v>
      </c>
      <c r="I93" s="84">
        <v>100000</v>
      </c>
      <c r="J93" s="79" t="s">
        <v>1470</v>
      </c>
      <c r="K93" s="102" t="s">
        <v>6980</v>
      </c>
      <c r="N93" s="16"/>
      <c r="O93" s="16"/>
      <c r="P93" s="16"/>
      <c r="Q93" s="16"/>
      <c r="R93" s="16"/>
      <c r="S93" s="16"/>
      <c r="T93" s="16"/>
      <c r="U93" s="16"/>
      <c r="V93" s="16"/>
      <c r="W93" s="16"/>
      <c r="X93" s="16"/>
      <c r="Y93" s="18"/>
    </row>
    <row r="94" spans="1:25" ht="38.25">
      <c r="A94" s="51" t="s">
        <v>2594</v>
      </c>
      <c r="B94" s="52" t="s">
        <v>2170</v>
      </c>
      <c r="C94" t="s">
        <v>5092</v>
      </c>
      <c r="D94" t="s">
        <v>2079</v>
      </c>
      <c r="E94" t="s">
        <v>1789</v>
      </c>
      <c r="F94" s="33" t="s">
        <v>1790</v>
      </c>
      <c r="G94" s="33" t="s">
        <v>1695</v>
      </c>
      <c r="H94" s="40">
        <f>LOG(I94)</f>
        <v>5.1383026981662816</v>
      </c>
      <c r="I94" s="84">
        <v>137500</v>
      </c>
      <c r="J94" s="79" t="s">
        <v>2571</v>
      </c>
      <c r="K94" s="102" t="s">
        <v>6980</v>
      </c>
      <c r="N94" s="16"/>
      <c r="O94" s="16"/>
      <c r="P94" s="16"/>
      <c r="Q94" s="16"/>
      <c r="R94" s="16"/>
      <c r="S94" s="16"/>
      <c r="T94" s="16"/>
      <c r="U94" s="16"/>
      <c r="V94" s="16"/>
      <c r="W94" s="16"/>
      <c r="X94" s="16"/>
      <c r="Y94" s="18"/>
    </row>
    <row r="95" spans="1:25" ht="76.5">
      <c r="A95" s="51" t="s">
        <v>2594</v>
      </c>
      <c r="B95" s="52" t="s">
        <v>2170</v>
      </c>
      <c r="C95" t="s">
        <v>5092</v>
      </c>
      <c r="D95" t="s">
        <v>2079</v>
      </c>
      <c r="E95" t="s">
        <v>1789</v>
      </c>
      <c r="F95" s="33" t="s">
        <v>1696</v>
      </c>
      <c r="G95" s="33" t="s">
        <v>1697</v>
      </c>
      <c r="H95" s="40">
        <f>LOG(I95)</f>
        <v>5.4771212547196626</v>
      </c>
      <c r="I95" s="84">
        <v>300000</v>
      </c>
      <c r="J95" s="79" t="s">
        <v>1373</v>
      </c>
      <c r="K95" s="102" t="s">
        <v>6980</v>
      </c>
      <c r="N95" s="16"/>
      <c r="O95" s="16"/>
      <c r="P95" s="16"/>
      <c r="Q95" s="16"/>
      <c r="R95" s="16"/>
      <c r="S95" s="16"/>
      <c r="T95" s="16"/>
      <c r="U95" s="16"/>
      <c r="V95" s="16"/>
      <c r="W95" s="16"/>
      <c r="X95" s="16"/>
      <c r="Y95" s="18"/>
    </row>
    <row r="96" spans="1:25" ht="102">
      <c r="A96" s="34" t="s">
        <v>2594</v>
      </c>
      <c r="B96" s="33" t="s">
        <v>1326</v>
      </c>
      <c r="C96" s="33" t="s">
        <v>3817</v>
      </c>
      <c r="D96" s="33" t="s">
        <v>2079</v>
      </c>
      <c r="E96" s="33" t="s">
        <v>7333</v>
      </c>
      <c r="F96" s="33" t="s">
        <v>4986</v>
      </c>
      <c r="G96" s="33" t="s">
        <v>4470</v>
      </c>
      <c r="H96" s="40">
        <v>-999</v>
      </c>
      <c r="I96" s="84">
        <v>-999</v>
      </c>
      <c r="J96" s="79" t="s">
        <v>7681</v>
      </c>
      <c r="K96" s="102" t="s">
        <v>6980</v>
      </c>
      <c r="L96" s="85"/>
      <c r="M96" s="16"/>
    </row>
    <row r="97" spans="1:25" ht="127.5">
      <c r="A97" s="34" t="s">
        <v>2594</v>
      </c>
      <c r="B97" s="33" t="s">
        <v>2170</v>
      </c>
      <c r="C97" s="33" t="s">
        <v>3817</v>
      </c>
      <c r="D97" s="33" t="s">
        <v>2079</v>
      </c>
      <c r="E97" s="33" t="s">
        <v>7333</v>
      </c>
      <c r="F97" s="33" t="s">
        <v>7540</v>
      </c>
      <c r="G97" s="33" t="s">
        <v>5505</v>
      </c>
      <c r="H97" s="14">
        <v>-999</v>
      </c>
      <c r="I97" s="79">
        <v>-999</v>
      </c>
      <c r="J97" s="79" t="s">
        <v>7587</v>
      </c>
      <c r="K97" s="102" t="s">
        <v>6980</v>
      </c>
      <c r="L97" s="79" t="s">
        <v>6842</v>
      </c>
      <c r="M97" s="16"/>
      <c r="N97" s="16"/>
      <c r="O97" s="16"/>
      <c r="P97" s="16"/>
      <c r="Q97" s="16"/>
      <c r="R97" s="16"/>
      <c r="S97" s="16"/>
      <c r="T97" s="16"/>
      <c r="U97" s="16"/>
      <c r="V97" s="16"/>
      <c r="W97" s="16"/>
      <c r="X97" s="16"/>
      <c r="Y97" s="18"/>
    </row>
    <row r="98" spans="1:25" ht="140.25">
      <c r="A98" s="34" t="s">
        <v>2594</v>
      </c>
      <c r="B98" s="33" t="s">
        <v>2170</v>
      </c>
      <c r="C98" s="33" t="s">
        <v>3817</v>
      </c>
      <c r="D98" s="33" t="s">
        <v>2079</v>
      </c>
      <c r="E98" s="33" t="s">
        <v>7333</v>
      </c>
      <c r="F98" s="33" t="s">
        <v>7540</v>
      </c>
      <c r="G98" s="33" t="s">
        <v>8180</v>
      </c>
      <c r="H98" s="14">
        <v>-999</v>
      </c>
      <c r="I98" s="79">
        <v>-999</v>
      </c>
      <c r="J98" s="79" t="s">
        <v>5297</v>
      </c>
      <c r="K98" s="102" t="s">
        <v>6980</v>
      </c>
      <c r="L98" s="85"/>
      <c r="M98" s="16"/>
      <c r="N98" s="16"/>
      <c r="O98" s="16"/>
      <c r="P98" s="16"/>
      <c r="Q98" s="16"/>
      <c r="R98" s="16"/>
      <c r="S98" s="16"/>
      <c r="T98" s="16"/>
      <c r="U98" s="16"/>
      <c r="V98" s="16"/>
      <c r="W98" s="16"/>
      <c r="X98" s="16"/>
      <c r="Y98" s="18"/>
    </row>
    <row r="99" spans="1:25" ht="102">
      <c r="A99" s="47" t="s">
        <v>2594</v>
      </c>
      <c r="B99" t="s">
        <v>6212</v>
      </c>
      <c r="C99" t="s">
        <v>3817</v>
      </c>
      <c r="D99" t="s">
        <v>2079</v>
      </c>
      <c r="E99" t="s">
        <v>7333</v>
      </c>
      <c r="F99" t="s">
        <v>5267</v>
      </c>
      <c r="G99" t="s">
        <v>5216</v>
      </c>
      <c r="H99" s="40">
        <f>LOG(I99)</f>
        <v>3.2604291755779347</v>
      </c>
      <c r="I99" s="103">
        <f>AVERAGE(1750, 1893)</f>
        <v>1821.5</v>
      </c>
      <c r="J99" s="79" t="s">
        <v>7570</v>
      </c>
      <c r="K99" s="104" t="s">
        <v>6980</v>
      </c>
      <c r="L99" s="82" t="s">
        <v>8286</v>
      </c>
      <c r="N99" s="16"/>
      <c r="O99" s="16"/>
      <c r="P99" s="16"/>
      <c r="Q99" s="16"/>
      <c r="R99" s="16"/>
      <c r="S99" s="16"/>
      <c r="T99" s="16"/>
      <c r="U99" s="16"/>
      <c r="V99" s="16"/>
      <c r="W99" s="16"/>
      <c r="X99" s="16"/>
      <c r="Y99" s="18"/>
    </row>
    <row r="100" spans="1:25" ht="38.25">
      <c r="A100" s="34" t="s">
        <v>2594</v>
      </c>
      <c r="B100" s="33" t="s">
        <v>6211</v>
      </c>
      <c r="C100" s="33" t="s">
        <v>3817</v>
      </c>
      <c r="D100" s="33" t="s">
        <v>2079</v>
      </c>
      <c r="E100" s="33" t="s">
        <v>7333</v>
      </c>
      <c r="F100" s="33" t="s">
        <v>5267</v>
      </c>
      <c r="G100" s="33" t="s">
        <v>5465</v>
      </c>
      <c r="H100" s="40">
        <f>LOG(I100)</f>
        <v>3.475380593143361</v>
      </c>
      <c r="I100" s="84">
        <v>2988</v>
      </c>
      <c r="J100" s="79" t="s">
        <v>6867</v>
      </c>
      <c r="K100" s="102" t="s">
        <v>6980</v>
      </c>
      <c r="L100" s="85"/>
      <c r="M100" s="16"/>
      <c r="N100" s="16"/>
      <c r="O100" s="16"/>
      <c r="P100" s="16"/>
      <c r="Q100" s="16"/>
      <c r="R100" s="16"/>
      <c r="S100" s="16"/>
      <c r="T100" s="16"/>
      <c r="U100" s="16"/>
      <c r="V100" s="16"/>
      <c r="W100" s="16"/>
      <c r="X100" s="16"/>
      <c r="Y100" s="18"/>
    </row>
    <row r="101" spans="1:25" ht="38.25">
      <c r="A101" s="34" t="s">
        <v>2594</v>
      </c>
      <c r="B101" s="33" t="s">
        <v>2170</v>
      </c>
      <c r="C101" s="33" t="s">
        <v>3817</v>
      </c>
      <c r="D101" s="33" t="s">
        <v>2079</v>
      </c>
      <c r="E101" s="33" t="s">
        <v>7333</v>
      </c>
      <c r="F101" s="33" t="s">
        <v>7540</v>
      </c>
      <c r="G101" s="33" t="s">
        <v>7090</v>
      </c>
      <c r="H101" s="14">
        <f>LOG(I101)</f>
        <v>3.6627578316815739</v>
      </c>
      <c r="I101" s="84">
        <v>4600</v>
      </c>
      <c r="J101" s="79" t="s">
        <v>8181</v>
      </c>
      <c r="K101" s="102" t="s">
        <v>6980</v>
      </c>
      <c r="L101" s="85" t="s">
        <v>7021</v>
      </c>
      <c r="M101" s="16"/>
      <c r="N101" s="16"/>
      <c r="O101" s="16"/>
      <c r="P101" s="16"/>
      <c r="Q101" s="16"/>
      <c r="R101" s="16"/>
      <c r="S101" s="16"/>
      <c r="T101" s="16"/>
      <c r="U101" s="16"/>
      <c r="V101" s="16"/>
      <c r="W101" s="16"/>
      <c r="X101" s="16"/>
      <c r="Y101" s="18"/>
    </row>
    <row r="102" spans="1:25" ht="38.25">
      <c r="A102" s="34" t="s">
        <v>2594</v>
      </c>
      <c r="B102" s="33" t="s">
        <v>6210</v>
      </c>
      <c r="C102" s="33" t="s">
        <v>3817</v>
      </c>
      <c r="D102" s="33" t="s">
        <v>2079</v>
      </c>
      <c r="E102" s="33" t="s">
        <v>7333</v>
      </c>
      <c r="F102" s="33" t="s">
        <v>5861</v>
      </c>
      <c r="G102" s="33" t="s">
        <v>5586</v>
      </c>
      <c r="H102" s="40">
        <f>LOG(I102)</f>
        <v>3.6989700043360187</v>
      </c>
      <c r="I102" s="84">
        <v>5000</v>
      </c>
      <c r="J102" s="79" t="s">
        <v>8291</v>
      </c>
      <c r="K102" s="102" t="s">
        <v>6980</v>
      </c>
      <c r="L102" s="85"/>
      <c r="M102" s="16"/>
      <c r="N102" s="16"/>
      <c r="O102" s="16"/>
      <c r="P102" s="16"/>
      <c r="Q102" s="16"/>
      <c r="R102" s="16"/>
      <c r="S102" s="16"/>
      <c r="T102" s="16"/>
      <c r="U102" s="16"/>
      <c r="V102" s="16"/>
      <c r="W102" s="16"/>
      <c r="X102" s="16"/>
      <c r="Y102" s="18"/>
    </row>
    <row r="103" spans="1:25" ht="38.25">
      <c r="A103" s="34" t="s">
        <v>2594</v>
      </c>
      <c r="B103" s="33" t="s">
        <v>2170</v>
      </c>
      <c r="C103" s="33" t="s">
        <v>3817</v>
      </c>
      <c r="D103" s="33" t="s">
        <v>2079</v>
      </c>
      <c r="E103" s="33" t="s">
        <v>7333</v>
      </c>
      <c r="F103" s="33" t="s">
        <v>7540</v>
      </c>
      <c r="G103" s="33" t="s">
        <v>8093</v>
      </c>
      <c r="H103" s="14">
        <v>4.18</v>
      </c>
      <c r="I103" s="79">
        <f>AVERAGE(6618, 4338)</f>
        <v>5478</v>
      </c>
      <c r="J103" s="79" t="s">
        <v>8092</v>
      </c>
      <c r="K103" s="102" t="s">
        <v>6980</v>
      </c>
      <c r="L103" s="85"/>
      <c r="M103" s="16"/>
      <c r="N103" s="16"/>
      <c r="O103" s="16"/>
      <c r="P103" s="16"/>
      <c r="Q103" s="16"/>
      <c r="R103" s="16"/>
      <c r="S103" s="16"/>
      <c r="T103" s="16"/>
      <c r="U103" s="16"/>
      <c r="V103" s="16"/>
      <c r="W103" s="16"/>
      <c r="X103" s="16"/>
      <c r="Y103" s="18"/>
    </row>
    <row r="104" spans="1:25" ht="38.25">
      <c r="A104" s="34" t="s">
        <v>2594</v>
      </c>
      <c r="B104" s="33" t="s">
        <v>2750</v>
      </c>
      <c r="C104" s="33" t="s">
        <v>3817</v>
      </c>
      <c r="D104" s="33" t="s">
        <v>2079</v>
      </c>
      <c r="E104" s="33" t="s">
        <v>7333</v>
      </c>
      <c r="F104" s="33" t="s">
        <v>5861</v>
      </c>
      <c r="G104" s="33" t="s">
        <v>6612</v>
      </c>
      <c r="H104" s="40">
        <f>LOG(I104)</f>
        <v>3.7403626894942437</v>
      </c>
      <c r="I104" s="84">
        <v>5500</v>
      </c>
      <c r="J104" s="79" t="s">
        <v>6879</v>
      </c>
      <c r="K104" s="102" t="s">
        <v>6980</v>
      </c>
      <c r="L104" s="85"/>
      <c r="M104" s="16"/>
    </row>
    <row r="105" spans="1:25" ht="38.25">
      <c r="A105" s="34" t="s">
        <v>2594</v>
      </c>
      <c r="B105" s="33" t="s">
        <v>2668</v>
      </c>
      <c r="C105" s="33" t="s">
        <v>3817</v>
      </c>
      <c r="D105" s="33" t="s">
        <v>2079</v>
      </c>
      <c r="E105" s="33" t="s">
        <v>7333</v>
      </c>
      <c r="F105" s="33" t="s">
        <v>5861</v>
      </c>
      <c r="G105" s="33" t="s">
        <v>5863</v>
      </c>
      <c r="H105" s="40">
        <f>LOG(I105)</f>
        <v>3.8029104894190398</v>
      </c>
      <c r="I105" s="84">
        <f>AVERAGE(9128, 3576)</f>
        <v>6352</v>
      </c>
      <c r="J105" s="79" t="s">
        <v>7571</v>
      </c>
      <c r="K105" s="102" t="s">
        <v>6980</v>
      </c>
      <c r="L105" s="85"/>
      <c r="M105" s="16"/>
      <c r="N105" s="16"/>
      <c r="O105" s="16"/>
      <c r="P105" s="16"/>
      <c r="Q105" s="16"/>
      <c r="R105" s="16"/>
      <c r="S105" s="16"/>
      <c r="T105" s="16"/>
      <c r="U105" s="16"/>
      <c r="V105" s="16"/>
      <c r="W105" s="16"/>
      <c r="X105" s="16"/>
      <c r="Y105" s="18"/>
    </row>
    <row r="106" spans="1:25" ht="51">
      <c r="A106" s="47" t="s">
        <v>2594</v>
      </c>
      <c r="B106" t="s">
        <v>2170</v>
      </c>
      <c r="C106" t="s">
        <v>3817</v>
      </c>
      <c r="D106" t="s">
        <v>2079</v>
      </c>
      <c r="E106" t="s">
        <v>7333</v>
      </c>
      <c r="F106" t="s">
        <v>4986</v>
      </c>
      <c r="G106" t="s">
        <v>6317</v>
      </c>
      <c r="H106" s="14">
        <v>3.84</v>
      </c>
      <c r="I106" s="103">
        <v>6960</v>
      </c>
      <c r="J106" s="82" t="s">
        <v>6736</v>
      </c>
      <c r="K106" s="104">
        <v>-999</v>
      </c>
      <c r="L106" s="82" t="s">
        <v>5327</v>
      </c>
      <c r="M106" t="s">
        <v>5212</v>
      </c>
      <c r="N106" s="16"/>
      <c r="O106" s="16"/>
      <c r="P106" s="16"/>
      <c r="Q106" s="16"/>
      <c r="R106" s="16"/>
      <c r="S106" s="16"/>
      <c r="T106" s="16"/>
      <c r="U106" s="16"/>
      <c r="V106" s="16"/>
      <c r="W106" s="16"/>
      <c r="X106" s="16"/>
      <c r="Y106" s="18"/>
    </row>
    <row r="107" spans="1:25" ht="38.25">
      <c r="A107" s="47" t="s">
        <v>2594</v>
      </c>
      <c r="B107" t="s">
        <v>2163</v>
      </c>
      <c r="C107" t="s">
        <v>3817</v>
      </c>
      <c r="D107" t="s">
        <v>2079</v>
      </c>
      <c r="E107" t="s">
        <v>7333</v>
      </c>
      <c r="F107" t="s">
        <v>4986</v>
      </c>
      <c r="G107" t="s">
        <v>5314</v>
      </c>
      <c r="H107" s="40">
        <f t="shared" ref="H107:H112" si="4">LOG(I107)</f>
        <v>3.9044450410769098</v>
      </c>
      <c r="I107" s="103">
        <f>AVERAGE(7900, 8150)</f>
        <v>8025</v>
      </c>
      <c r="J107" s="79" t="s">
        <v>5741</v>
      </c>
      <c r="K107" s="104" t="s">
        <v>6980</v>
      </c>
      <c r="N107" s="16"/>
      <c r="O107" s="16"/>
      <c r="P107" s="16"/>
      <c r="Q107" s="16"/>
      <c r="R107" s="16"/>
      <c r="S107" s="16"/>
      <c r="T107" s="16"/>
      <c r="U107" s="16"/>
      <c r="V107" s="16"/>
      <c r="W107" s="16"/>
      <c r="X107" s="16"/>
      <c r="Y107" s="18"/>
    </row>
    <row r="108" spans="1:25" ht="38.25">
      <c r="A108" s="34" t="s">
        <v>2594</v>
      </c>
      <c r="B108" s="33" t="s">
        <v>2170</v>
      </c>
      <c r="C108" s="33" t="s">
        <v>3817</v>
      </c>
      <c r="D108" s="33" t="s">
        <v>2079</v>
      </c>
      <c r="E108" s="33" t="s">
        <v>7333</v>
      </c>
      <c r="F108" s="33" t="s">
        <v>4986</v>
      </c>
      <c r="G108" s="33" t="s">
        <v>7388</v>
      </c>
      <c r="H108" s="40">
        <f t="shared" si="4"/>
        <v>3.9420080530223132</v>
      </c>
      <c r="I108" s="84">
        <v>8750</v>
      </c>
      <c r="J108" s="79" t="s">
        <v>6878</v>
      </c>
      <c r="K108" s="102" t="s">
        <v>6980</v>
      </c>
      <c r="L108" s="85"/>
      <c r="M108" s="16"/>
      <c r="N108" s="16"/>
      <c r="O108" s="16"/>
      <c r="P108" s="16"/>
      <c r="Q108" s="16"/>
      <c r="R108" s="16"/>
      <c r="S108" s="16"/>
      <c r="T108" s="16"/>
      <c r="U108" s="16"/>
      <c r="V108" s="16"/>
      <c r="W108" s="16"/>
      <c r="X108" s="16"/>
      <c r="Y108" s="18"/>
    </row>
    <row r="109" spans="1:25" ht="38.25">
      <c r="A109" s="34" t="s">
        <v>2594</v>
      </c>
      <c r="B109" s="33" t="s">
        <v>2668</v>
      </c>
      <c r="C109" s="33" t="s">
        <v>3817</v>
      </c>
      <c r="D109" s="33" t="s">
        <v>2079</v>
      </c>
      <c r="E109" s="33" t="s">
        <v>7333</v>
      </c>
      <c r="F109" s="33" t="s">
        <v>4986</v>
      </c>
      <c r="G109" s="33" t="s">
        <v>4078</v>
      </c>
      <c r="H109" s="40">
        <f t="shared" si="4"/>
        <v>3.9590413923210934</v>
      </c>
      <c r="I109" s="84">
        <v>9100</v>
      </c>
      <c r="J109" s="79" t="s">
        <v>7530</v>
      </c>
      <c r="K109" s="102" t="s">
        <v>6980</v>
      </c>
      <c r="L109" s="85"/>
      <c r="M109" s="16"/>
      <c r="N109" s="16"/>
      <c r="O109" s="16"/>
      <c r="P109" s="16"/>
      <c r="Q109" s="16"/>
      <c r="R109" s="16"/>
      <c r="S109" s="16"/>
      <c r="T109" s="16"/>
      <c r="U109" s="16"/>
      <c r="V109" s="16"/>
      <c r="W109" s="16"/>
      <c r="X109" s="16"/>
      <c r="Y109" s="18"/>
    </row>
    <row r="110" spans="1:25" ht="38.25">
      <c r="A110" s="34" t="s">
        <v>2594</v>
      </c>
      <c r="B110" s="31" t="s">
        <v>2162</v>
      </c>
      <c r="C110" s="33" t="s">
        <v>3817</v>
      </c>
      <c r="D110" s="33" t="s">
        <v>2079</v>
      </c>
      <c r="E110" s="33" t="s">
        <v>7333</v>
      </c>
      <c r="F110" s="33" t="s">
        <v>4986</v>
      </c>
      <c r="G110" s="33" t="s">
        <v>5822</v>
      </c>
      <c r="H110" s="40">
        <f t="shared" si="4"/>
        <v>3.9814108401658883</v>
      </c>
      <c r="I110" s="84">
        <f>AVERAGE(10366, 8796)</f>
        <v>9581</v>
      </c>
      <c r="J110" s="79" t="s">
        <v>4945</v>
      </c>
      <c r="K110" s="102" t="s">
        <v>6980</v>
      </c>
      <c r="L110" s="85"/>
      <c r="M110" s="16"/>
      <c r="N110" s="16"/>
      <c r="O110" s="16"/>
      <c r="P110" s="16"/>
      <c r="Q110" s="16"/>
      <c r="R110" s="16"/>
      <c r="S110" s="16"/>
      <c r="T110" s="16"/>
      <c r="U110" s="16"/>
      <c r="V110" s="16"/>
      <c r="W110" s="16"/>
      <c r="X110" s="16"/>
      <c r="Y110" s="18"/>
    </row>
    <row r="111" spans="1:25" ht="38.25">
      <c r="A111" s="34" t="s">
        <v>2594</v>
      </c>
      <c r="B111" s="33" t="s">
        <v>2449</v>
      </c>
      <c r="C111" s="33" t="s">
        <v>3817</v>
      </c>
      <c r="D111" s="33" t="s">
        <v>2079</v>
      </c>
      <c r="E111" s="33" t="s">
        <v>7333</v>
      </c>
      <c r="F111" s="33" t="s">
        <v>4986</v>
      </c>
      <c r="G111" s="33" t="s">
        <v>5860</v>
      </c>
      <c r="H111" s="40">
        <f t="shared" si="4"/>
        <v>4.01598810538413</v>
      </c>
      <c r="I111" s="84">
        <f>AVERAGE(11500, 9250)</f>
        <v>10375</v>
      </c>
      <c r="J111" s="79" t="s">
        <v>7529</v>
      </c>
      <c r="K111" s="102" t="s">
        <v>6980</v>
      </c>
      <c r="L111" s="85"/>
      <c r="M111" s="16"/>
      <c r="N111" s="16"/>
      <c r="O111" s="16"/>
      <c r="P111" s="16"/>
      <c r="Q111" s="16"/>
      <c r="R111" s="16"/>
      <c r="S111" s="16"/>
      <c r="T111" s="16"/>
      <c r="U111" s="16"/>
      <c r="V111" s="16"/>
      <c r="W111" s="16"/>
      <c r="X111" s="16"/>
      <c r="Y111" s="18"/>
    </row>
    <row r="112" spans="1:25" ht="51">
      <c r="A112" s="34" t="s">
        <v>2594</v>
      </c>
      <c r="B112" s="33" t="s">
        <v>2624</v>
      </c>
      <c r="C112" s="33" t="s">
        <v>3817</v>
      </c>
      <c r="D112" s="33" t="s">
        <v>2079</v>
      </c>
      <c r="E112" s="33" t="s">
        <v>7333</v>
      </c>
      <c r="F112" s="33" t="s">
        <v>4986</v>
      </c>
      <c r="G112" s="33" t="s">
        <v>4649</v>
      </c>
      <c r="H112" s="40">
        <f t="shared" si="4"/>
        <v>4.1283184772596808</v>
      </c>
      <c r="I112" s="84">
        <f>AVERAGE(15500, 11375)</f>
        <v>13437.5</v>
      </c>
      <c r="J112" s="79" t="s">
        <v>7626</v>
      </c>
      <c r="K112" s="102" t="s">
        <v>6980</v>
      </c>
      <c r="L112" s="85"/>
      <c r="M112" s="16"/>
      <c r="N112" s="16"/>
      <c r="O112" s="16"/>
      <c r="P112" s="16"/>
      <c r="Q112" s="16"/>
      <c r="R112" s="16"/>
      <c r="S112" s="16"/>
      <c r="T112" s="16"/>
      <c r="U112" s="16"/>
      <c r="V112" s="16"/>
      <c r="W112" s="16"/>
      <c r="X112" s="16"/>
      <c r="Y112" s="18"/>
    </row>
    <row r="113" spans="1:25" ht="51">
      <c r="A113" s="47" t="s">
        <v>2594</v>
      </c>
      <c r="B113" t="s">
        <v>2170</v>
      </c>
      <c r="C113" t="s">
        <v>3817</v>
      </c>
      <c r="D113" t="s">
        <v>2079</v>
      </c>
      <c r="E113" t="s">
        <v>7333</v>
      </c>
      <c r="F113" t="s">
        <v>3755</v>
      </c>
      <c r="G113" t="s">
        <v>4399</v>
      </c>
      <c r="H113" s="14">
        <v>4.18</v>
      </c>
      <c r="I113" s="103">
        <v>15000</v>
      </c>
      <c r="J113" s="79" t="s">
        <v>6967</v>
      </c>
      <c r="K113" s="104">
        <v>59</v>
      </c>
      <c r="L113" s="82" t="s">
        <v>8288</v>
      </c>
      <c r="N113" s="16"/>
      <c r="O113" s="16"/>
      <c r="P113" s="16"/>
      <c r="Q113" s="16"/>
      <c r="R113" s="16"/>
      <c r="S113" s="16"/>
      <c r="T113" s="16"/>
      <c r="U113" s="16"/>
      <c r="V113" s="16"/>
      <c r="W113" s="16"/>
      <c r="X113" s="16"/>
      <c r="Y113" s="18"/>
    </row>
    <row r="114" spans="1:25" ht="38.25">
      <c r="A114" s="51" t="s">
        <v>2594</v>
      </c>
      <c r="B114" s="52" t="s">
        <v>2170</v>
      </c>
      <c r="C114" t="s">
        <v>5092</v>
      </c>
      <c r="D114" t="s">
        <v>2079</v>
      </c>
      <c r="E114" t="s">
        <v>7333</v>
      </c>
      <c r="F114" s="33" t="s">
        <v>7540</v>
      </c>
      <c r="G114" s="33" t="s">
        <v>1699</v>
      </c>
      <c r="H114" s="40">
        <f t="shared" ref="H114:H119" si="5">LOG(I114)</f>
        <v>3.2604291755779347</v>
      </c>
      <c r="I114" s="103">
        <f>AVERAGE(1750, 1893)</f>
        <v>1821.5</v>
      </c>
      <c r="J114" s="79" t="s">
        <v>1792</v>
      </c>
      <c r="K114" s="102" t="s">
        <v>6980</v>
      </c>
      <c r="N114" s="16"/>
      <c r="O114" s="16"/>
      <c r="P114" s="16"/>
      <c r="Q114" s="16"/>
      <c r="R114" s="16"/>
      <c r="S114" s="16"/>
      <c r="T114" s="16"/>
      <c r="U114" s="16"/>
      <c r="V114" s="16"/>
      <c r="W114" s="16"/>
      <c r="X114" s="16"/>
      <c r="Y114" s="18"/>
    </row>
    <row r="115" spans="1:25" ht="38.25">
      <c r="A115" s="51" t="s">
        <v>2594</v>
      </c>
      <c r="B115" s="52" t="s">
        <v>2170</v>
      </c>
      <c r="C115" t="s">
        <v>5092</v>
      </c>
      <c r="D115" t="s">
        <v>2079</v>
      </c>
      <c r="E115" t="s">
        <v>7333</v>
      </c>
      <c r="F115" s="33" t="s">
        <v>7540</v>
      </c>
      <c r="G115" s="33" t="s">
        <v>6359</v>
      </c>
      <c r="H115" s="40">
        <f t="shared" si="5"/>
        <v>3.7386220279179425</v>
      </c>
      <c r="I115" s="79">
        <f>AVERAGE(6618, 4338)</f>
        <v>5478</v>
      </c>
      <c r="J115" s="79" t="s">
        <v>1141</v>
      </c>
      <c r="K115" s="102" t="s">
        <v>6980</v>
      </c>
      <c r="N115" s="16"/>
      <c r="O115" s="16"/>
      <c r="P115" s="16"/>
      <c r="Q115" s="16"/>
      <c r="R115" s="16"/>
      <c r="S115" s="16"/>
      <c r="T115" s="16"/>
      <c r="U115" s="16"/>
      <c r="V115" s="16"/>
      <c r="W115" s="16"/>
      <c r="X115" s="16"/>
      <c r="Y115" s="18"/>
    </row>
    <row r="116" spans="1:25" ht="38.25">
      <c r="A116" s="51" t="s">
        <v>2594</v>
      </c>
      <c r="B116" s="52" t="s">
        <v>2170</v>
      </c>
      <c r="C116" t="s">
        <v>5092</v>
      </c>
      <c r="D116" t="s">
        <v>2079</v>
      </c>
      <c r="E116" t="s">
        <v>7333</v>
      </c>
      <c r="F116" s="33" t="s">
        <v>4986</v>
      </c>
      <c r="G116" s="33" t="s">
        <v>6160</v>
      </c>
      <c r="H116" s="40">
        <f t="shared" si="5"/>
        <v>4.3010299956639813</v>
      </c>
      <c r="I116" s="84">
        <v>20000</v>
      </c>
      <c r="J116" s="79" t="s">
        <v>1698</v>
      </c>
      <c r="K116" s="102" t="s">
        <v>6980</v>
      </c>
      <c r="N116" s="16"/>
      <c r="O116" s="16"/>
      <c r="P116" s="16"/>
      <c r="Q116" s="16"/>
      <c r="R116" s="16"/>
      <c r="S116" s="16"/>
      <c r="T116" s="16"/>
      <c r="U116" s="16"/>
      <c r="V116" s="16"/>
      <c r="W116" s="16"/>
      <c r="X116" s="16"/>
      <c r="Y116" s="18"/>
    </row>
    <row r="117" spans="1:25" ht="38.25">
      <c r="A117" s="38" t="s">
        <v>2594</v>
      </c>
      <c r="B117" s="35" t="s">
        <v>2170</v>
      </c>
      <c r="C117" s="33" t="s">
        <v>5092</v>
      </c>
      <c r="D117" s="33" t="s">
        <v>2079</v>
      </c>
      <c r="E117" s="33" t="s">
        <v>7333</v>
      </c>
      <c r="F117" s="33" t="s">
        <v>2090</v>
      </c>
      <c r="G117" s="33" t="s">
        <v>6159</v>
      </c>
      <c r="H117" s="40">
        <f t="shared" si="5"/>
        <v>4.4771212547196626</v>
      </c>
      <c r="I117" s="84">
        <v>30000</v>
      </c>
      <c r="J117" s="79" t="s">
        <v>1229</v>
      </c>
      <c r="K117" s="102" t="s">
        <v>6980</v>
      </c>
      <c r="N117" s="16"/>
      <c r="O117" s="16"/>
      <c r="P117" s="16"/>
      <c r="Q117" s="16"/>
      <c r="R117" s="16"/>
      <c r="S117" s="16"/>
      <c r="T117" s="16"/>
      <c r="U117" s="16"/>
      <c r="V117" s="16"/>
      <c r="W117" s="16"/>
      <c r="X117" s="16"/>
      <c r="Y117" s="18"/>
    </row>
    <row r="118" spans="1:25" ht="51">
      <c r="A118" s="38" t="s">
        <v>2594</v>
      </c>
      <c r="B118" s="35" t="s">
        <v>2170</v>
      </c>
      <c r="C118" s="33" t="s">
        <v>5092</v>
      </c>
      <c r="D118" s="33" t="s">
        <v>2079</v>
      </c>
      <c r="E118" s="33" t="s">
        <v>7333</v>
      </c>
      <c r="F118" s="33" t="s">
        <v>2090</v>
      </c>
      <c r="G118" s="33" t="s">
        <v>6360</v>
      </c>
      <c r="H118" s="40">
        <f t="shared" si="5"/>
        <v>4.6989700043360187</v>
      </c>
      <c r="I118" s="84">
        <v>50000</v>
      </c>
      <c r="J118" s="79" t="s">
        <v>1573</v>
      </c>
      <c r="K118" s="102" t="s">
        <v>6980</v>
      </c>
      <c r="N118" s="16"/>
      <c r="O118" s="16"/>
      <c r="P118" s="16"/>
      <c r="Q118" s="16"/>
      <c r="R118" s="16"/>
      <c r="S118" s="16"/>
      <c r="T118" s="16"/>
      <c r="U118" s="16"/>
      <c r="V118" s="16"/>
      <c r="W118" s="16"/>
      <c r="X118" s="16"/>
      <c r="Y118" s="18"/>
    </row>
    <row r="119" spans="1:25" ht="63.75">
      <c r="A119" s="51" t="s">
        <v>2594</v>
      </c>
      <c r="B119" s="52" t="s">
        <v>2170</v>
      </c>
      <c r="C119" t="s">
        <v>5092</v>
      </c>
      <c r="D119" t="s">
        <v>2079</v>
      </c>
      <c r="E119" t="s">
        <v>7333</v>
      </c>
      <c r="F119" s="33" t="s">
        <v>2090</v>
      </c>
      <c r="G119" s="33" t="s">
        <v>1230</v>
      </c>
      <c r="H119" s="40">
        <f t="shared" si="5"/>
        <v>4.8692317197309762</v>
      </c>
      <c r="I119" s="84">
        <v>74000</v>
      </c>
      <c r="J119" s="79" t="s">
        <v>6371</v>
      </c>
      <c r="K119" s="102" t="s">
        <v>6980</v>
      </c>
      <c r="N119" s="16"/>
      <c r="O119" s="16"/>
      <c r="P119" s="16"/>
      <c r="Q119" s="16"/>
      <c r="R119" s="16"/>
      <c r="S119" s="16"/>
      <c r="T119" s="16"/>
      <c r="U119" s="16"/>
      <c r="V119" s="16"/>
      <c r="W119" s="16"/>
      <c r="X119" s="16"/>
      <c r="Y119" s="18"/>
    </row>
    <row r="120" spans="1:25" ht="89.25">
      <c r="A120" s="34" t="s">
        <v>2594</v>
      </c>
      <c r="B120" s="33" t="s">
        <v>2170</v>
      </c>
      <c r="C120" s="33" t="s">
        <v>3817</v>
      </c>
      <c r="D120" s="33" t="s">
        <v>2079</v>
      </c>
      <c r="E120" s="33" t="s">
        <v>4267</v>
      </c>
      <c r="F120" s="33" t="s">
        <v>3787</v>
      </c>
      <c r="G120" s="33" t="s">
        <v>4398</v>
      </c>
      <c r="H120" s="40">
        <v>-999</v>
      </c>
      <c r="I120" s="84">
        <v>-999</v>
      </c>
      <c r="J120" s="79" t="s">
        <v>8324</v>
      </c>
      <c r="K120" s="102" t="s">
        <v>6980</v>
      </c>
      <c r="L120" s="85"/>
      <c r="M120" s="16"/>
    </row>
    <row r="121" spans="1:25" ht="38.25">
      <c r="A121" s="47" t="s">
        <v>2594</v>
      </c>
      <c r="B121" s="33" t="s">
        <v>2170</v>
      </c>
      <c r="C121" t="s">
        <v>3817</v>
      </c>
      <c r="D121" t="s">
        <v>2079</v>
      </c>
      <c r="E121" t="s">
        <v>4267</v>
      </c>
      <c r="F121" t="s">
        <v>4268</v>
      </c>
      <c r="G121" t="s">
        <v>4269</v>
      </c>
      <c r="H121" s="14">
        <v>2.11</v>
      </c>
      <c r="I121" s="103">
        <f>AVERAGE(88.5, 81.6)</f>
        <v>85.05</v>
      </c>
      <c r="J121" s="79" t="s">
        <v>6991</v>
      </c>
      <c r="K121" s="104" t="s">
        <v>6980</v>
      </c>
      <c r="N121" s="16"/>
      <c r="O121" s="16"/>
      <c r="P121" s="16"/>
      <c r="Q121" s="16"/>
      <c r="R121" s="16"/>
      <c r="S121" s="16"/>
      <c r="T121" s="16"/>
      <c r="U121" s="16"/>
      <c r="V121" s="16"/>
      <c r="W121" s="16"/>
      <c r="X121" s="16"/>
      <c r="Y121" s="18"/>
    </row>
    <row r="122" spans="1:25" ht="38.25">
      <c r="A122" s="34" t="s">
        <v>2594</v>
      </c>
      <c r="B122" s="33" t="s">
        <v>2170</v>
      </c>
      <c r="C122" s="33" t="s">
        <v>3817</v>
      </c>
      <c r="D122" s="33" t="s">
        <v>2079</v>
      </c>
      <c r="E122" s="33" t="s">
        <v>4267</v>
      </c>
      <c r="F122" s="33" t="s">
        <v>4268</v>
      </c>
      <c r="G122" s="33" t="s">
        <v>5481</v>
      </c>
      <c r="H122" s="40">
        <f t="shared" ref="H122:H145" si="6">LOG(I122)</f>
        <v>2.4440447959180762</v>
      </c>
      <c r="I122" s="84">
        <f>AVERAGE(328, 228)</f>
        <v>278</v>
      </c>
      <c r="J122" s="79" t="s">
        <v>7707</v>
      </c>
      <c r="K122" s="102" t="s">
        <v>6980</v>
      </c>
      <c r="L122" s="85"/>
      <c r="M122" s="16"/>
      <c r="N122" s="16"/>
      <c r="O122" s="16"/>
      <c r="P122" s="16"/>
      <c r="Q122" s="16"/>
      <c r="R122" s="16"/>
      <c r="S122" s="16"/>
      <c r="T122" s="16"/>
      <c r="U122" s="16"/>
      <c r="V122" s="16"/>
      <c r="W122" s="16"/>
      <c r="X122" s="16"/>
      <c r="Y122" s="18"/>
    </row>
    <row r="123" spans="1:25" ht="38.25">
      <c r="A123" s="34" t="s">
        <v>2594</v>
      </c>
      <c r="B123" s="33" t="s">
        <v>2170</v>
      </c>
      <c r="C123" s="33" t="s">
        <v>3817</v>
      </c>
      <c r="D123" s="33" t="s">
        <v>2079</v>
      </c>
      <c r="E123" s="33" t="s">
        <v>4267</v>
      </c>
      <c r="F123" s="33" t="s">
        <v>3787</v>
      </c>
      <c r="G123" s="33" t="s">
        <v>5107</v>
      </c>
      <c r="H123" s="40">
        <f t="shared" si="6"/>
        <v>2.5998830720736876</v>
      </c>
      <c r="I123" s="84">
        <f>AVERAGE(486, 310)</f>
        <v>398</v>
      </c>
      <c r="J123" s="79" t="s">
        <v>7563</v>
      </c>
      <c r="K123" s="102" t="s">
        <v>6980</v>
      </c>
      <c r="L123" s="85"/>
      <c r="M123" s="16"/>
      <c r="N123" s="16"/>
      <c r="O123" s="16"/>
      <c r="P123" s="16"/>
      <c r="Q123" s="16"/>
      <c r="R123" s="16"/>
      <c r="S123" s="16"/>
      <c r="T123" s="16"/>
      <c r="U123" s="16"/>
      <c r="V123" s="16"/>
      <c r="W123" s="16"/>
      <c r="X123" s="16"/>
      <c r="Y123" s="18"/>
    </row>
    <row r="124" spans="1:25" ht="38.25">
      <c r="A124" s="34" t="s">
        <v>2594</v>
      </c>
      <c r="B124" s="33" t="s">
        <v>2170</v>
      </c>
      <c r="C124" s="33" t="s">
        <v>3817</v>
      </c>
      <c r="D124" s="33" t="s">
        <v>2079</v>
      </c>
      <c r="E124" s="33" t="s">
        <v>4267</v>
      </c>
      <c r="F124" s="33" t="s">
        <v>3787</v>
      </c>
      <c r="G124" s="33" t="s">
        <v>3788</v>
      </c>
      <c r="H124" s="40">
        <f t="shared" si="6"/>
        <v>2.6064351111018751</v>
      </c>
      <c r="I124" s="84">
        <f>AVERAGE(448.1, 360)</f>
        <v>404.05</v>
      </c>
      <c r="J124" s="79" t="s">
        <v>7706</v>
      </c>
      <c r="K124" s="102" t="s">
        <v>6980</v>
      </c>
      <c r="L124" s="85"/>
      <c r="M124" s="16"/>
      <c r="N124" s="16"/>
      <c r="O124" s="16"/>
      <c r="P124" s="16"/>
      <c r="Q124" s="16"/>
      <c r="R124" s="16"/>
      <c r="S124" s="16"/>
      <c r="T124" s="16"/>
      <c r="U124" s="16"/>
      <c r="V124" s="16"/>
      <c r="W124" s="16"/>
      <c r="X124" s="16"/>
      <c r="Y124" s="18"/>
    </row>
    <row r="125" spans="1:25" ht="39">
      <c r="A125" s="34" t="s">
        <v>2594</v>
      </c>
      <c r="B125" s="33" t="s">
        <v>2170</v>
      </c>
      <c r="C125" s="33" t="s">
        <v>3817</v>
      </c>
      <c r="D125" s="33" t="s">
        <v>2079</v>
      </c>
      <c r="E125" s="33" t="s">
        <v>3793</v>
      </c>
      <c r="F125" s="33" t="s">
        <v>3797</v>
      </c>
      <c r="G125" s="33" t="s">
        <v>5273</v>
      </c>
      <c r="H125" s="40">
        <f t="shared" si="6"/>
        <v>3.1903316981702914</v>
      </c>
      <c r="I125" s="84">
        <v>1550</v>
      </c>
      <c r="J125" s="79" t="s">
        <v>7704</v>
      </c>
      <c r="K125" s="102" t="s">
        <v>6980</v>
      </c>
      <c r="L125" s="89"/>
      <c r="M125" s="16"/>
      <c r="N125" s="16"/>
      <c r="O125" s="16"/>
      <c r="P125" s="16"/>
      <c r="Q125" s="16"/>
      <c r="R125" s="16"/>
      <c r="S125" s="16"/>
      <c r="T125" s="16"/>
      <c r="U125" s="16"/>
      <c r="V125" s="16"/>
      <c r="W125" s="16"/>
      <c r="X125" s="16"/>
      <c r="Y125" s="18"/>
    </row>
    <row r="126" spans="1:25" ht="39">
      <c r="A126" s="34" t="s">
        <v>2594</v>
      </c>
      <c r="B126" s="33" t="s">
        <v>2170</v>
      </c>
      <c r="C126" s="33" t="s">
        <v>3817</v>
      </c>
      <c r="D126" s="33" t="s">
        <v>2079</v>
      </c>
      <c r="E126" s="33" t="s">
        <v>3793</v>
      </c>
      <c r="F126" s="33" t="s">
        <v>3797</v>
      </c>
      <c r="G126" s="33" t="s">
        <v>5296</v>
      </c>
      <c r="H126" s="40">
        <f t="shared" si="6"/>
        <v>3.242417184417719</v>
      </c>
      <c r="I126" s="84">
        <f>AVERAGE(1825, 1670)</f>
        <v>1747.5</v>
      </c>
      <c r="J126" s="79" t="s">
        <v>5271</v>
      </c>
      <c r="K126" s="102" t="s">
        <v>6980</v>
      </c>
      <c r="L126" s="89"/>
      <c r="M126" s="16"/>
      <c r="N126" s="16"/>
      <c r="O126" s="16"/>
      <c r="P126" s="16"/>
      <c r="Q126" s="16"/>
      <c r="R126" s="16"/>
      <c r="S126" s="16"/>
      <c r="T126" s="16"/>
      <c r="U126" s="16"/>
      <c r="V126" s="16"/>
      <c r="W126" s="16"/>
      <c r="X126" s="16"/>
      <c r="Y126" s="18"/>
    </row>
    <row r="127" spans="1:25" ht="39">
      <c r="A127" s="34" t="s">
        <v>2594</v>
      </c>
      <c r="B127" s="33" t="s">
        <v>2170</v>
      </c>
      <c r="C127" s="33" t="s">
        <v>3817</v>
      </c>
      <c r="D127" s="33" t="s">
        <v>2079</v>
      </c>
      <c r="E127" s="33" t="s">
        <v>3793</v>
      </c>
      <c r="F127" s="33" t="s">
        <v>3797</v>
      </c>
      <c r="G127" s="33" t="s">
        <v>5523</v>
      </c>
      <c r="H127" s="40">
        <f t="shared" si="6"/>
        <v>3.2671717284030137</v>
      </c>
      <c r="I127" s="84">
        <f>AVERAGE(1767, 1933)</f>
        <v>1850</v>
      </c>
      <c r="J127" s="79" t="s">
        <v>7078</v>
      </c>
      <c r="K127" s="102" t="s">
        <v>6980</v>
      </c>
      <c r="L127" s="89"/>
      <c r="M127" s="16"/>
      <c r="N127" s="16"/>
      <c r="O127" s="16"/>
      <c r="P127" s="16"/>
      <c r="Q127" s="16"/>
      <c r="R127" s="16"/>
      <c r="S127" s="16"/>
      <c r="T127" s="16"/>
      <c r="U127" s="16"/>
      <c r="V127" s="16"/>
      <c r="W127" s="16"/>
      <c r="X127" s="16"/>
      <c r="Y127" s="18"/>
    </row>
    <row r="128" spans="1:25" ht="39">
      <c r="A128" s="34" t="s">
        <v>2594</v>
      </c>
      <c r="B128" s="33" t="s">
        <v>2170</v>
      </c>
      <c r="C128" s="33" t="s">
        <v>3817</v>
      </c>
      <c r="D128" s="33" t="s">
        <v>2079</v>
      </c>
      <c r="E128" s="33" t="s">
        <v>3793</v>
      </c>
      <c r="F128" s="33" t="s">
        <v>3797</v>
      </c>
      <c r="G128" s="33" t="s">
        <v>3244</v>
      </c>
      <c r="H128" s="40">
        <f t="shared" si="6"/>
        <v>3.3016809492935764</v>
      </c>
      <c r="I128" s="84">
        <f>AVERAGE(2039, 1967)</f>
        <v>2003</v>
      </c>
      <c r="J128" s="79" t="s">
        <v>4978</v>
      </c>
      <c r="K128" s="102" t="s">
        <v>6980</v>
      </c>
      <c r="L128" s="89"/>
      <c r="M128" s="16"/>
      <c r="N128" s="16"/>
      <c r="O128" s="16"/>
      <c r="P128" s="16"/>
      <c r="Q128" s="16"/>
      <c r="R128" s="16"/>
      <c r="S128" s="16"/>
      <c r="T128" s="16"/>
      <c r="U128" s="16"/>
      <c r="V128" s="16"/>
      <c r="W128" s="16"/>
      <c r="X128" s="16"/>
      <c r="Y128" s="18"/>
    </row>
    <row r="129" spans="1:25" ht="38.25">
      <c r="A129" s="34" t="s">
        <v>2594</v>
      </c>
      <c r="B129" s="33" t="s">
        <v>2170</v>
      </c>
      <c r="C129" s="33" t="s">
        <v>3817</v>
      </c>
      <c r="D129" s="33" t="s">
        <v>2079</v>
      </c>
      <c r="E129" s="33" t="s">
        <v>3793</v>
      </c>
      <c r="F129" s="33" t="s">
        <v>3797</v>
      </c>
      <c r="G129" s="33" t="s">
        <v>5269</v>
      </c>
      <c r="H129" s="40">
        <f t="shared" si="6"/>
        <v>3.3112239104324561</v>
      </c>
      <c r="I129" s="84">
        <f>AVERAGE(1870,2225)</f>
        <v>2047.5</v>
      </c>
      <c r="J129" s="79" t="s">
        <v>5298</v>
      </c>
      <c r="K129" s="102" t="s">
        <v>6980</v>
      </c>
      <c r="L129" s="85"/>
      <c r="M129" s="16"/>
      <c r="N129" s="16"/>
      <c r="O129" s="16"/>
      <c r="P129" s="16"/>
      <c r="Q129" s="16"/>
      <c r="R129" s="16"/>
      <c r="S129" s="16"/>
      <c r="T129" s="16"/>
      <c r="U129" s="16"/>
      <c r="V129" s="16"/>
      <c r="W129" s="16"/>
      <c r="X129" s="16"/>
      <c r="Y129" s="18"/>
    </row>
    <row r="130" spans="1:25" ht="51">
      <c r="A130" s="34" t="s">
        <v>2594</v>
      </c>
      <c r="B130" s="33" t="s">
        <v>2170</v>
      </c>
      <c r="C130" s="33" t="s">
        <v>3817</v>
      </c>
      <c r="D130" s="33" t="s">
        <v>2079</v>
      </c>
      <c r="E130" s="33" t="s">
        <v>3793</v>
      </c>
      <c r="F130" s="33" t="s">
        <v>3797</v>
      </c>
      <c r="G130" s="33" t="s">
        <v>5870</v>
      </c>
      <c r="H130" s="40">
        <f t="shared" si="6"/>
        <v>3.3957630894177631</v>
      </c>
      <c r="I130" s="84">
        <f>AVERAGE(2500, 2475)</f>
        <v>2487.5</v>
      </c>
      <c r="J130" s="79" t="s">
        <v>4804</v>
      </c>
      <c r="K130" s="102">
        <v>62</v>
      </c>
      <c r="L130" s="85" t="s">
        <v>8179</v>
      </c>
      <c r="M130" s="16"/>
      <c r="N130" s="16"/>
      <c r="O130" s="16"/>
      <c r="P130" s="16"/>
      <c r="Q130" s="16"/>
      <c r="R130" s="16"/>
      <c r="S130" s="16"/>
      <c r="T130" s="16"/>
      <c r="U130" s="16"/>
      <c r="V130" s="16"/>
      <c r="W130" s="16"/>
      <c r="X130" s="16"/>
      <c r="Y130" s="18"/>
    </row>
    <row r="131" spans="1:25" ht="39">
      <c r="A131" s="34" t="s">
        <v>2594</v>
      </c>
      <c r="B131" s="33" t="s">
        <v>2170</v>
      </c>
      <c r="C131" s="33" t="s">
        <v>3817</v>
      </c>
      <c r="D131" s="33" t="s">
        <v>2079</v>
      </c>
      <c r="E131" s="33" t="s">
        <v>3793</v>
      </c>
      <c r="F131" s="33" t="s">
        <v>3797</v>
      </c>
      <c r="G131" s="33" t="s">
        <v>3805</v>
      </c>
      <c r="H131" s="40">
        <f t="shared" si="6"/>
        <v>3.3957630894177631</v>
      </c>
      <c r="I131" s="84">
        <f>AVERAGE(2500, 2475)</f>
        <v>2487.5</v>
      </c>
      <c r="J131" s="79" t="s">
        <v>4972</v>
      </c>
      <c r="K131" s="102" t="s">
        <v>6980</v>
      </c>
      <c r="L131" s="89"/>
      <c r="M131" s="16"/>
      <c r="N131" s="16"/>
      <c r="O131" s="16"/>
      <c r="P131" s="16"/>
      <c r="Q131" s="16"/>
      <c r="R131" s="16"/>
      <c r="S131" s="16"/>
      <c r="T131" s="16"/>
      <c r="U131" s="16"/>
      <c r="V131" s="16"/>
      <c r="W131" s="16"/>
      <c r="X131" s="16"/>
      <c r="Y131" s="18"/>
    </row>
    <row r="132" spans="1:25" ht="76.5">
      <c r="A132" s="34" t="s">
        <v>2594</v>
      </c>
      <c r="B132" s="33" t="s">
        <v>2170</v>
      </c>
      <c r="C132" s="33" t="s">
        <v>3817</v>
      </c>
      <c r="D132" s="33" t="s">
        <v>2079</v>
      </c>
      <c r="E132" s="33" t="s">
        <v>3793</v>
      </c>
      <c r="F132" s="33" t="s">
        <v>5492</v>
      </c>
      <c r="G132" s="33" t="s">
        <v>3214</v>
      </c>
      <c r="H132" s="40">
        <f t="shared" si="6"/>
        <v>3.4321672694425884</v>
      </c>
      <c r="I132" s="84">
        <f>AVERAGE(3000, 2410)</f>
        <v>2705</v>
      </c>
      <c r="J132" s="79" t="s">
        <v>5295</v>
      </c>
      <c r="K132" s="102" t="s">
        <v>6980</v>
      </c>
      <c r="L132" s="85" t="s">
        <v>5132</v>
      </c>
      <c r="M132" s="16"/>
      <c r="N132" s="16"/>
      <c r="O132" s="16"/>
      <c r="P132" s="16"/>
      <c r="Q132" s="16"/>
      <c r="R132" s="16"/>
      <c r="S132" s="16"/>
      <c r="T132" s="16"/>
      <c r="U132" s="16"/>
      <c r="V132" s="16"/>
      <c r="W132" s="16"/>
      <c r="X132" s="16"/>
      <c r="Y132" s="18"/>
    </row>
    <row r="133" spans="1:25" ht="39">
      <c r="A133" s="34" t="s">
        <v>2594</v>
      </c>
      <c r="B133" s="33" t="s">
        <v>2170</v>
      </c>
      <c r="C133" s="33" t="s">
        <v>3817</v>
      </c>
      <c r="D133" s="33" t="s">
        <v>2079</v>
      </c>
      <c r="E133" s="33" t="s">
        <v>3793</v>
      </c>
      <c r="F133" s="33" t="s">
        <v>4251</v>
      </c>
      <c r="G133" s="33" t="s">
        <v>3513</v>
      </c>
      <c r="H133" s="40">
        <f t="shared" si="6"/>
        <v>3.5813237507247329</v>
      </c>
      <c r="I133" s="84">
        <f>AVERAGE(4567, 3060)</f>
        <v>3813.5</v>
      </c>
      <c r="J133" s="79" t="s">
        <v>7671</v>
      </c>
      <c r="K133" s="102" t="s">
        <v>6980</v>
      </c>
      <c r="L133" s="89"/>
      <c r="M133" s="16"/>
      <c r="N133" s="16"/>
      <c r="O133" s="16"/>
      <c r="P133" s="16"/>
      <c r="Q133" s="16"/>
      <c r="R133" s="16"/>
      <c r="S133" s="16"/>
      <c r="T133" s="16"/>
      <c r="U133" s="16"/>
      <c r="V133" s="16"/>
      <c r="W133" s="16"/>
      <c r="X133" s="16"/>
      <c r="Y133" s="18"/>
    </row>
    <row r="134" spans="1:25" ht="39">
      <c r="A134" s="34" t="s">
        <v>2594</v>
      </c>
      <c r="B134" s="33" t="s">
        <v>2170</v>
      </c>
      <c r="C134" s="33" t="s">
        <v>3817</v>
      </c>
      <c r="D134" s="33" t="s">
        <v>2079</v>
      </c>
      <c r="E134" s="33" t="s">
        <v>3793</v>
      </c>
      <c r="F134" s="33" t="s">
        <v>4251</v>
      </c>
      <c r="G134" s="33" t="s">
        <v>5275</v>
      </c>
      <c r="H134" s="40">
        <f t="shared" si="6"/>
        <v>3.7781512503836434</v>
      </c>
      <c r="I134" s="84">
        <f>AVERAGE(5500, 6500)</f>
        <v>6000</v>
      </c>
      <c r="J134" s="79" t="s">
        <v>7562</v>
      </c>
      <c r="K134" s="102" t="s">
        <v>6980</v>
      </c>
      <c r="L134" s="89"/>
      <c r="M134" s="16"/>
      <c r="N134" s="16"/>
      <c r="O134" s="16"/>
      <c r="P134" s="16"/>
      <c r="Q134" s="16"/>
      <c r="R134" s="16"/>
      <c r="S134" s="16"/>
      <c r="T134" s="16"/>
      <c r="U134" s="16"/>
      <c r="V134" s="16"/>
      <c r="W134" s="16"/>
      <c r="X134" s="16"/>
      <c r="Y134" s="18"/>
    </row>
    <row r="135" spans="1:25" ht="38.25">
      <c r="A135" s="34" t="s">
        <v>2594</v>
      </c>
      <c r="B135" s="33" t="s">
        <v>2170</v>
      </c>
      <c r="C135" s="33" t="s">
        <v>3817</v>
      </c>
      <c r="D135" s="33" t="s">
        <v>2079</v>
      </c>
      <c r="E135" s="33" t="s">
        <v>3666</v>
      </c>
      <c r="F135" s="33" t="s">
        <v>7302</v>
      </c>
      <c r="G135" s="33" t="s">
        <v>5828</v>
      </c>
      <c r="H135" s="40">
        <f t="shared" si="6"/>
        <v>2.1811286997472954</v>
      </c>
      <c r="I135" s="84">
        <f>AVERAGE(149, 154.5)</f>
        <v>151.75</v>
      </c>
      <c r="J135" s="79" t="s">
        <v>6992</v>
      </c>
      <c r="K135" s="102" t="s">
        <v>6980</v>
      </c>
      <c r="L135" s="85"/>
      <c r="M135" s="16"/>
      <c r="N135" s="16"/>
      <c r="O135" s="16"/>
      <c r="P135" s="16"/>
      <c r="Q135" s="16"/>
      <c r="R135" s="16"/>
      <c r="S135" s="16"/>
      <c r="T135" s="16"/>
      <c r="U135" s="16"/>
      <c r="V135" s="16"/>
      <c r="W135" s="16"/>
      <c r="X135" s="16"/>
      <c r="Y135" s="18"/>
    </row>
    <row r="136" spans="1:25" ht="38.25">
      <c r="A136" s="34" t="s">
        <v>2594</v>
      </c>
      <c r="B136" s="33" t="s">
        <v>2170</v>
      </c>
      <c r="C136" s="33" t="s">
        <v>3817</v>
      </c>
      <c r="D136" s="33" t="s">
        <v>2079</v>
      </c>
      <c r="E136" s="33" t="s">
        <v>3666</v>
      </c>
      <c r="F136" s="33" t="s">
        <v>7302</v>
      </c>
      <c r="G136" s="33" t="s">
        <v>5743</v>
      </c>
      <c r="H136" s="40">
        <f t="shared" si="6"/>
        <v>2.4385423487861106</v>
      </c>
      <c r="I136" s="84">
        <v>274.5</v>
      </c>
      <c r="J136" s="79" t="s">
        <v>6904</v>
      </c>
      <c r="K136" s="102" t="s">
        <v>6980</v>
      </c>
      <c r="L136" s="85"/>
      <c r="M136" s="16"/>
      <c r="N136" s="16"/>
      <c r="O136" s="16"/>
      <c r="P136" s="16"/>
      <c r="Q136" s="16"/>
      <c r="R136" s="16"/>
      <c r="S136" s="16"/>
      <c r="T136" s="16"/>
      <c r="U136" s="16"/>
      <c r="V136" s="16"/>
      <c r="W136" s="16"/>
      <c r="X136" s="16"/>
      <c r="Y136" s="18"/>
    </row>
    <row r="137" spans="1:25" ht="38.25">
      <c r="A137" s="34" t="s">
        <v>2594</v>
      </c>
      <c r="B137" s="31" t="s">
        <v>7625</v>
      </c>
      <c r="C137" s="33" t="s">
        <v>3817</v>
      </c>
      <c r="D137" s="33" t="s">
        <v>2079</v>
      </c>
      <c r="E137" s="33" t="s">
        <v>3666</v>
      </c>
      <c r="F137" s="33" t="s">
        <v>7302</v>
      </c>
      <c r="G137" s="33" t="s">
        <v>4374</v>
      </c>
      <c r="H137" s="40">
        <f t="shared" si="6"/>
        <v>2.4771212547196626</v>
      </c>
      <c r="I137" s="84">
        <f>AVERAGE(235,365)</f>
        <v>300</v>
      </c>
      <c r="J137" s="79" t="s">
        <v>6900</v>
      </c>
      <c r="K137" s="102" t="s">
        <v>6980</v>
      </c>
      <c r="L137" s="85"/>
      <c r="M137" s="16"/>
      <c r="N137" s="16"/>
      <c r="O137" s="16"/>
      <c r="P137" s="16"/>
      <c r="Q137" s="16"/>
      <c r="R137" s="16"/>
      <c r="S137" s="16"/>
      <c r="T137" s="16"/>
      <c r="U137" s="16"/>
      <c r="V137" s="16"/>
      <c r="W137" s="16"/>
      <c r="X137" s="16"/>
      <c r="Y137" s="18"/>
    </row>
    <row r="138" spans="1:25" ht="38.25">
      <c r="A138" s="34" t="s">
        <v>2594</v>
      </c>
      <c r="B138" s="31" t="s">
        <v>2170</v>
      </c>
      <c r="C138" s="33" t="s">
        <v>3817</v>
      </c>
      <c r="D138" s="33" t="s">
        <v>2079</v>
      </c>
      <c r="E138" s="33" t="s">
        <v>3666</v>
      </c>
      <c r="F138" s="33" t="s">
        <v>7302</v>
      </c>
      <c r="G138" s="33" t="s">
        <v>6046</v>
      </c>
      <c r="H138" s="40">
        <f t="shared" si="6"/>
        <v>2.6434526764861874</v>
      </c>
      <c r="I138" s="84">
        <v>440</v>
      </c>
      <c r="J138" s="79" t="s">
        <v>6901</v>
      </c>
      <c r="K138" s="102" t="s">
        <v>6980</v>
      </c>
      <c r="L138" s="85"/>
      <c r="M138" s="16"/>
      <c r="N138" s="16"/>
      <c r="O138" s="16"/>
      <c r="P138" s="16"/>
      <c r="Q138" s="16"/>
      <c r="R138" s="16"/>
      <c r="S138" s="16"/>
      <c r="T138" s="16"/>
      <c r="U138" s="16"/>
      <c r="V138" s="16"/>
      <c r="W138" s="16"/>
      <c r="X138" s="16"/>
      <c r="Y138" s="18"/>
    </row>
    <row r="139" spans="1:25" ht="38.25">
      <c r="A139" s="34" t="s">
        <v>2594</v>
      </c>
      <c r="B139" s="33" t="s">
        <v>2170</v>
      </c>
      <c r="C139" s="33" t="s">
        <v>3817</v>
      </c>
      <c r="D139" s="33" t="s">
        <v>2079</v>
      </c>
      <c r="E139" s="33" t="s">
        <v>3666</v>
      </c>
      <c r="F139" s="33" t="s">
        <v>7302</v>
      </c>
      <c r="G139" s="33" t="s">
        <v>6425</v>
      </c>
      <c r="H139" s="40">
        <f t="shared" si="6"/>
        <v>2.8122446968003691</v>
      </c>
      <c r="I139" s="84">
        <f>AVERAGE(732, 566)</f>
        <v>649</v>
      </c>
      <c r="J139" s="79" t="s">
        <v>7006</v>
      </c>
      <c r="K139" s="102" t="s">
        <v>6980</v>
      </c>
      <c r="L139" s="85"/>
      <c r="M139" s="16"/>
      <c r="N139" s="16"/>
      <c r="O139" s="16"/>
      <c r="P139" s="16"/>
      <c r="Q139" s="16"/>
      <c r="R139" s="16"/>
      <c r="S139" s="16"/>
      <c r="T139" s="16"/>
      <c r="U139" s="16"/>
      <c r="V139" s="16"/>
      <c r="W139" s="16"/>
      <c r="X139" s="16"/>
      <c r="Y139" s="18"/>
    </row>
    <row r="140" spans="1:25" ht="38.25">
      <c r="A140" s="34" t="s">
        <v>2594</v>
      </c>
      <c r="B140" s="33" t="s">
        <v>2170</v>
      </c>
      <c r="C140" s="33" t="s">
        <v>3817</v>
      </c>
      <c r="D140" s="33" t="s">
        <v>2079</v>
      </c>
      <c r="E140" s="33" t="s">
        <v>3666</v>
      </c>
      <c r="F140" s="33" t="s">
        <v>7256</v>
      </c>
      <c r="G140" s="33" t="s">
        <v>5744</v>
      </c>
      <c r="H140" s="40">
        <f t="shared" si="6"/>
        <v>2.8947866626088907</v>
      </c>
      <c r="I140" s="84">
        <f>AVERAGE(813, 756.7)</f>
        <v>784.85</v>
      </c>
      <c r="J140" s="79" t="s">
        <v>7003</v>
      </c>
      <c r="K140" s="102" t="s">
        <v>6980</v>
      </c>
      <c r="L140" s="85"/>
      <c r="M140" s="16"/>
      <c r="N140" s="16"/>
      <c r="O140" s="16"/>
      <c r="P140" s="16"/>
      <c r="Q140" s="16"/>
      <c r="R140" s="16"/>
      <c r="S140" s="16"/>
      <c r="T140" s="16"/>
      <c r="U140" s="16"/>
      <c r="V140" s="16"/>
      <c r="W140" s="16"/>
      <c r="X140" s="16"/>
      <c r="Y140" s="18"/>
    </row>
    <row r="141" spans="1:25" ht="38.25">
      <c r="A141" s="34" t="s">
        <v>2594</v>
      </c>
      <c r="B141" s="31" t="s">
        <v>2170</v>
      </c>
      <c r="C141" s="33" t="s">
        <v>3817</v>
      </c>
      <c r="D141" s="33" t="s">
        <v>2079</v>
      </c>
      <c r="E141" s="33" t="s">
        <v>3666</v>
      </c>
      <c r="F141" s="33" t="s">
        <v>7256</v>
      </c>
      <c r="G141" s="33" t="s">
        <v>5111</v>
      </c>
      <c r="H141" s="40">
        <f t="shared" si="6"/>
        <v>3.0503797562614579</v>
      </c>
      <c r="I141" s="84">
        <f>AVERAGE(1056, 1190)</f>
        <v>1123</v>
      </c>
      <c r="J141" s="79" t="s">
        <v>6717</v>
      </c>
      <c r="K141" s="102" t="s">
        <v>6980</v>
      </c>
      <c r="L141" s="85"/>
      <c r="M141" s="16"/>
      <c r="N141" s="16"/>
      <c r="O141" s="16"/>
      <c r="P141" s="16"/>
      <c r="Q141" s="16"/>
      <c r="R141" s="16"/>
      <c r="S141" s="16"/>
      <c r="T141" s="16"/>
      <c r="U141" s="16"/>
      <c r="V141" s="16"/>
      <c r="W141" s="16"/>
      <c r="X141" s="16"/>
      <c r="Y141" s="18"/>
    </row>
    <row r="142" spans="1:25" ht="38.25">
      <c r="A142" s="34" t="s">
        <v>2594</v>
      </c>
      <c r="B142" s="31" t="s">
        <v>2170</v>
      </c>
      <c r="C142" s="33" t="s">
        <v>3817</v>
      </c>
      <c r="D142" s="33" t="s">
        <v>2079</v>
      </c>
      <c r="E142" s="33" t="s">
        <v>3666</v>
      </c>
      <c r="F142" s="33" t="s">
        <v>7256</v>
      </c>
      <c r="G142" s="33" t="s">
        <v>5660</v>
      </c>
      <c r="H142" s="40">
        <f t="shared" si="6"/>
        <v>3.1760912590556813</v>
      </c>
      <c r="I142" s="84">
        <v>1500</v>
      </c>
      <c r="J142" s="79" t="s">
        <v>6718</v>
      </c>
      <c r="K142" s="102" t="s">
        <v>6980</v>
      </c>
      <c r="L142" s="85"/>
      <c r="M142" s="16"/>
    </row>
    <row r="143" spans="1:25" ht="38.25">
      <c r="A143" s="34" t="s">
        <v>2594</v>
      </c>
      <c r="B143" s="31" t="s">
        <v>2170</v>
      </c>
      <c r="C143" s="33" t="s">
        <v>3817</v>
      </c>
      <c r="D143" s="33" t="s">
        <v>2079</v>
      </c>
      <c r="E143" s="33" t="s">
        <v>3666</v>
      </c>
      <c r="F143" s="33" t="s">
        <v>7256</v>
      </c>
      <c r="G143" s="33" t="s">
        <v>4784</v>
      </c>
      <c r="H143" s="40">
        <f t="shared" si="6"/>
        <v>3.2366631987034093</v>
      </c>
      <c r="I143" s="84">
        <f>AVERAGE(1769, 1680)</f>
        <v>1724.5</v>
      </c>
      <c r="J143" s="79" t="s">
        <v>6713</v>
      </c>
      <c r="K143" s="102" t="s">
        <v>6980</v>
      </c>
      <c r="L143" s="85"/>
      <c r="M143" s="16"/>
    </row>
    <row r="144" spans="1:25" ht="51">
      <c r="A144" s="34" t="s">
        <v>2594</v>
      </c>
      <c r="B144" s="31" t="s">
        <v>2170</v>
      </c>
      <c r="C144" s="33" t="s">
        <v>3817</v>
      </c>
      <c r="D144" s="33" t="s">
        <v>7115</v>
      </c>
      <c r="E144" s="33" t="s">
        <v>4475</v>
      </c>
      <c r="F144" s="33" t="s">
        <v>4476</v>
      </c>
      <c r="G144" s="33" t="s">
        <v>7114</v>
      </c>
      <c r="H144" s="40">
        <f t="shared" si="6"/>
        <v>3.1903316981702914</v>
      </c>
      <c r="I144" s="84">
        <v>1550</v>
      </c>
      <c r="J144" s="79" t="s">
        <v>6962</v>
      </c>
      <c r="K144" s="102" t="s">
        <v>6980</v>
      </c>
      <c r="L144" s="85"/>
      <c r="M144" s="16"/>
    </row>
    <row r="145" spans="1:13" ht="38.25">
      <c r="A145" s="38" t="s">
        <v>2594</v>
      </c>
      <c r="B145" s="35" t="s">
        <v>2170</v>
      </c>
      <c r="C145" s="36" t="s">
        <v>3817</v>
      </c>
      <c r="D145" s="35" t="s">
        <v>7115</v>
      </c>
      <c r="E145" s="35" t="s">
        <v>4475</v>
      </c>
      <c r="F145" s="35" t="s">
        <v>5817</v>
      </c>
      <c r="G145" s="35" t="s">
        <v>6981</v>
      </c>
      <c r="H145" s="40">
        <f t="shared" si="6"/>
        <v>3.8920946026904804</v>
      </c>
      <c r="I145" s="105">
        <v>7800</v>
      </c>
      <c r="J145" s="81" t="s">
        <v>8094</v>
      </c>
      <c r="K145" s="102" t="s">
        <v>6980</v>
      </c>
      <c r="L145" s="85"/>
      <c r="M145" s="16"/>
    </row>
    <row r="146" spans="1:13" ht="102">
      <c r="A146" s="47" t="s">
        <v>2594</v>
      </c>
      <c r="B146" s="33" t="s">
        <v>2170</v>
      </c>
      <c r="C146" t="s">
        <v>3817</v>
      </c>
      <c r="D146" t="s">
        <v>2551</v>
      </c>
      <c r="E146" t="s">
        <v>2552</v>
      </c>
      <c r="F146" t="s">
        <v>2557</v>
      </c>
      <c r="G146" t="s">
        <v>2349</v>
      </c>
      <c r="H146" s="14">
        <v>3.2</v>
      </c>
      <c r="I146" s="103">
        <v>1600</v>
      </c>
      <c r="J146" s="79" t="s">
        <v>4887</v>
      </c>
      <c r="K146" s="104" t="s">
        <v>6980</v>
      </c>
      <c r="L146" s="82" t="s">
        <v>7021</v>
      </c>
    </row>
    <row r="147" spans="1:13" ht="63.75">
      <c r="A147" s="34" t="s">
        <v>2594</v>
      </c>
      <c r="B147" s="33" t="s">
        <v>2170</v>
      </c>
      <c r="C147" s="33" t="s">
        <v>3817</v>
      </c>
      <c r="D147" s="33" t="s">
        <v>2551</v>
      </c>
      <c r="E147" s="33" t="s">
        <v>7229</v>
      </c>
      <c r="F147" s="33" t="s">
        <v>5164</v>
      </c>
      <c r="G147" s="33" t="s">
        <v>4306</v>
      </c>
      <c r="H147" s="40">
        <v>-999</v>
      </c>
      <c r="I147" s="84">
        <v>-999</v>
      </c>
      <c r="J147" s="79" t="s">
        <v>7765</v>
      </c>
      <c r="K147" s="102" t="s">
        <v>6980</v>
      </c>
      <c r="L147" s="85" t="s">
        <v>7029</v>
      </c>
      <c r="M147" s="16"/>
    </row>
    <row r="148" spans="1:13" ht="38.25">
      <c r="A148" s="34" t="s">
        <v>2594</v>
      </c>
      <c r="B148" s="33" t="s">
        <v>2170</v>
      </c>
      <c r="C148" s="33" t="s">
        <v>3817</v>
      </c>
      <c r="D148" s="33" t="s">
        <v>2551</v>
      </c>
      <c r="E148" s="33" t="s">
        <v>7229</v>
      </c>
      <c r="F148" s="33" t="s">
        <v>5164</v>
      </c>
      <c r="G148" s="33" t="s">
        <v>5532</v>
      </c>
      <c r="H148" s="40">
        <f t="shared" ref="H148:H170" si="7">LOG(I148)</f>
        <v>2.1986570869544226</v>
      </c>
      <c r="I148" s="84">
        <f>AVERAGE(168, 148)</f>
        <v>158</v>
      </c>
      <c r="J148" s="79" t="s">
        <v>7650</v>
      </c>
      <c r="K148" s="102" t="s">
        <v>6980</v>
      </c>
      <c r="L148" s="85"/>
      <c r="M148" s="16"/>
    </row>
    <row r="149" spans="1:13" ht="38.25">
      <c r="A149" s="34" t="s">
        <v>2594</v>
      </c>
      <c r="B149" s="33" t="s">
        <v>2170</v>
      </c>
      <c r="C149" s="33" t="s">
        <v>3817</v>
      </c>
      <c r="D149" s="33" t="s">
        <v>2551</v>
      </c>
      <c r="E149" s="33" t="s">
        <v>7229</v>
      </c>
      <c r="F149" s="33" t="s">
        <v>5164</v>
      </c>
      <c r="G149" s="33" t="s">
        <v>6702</v>
      </c>
      <c r="H149" s="40">
        <f t="shared" si="7"/>
        <v>2.7307822756663893</v>
      </c>
      <c r="I149" s="84">
        <f>AVERAGE(478, 598)</f>
        <v>538</v>
      </c>
      <c r="J149" s="79" t="s">
        <v>7028</v>
      </c>
      <c r="K149" s="102" t="s">
        <v>6980</v>
      </c>
      <c r="L149" s="85"/>
      <c r="M149" s="16"/>
    </row>
    <row r="150" spans="1:13" ht="38.25">
      <c r="A150" s="34" t="s">
        <v>2594</v>
      </c>
      <c r="B150" s="33" t="s">
        <v>2170</v>
      </c>
      <c r="C150" s="33" t="s">
        <v>3817</v>
      </c>
      <c r="D150" s="33" t="s">
        <v>2551</v>
      </c>
      <c r="E150" s="33" t="s">
        <v>7229</v>
      </c>
      <c r="F150" s="33" t="s">
        <v>4816</v>
      </c>
      <c r="G150" s="33" t="s">
        <v>5925</v>
      </c>
      <c r="H150" s="40">
        <f t="shared" si="7"/>
        <v>2.9235030669421045</v>
      </c>
      <c r="I150" s="84">
        <f>AVERAGE(865, 812)</f>
        <v>838.5</v>
      </c>
      <c r="J150" s="79" t="s">
        <v>7767</v>
      </c>
      <c r="K150" s="102" t="s">
        <v>6980</v>
      </c>
      <c r="L150" s="85"/>
      <c r="M150" s="16"/>
    </row>
    <row r="151" spans="1:13" ht="38.25">
      <c r="A151" s="34" t="s">
        <v>2594</v>
      </c>
      <c r="B151" s="33" t="s">
        <v>2170</v>
      </c>
      <c r="C151" s="33" t="s">
        <v>3817</v>
      </c>
      <c r="D151" s="33" t="s">
        <v>2551</v>
      </c>
      <c r="E151" s="33" t="s">
        <v>7229</v>
      </c>
      <c r="F151" s="33" t="s">
        <v>7272</v>
      </c>
      <c r="G151" s="33" t="s">
        <v>5819</v>
      </c>
      <c r="H151" s="40">
        <f t="shared" si="7"/>
        <v>2.9815921172140816</v>
      </c>
      <c r="I151" s="84">
        <f>AVERAGE(1313, 604)</f>
        <v>958.5</v>
      </c>
      <c r="J151" s="79" t="s">
        <v>7000</v>
      </c>
      <c r="K151" s="102" t="s">
        <v>6980</v>
      </c>
      <c r="L151" s="85"/>
      <c r="M151" s="16"/>
    </row>
    <row r="152" spans="1:13" ht="38.25">
      <c r="A152" s="34" t="s">
        <v>2594</v>
      </c>
      <c r="B152" s="33" t="s">
        <v>2618</v>
      </c>
      <c r="C152" s="33" t="s">
        <v>3817</v>
      </c>
      <c r="D152" s="33" t="s">
        <v>2551</v>
      </c>
      <c r="E152" s="33" t="s">
        <v>7229</v>
      </c>
      <c r="F152" s="33" t="s">
        <v>7272</v>
      </c>
      <c r="G152" s="33" t="s">
        <v>5944</v>
      </c>
      <c r="H152" s="40">
        <f t="shared" si="7"/>
        <v>3</v>
      </c>
      <c r="I152" s="84">
        <v>1000</v>
      </c>
      <c r="J152" s="79" t="s">
        <v>7282</v>
      </c>
      <c r="K152" s="102" t="s">
        <v>6980</v>
      </c>
      <c r="L152" s="85"/>
      <c r="M152" s="16"/>
    </row>
    <row r="153" spans="1:13" ht="102">
      <c r="A153" s="34" t="s">
        <v>2594</v>
      </c>
      <c r="B153" s="33" t="s">
        <v>2170</v>
      </c>
      <c r="C153" s="33" t="s">
        <v>3817</v>
      </c>
      <c r="D153" s="33" t="s">
        <v>2551</v>
      </c>
      <c r="E153" s="33" t="s">
        <v>7229</v>
      </c>
      <c r="F153" s="33" t="s">
        <v>7272</v>
      </c>
      <c r="G153" s="33" t="s">
        <v>4446</v>
      </c>
      <c r="H153" s="40">
        <f t="shared" si="7"/>
        <v>3.0413926851582249</v>
      </c>
      <c r="I153" s="84">
        <v>1100</v>
      </c>
      <c r="J153" s="79" t="s">
        <v>7027</v>
      </c>
      <c r="K153" s="102" t="s">
        <v>6980</v>
      </c>
      <c r="L153" s="85" t="s">
        <v>7021</v>
      </c>
      <c r="M153" s="16"/>
    </row>
    <row r="154" spans="1:13" ht="38.25">
      <c r="A154" s="34" t="s">
        <v>2594</v>
      </c>
      <c r="B154" s="33" t="s">
        <v>2750</v>
      </c>
      <c r="C154" s="33" t="s">
        <v>3817</v>
      </c>
      <c r="D154" s="33" t="s">
        <v>2551</v>
      </c>
      <c r="E154" s="33" t="s">
        <v>7229</v>
      </c>
      <c r="F154" s="33" t="s">
        <v>7272</v>
      </c>
      <c r="G154" s="33" t="s">
        <v>4805</v>
      </c>
      <c r="H154" s="40">
        <f t="shared" si="7"/>
        <v>3.0921941206973163</v>
      </c>
      <c r="I154" s="84">
        <f>AVERAGE(1490, 983)</f>
        <v>1236.5</v>
      </c>
      <c r="J154" s="79" t="s">
        <v>7117</v>
      </c>
      <c r="K154" s="102" t="s">
        <v>6980</v>
      </c>
      <c r="L154" s="85"/>
      <c r="M154" s="16"/>
    </row>
    <row r="155" spans="1:13" ht="63.75">
      <c r="A155" s="34" t="s">
        <v>2594</v>
      </c>
      <c r="B155" s="33" t="s">
        <v>2170</v>
      </c>
      <c r="C155" s="33" t="s">
        <v>3817</v>
      </c>
      <c r="D155" s="33" t="s">
        <v>2551</v>
      </c>
      <c r="E155" s="33" t="s">
        <v>7229</v>
      </c>
      <c r="F155" s="33" t="s">
        <v>4816</v>
      </c>
      <c r="G155" s="33" t="s">
        <v>5924</v>
      </c>
      <c r="H155" s="40">
        <f t="shared" si="7"/>
        <v>3.6812412373755872</v>
      </c>
      <c r="I155" s="84">
        <v>4800</v>
      </c>
      <c r="J155" s="79" t="s">
        <v>7035</v>
      </c>
      <c r="K155" s="102" t="s">
        <v>6980</v>
      </c>
      <c r="L155" s="85" t="s">
        <v>7766</v>
      </c>
      <c r="M155" s="16"/>
    </row>
    <row r="156" spans="1:13" ht="114.75">
      <c r="A156" s="34" t="s">
        <v>2594</v>
      </c>
      <c r="B156" s="33" t="s">
        <v>2449</v>
      </c>
      <c r="C156" s="33" t="s">
        <v>3817</v>
      </c>
      <c r="D156" s="33" t="s">
        <v>3618</v>
      </c>
      <c r="E156" s="33" t="s">
        <v>3638</v>
      </c>
      <c r="F156" s="33" t="s">
        <v>6424</v>
      </c>
      <c r="G156" s="33" t="s">
        <v>6425</v>
      </c>
      <c r="H156" s="14" t="e">
        <f t="shared" si="7"/>
        <v>#NUM!</v>
      </c>
      <c r="I156" s="84">
        <v>-999</v>
      </c>
      <c r="J156" s="79" t="s">
        <v>7026</v>
      </c>
      <c r="K156" s="102" t="s">
        <v>6980</v>
      </c>
      <c r="L156" s="79" t="s">
        <v>7551</v>
      </c>
      <c r="M156" s="16"/>
    </row>
    <row r="157" spans="1:13" ht="63.75">
      <c r="A157" s="34" t="s">
        <v>2594</v>
      </c>
      <c r="B157" s="33" t="s">
        <v>2170</v>
      </c>
      <c r="C157" s="33" t="s">
        <v>3817</v>
      </c>
      <c r="D157" s="33" t="s">
        <v>3618</v>
      </c>
      <c r="E157" s="33" t="s">
        <v>3638</v>
      </c>
      <c r="F157" s="33" t="s">
        <v>6602</v>
      </c>
      <c r="G157" s="33" t="s">
        <v>6603</v>
      </c>
      <c r="H157" s="14" t="e">
        <f t="shared" si="7"/>
        <v>#NUM!</v>
      </c>
      <c r="I157" s="84">
        <v>-999</v>
      </c>
      <c r="J157" s="79" t="s">
        <v>6926</v>
      </c>
      <c r="K157" s="102" t="s">
        <v>6980</v>
      </c>
      <c r="L157" s="85"/>
      <c r="M157" s="16"/>
    </row>
    <row r="158" spans="1:13" ht="76.5">
      <c r="A158" s="34" t="s">
        <v>2594</v>
      </c>
      <c r="B158" s="33" t="s">
        <v>2170</v>
      </c>
      <c r="C158" s="33" t="s">
        <v>3817</v>
      </c>
      <c r="D158" s="33" t="s">
        <v>3618</v>
      </c>
      <c r="E158" s="33" t="s">
        <v>3638</v>
      </c>
      <c r="F158" s="33" t="s">
        <v>4275</v>
      </c>
      <c r="G158" s="33" t="s">
        <v>5812</v>
      </c>
      <c r="H158" s="14" t="e">
        <f t="shared" si="7"/>
        <v>#NUM!</v>
      </c>
      <c r="I158" s="84">
        <v>-999</v>
      </c>
      <c r="J158" s="79" t="s">
        <v>7004</v>
      </c>
      <c r="K158" s="102" t="s">
        <v>6980</v>
      </c>
      <c r="L158" s="85" t="s">
        <v>7142</v>
      </c>
      <c r="M158" s="16"/>
    </row>
    <row r="159" spans="1:13" ht="140.25">
      <c r="A159" s="34" t="s">
        <v>2594</v>
      </c>
      <c r="B159" s="33" t="s">
        <v>2170</v>
      </c>
      <c r="C159" s="33" t="s">
        <v>3817</v>
      </c>
      <c r="D159" s="33" t="s">
        <v>3618</v>
      </c>
      <c r="E159" s="33" t="s">
        <v>3638</v>
      </c>
      <c r="F159" s="33" t="s">
        <v>4275</v>
      </c>
      <c r="G159" s="33" t="s">
        <v>5813</v>
      </c>
      <c r="H159" s="14" t="e">
        <f t="shared" si="7"/>
        <v>#NUM!</v>
      </c>
      <c r="I159" s="84">
        <v>-999</v>
      </c>
      <c r="J159" s="79" t="s">
        <v>7657</v>
      </c>
      <c r="K159" s="102" t="s">
        <v>6980</v>
      </c>
      <c r="L159" s="85" t="s">
        <v>7288</v>
      </c>
      <c r="M159" s="16"/>
    </row>
    <row r="160" spans="1:13" ht="76.5">
      <c r="A160" s="34" t="s">
        <v>2594</v>
      </c>
      <c r="B160" s="33" t="s">
        <v>2170</v>
      </c>
      <c r="C160" s="33" t="s">
        <v>3817</v>
      </c>
      <c r="D160" s="33" t="s">
        <v>3618</v>
      </c>
      <c r="E160" s="33" t="s">
        <v>3638</v>
      </c>
      <c r="F160" s="33" t="s">
        <v>4275</v>
      </c>
      <c r="G160" s="33" t="s">
        <v>6760</v>
      </c>
      <c r="H160" s="14" t="e">
        <f t="shared" si="7"/>
        <v>#NUM!</v>
      </c>
      <c r="I160" s="84">
        <v>-999</v>
      </c>
      <c r="J160" s="79" t="s">
        <v>7564</v>
      </c>
      <c r="K160" s="102" t="s">
        <v>6980</v>
      </c>
      <c r="L160" s="85" t="s">
        <v>7143</v>
      </c>
      <c r="M160" s="16"/>
    </row>
    <row r="161" spans="1:13" ht="38.25">
      <c r="A161" s="34" t="s">
        <v>2594</v>
      </c>
      <c r="B161" s="33" t="s">
        <v>2170</v>
      </c>
      <c r="C161" s="33" t="s">
        <v>3817</v>
      </c>
      <c r="D161" s="33" t="s">
        <v>3618</v>
      </c>
      <c r="E161" s="33" t="s">
        <v>3638</v>
      </c>
      <c r="F161" s="33" t="s">
        <v>2996</v>
      </c>
      <c r="G161" s="33" t="s">
        <v>4038</v>
      </c>
      <c r="H161" s="14" t="e">
        <f t="shared" si="7"/>
        <v>#NUM!</v>
      </c>
      <c r="I161" s="84">
        <v>-999</v>
      </c>
      <c r="J161" s="79" t="s">
        <v>7680</v>
      </c>
      <c r="K161" s="102" t="s">
        <v>6980</v>
      </c>
      <c r="L161" s="85"/>
      <c r="M161" s="16"/>
    </row>
    <row r="162" spans="1:13" ht="114.75">
      <c r="A162" s="34" t="s">
        <v>2594</v>
      </c>
      <c r="B162" s="33" t="s">
        <v>2170</v>
      </c>
      <c r="C162" s="33" t="s">
        <v>3817</v>
      </c>
      <c r="D162" s="33" t="s">
        <v>3618</v>
      </c>
      <c r="E162" s="33" t="s">
        <v>3638</v>
      </c>
      <c r="F162" s="33" t="s">
        <v>3207</v>
      </c>
      <c r="G162" s="33" t="s">
        <v>2076</v>
      </c>
      <c r="H162" s="14" t="e">
        <f t="shared" si="7"/>
        <v>#NUM!</v>
      </c>
      <c r="I162" s="84">
        <v>-999</v>
      </c>
      <c r="J162" s="79" t="s">
        <v>6870</v>
      </c>
      <c r="K162" s="102" t="s">
        <v>6980</v>
      </c>
      <c r="L162" s="85" t="s">
        <v>8178</v>
      </c>
      <c r="M162" s="16"/>
    </row>
    <row r="163" spans="1:13" ht="127.5">
      <c r="A163" s="34" t="s">
        <v>2594</v>
      </c>
      <c r="B163" s="33" t="s">
        <v>2170</v>
      </c>
      <c r="C163" s="33" t="s">
        <v>3817</v>
      </c>
      <c r="D163" s="33" t="s">
        <v>3618</v>
      </c>
      <c r="E163" s="33" t="s">
        <v>3638</v>
      </c>
      <c r="F163" s="33" t="s">
        <v>3941</v>
      </c>
      <c r="G163" s="33" t="s">
        <v>3786</v>
      </c>
      <c r="H163" s="14" t="e">
        <f t="shared" si="7"/>
        <v>#NUM!</v>
      </c>
      <c r="I163" s="84">
        <v>-999</v>
      </c>
      <c r="J163" s="79" t="s">
        <v>6787</v>
      </c>
      <c r="K163" s="102" t="s">
        <v>6980</v>
      </c>
      <c r="L163" s="85"/>
      <c r="M163" s="16"/>
    </row>
    <row r="164" spans="1:13" ht="38.25">
      <c r="A164" s="34" t="s">
        <v>2594</v>
      </c>
      <c r="B164" s="33" t="s">
        <v>2170</v>
      </c>
      <c r="C164" s="33" t="s">
        <v>3817</v>
      </c>
      <c r="D164" s="33" t="s">
        <v>3618</v>
      </c>
      <c r="E164" s="33" t="s">
        <v>3638</v>
      </c>
      <c r="F164" s="33" t="s">
        <v>3941</v>
      </c>
      <c r="G164" s="33" t="s">
        <v>2183</v>
      </c>
      <c r="H164" s="14" t="e">
        <f t="shared" si="7"/>
        <v>#NUM!</v>
      </c>
      <c r="I164" s="84">
        <v>-999</v>
      </c>
      <c r="J164" s="79" t="s">
        <v>6715</v>
      </c>
      <c r="K164" s="102" t="s">
        <v>6980</v>
      </c>
      <c r="L164" s="85" t="s">
        <v>6716</v>
      </c>
      <c r="M164" s="16"/>
    </row>
    <row r="165" spans="1:13" ht="127.5">
      <c r="A165" s="34" t="s">
        <v>2594</v>
      </c>
      <c r="B165" s="33" t="s">
        <v>2170</v>
      </c>
      <c r="C165" s="33" t="s">
        <v>3817</v>
      </c>
      <c r="D165" s="33" t="s">
        <v>3618</v>
      </c>
      <c r="E165" s="33" t="s">
        <v>3638</v>
      </c>
      <c r="F165" s="33" t="s">
        <v>3941</v>
      </c>
      <c r="G165" s="33" t="s">
        <v>6312</v>
      </c>
      <c r="H165" s="14" t="e">
        <f t="shared" si="7"/>
        <v>#NUM!</v>
      </c>
      <c r="I165" s="84">
        <v>-999</v>
      </c>
      <c r="J165" s="79" t="s">
        <v>6921</v>
      </c>
      <c r="K165" s="102" t="s">
        <v>6980</v>
      </c>
      <c r="L165" s="85"/>
      <c r="M165" s="16"/>
    </row>
    <row r="166" spans="1:13" ht="38.25">
      <c r="A166" s="34" t="s">
        <v>2594</v>
      </c>
      <c r="B166" s="33" t="s">
        <v>2170</v>
      </c>
      <c r="C166" s="33" t="s">
        <v>3817</v>
      </c>
      <c r="D166" s="33" t="s">
        <v>3618</v>
      </c>
      <c r="E166" s="33" t="s">
        <v>3638</v>
      </c>
      <c r="F166" s="33" t="s">
        <v>3941</v>
      </c>
      <c r="G166" s="33" t="s">
        <v>3125</v>
      </c>
      <c r="H166" s="14" t="e">
        <f t="shared" si="7"/>
        <v>#NUM!</v>
      </c>
      <c r="I166" s="84">
        <v>-999</v>
      </c>
      <c r="J166" s="79" t="s">
        <v>7304</v>
      </c>
      <c r="K166" s="102" t="s">
        <v>6980</v>
      </c>
      <c r="L166" s="85"/>
      <c r="M166" s="16"/>
    </row>
    <row r="167" spans="1:13" ht="39">
      <c r="A167" s="34" t="s">
        <v>2594</v>
      </c>
      <c r="B167" s="33" t="s">
        <v>2170</v>
      </c>
      <c r="C167" s="33" t="s">
        <v>3817</v>
      </c>
      <c r="D167" s="33" t="s">
        <v>3618</v>
      </c>
      <c r="E167" s="33" t="s">
        <v>3638</v>
      </c>
      <c r="F167" s="33" t="s">
        <v>5169</v>
      </c>
      <c r="G167" s="33" t="s">
        <v>6697</v>
      </c>
      <c r="H167" s="14" t="e">
        <f t="shared" si="7"/>
        <v>#NUM!</v>
      </c>
      <c r="I167" s="84">
        <v>-999</v>
      </c>
      <c r="J167" s="84" t="s">
        <v>5383</v>
      </c>
      <c r="K167" s="102" t="s">
        <v>6980</v>
      </c>
      <c r="L167" s="89"/>
      <c r="M167" s="16"/>
    </row>
    <row r="168" spans="1:13" ht="77.25">
      <c r="A168" s="34" t="s">
        <v>2594</v>
      </c>
      <c r="B168" s="31" t="s">
        <v>2170</v>
      </c>
      <c r="C168" s="33" t="s">
        <v>3817</v>
      </c>
      <c r="D168" s="33" t="s">
        <v>3618</v>
      </c>
      <c r="E168" s="33" t="s">
        <v>3638</v>
      </c>
      <c r="F168" s="33" t="s">
        <v>5827</v>
      </c>
      <c r="G168" s="33" t="s">
        <v>5818</v>
      </c>
      <c r="H168" s="14" t="e">
        <f t="shared" si="7"/>
        <v>#NUM!</v>
      </c>
      <c r="I168" s="84">
        <v>-999</v>
      </c>
      <c r="J168" s="79" t="s">
        <v>6841</v>
      </c>
      <c r="K168" s="102" t="s">
        <v>6980</v>
      </c>
      <c r="L168" s="89"/>
      <c r="M168" s="16"/>
    </row>
    <row r="169" spans="1:13" ht="51">
      <c r="A169" s="34" t="s">
        <v>2594</v>
      </c>
      <c r="B169" s="33" t="s">
        <v>2170</v>
      </c>
      <c r="C169" s="33" t="s">
        <v>3817</v>
      </c>
      <c r="D169" s="33" t="s">
        <v>3618</v>
      </c>
      <c r="E169" s="33" t="s">
        <v>3638</v>
      </c>
      <c r="F169" s="33" t="s">
        <v>7644</v>
      </c>
      <c r="G169" s="33" t="s">
        <v>4725</v>
      </c>
      <c r="H169" s="14" t="e">
        <f t="shared" si="7"/>
        <v>#NUM!</v>
      </c>
      <c r="I169" s="84">
        <v>-999</v>
      </c>
      <c r="J169" s="79" t="s">
        <v>7047</v>
      </c>
      <c r="K169" s="102" t="s">
        <v>6980</v>
      </c>
      <c r="L169" s="85"/>
      <c r="M169" s="16"/>
    </row>
    <row r="170" spans="1:13" ht="39">
      <c r="A170" s="34" t="s">
        <v>2594</v>
      </c>
      <c r="B170" s="33" t="s">
        <v>2170</v>
      </c>
      <c r="C170" s="33" t="s">
        <v>3817</v>
      </c>
      <c r="D170" s="33" t="s">
        <v>3618</v>
      </c>
      <c r="E170" s="33" t="s">
        <v>3638</v>
      </c>
      <c r="F170" s="33" t="s">
        <v>5169</v>
      </c>
      <c r="G170" s="33" t="s">
        <v>4206</v>
      </c>
      <c r="H170" s="14">
        <f t="shared" si="7"/>
        <v>1.0107238653917732</v>
      </c>
      <c r="I170" s="84">
        <f>AVERAGE(9, 11.5)</f>
        <v>10.25</v>
      </c>
      <c r="J170" s="79" t="s">
        <v>5190</v>
      </c>
      <c r="K170" s="102" t="s">
        <v>6980</v>
      </c>
      <c r="L170" s="89"/>
      <c r="M170" s="16"/>
    </row>
    <row r="171" spans="1:13" ht="76.5">
      <c r="A171" s="34" t="s">
        <v>2594</v>
      </c>
      <c r="B171" s="33" t="s">
        <v>2170</v>
      </c>
      <c r="C171" s="33" t="s">
        <v>3817</v>
      </c>
      <c r="D171" s="33" t="s">
        <v>3618</v>
      </c>
      <c r="E171" s="33" t="s">
        <v>3638</v>
      </c>
      <c r="F171" s="33" t="s">
        <v>7414</v>
      </c>
      <c r="G171" s="33" t="s">
        <v>7415</v>
      </c>
      <c r="H171" s="40">
        <v>1.0413926851582251</v>
      </c>
      <c r="I171" s="84">
        <v>11</v>
      </c>
      <c r="J171" s="79" t="s">
        <v>5214</v>
      </c>
      <c r="K171" s="102">
        <v>59</v>
      </c>
      <c r="L171" s="85" t="s">
        <v>7021</v>
      </c>
      <c r="M171" s="16"/>
    </row>
    <row r="172" spans="1:13" ht="38.25">
      <c r="A172" s="34" t="s">
        <v>2594</v>
      </c>
      <c r="B172" s="33" t="s">
        <v>2170</v>
      </c>
      <c r="C172" s="33" t="s">
        <v>3817</v>
      </c>
      <c r="D172" s="33" t="s">
        <v>3618</v>
      </c>
      <c r="E172" s="33" t="s">
        <v>3638</v>
      </c>
      <c r="F172" s="33" t="s">
        <v>3165</v>
      </c>
      <c r="G172" s="33" t="s">
        <v>3166</v>
      </c>
      <c r="H172" s="14">
        <f t="shared" ref="H172:H191" si="8">LOG(I172)</f>
        <v>1.1522883443830565</v>
      </c>
      <c r="I172" s="84">
        <f>AVERAGE(14.3, 14.1)</f>
        <v>14.2</v>
      </c>
      <c r="J172" s="79" t="s">
        <v>8177</v>
      </c>
      <c r="K172" s="102" t="s">
        <v>6980</v>
      </c>
      <c r="L172" s="85"/>
      <c r="M172" s="16"/>
    </row>
    <row r="173" spans="1:13" ht="38.25">
      <c r="A173" s="34" t="s">
        <v>2594</v>
      </c>
      <c r="B173" s="31" t="s">
        <v>2170</v>
      </c>
      <c r="C173" s="33" t="s">
        <v>3817</v>
      </c>
      <c r="D173" s="33" t="s">
        <v>3618</v>
      </c>
      <c r="E173" s="33" t="s">
        <v>3638</v>
      </c>
      <c r="F173" s="33" t="s">
        <v>7504</v>
      </c>
      <c r="G173" s="33" t="s">
        <v>4557</v>
      </c>
      <c r="H173" s="14">
        <f t="shared" si="8"/>
        <v>1.2253092817258628</v>
      </c>
      <c r="I173" s="84">
        <f>AVERAGE(16.2, 17.4)</f>
        <v>16.799999999999997</v>
      </c>
      <c r="J173" s="79" t="s">
        <v>5209</v>
      </c>
      <c r="K173" s="102" t="s">
        <v>6980</v>
      </c>
      <c r="L173" s="85"/>
      <c r="M173" s="16"/>
    </row>
    <row r="174" spans="1:13" ht="38.25">
      <c r="A174" s="34" t="s">
        <v>2594</v>
      </c>
      <c r="B174" s="33" t="s">
        <v>2170</v>
      </c>
      <c r="C174" s="33" t="s">
        <v>3817</v>
      </c>
      <c r="D174" s="33" t="s">
        <v>3618</v>
      </c>
      <c r="E174" s="33" t="s">
        <v>3638</v>
      </c>
      <c r="F174" s="33" t="s">
        <v>6290</v>
      </c>
      <c r="G174" s="33" t="s">
        <v>4847</v>
      </c>
      <c r="H174" s="14">
        <f t="shared" si="8"/>
        <v>1.2730012720637376</v>
      </c>
      <c r="I174" s="84">
        <f>AVERAGE(19.5, 18)</f>
        <v>18.75</v>
      </c>
      <c r="J174" s="79" t="s">
        <v>5213</v>
      </c>
      <c r="K174" s="102" t="s">
        <v>6980</v>
      </c>
      <c r="L174" s="85"/>
      <c r="M174" s="16"/>
    </row>
    <row r="175" spans="1:13" ht="38.25">
      <c r="A175" s="34" t="s">
        <v>2594</v>
      </c>
      <c r="B175" s="33" t="s">
        <v>2170</v>
      </c>
      <c r="C175" s="33" t="s">
        <v>3817</v>
      </c>
      <c r="D175" s="33" t="s">
        <v>3618</v>
      </c>
      <c r="E175" s="33" t="s">
        <v>3638</v>
      </c>
      <c r="F175" s="33" t="s">
        <v>7504</v>
      </c>
      <c r="G175" s="33" t="s">
        <v>4843</v>
      </c>
      <c r="H175" s="14">
        <f t="shared" si="8"/>
        <v>1.3404441148401183</v>
      </c>
      <c r="I175" s="84">
        <f>AVERAGE(24, 19.8)</f>
        <v>21.9</v>
      </c>
      <c r="J175" s="79" t="s">
        <v>5210</v>
      </c>
      <c r="K175" s="102" t="s">
        <v>6980</v>
      </c>
      <c r="L175" s="85"/>
      <c r="M175" s="16"/>
    </row>
    <row r="176" spans="1:13" ht="38.25">
      <c r="A176" s="34" t="s">
        <v>2594</v>
      </c>
      <c r="B176" s="33" t="s">
        <v>2170</v>
      </c>
      <c r="C176" s="33" t="s">
        <v>3817</v>
      </c>
      <c r="D176" s="33" t="s">
        <v>3618</v>
      </c>
      <c r="E176" s="33" t="s">
        <v>3638</v>
      </c>
      <c r="F176" s="33" t="s">
        <v>8199</v>
      </c>
      <c r="G176" s="33" t="s">
        <v>8200</v>
      </c>
      <c r="H176" s="14">
        <f t="shared" si="8"/>
        <v>1.3521825181113625</v>
      </c>
      <c r="I176" s="84">
        <v>22.5</v>
      </c>
      <c r="J176" s="79" t="s">
        <v>7284</v>
      </c>
      <c r="K176" s="102" t="s">
        <v>6980</v>
      </c>
      <c r="L176" s="85"/>
      <c r="M176" s="16"/>
    </row>
    <row r="177" spans="1:13" ht="38.25">
      <c r="A177" s="34" t="s">
        <v>2594</v>
      </c>
      <c r="B177" s="33" t="s">
        <v>2170</v>
      </c>
      <c r="C177" s="33" t="s">
        <v>3817</v>
      </c>
      <c r="D177" s="33" t="s">
        <v>3618</v>
      </c>
      <c r="E177" s="33" t="s">
        <v>3638</v>
      </c>
      <c r="F177" s="33" t="s">
        <v>6602</v>
      </c>
      <c r="G177" s="33" t="s">
        <v>6604</v>
      </c>
      <c r="H177" s="14">
        <f t="shared" si="8"/>
        <v>1.4727564493172123</v>
      </c>
      <c r="I177" s="84">
        <f>AVERAGE(33.4, 26)</f>
        <v>29.7</v>
      </c>
      <c r="J177" s="79" t="s">
        <v>7057</v>
      </c>
      <c r="K177" s="102" t="s">
        <v>6980</v>
      </c>
      <c r="L177" s="85"/>
      <c r="M177" s="16"/>
    </row>
    <row r="178" spans="1:13" ht="39">
      <c r="A178" s="34" t="s">
        <v>2594</v>
      </c>
      <c r="B178" s="33" t="s">
        <v>2170</v>
      </c>
      <c r="C178" s="33" t="s">
        <v>3817</v>
      </c>
      <c r="D178" s="33" t="s">
        <v>3618</v>
      </c>
      <c r="E178" s="33" t="s">
        <v>3638</v>
      </c>
      <c r="F178" s="33" t="s">
        <v>5384</v>
      </c>
      <c r="G178" s="33" t="s">
        <v>5385</v>
      </c>
      <c r="H178" s="14">
        <f t="shared" si="8"/>
        <v>1.5185139398778875</v>
      </c>
      <c r="I178" s="84">
        <v>33</v>
      </c>
      <c r="J178" s="79" t="s">
        <v>5208</v>
      </c>
      <c r="K178" s="102" t="s">
        <v>6980</v>
      </c>
      <c r="L178" s="89"/>
      <c r="M178" s="16"/>
    </row>
    <row r="179" spans="1:13" ht="38.25">
      <c r="A179" s="34" t="s">
        <v>2594</v>
      </c>
      <c r="B179" s="33" t="s">
        <v>2170</v>
      </c>
      <c r="C179" s="33" t="s">
        <v>3817</v>
      </c>
      <c r="D179" s="33" t="s">
        <v>3618</v>
      </c>
      <c r="E179" s="33" t="s">
        <v>3638</v>
      </c>
      <c r="F179" s="33" t="s">
        <v>2996</v>
      </c>
      <c r="G179" s="33" t="s">
        <v>2994</v>
      </c>
      <c r="H179" s="14">
        <f t="shared" si="8"/>
        <v>1.6319508262592171</v>
      </c>
      <c r="I179" s="84">
        <f>AVERAGE(43.7, 42)</f>
        <v>42.85</v>
      </c>
      <c r="J179" s="79" t="s">
        <v>7679</v>
      </c>
      <c r="K179" s="102" t="s">
        <v>6980</v>
      </c>
      <c r="L179" s="85"/>
      <c r="M179" s="16"/>
    </row>
    <row r="180" spans="1:13" ht="38.25">
      <c r="A180" s="34" t="s">
        <v>2594</v>
      </c>
      <c r="B180" s="33" t="s">
        <v>2170</v>
      </c>
      <c r="C180" s="33" t="s">
        <v>3817</v>
      </c>
      <c r="D180" s="33" t="s">
        <v>3618</v>
      </c>
      <c r="E180" s="33" t="s">
        <v>3638</v>
      </c>
      <c r="F180" s="33" t="s">
        <v>4177</v>
      </c>
      <c r="G180" s="33" t="s">
        <v>8312</v>
      </c>
      <c r="H180" s="14">
        <f t="shared" si="8"/>
        <v>1.6369891018122291</v>
      </c>
      <c r="I180" s="84">
        <f>AVERAGE(46.7, 40)</f>
        <v>43.35</v>
      </c>
      <c r="J180" s="79" t="s">
        <v>6720</v>
      </c>
      <c r="K180" s="102" t="s">
        <v>6980</v>
      </c>
      <c r="L180" s="85"/>
      <c r="M180" s="16"/>
    </row>
    <row r="181" spans="1:13" ht="38.25">
      <c r="A181" s="34" t="s">
        <v>2594</v>
      </c>
      <c r="B181" s="33" t="s">
        <v>2170</v>
      </c>
      <c r="C181" s="33" t="s">
        <v>3817</v>
      </c>
      <c r="D181" s="33" t="s">
        <v>3618</v>
      </c>
      <c r="E181" s="33" t="s">
        <v>3638</v>
      </c>
      <c r="F181" s="33" t="s">
        <v>4177</v>
      </c>
      <c r="G181" s="33" t="s">
        <v>2349</v>
      </c>
      <c r="H181" s="14">
        <f t="shared" si="8"/>
        <v>1.6522463410033232</v>
      </c>
      <c r="I181" s="84">
        <f>AVERAGE(44.7, 45.1)</f>
        <v>44.900000000000006</v>
      </c>
      <c r="J181" s="79" t="s">
        <v>6721</v>
      </c>
      <c r="K181" s="102" t="s">
        <v>6980</v>
      </c>
      <c r="L181" s="85"/>
      <c r="M181" s="16"/>
    </row>
    <row r="182" spans="1:13" ht="38.25">
      <c r="A182" s="34" t="s">
        <v>2594</v>
      </c>
      <c r="B182" s="33" t="s">
        <v>2449</v>
      </c>
      <c r="C182" s="33" t="s">
        <v>3817</v>
      </c>
      <c r="D182" s="33" t="s">
        <v>3618</v>
      </c>
      <c r="E182" s="33" t="s">
        <v>3638</v>
      </c>
      <c r="F182" s="33" t="s">
        <v>6424</v>
      </c>
      <c r="G182" s="33" t="s">
        <v>6426</v>
      </c>
      <c r="H182" s="14">
        <f t="shared" si="8"/>
        <v>1.658488381309017</v>
      </c>
      <c r="I182" s="84">
        <f>AVERAGE(47.7, 43.4)</f>
        <v>45.55</v>
      </c>
      <c r="J182" s="79" t="s">
        <v>6839</v>
      </c>
      <c r="K182" s="102" t="s">
        <v>6980</v>
      </c>
      <c r="L182" s="85"/>
      <c r="M182" s="16"/>
    </row>
    <row r="183" spans="1:13" ht="38.25">
      <c r="A183" s="34" t="s">
        <v>2594</v>
      </c>
      <c r="B183" s="31" t="s">
        <v>2170</v>
      </c>
      <c r="C183" s="33" t="s">
        <v>3817</v>
      </c>
      <c r="D183" s="33" t="s">
        <v>3618</v>
      </c>
      <c r="E183" s="33" t="s">
        <v>3638</v>
      </c>
      <c r="F183" s="33" t="s">
        <v>7770</v>
      </c>
      <c r="G183" s="33" t="s">
        <v>4331</v>
      </c>
      <c r="H183" s="14">
        <f t="shared" si="8"/>
        <v>1.6637009253896482</v>
      </c>
      <c r="I183" s="84">
        <f>AVERAGE(49.9, 42.3)</f>
        <v>46.099999999999994</v>
      </c>
      <c r="J183" s="79" t="s">
        <v>6932</v>
      </c>
      <c r="K183" s="102" t="s">
        <v>6980</v>
      </c>
      <c r="L183" s="85"/>
      <c r="M183" s="16"/>
    </row>
    <row r="184" spans="1:13" ht="38.25">
      <c r="A184" s="47" t="s">
        <v>2594</v>
      </c>
      <c r="B184" t="s">
        <v>2170</v>
      </c>
      <c r="C184" s="33" t="s">
        <v>3817</v>
      </c>
      <c r="D184" s="33" t="s">
        <v>3618</v>
      </c>
      <c r="E184" s="33" t="s">
        <v>3638</v>
      </c>
      <c r="F184" s="33" t="s">
        <v>3941</v>
      </c>
      <c r="G184" s="33" t="s">
        <v>5448</v>
      </c>
      <c r="H184" s="14">
        <f t="shared" si="8"/>
        <v>1.6679196853173615</v>
      </c>
      <c r="I184" s="84">
        <f>AVERAGE(48.2, 44.9)</f>
        <v>46.55</v>
      </c>
      <c r="J184" s="79" t="s">
        <v>7056</v>
      </c>
      <c r="K184" s="102" t="s">
        <v>6980</v>
      </c>
      <c r="L184" s="85"/>
      <c r="M184" s="16"/>
    </row>
    <row r="185" spans="1:13" ht="38.25">
      <c r="A185" s="34" t="s">
        <v>2594</v>
      </c>
      <c r="B185" s="33" t="s">
        <v>2449</v>
      </c>
      <c r="C185" s="33" t="s">
        <v>3817</v>
      </c>
      <c r="D185" s="33" t="s">
        <v>3618</v>
      </c>
      <c r="E185" s="33" t="s">
        <v>3638</v>
      </c>
      <c r="F185" s="33" t="s">
        <v>6424</v>
      </c>
      <c r="G185" s="33" t="s">
        <v>7328</v>
      </c>
      <c r="H185" s="14">
        <f t="shared" si="8"/>
        <v>1.6739419986340878</v>
      </c>
      <c r="I185" s="84">
        <f>AVERAGE(50.4, 44)</f>
        <v>47.2</v>
      </c>
      <c r="J185" s="79" t="s">
        <v>7106</v>
      </c>
      <c r="K185" s="102" t="s">
        <v>6980</v>
      </c>
      <c r="L185" s="85" t="s">
        <v>7141</v>
      </c>
      <c r="M185" s="16"/>
    </row>
    <row r="186" spans="1:13" ht="38.25">
      <c r="A186" s="34" t="s">
        <v>2594</v>
      </c>
      <c r="B186" s="33" t="s">
        <v>2170</v>
      </c>
      <c r="C186" s="33" t="s">
        <v>3817</v>
      </c>
      <c r="D186" s="33" t="s">
        <v>3618</v>
      </c>
      <c r="E186" s="33" t="s">
        <v>3638</v>
      </c>
      <c r="F186" s="33" t="s">
        <v>4177</v>
      </c>
      <c r="G186" s="33" t="s">
        <v>5830</v>
      </c>
      <c r="H186" s="14">
        <f t="shared" si="8"/>
        <v>1.7028611705729293</v>
      </c>
      <c r="I186" s="84">
        <f>AVERAGE(49.4, 51.5)</f>
        <v>50.45</v>
      </c>
      <c r="J186" s="79" t="s">
        <v>8319</v>
      </c>
      <c r="K186" s="102" t="s">
        <v>6980</v>
      </c>
      <c r="L186" s="85"/>
      <c r="M186" s="16"/>
    </row>
    <row r="187" spans="1:13" ht="51.75">
      <c r="A187" s="34" t="s">
        <v>2594</v>
      </c>
      <c r="B187" s="31" t="s">
        <v>2170</v>
      </c>
      <c r="C187" s="33" t="s">
        <v>3817</v>
      </c>
      <c r="D187" s="33" t="s">
        <v>3618</v>
      </c>
      <c r="E187" s="33" t="s">
        <v>3638</v>
      </c>
      <c r="F187" s="33" t="s">
        <v>5827</v>
      </c>
      <c r="G187" s="33" t="s">
        <v>5829</v>
      </c>
      <c r="H187" s="14">
        <f t="shared" si="8"/>
        <v>1.7160033436347992</v>
      </c>
      <c r="I187" s="84">
        <v>52</v>
      </c>
      <c r="J187" s="79" t="s">
        <v>7527</v>
      </c>
      <c r="K187" s="102" t="s">
        <v>6980</v>
      </c>
      <c r="L187" s="89"/>
      <c r="M187" s="16"/>
    </row>
    <row r="188" spans="1:13" ht="39">
      <c r="A188" s="34" t="s">
        <v>2594</v>
      </c>
      <c r="B188" s="33" t="s">
        <v>2170</v>
      </c>
      <c r="C188" s="33" t="s">
        <v>3817</v>
      </c>
      <c r="D188" s="33" t="s">
        <v>3618</v>
      </c>
      <c r="E188" s="33" t="s">
        <v>3638</v>
      </c>
      <c r="F188" s="33" t="s">
        <v>5384</v>
      </c>
      <c r="G188" s="33" t="s">
        <v>4076</v>
      </c>
      <c r="H188" s="14">
        <f t="shared" si="8"/>
        <v>1.7403626894942439</v>
      </c>
      <c r="I188" s="84">
        <f>AVERAGE(54, 56)</f>
        <v>55</v>
      </c>
      <c r="J188" s="79" t="s">
        <v>7768</v>
      </c>
      <c r="K188" s="102" t="s">
        <v>6980</v>
      </c>
      <c r="L188" s="89"/>
      <c r="M188" s="16"/>
    </row>
    <row r="189" spans="1:13" ht="39">
      <c r="A189" s="47" t="s">
        <v>2594</v>
      </c>
      <c r="B189" t="s">
        <v>2170</v>
      </c>
      <c r="C189" s="33" t="s">
        <v>3817</v>
      </c>
      <c r="D189" s="33" t="s">
        <v>3618</v>
      </c>
      <c r="E189" s="33" t="s">
        <v>3638</v>
      </c>
      <c r="F189" s="33" t="s">
        <v>3941</v>
      </c>
      <c r="G189" s="33" t="s">
        <v>4446</v>
      </c>
      <c r="H189" s="14">
        <f t="shared" si="8"/>
        <v>1.7788744720027394</v>
      </c>
      <c r="I189" s="84">
        <f>AVERAGE(60.4, 59.8)</f>
        <v>60.099999999999994</v>
      </c>
      <c r="J189" s="79" t="s">
        <v>7016</v>
      </c>
      <c r="K189" s="102" t="s">
        <v>6980</v>
      </c>
      <c r="L189" s="89"/>
      <c r="M189" s="16"/>
    </row>
    <row r="190" spans="1:13" ht="38.25">
      <c r="A190" s="34" t="s">
        <v>2594</v>
      </c>
      <c r="B190" s="31" t="s">
        <v>2170</v>
      </c>
      <c r="C190" s="33" t="s">
        <v>3817</v>
      </c>
      <c r="D190" s="33" t="s">
        <v>3618</v>
      </c>
      <c r="E190" s="33" t="s">
        <v>3638</v>
      </c>
      <c r="F190" s="33" t="s">
        <v>7770</v>
      </c>
      <c r="G190" s="33" t="s">
        <v>4206</v>
      </c>
      <c r="H190" s="14">
        <f t="shared" si="8"/>
        <v>1.8082109729242219</v>
      </c>
      <c r="I190" s="84">
        <f>AVERAGE(69.6, 59)</f>
        <v>64.3</v>
      </c>
      <c r="J190" s="79" t="s">
        <v>6934</v>
      </c>
      <c r="K190" s="102" t="s">
        <v>6980</v>
      </c>
      <c r="L190" s="85"/>
      <c r="M190" s="16"/>
    </row>
    <row r="191" spans="1:13" ht="38.25">
      <c r="A191" s="34" t="s">
        <v>2594</v>
      </c>
      <c r="B191" s="33" t="s">
        <v>2170</v>
      </c>
      <c r="C191" s="33" t="s">
        <v>3817</v>
      </c>
      <c r="D191" s="33" t="s">
        <v>3618</v>
      </c>
      <c r="E191" s="33" t="s">
        <v>3638</v>
      </c>
      <c r="F191" s="33" t="s">
        <v>7770</v>
      </c>
      <c r="G191" s="33" t="s">
        <v>5100</v>
      </c>
      <c r="H191" s="14">
        <f t="shared" si="8"/>
        <v>1.8276922886744456</v>
      </c>
      <c r="I191" s="84">
        <f>AVERAGE(71, 63.5)</f>
        <v>67.25</v>
      </c>
      <c r="J191" s="79" t="s">
        <v>6868</v>
      </c>
      <c r="K191" s="102" t="s">
        <v>6980</v>
      </c>
      <c r="L191" s="85"/>
      <c r="M191" s="16"/>
    </row>
    <row r="192" spans="1:13" ht="140.25">
      <c r="A192" s="47" t="s">
        <v>2594</v>
      </c>
      <c r="B192" s="33" t="s">
        <v>2170</v>
      </c>
      <c r="C192" t="s">
        <v>3817</v>
      </c>
      <c r="D192" t="s">
        <v>3618</v>
      </c>
      <c r="E192" t="s">
        <v>3638</v>
      </c>
      <c r="F192" t="s">
        <v>3941</v>
      </c>
      <c r="G192" t="s">
        <v>3942</v>
      </c>
      <c r="H192" s="14">
        <v>1.84</v>
      </c>
      <c r="I192" s="103">
        <v>68.5</v>
      </c>
      <c r="J192" s="79" t="s">
        <v>7526</v>
      </c>
      <c r="K192" s="104">
        <v>59</v>
      </c>
      <c r="L192" s="82" t="s">
        <v>7726</v>
      </c>
    </row>
    <row r="193" spans="1:13" ht="114.75">
      <c r="A193" s="34" t="s">
        <v>2594</v>
      </c>
      <c r="B193" s="33" t="s">
        <v>2170</v>
      </c>
      <c r="C193" s="33" t="s">
        <v>3817</v>
      </c>
      <c r="D193" s="33" t="s">
        <v>3618</v>
      </c>
      <c r="E193" s="33" t="s">
        <v>3638</v>
      </c>
      <c r="F193" s="33" t="s">
        <v>7770</v>
      </c>
      <c r="G193" s="33" t="s">
        <v>7102</v>
      </c>
      <c r="H193" s="14">
        <f t="shared" ref="H193:H203" si="9">LOG(I193)</f>
        <v>1.8561244442423004</v>
      </c>
      <c r="I193" s="84">
        <v>71.8</v>
      </c>
      <c r="J193" s="79" t="s">
        <v>6936</v>
      </c>
      <c r="K193" s="102" t="s">
        <v>6980</v>
      </c>
      <c r="L193" s="85" t="s">
        <v>6933</v>
      </c>
      <c r="M193" s="16"/>
    </row>
    <row r="194" spans="1:13" ht="39">
      <c r="A194" s="47" t="s">
        <v>2594</v>
      </c>
      <c r="B194" t="s">
        <v>2170</v>
      </c>
      <c r="C194" s="33" t="s">
        <v>3817</v>
      </c>
      <c r="D194" s="33" t="s">
        <v>3618</v>
      </c>
      <c r="E194" s="33" t="s">
        <v>3638</v>
      </c>
      <c r="F194" s="33" t="s">
        <v>3941</v>
      </c>
      <c r="G194" s="33" t="s">
        <v>8045</v>
      </c>
      <c r="H194" s="14">
        <f t="shared" si="9"/>
        <v>1.885926339801431</v>
      </c>
      <c r="I194" s="84">
        <f>AVERAGE(84.7, 69.1)</f>
        <v>76.900000000000006</v>
      </c>
      <c r="J194" s="79" t="s">
        <v>6923</v>
      </c>
      <c r="K194" s="102" t="s">
        <v>6980</v>
      </c>
      <c r="L194" s="89"/>
      <c r="M194" s="16"/>
    </row>
    <row r="195" spans="1:13" ht="38.25">
      <c r="A195" s="34" t="s">
        <v>2594</v>
      </c>
      <c r="B195" s="31" t="s">
        <v>2170</v>
      </c>
      <c r="C195" s="33" t="s">
        <v>3817</v>
      </c>
      <c r="D195" s="33" t="s">
        <v>3618</v>
      </c>
      <c r="E195" s="33" t="s">
        <v>3638</v>
      </c>
      <c r="F195" s="33" t="s">
        <v>3941</v>
      </c>
      <c r="G195" s="33" t="s">
        <v>8202</v>
      </c>
      <c r="H195" s="14">
        <f t="shared" si="9"/>
        <v>1.9084850188786497</v>
      </c>
      <c r="I195" s="84">
        <v>81</v>
      </c>
      <c r="J195" s="79" t="s">
        <v>7705</v>
      </c>
      <c r="K195" s="102" t="s">
        <v>6980</v>
      </c>
      <c r="L195" s="85"/>
      <c r="M195" s="16"/>
    </row>
    <row r="196" spans="1:13" ht="38.25">
      <c r="A196" s="34" t="s">
        <v>2594</v>
      </c>
      <c r="B196" s="33" t="s">
        <v>2170</v>
      </c>
      <c r="C196" s="33" t="s">
        <v>3817</v>
      </c>
      <c r="D196" s="33" t="s">
        <v>3618</v>
      </c>
      <c r="E196" s="33" t="s">
        <v>3638</v>
      </c>
      <c r="F196" s="33" t="s">
        <v>2996</v>
      </c>
      <c r="G196" s="33" t="s">
        <v>2076</v>
      </c>
      <c r="H196" s="14">
        <f t="shared" si="9"/>
        <v>1.9281397068751198</v>
      </c>
      <c r="I196" s="84">
        <f>AVERAGE(90.5, 79)</f>
        <v>84.75</v>
      </c>
      <c r="J196" s="79" t="s">
        <v>8290</v>
      </c>
      <c r="K196" s="102" t="s">
        <v>6980</v>
      </c>
      <c r="L196" s="85"/>
      <c r="M196" s="16"/>
    </row>
    <row r="197" spans="1:13" ht="38.25">
      <c r="A197" s="34" t="s">
        <v>2594</v>
      </c>
      <c r="B197" s="33" t="s">
        <v>2170</v>
      </c>
      <c r="C197" s="33" t="s">
        <v>3817</v>
      </c>
      <c r="D197" s="33" t="s">
        <v>3618</v>
      </c>
      <c r="E197" s="33" t="s">
        <v>3638</v>
      </c>
      <c r="F197" s="33" t="s">
        <v>3941</v>
      </c>
      <c r="G197" s="33" t="s">
        <v>6675</v>
      </c>
      <c r="H197" s="14">
        <f t="shared" si="9"/>
        <v>1.954483717155552</v>
      </c>
      <c r="I197" s="84">
        <f>AVERAGE(95.1, 85)</f>
        <v>90.05</v>
      </c>
      <c r="J197" s="79" t="s">
        <v>4739</v>
      </c>
      <c r="K197" s="102" t="s">
        <v>6980</v>
      </c>
      <c r="L197" s="85"/>
      <c r="M197" s="16"/>
    </row>
    <row r="198" spans="1:13" ht="38.25">
      <c r="A198" s="34" t="s">
        <v>2594</v>
      </c>
      <c r="B198" s="33" t="s">
        <v>2170</v>
      </c>
      <c r="C198" s="33" t="s">
        <v>3817</v>
      </c>
      <c r="D198" s="33" t="s">
        <v>3618</v>
      </c>
      <c r="E198" s="33" t="s">
        <v>3638</v>
      </c>
      <c r="F198" s="33" t="s">
        <v>4177</v>
      </c>
      <c r="G198" s="33" t="s">
        <v>5512</v>
      </c>
      <c r="H198" s="14">
        <f t="shared" si="9"/>
        <v>1.9795483747040952</v>
      </c>
      <c r="I198" s="84">
        <f>AVERAGE(94.4, 96.4)</f>
        <v>95.4</v>
      </c>
      <c r="J198" s="79" t="s">
        <v>8320</v>
      </c>
      <c r="K198" s="102" t="s">
        <v>6980</v>
      </c>
      <c r="L198" s="85"/>
      <c r="M198" s="16"/>
    </row>
    <row r="199" spans="1:13" ht="38.25">
      <c r="A199" s="34" t="s">
        <v>2594</v>
      </c>
      <c r="B199" s="33" t="s">
        <v>2170</v>
      </c>
      <c r="C199" s="33" t="s">
        <v>3817</v>
      </c>
      <c r="D199" s="33" t="s">
        <v>3618</v>
      </c>
      <c r="E199" s="33" t="s">
        <v>3638</v>
      </c>
      <c r="F199" s="33" t="s">
        <v>3941</v>
      </c>
      <c r="G199" s="33" t="s">
        <v>4045</v>
      </c>
      <c r="H199" s="14">
        <f t="shared" si="9"/>
        <v>2.0354297381845483</v>
      </c>
      <c r="I199" s="84">
        <f>AVERAGE(121, 96)</f>
        <v>108.5</v>
      </c>
      <c r="J199" s="79" t="s">
        <v>6714</v>
      </c>
      <c r="K199" s="102" t="s">
        <v>6980</v>
      </c>
      <c r="L199" s="85"/>
      <c r="M199" s="16"/>
    </row>
    <row r="200" spans="1:13" ht="38.25">
      <c r="A200" s="34" t="s">
        <v>2594</v>
      </c>
      <c r="B200" s="33" t="s">
        <v>2170</v>
      </c>
      <c r="C200" s="33" t="s">
        <v>3817</v>
      </c>
      <c r="D200" s="33" t="s">
        <v>3618</v>
      </c>
      <c r="E200" s="33" t="s">
        <v>3638</v>
      </c>
      <c r="F200" s="33" t="s">
        <v>7770</v>
      </c>
      <c r="G200" s="33" t="s">
        <v>6006</v>
      </c>
      <c r="H200" s="14">
        <f t="shared" si="9"/>
        <v>2.0354297381845483</v>
      </c>
      <c r="I200" s="84">
        <f>AVERAGE(102, 115)</f>
        <v>108.5</v>
      </c>
      <c r="J200" s="79" t="s">
        <v>6887</v>
      </c>
      <c r="K200" s="102" t="s">
        <v>6980</v>
      </c>
      <c r="L200" s="85"/>
      <c r="M200" s="16"/>
    </row>
    <row r="201" spans="1:13" ht="39">
      <c r="A201" s="34" t="s">
        <v>2594</v>
      </c>
      <c r="B201" s="31" t="s">
        <v>2170</v>
      </c>
      <c r="C201" s="33" t="s">
        <v>3817</v>
      </c>
      <c r="D201" s="33" t="s">
        <v>3618</v>
      </c>
      <c r="E201" s="33" t="s">
        <v>3638</v>
      </c>
      <c r="F201" s="33" t="s">
        <v>5827</v>
      </c>
      <c r="G201" s="33" t="s">
        <v>5828</v>
      </c>
      <c r="H201" s="14">
        <f t="shared" si="9"/>
        <v>2.0402066275747113</v>
      </c>
      <c r="I201" s="84">
        <v>109.7</v>
      </c>
      <c r="J201" s="79" t="s">
        <v>8318</v>
      </c>
      <c r="K201" s="102" t="s">
        <v>6980</v>
      </c>
      <c r="L201" s="89"/>
      <c r="M201" s="16"/>
    </row>
    <row r="202" spans="1:13" ht="38.25">
      <c r="A202" s="34" t="s">
        <v>2594</v>
      </c>
      <c r="B202" s="33" t="s">
        <v>2170</v>
      </c>
      <c r="C202" s="33" t="s">
        <v>3817</v>
      </c>
      <c r="D202" s="33" t="s">
        <v>3618</v>
      </c>
      <c r="E202" s="33" t="s">
        <v>3638</v>
      </c>
      <c r="F202" s="33" t="s">
        <v>3941</v>
      </c>
      <c r="G202" s="33" t="s">
        <v>3426</v>
      </c>
      <c r="H202" s="14">
        <f t="shared" si="9"/>
        <v>2.0689276116820721</v>
      </c>
      <c r="I202" s="84">
        <f>AVERAGE(122, 112.4)</f>
        <v>117.2</v>
      </c>
      <c r="J202" s="79" t="s">
        <v>6723</v>
      </c>
      <c r="K202" s="102" t="s">
        <v>6980</v>
      </c>
      <c r="L202" s="85"/>
      <c r="M202" s="16"/>
    </row>
    <row r="203" spans="1:13" ht="38.25">
      <c r="A203" s="34" t="s">
        <v>2594</v>
      </c>
      <c r="B203" s="33" t="s">
        <v>2170</v>
      </c>
      <c r="C203" s="33" t="s">
        <v>3817</v>
      </c>
      <c r="D203" s="33" t="s">
        <v>3618</v>
      </c>
      <c r="E203" s="33" t="s">
        <v>3638</v>
      </c>
      <c r="F203" s="33" t="s">
        <v>7644</v>
      </c>
      <c r="G203" s="33" t="s">
        <v>5182</v>
      </c>
      <c r="H203" s="14">
        <f t="shared" si="9"/>
        <v>2.1238516409670858</v>
      </c>
      <c r="I203" s="84">
        <f>AVERAGE(137, 129)</f>
        <v>133</v>
      </c>
      <c r="J203" s="79" t="s">
        <v>6626</v>
      </c>
      <c r="K203" s="102" t="s">
        <v>6980</v>
      </c>
      <c r="L203" s="85"/>
      <c r="M203" s="16"/>
    </row>
    <row r="204" spans="1:13" ht="38.25">
      <c r="A204" s="47" t="s">
        <v>2594</v>
      </c>
      <c r="B204" s="33" t="s">
        <v>2170</v>
      </c>
      <c r="C204" t="s">
        <v>3817</v>
      </c>
      <c r="D204" t="s">
        <v>3618</v>
      </c>
      <c r="E204" t="s">
        <v>3638</v>
      </c>
      <c r="F204" t="s">
        <v>3737</v>
      </c>
      <c r="G204" t="s">
        <v>3156</v>
      </c>
      <c r="H204" s="14">
        <v>2.19</v>
      </c>
      <c r="I204" s="103">
        <v>153.5</v>
      </c>
      <c r="J204" s="82" t="s">
        <v>5218</v>
      </c>
      <c r="K204" s="104">
        <v>59</v>
      </c>
      <c r="L204" s="82" t="s">
        <v>7021</v>
      </c>
    </row>
    <row r="205" spans="1:13" ht="38.25">
      <c r="A205" s="34" t="s">
        <v>2594</v>
      </c>
      <c r="B205" s="33" t="s">
        <v>2170</v>
      </c>
      <c r="C205" s="33" t="s">
        <v>3817</v>
      </c>
      <c r="D205" s="33" t="s">
        <v>3618</v>
      </c>
      <c r="E205" s="33" t="s">
        <v>3638</v>
      </c>
      <c r="F205" s="33" t="s">
        <v>7644</v>
      </c>
      <c r="G205" s="33" t="s">
        <v>5173</v>
      </c>
      <c r="H205" s="14">
        <f>LOG(I205)</f>
        <v>2.1903316981702914</v>
      </c>
      <c r="I205" s="84">
        <f>AVERAGE(155, 155)</f>
        <v>155</v>
      </c>
      <c r="J205" s="79" t="s">
        <v>7314</v>
      </c>
      <c r="K205" s="102" t="s">
        <v>6980</v>
      </c>
      <c r="L205" s="85"/>
      <c r="M205" s="16"/>
    </row>
    <row r="206" spans="1:13" ht="51">
      <c r="A206" s="34" t="s">
        <v>2594</v>
      </c>
      <c r="B206" s="33" t="s">
        <v>2170</v>
      </c>
      <c r="C206" t="s">
        <v>3817</v>
      </c>
      <c r="D206" t="s">
        <v>3618</v>
      </c>
      <c r="E206" t="s">
        <v>3638</v>
      </c>
      <c r="F206" t="s">
        <v>7644</v>
      </c>
      <c r="G206" t="s">
        <v>6734</v>
      </c>
      <c r="H206" s="14">
        <f>LOG(I206)</f>
        <v>2.1972805581256192</v>
      </c>
      <c r="I206" s="103">
        <v>157.5</v>
      </c>
      <c r="J206" s="79" t="s">
        <v>7519</v>
      </c>
      <c r="K206" s="104">
        <v>59</v>
      </c>
      <c r="L206" s="82" t="s">
        <v>7021</v>
      </c>
    </row>
    <row r="207" spans="1:13" ht="38.25">
      <c r="A207" s="34" t="s">
        <v>2594</v>
      </c>
      <c r="B207" s="33" t="s">
        <v>2449</v>
      </c>
      <c r="C207" s="33" t="s">
        <v>3817</v>
      </c>
      <c r="D207" s="33" t="s">
        <v>3618</v>
      </c>
      <c r="E207" s="33" t="s">
        <v>3638</v>
      </c>
      <c r="F207" s="33" t="s">
        <v>3122</v>
      </c>
      <c r="G207" s="33" t="s">
        <v>3125</v>
      </c>
      <c r="H207" s="14">
        <f>LOG(I207)</f>
        <v>2.2174839442139063</v>
      </c>
      <c r="I207" s="84">
        <v>165</v>
      </c>
      <c r="J207" s="79" t="s">
        <v>6551</v>
      </c>
      <c r="K207" s="102" t="s">
        <v>6980</v>
      </c>
      <c r="L207" s="85"/>
      <c r="M207" s="16"/>
    </row>
    <row r="208" spans="1:13" ht="38.25">
      <c r="A208" s="34" t="s">
        <v>2594</v>
      </c>
      <c r="B208" s="33" t="s">
        <v>2170</v>
      </c>
      <c r="C208" s="33" t="s">
        <v>3817</v>
      </c>
      <c r="D208" s="33" t="s">
        <v>3618</v>
      </c>
      <c r="E208" s="33" t="s">
        <v>3638</v>
      </c>
      <c r="F208" s="33" t="s">
        <v>7644</v>
      </c>
      <c r="G208" s="33" t="s">
        <v>5785</v>
      </c>
      <c r="H208" s="14">
        <f>LOG(I208)</f>
        <v>2.2855573090077739</v>
      </c>
      <c r="I208" s="84">
        <f>AVERAGE(198, 188)</f>
        <v>193</v>
      </c>
      <c r="J208" s="79" t="s">
        <v>6895</v>
      </c>
      <c r="K208" s="102" t="s">
        <v>6980</v>
      </c>
      <c r="L208" s="85"/>
      <c r="M208" s="16"/>
    </row>
    <row r="209" spans="1:13" ht="39">
      <c r="A209" s="47" t="s">
        <v>2594</v>
      </c>
      <c r="B209" t="s">
        <v>2170</v>
      </c>
      <c r="C209" s="33" t="s">
        <v>3817</v>
      </c>
      <c r="D209" s="33" t="s">
        <v>3618</v>
      </c>
      <c r="E209" s="33" t="s">
        <v>3638</v>
      </c>
      <c r="F209" s="33" t="s">
        <v>3941</v>
      </c>
      <c r="G209" s="33" t="s">
        <v>5447</v>
      </c>
      <c r="H209" s="14">
        <f t="shared" ref="H209:H215" si="10">LOG(I209)</f>
        <v>2.3211840273023143</v>
      </c>
      <c r="I209" s="84">
        <f>AVERAGE(215, 204)</f>
        <v>209.5</v>
      </c>
      <c r="J209" s="79" t="s">
        <v>7585</v>
      </c>
      <c r="K209" s="102" t="s">
        <v>6980</v>
      </c>
      <c r="L209" s="89"/>
      <c r="M209" s="16"/>
    </row>
    <row r="210" spans="1:13" ht="38.25">
      <c r="A210" s="47" t="s">
        <v>2594</v>
      </c>
      <c r="B210" s="33" t="s">
        <v>2170</v>
      </c>
      <c r="C210" t="s">
        <v>3817</v>
      </c>
      <c r="D210" t="s">
        <v>3618</v>
      </c>
      <c r="E210" t="s">
        <v>3638</v>
      </c>
      <c r="F210" t="s">
        <v>7644</v>
      </c>
      <c r="G210" t="s">
        <v>7491</v>
      </c>
      <c r="H210" s="14">
        <f t="shared" si="10"/>
        <v>2.325207689482919</v>
      </c>
      <c r="I210" s="103">
        <f>AVERAGE(211.2, 211.7)</f>
        <v>211.45</v>
      </c>
      <c r="J210" s="79" t="s">
        <v>6963</v>
      </c>
      <c r="K210" s="104" t="s">
        <v>6980</v>
      </c>
    </row>
    <row r="211" spans="1:13" ht="153">
      <c r="A211" s="34" t="s">
        <v>2594</v>
      </c>
      <c r="B211" s="33" t="s">
        <v>2170</v>
      </c>
      <c r="C211" s="33" t="s">
        <v>3817</v>
      </c>
      <c r="D211" s="33" t="s">
        <v>3618</v>
      </c>
      <c r="E211" s="33" t="s">
        <v>3638</v>
      </c>
      <c r="F211" s="33" t="s">
        <v>7644</v>
      </c>
      <c r="G211" s="33" t="s">
        <v>6743</v>
      </c>
      <c r="H211" s="14">
        <f t="shared" si="10"/>
        <v>2.6500645611776816</v>
      </c>
      <c r="I211" s="84">
        <f>AVERAGE(I213, I215)</f>
        <v>446.75</v>
      </c>
      <c r="J211" s="79" t="s">
        <v>6625</v>
      </c>
      <c r="K211" s="102" t="s">
        <v>6980</v>
      </c>
      <c r="L211" s="85" t="s">
        <v>6866</v>
      </c>
      <c r="M211" s="16"/>
    </row>
    <row r="212" spans="1:13" ht="38.25">
      <c r="A212" s="34" t="s">
        <v>2594</v>
      </c>
      <c r="B212" s="33" t="s">
        <v>2170</v>
      </c>
      <c r="C212" s="33" t="s">
        <v>3817</v>
      </c>
      <c r="D212" s="33" t="s">
        <v>3618</v>
      </c>
      <c r="E212" s="33" t="s">
        <v>3638</v>
      </c>
      <c r="F212" s="33" t="s">
        <v>3207</v>
      </c>
      <c r="G212" s="33" t="s">
        <v>5838</v>
      </c>
      <c r="H212" s="14">
        <f t="shared" si="10"/>
        <v>2.5440680443502757</v>
      </c>
      <c r="I212" s="84">
        <v>350</v>
      </c>
      <c r="J212" s="79" t="s">
        <v>7703</v>
      </c>
      <c r="K212" s="102" t="s">
        <v>6980</v>
      </c>
      <c r="L212" s="85"/>
      <c r="M212" s="16"/>
    </row>
    <row r="213" spans="1:13" ht="38.25">
      <c r="A213" s="34" t="s">
        <v>2594</v>
      </c>
      <c r="B213" s="33" t="s">
        <v>2170</v>
      </c>
      <c r="C213" s="33" t="s">
        <v>3817</v>
      </c>
      <c r="D213" s="33" t="s">
        <v>3618</v>
      </c>
      <c r="E213" s="33" t="s">
        <v>3638</v>
      </c>
      <c r="F213" s="33" t="s">
        <v>4275</v>
      </c>
      <c r="G213" s="33" t="s">
        <v>4276</v>
      </c>
      <c r="H213" s="14">
        <f t="shared" si="10"/>
        <v>2.5483894181329183</v>
      </c>
      <c r="I213" s="84">
        <f>AVERAGE(397, 310)</f>
        <v>353.5</v>
      </c>
      <c r="J213" s="79" t="s">
        <v>6710</v>
      </c>
      <c r="K213" s="102" t="s">
        <v>6980</v>
      </c>
      <c r="L213" s="85"/>
      <c r="M213" s="16"/>
    </row>
    <row r="214" spans="1:13" ht="38.25">
      <c r="A214" s="34" t="s">
        <v>2594</v>
      </c>
      <c r="B214" s="33" t="s">
        <v>2256</v>
      </c>
      <c r="C214" s="33" t="s">
        <v>3817</v>
      </c>
      <c r="D214" s="33" t="s">
        <v>3618</v>
      </c>
      <c r="E214" s="33" t="s">
        <v>3638</v>
      </c>
      <c r="F214" s="33" t="s">
        <v>8247</v>
      </c>
      <c r="G214" s="33" t="s">
        <v>8084</v>
      </c>
      <c r="H214" s="14">
        <f t="shared" si="10"/>
        <v>2.7079957464229292</v>
      </c>
      <c r="I214" s="84">
        <f>AVERAGE(508, 513)</f>
        <v>510.5</v>
      </c>
      <c r="J214" s="79" t="s">
        <v>7025</v>
      </c>
      <c r="K214" s="102" t="s">
        <v>6980</v>
      </c>
      <c r="L214" s="85"/>
      <c r="M214" s="16"/>
    </row>
    <row r="215" spans="1:13" ht="39">
      <c r="A215" s="34" t="s">
        <v>2594</v>
      </c>
      <c r="B215" s="33" t="s">
        <v>2170</v>
      </c>
      <c r="C215" s="33" t="s">
        <v>3817</v>
      </c>
      <c r="D215" s="33" t="s">
        <v>3618</v>
      </c>
      <c r="E215" s="33" t="s">
        <v>3638</v>
      </c>
      <c r="F215" s="33" t="s">
        <v>5313</v>
      </c>
      <c r="G215" s="33" t="s">
        <v>5721</v>
      </c>
      <c r="H215" s="14">
        <f t="shared" si="10"/>
        <v>2.7323937598229686</v>
      </c>
      <c r="I215" s="84">
        <v>540</v>
      </c>
      <c r="J215" s="79" t="s">
        <v>7287</v>
      </c>
      <c r="K215" s="102" t="s">
        <v>6980</v>
      </c>
      <c r="L215" s="89"/>
      <c r="M215" s="16"/>
    </row>
    <row r="216" spans="1:13" ht="38.25">
      <c r="A216" s="47" t="s">
        <v>2594</v>
      </c>
      <c r="B216" s="33" t="s">
        <v>2170</v>
      </c>
      <c r="C216" t="s">
        <v>3817</v>
      </c>
      <c r="D216" t="s">
        <v>3618</v>
      </c>
      <c r="E216" t="s">
        <v>3638</v>
      </c>
      <c r="F216" t="s">
        <v>3738</v>
      </c>
      <c r="G216" t="s">
        <v>6741</v>
      </c>
      <c r="H216" s="14">
        <f t="shared" ref="H216:H224" si="11">LOG(I216)</f>
        <v>2.7539658658651605</v>
      </c>
      <c r="I216" s="103">
        <f>AVERAGE(518, 617)</f>
        <v>567.5</v>
      </c>
      <c r="J216" s="82" t="s">
        <v>6892</v>
      </c>
      <c r="K216" s="104" t="s">
        <v>6980</v>
      </c>
    </row>
    <row r="217" spans="1:13" ht="38.25">
      <c r="A217" s="34" t="s">
        <v>2594</v>
      </c>
      <c r="B217" s="33" t="s">
        <v>2170</v>
      </c>
      <c r="C217" s="33" t="s">
        <v>3817</v>
      </c>
      <c r="D217" s="33" t="s">
        <v>3618</v>
      </c>
      <c r="E217" s="33" t="s">
        <v>3638</v>
      </c>
      <c r="F217" s="33" t="s">
        <v>3738</v>
      </c>
      <c r="G217" s="33" t="s">
        <v>6575</v>
      </c>
      <c r="H217" s="14">
        <f t="shared" si="11"/>
        <v>2.8224949852787509</v>
      </c>
      <c r="I217" s="84">
        <f>AVERAGE(879, 450)</f>
        <v>664.5</v>
      </c>
      <c r="J217" s="79" t="s">
        <v>6902</v>
      </c>
      <c r="K217" s="102" t="s">
        <v>6980</v>
      </c>
      <c r="L217" s="85"/>
      <c r="M217" s="16"/>
    </row>
    <row r="218" spans="1:13" ht="38.25">
      <c r="A218" s="34" t="s">
        <v>2594</v>
      </c>
      <c r="B218" s="33" t="s">
        <v>2170</v>
      </c>
      <c r="C218" s="33" t="s">
        <v>3817</v>
      </c>
      <c r="D218" s="33" t="s">
        <v>3618</v>
      </c>
      <c r="E218" s="33" t="s">
        <v>3638</v>
      </c>
      <c r="F218" s="33" t="s">
        <v>6619</v>
      </c>
      <c r="G218" s="33" t="s">
        <v>6621</v>
      </c>
      <c r="H218" s="14">
        <f t="shared" si="11"/>
        <v>2.9124877613323239</v>
      </c>
      <c r="I218" s="84">
        <f>AVERAGE(753, 882)</f>
        <v>817.5</v>
      </c>
      <c r="J218" s="79" t="s">
        <v>6849</v>
      </c>
      <c r="K218" s="102" t="s">
        <v>6980</v>
      </c>
      <c r="L218" s="85"/>
      <c r="M218" s="16"/>
    </row>
    <row r="219" spans="1:13" ht="38.25">
      <c r="A219" s="34" t="s">
        <v>2594</v>
      </c>
      <c r="B219" s="33" t="s">
        <v>2170</v>
      </c>
      <c r="C219" s="33" t="s">
        <v>3817</v>
      </c>
      <c r="D219" s="33" t="s">
        <v>3618</v>
      </c>
      <c r="E219" s="33" t="s">
        <v>3638</v>
      </c>
      <c r="F219" s="33" t="s">
        <v>6619</v>
      </c>
      <c r="G219" s="33" t="s">
        <v>6620</v>
      </c>
      <c r="H219" s="14">
        <f t="shared" si="11"/>
        <v>2.9696488404807253</v>
      </c>
      <c r="I219" s="84">
        <f>AVERAGE(880, 985)</f>
        <v>932.5</v>
      </c>
      <c r="J219" s="79" t="s">
        <v>6978</v>
      </c>
      <c r="K219" s="102" t="s">
        <v>6980</v>
      </c>
      <c r="L219" s="85"/>
      <c r="M219" s="16"/>
    </row>
    <row r="220" spans="1:13" ht="38.25">
      <c r="A220" s="34" t="s">
        <v>2594</v>
      </c>
      <c r="B220" s="31" t="s">
        <v>2170</v>
      </c>
      <c r="C220" s="33" t="s">
        <v>3817</v>
      </c>
      <c r="D220" s="33" t="s">
        <v>3618</v>
      </c>
      <c r="E220" s="33" t="s">
        <v>3638</v>
      </c>
      <c r="F220" s="33" t="s">
        <v>5522</v>
      </c>
      <c r="G220" s="33" t="s">
        <v>6242</v>
      </c>
      <c r="H220" s="14">
        <f t="shared" si="11"/>
        <v>3</v>
      </c>
      <c r="I220" s="84">
        <v>1000</v>
      </c>
      <c r="J220" s="79" t="s">
        <v>6998</v>
      </c>
      <c r="K220" s="102" t="s">
        <v>6980</v>
      </c>
      <c r="L220" s="85"/>
      <c r="M220" s="16"/>
    </row>
    <row r="221" spans="1:13" ht="38.25">
      <c r="A221" s="34" t="s">
        <v>2594</v>
      </c>
      <c r="B221" s="33" t="s">
        <v>2170</v>
      </c>
      <c r="C221" s="33" t="s">
        <v>3817</v>
      </c>
      <c r="D221" s="33" t="s">
        <v>3618</v>
      </c>
      <c r="E221" s="33" t="s">
        <v>3638</v>
      </c>
      <c r="F221" s="33" t="s">
        <v>6311</v>
      </c>
      <c r="G221" s="33" t="s">
        <v>4178</v>
      </c>
      <c r="H221" s="14">
        <f t="shared" si="11"/>
        <v>3.0635209996899908</v>
      </c>
      <c r="I221" s="84">
        <f>AVERAGE(1087, 1228)</f>
        <v>1157.5</v>
      </c>
      <c r="J221" s="79" t="s">
        <v>6994</v>
      </c>
      <c r="K221" s="102" t="s">
        <v>6980</v>
      </c>
      <c r="L221" s="85"/>
      <c r="M221" s="16"/>
    </row>
    <row r="222" spans="1:13" ht="38.25">
      <c r="A222" s="34" t="s">
        <v>2594</v>
      </c>
      <c r="B222" s="33" t="s">
        <v>2170</v>
      </c>
      <c r="C222" s="33" t="s">
        <v>3817</v>
      </c>
      <c r="D222" s="33" t="s">
        <v>3618</v>
      </c>
      <c r="E222" s="33" t="s">
        <v>3638</v>
      </c>
      <c r="F222" s="33" t="s">
        <v>6311</v>
      </c>
      <c r="G222" s="33" t="s">
        <v>3200</v>
      </c>
      <c r="H222" s="14">
        <f t="shared" si="11"/>
        <v>3.2211533219547053</v>
      </c>
      <c r="I222" s="84">
        <f>AVERAGE(1800, 1528)</f>
        <v>1664</v>
      </c>
      <c r="J222" s="79" t="s">
        <v>7005</v>
      </c>
      <c r="K222" s="102" t="s">
        <v>6980</v>
      </c>
      <c r="L222" s="85"/>
      <c r="M222" s="16"/>
    </row>
    <row r="223" spans="1:13" ht="38.25">
      <c r="A223" s="34" t="s">
        <v>2594</v>
      </c>
      <c r="B223" s="33" t="s">
        <v>2170</v>
      </c>
      <c r="C223" s="33" t="s">
        <v>3817</v>
      </c>
      <c r="D223" s="33" t="s">
        <v>3618</v>
      </c>
      <c r="E223" s="33" t="s">
        <v>3638</v>
      </c>
      <c r="F223" s="33" t="s">
        <v>6311</v>
      </c>
      <c r="G223" s="33" t="s">
        <v>3202</v>
      </c>
      <c r="H223" s="14">
        <f t="shared" si="11"/>
        <v>3.2900346113625178</v>
      </c>
      <c r="I223" s="84">
        <v>1950</v>
      </c>
      <c r="J223" s="79" t="s">
        <v>7418</v>
      </c>
      <c r="K223" s="102" t="s">
        <v>6980</v>
      </c>
      <c r="L223" s="85"/>
      <c r="M223" s="16"/>
    </row>
    <row r="224" spans="1:13" ht="38.25">
      <c r="A224" s="34" t="s">
        <v>2594</v>
      </c>
      <c r="B224" s="33" t="s">
        <v>2170</v>
      </c>
      <c r="C224" s="33" t="s">
        <v>3817</v>
      </c>
      <c r="D224" s="33" t="s">
        <v>3618</v>
      </c>
      <c r="E224" s="33" t="s">
        <v>3638</v>
      </c>
      <c r="F224" s="33" t="s">
        <v>6311</v>
      </c>
      <c r="G224" s="33" t="s">
        <v>3201</v>
      </c>
      <c r="H224" s="14">
        <f t="shared" si="11"/>
        <v>3.3010299956639813</v>
      </c>
      <c r="I224" s="84">
        <v>2000</v>
      </c>
      <c r="J224" s="79" t="s">
        <v>7417</v>
      </c>
      <c r="K224" s="102" t="s">
        <v>6980</v>
      </c>
      <c r="L224" s="85"/>
      <c r="M224" s="16"/>
    </row>
  </sheetData>
  <phoneticPr fontId="26" type="noConversion"/>
  <pageMargins left="0.75" right="0.75" top="1" bottom="1" header="0.5" footer="0.5"/>
  <pageSetup paperSize="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7"/>
  <sheetViews>
    <sheetView topLeftCell="A259" workbookViewId="0">
      <selection activeCell="A288" sqref="A288"/>
    </sheetView>
  </sheetViews>
  <sheetFormatPr defaultColWidth="11.42578125" defaultRowHeight="12.75"/>
  <sheetData>
    <row r="1" spans="1:25" ht="15">
      <c r="A1" s="203" t="s">
        <v>6833</v>
      </c>
      <c r="B1" s="174"/>
      <c r="C1" s="175"/>
      <c r="D1" s="175"/>
      <c r="E1" s="175"/>
      <c r="F1" s="175"/>
      <c r="G1" s="175"/>
      <c r="H1" s="142"/>
      <c r="I1" s="142"/>
      <c r="J1" s="186"/>
      <c r="K1" s="119"/>
      <c r="L1" s="90"/>
      <c r="M1" s="85"/>
      <c r="N1" s="85"/>
      <c r="O1" s="85"/>
      <c r="P1" s="16"/>
      <c r="Q1" s="16"/>
      <c r="R1" s="16"/>
      <c r="S1" s="16"/>
      <c r="T1" s="16"/>
      <c r="U1" s="16"/>
      <c r="V1" s="16"/>
      <c r="W1" s="16"/>
      <c r="X1" s="16"/>
      <c r="Y1" s="18"/>
    </row>
    <row r="2" spans="1:25" s="7" customFormat="1">
      <c r="A2" s="204" t="s">
        <v>384</v>
      </c>
      <c r="B2" s="174"/>
      <c r="C2" s="175"/>
      <c r="D2" s="175"/>
      <c r="E2" s="175"/>
      <c r="F2" s="175"/>
      <c r="G2" s="175"/>
      <c r="H2" s="142"/>
      <c r="I2" s="142"/>
      <c r="J2" s="186"/>
      <c r="K2" s="119"/>
      <c r="L2" s="90"/>
      <c r="M2" s="85"/>
      <c r="N2" s="92"/>
      <c r="O2" s="92"/>
      <c r="P2" s="20"/>
      <c r="Q2" s="20"/>
      <c r="R2" s="20"/>
      <c r="S2" s="20"/>
      <c r="T2" s="20"/>
      <c r="U2" s="20"/>
      <c r="V2" s="20"/>
      <c r="W2" s="20"/>
      <c r="X2" s="20"/>
      <c r="Y2" s="20"/>
    </row>
    <row r="3" spans="1:25" s="7" customFormat="1">
      <c r="A3" s="202" t="s">
        <v>385</v>
      </c>
      <c r="B3" s="174"/>
      <c r="C3" s="175"/>
      <c r="D3" s="175"/>
      <c r="E3" s="175"/>
      <c r="F3" s="175"/>
      <c r="G3" s="175"/>
      <c r="H3" s="142"/>
      <c r="I3" s="142"/>
      <c r="J3" s="199"/>
      <c r="K3" s="119"/>
      <c r="L3" s="91"/>
      <c r="M3" s="92"/>
      <c r="N3" s="92"/>
      <c r="O3" s="92"/>
      <c r="P3" s="20"/>
      <c r="Q3" s="20"/>
      <c r="R3" s="20"/>
      <c r="S3" s="20"/>
      <c r="T3" s="20"/>
      <c r="U3" s="20"/>
      <c r="V3" s="20"/>
      <c r="W3" s="20"/>
      <c r="X3" s="20"/>
      <c r="Y3" s="20"/>
    </row>
    <row r="4" spans="1:25" s="7" customFormat="1">
      <c r="A4" s="202" t="s">
        <v>413</v>
      </c>
      <c r="B4" s="174"/>
      <c r="C4" s="175"/>
      <c r="D4" s="175"/>
      <c r="E4" s="175"/>
      <c r="F4" s="175"/>
      <c r="G4" s="175"/>
      <c r="H4" s="142"/>
      <c r="I4" s="142"/>
      <c r="J4" s="199"/>
      <c r="K4" s="119"/>
      <c r="L4" s="91"/>
      <c r="M4" s="92"/>
      <c r="N4" s="92"/>
      <c r="O4" s="92"/>
      <c r="P4" s="20"/>
      <c r="Q4" s="20"/>
      <c r="R4" s="20"/>
      <c r="S4" s="20"/>
      <c r="T4" s="20"/>
      <c r="U4" s="20"/>
      <c r="V4" s="20"/>
      <c r="W4" s="20"/>
      <c r="X4" s="20"/>
      <c r="Y4" s="20"/>
    </row>
    <row r="5" spans="1:25" s="7" customFormat="1">
      <c r="A5" s="202" t="s">
        <v>414</v>
      </c>
      <c r="B5" s="174"/>
      <c r="C5" s="175"/>
      <c r="D5" s="175"/>
      <c r="E5" s="175"/>
      <c r="F5" s="175"/>
      <c r="G5" s="175"/>
      <c r="H5" s="142"/>
      <c r="I5" s="142"/>
      <c r="J5" s="199"/>
      <c r="K5" s="119"/>
      <c r="L5" s="91"/>
      <c r="M5" s="92"/>
      <c r="N5" s="92"/>
      <c r="O5" s="92"/>
      <c r="P5" s="20"/>
      <c r="Q5" s="20"/>
      <c r="R5" s="20"/>
      <c r="S5" s="20"/>
      <c r="T5" s="20"/>
      <c r="U5" s="20"/>
      <c r="V5" s="20"/>
      <c r="W5" s="20"/>
      <c r="X5" s="20"/>
      <c r="Y5" s="20"/>
    </row>
    <row r="6" spans="1:25" s="7" customFormat="1">
      <c r="A6" s="202" t="s">
        <v>423</v>
      </c>
      <c r="B6" s="174"/>
      <c r="C6" s="175"/>
      <c r="D6" s="175"/>
      <c r="E6" s="175"/>
      <c r="F6" s="175"/>
      <c r="G6" s="175"/>
      <c r="H6" s="142"/>
      <c r="I6" s="142"/>
      <c r="J6" s="199"/>
      <c r="K6" s="119"/>
      <c r="L6" s="91"/>
      <c r="M6" s="92"/>
      <c r="N6" s="92"/>
      <c r="O6" s="92"/>
      <c r="P6" s="20"/>
      <c r="Q6" s="20"/>
      <c r="R6" s="20"/>
      <c r="S6" s="20"/>
      <c r="T6" s="20"/>
      <c r="U6" s="20"/>
      <c r="V6" s="20"/>
      <c r="W6" s="20"/>
      <c r="X6" s="20"/>
      <c r="Y6" s="20"/>
    </row>
    <row r="7" spans="1:25" s="7" customFormat="1">
      <c r="A7" s="202" t="s">
        <v>424</v>
      </c>
      <c r="B7" s="174"/>
      <c r="C7" s="175"/>
      <c r="D7" s="175"/>
      <c r="E7" s="175"/>
      <c r="F7" s="175"/>
      <c r="G7" s="175"/>
      <c r="H7" s="142"/>
      <c r="I7" s="142"/>
      <c r="J7" s="199"/>
      <c r="K7" s="119"/>
      <c r="L7" s="91"/>
      <c r="M7" s="92"/>
      <c r="N7" s="92"/>
      <c r="O7" s="92"/>
      <c r="P7" s="20"/>
      <c r="Q7" s="20"/>
      <c r="R7" s="20"/>
      <c r="S7" s="20"/>
      <c r="T7" s="20"/>
      <c r="U7" s="20"/>
      <c r="V7" s="20"/>
      <c r="W7" s="20"/>
      <c r="X7" s="20"/>
      <c r="Y7" s="20"/>
    </row>
    <row r="8" spans="1:25" s="7" customFormat="1">
      <c r="A8" s="202" t="s">
        <v>371</v>
      </c>
      <c r="B8" s="174"/>
      <c r="C8" s="175"/>
      <c r="D8" s="175"/>
      <c r="E8" s="175"/>
      <c r="F8" s="175"/>
      <c r="G8" s="175"/>
      <c r="H8" s="142"/>
      <c r="I8" s="142"/>
      <c r="J8" s="199"/>
      <c r="K8" s="119"/>
      <c r="L8" s="91"/>
      <c r="M8" s="92"/>
      <c r="N8" s="92"/>
      <c r="O8" s="92"/>
      <c r="P8" s="20"/>
      <c r="Q8" s="20"/>
      <c r="R8" s="20"/>
      <c r="S8" s="20"/>
      <c r="T8" s="20"/>
      <c r="U8" s="20"/>
      <c r="V8" s="20"/>
      <c r="W8" s="20"/>
      <c r="X8" s="20"/>
      <c r="Y8" s="20"/>
    </row>
    <row r="9" spans="1:25" s="7" customFormat="1">
      <c r="A9" s="202" t="s">
        <v>372</v>
      </c>
      <c r="B9" s="174"/>
      <c r="C9" s="175"/>
      <c r="D9" s="175"/>
      <c r="E9" s="175"/>
      <c r="F9" s="175"/>
      <c r="G9" s="175"/>
      <c r="H9" s="142"/>
      <c r="I9" s="142"/>
      <c r="J9" s="199"/>
      <c r="K9" s="119"/>
      <c r="L9" s="91"/>
      <c r="M9" s="92"/>
      <c r="N9" s="92"/>
      <c r="O9" s="92"/>
      <c r="P9" s="20"/>
      <c r="Q9" s="20"/>
      <c r="R9" s="20"/>
      <c r="S9" s="20"/>
      <c r="T9" s="20"/>
      <c r="U9" s="20"/>
      <c r="V9" s="20"/>
      <c r="W9" s="20"/>
      <c r="X9" s="20"/>
      <c r="Y9" s="20"/>
    </row>
    <row r="10" spans="1:25" s="7" customFormat="1">
      <c r="A10" s="202" t="s">
        <v>369</v>
      </c>
      <c r="B10" s="174"/>
      <c r="C10" s="175"/>
      <c r="D10" s="175"/>
      <c r="E10" s="175"/>
      <c r="F10" s="175"/>
      <c r="G10" s="175"/>
      <c r="H10" s="142"/>
      <c r="I10" s="142"/>
      <c r="J10" s="199"/>
      <c r="K10" s="119"/>
      <c r="L10" s="91"/>
      <c r="M10" s="92"/>
      <c r="N10" s="92"/>
      <c r="O10" s="92"/>
      <c r="P10" s="20"/>
      <c r="Q10" s="20"/>
      <c r="R10" s="20"/>
      <c r="S10" s="20"/>
      <c r="T10" s="20"/>
      <c r="U10" s="20"/>
      <c r="V10" s="20"/>
      <c r="W10" s="20"/>
      <c r="X10" s="20"/>
      <c r="Y10" s="20"/>
    </row>
    <row r="11" spans="1:25" s="7" customFormat="1">
      <c r="A11" s="202" t="s">
        <v>348</v>
      </c>
      <c r="B11" s="174"/>
      <c r="C11" s="175"/>
      <c r="D11" s="175"/>
      <c r="E11" s="175"/>
      <c r="F11" s="175"/>
      <c r="G11" s="175"/>
      <c r="H11" s="142"/>
      <c r="I11" s="142"/>
      <c r="J11" s="199"/>
      <c r="K11" s="119"/>
      <c r="L11" s="91"/>
      <c r="M11" s="92"/>
      <c r="N11" s="92"/>
      <c r="O11" s="92"/>
      <c r="P11" s="20"/>
      <c r="Q11" s="20"/>
      <c r="R11" s="20"/>
      <c r="S11" s="20"/>
      <c r="T11" s="20"/>
      <c r="U11" s="20"/>
      <c r="V11" s="20"/>
      <c r="W11" s="20"/>
      <c r="X11" s="20"/>
      <c r="Y11" s="20"/>
    </row>
    <row r="12" spans="1:25" s="7" customFormat="1">
      <c r="A12" s="202" t="s">
        <v>374</v>
      </c>
      <c r="B12" s="174"/>
      <c r="C12" s="175"/>
      <c r="D12" s="175"/>
      <c r="E12" s="175"/>
      <c r="F12" s="175"/>
      <c r="G12" s="175"/>
      <c r="H12" s="142"/>
      <c r="I12" s="142"/>
      <c r="J12" s="199"/>
      <c r="K12" s="119"/>
      <c r="L12" s="91"/>
      <c r="M12" s="92"/>
      <c r="N12" s="92"/>
      <c r="O12" s="92"/>
      <c r="P12" s="20"/>
      <c r="Q12" s="20"/>
      <c r="R12" s="20"/>
      <c r="S12" s="20"/>
      <c r="T12" s="20"/>
      <c r="U12" s="20"/>
      <c r="V12" s="20"/>
      <c r="W12" s="20"/>
      <c r="X12" s="20"/>
      <c r="Y12" s="20"/>
    </row>
    <row r="13" spans="1:25" s="7" customFormat="1">
      <c r="A13" s="202" t="s">
        <v>375</v>
      </c>
      <c r="B13" s="174"/>
      <c r="C13" s="175"/>
      <c r="D13" s="175"/>
      <c r="E13" s="175"/>
      <c r="F13" s="175"/>
      <c r="G13" s="175"/>
      <c r="H13" s="142"/>
      <c r="I13" s="142"/>
      <c r="J13" s="199"/>
      <c r="K13" s="119"/>
      <c r="L13" s="91"/>
      <c r="M13" s="92"/>
      <c r="N13" s="92"/>
      <c r="O13" s="92"/>
      <c r="P13" s="20"/>
      <c r="Q13" s="20"/>
      <c r="R13" s="20"/>
      <c r="S13" s="20"/>
      <c r="T13" s="20"/>
      <c r="U13" s="20"/>
      <c r="V13" s="20"/>
      <c r="W13" s="20"/>
      <c r="X13" s="20"/>
      <c r="Y13" s="20"/>
    </row>
    <row r="14" spans="1:25" s="7" customFormat="1">
      <c r="A14" s="202" t="s">
        <v>403</v>
      </c>
      <c r="B14" s="174"/>
      <c r="C14" s="175"/>
      <c r="D14" s="175"/>
      <c r="E14" s="175"/>
      <c r="F14" s="175"/>
      <c r="G14" s="175"/>
      <c r="H14" s="142"/>
      <c r="I14" s="142"/>
      <c r="J14" s="199"/>
      <c r="K14" s="119"/>
      <c r="L14" s="91"/>
      <c r="M14" s="92"/>
      <c r="N14" s="92"/>
      <c r="O14" s="92"/>
      <c r="P14" s="20"/>
      <c r="Q14" s="20"/>
      <c r="R14" s="20"/>
      <c r="S14" s="20"/>
      <c r="T14" s="20"/>
      <c r="U14" s="20"/>
      <c r="V14" s="20"/>
      <c r="W14" s="20"/>
      <c r="X14" s="20"/>
      <c r="Y14" s="20"/>
    </row>
    <row r="15" spans="1:25" s="7" customFormat="1">
      <c r="A15" s="202" t="s">
        <v>404</v>
      </c>
      <c r="B15" s="174"/>
      <c r="C15" s="175"/>
      <c r="D15" s="175"/>
      <c r="E15" s="175"/>
      <c r="F15" s="175"/>
      <c r="G15" s="175"/>
      <c r="H15" s="142"/>
      <c r="I15" s="142"/>
      <c r="J15" s="199"/>
      <c r="K15" s="119"/>
      <c r="L15" s="91"/>
      <c r="M15" s="92"/>
      <c r="N15" s="92"/>
      <c r="O15" s="92"/>
      <c r="P15" s="20"/>
      <c r="Q15" s="20"/>
      <c r="R15" s="20"/>
      <c r="S15" s="20"/>
      <c r="T15" s="20"/>
      <c r="U15" s="20"/>
      <c r="V15" s="20"/>
      <c r="W15" s="20"/>
      <c r="X15" s="20"/>
      <c r="Y15" s="20"/>
    </row>
    <row r="16" spans="1:25" s="7" customFormat="1">
      <c r="A16" s="202" t="s">
        <v>407</v>
      </c>
      <c r="B16" s="174"/>
      <c r="C16" s="175"/>
      <c r="D16" s="175"/>
      <c r="E16" s="175"/>
      <c r="F16" s="175"/>
      <c r="G16" s="175"/>
      <c r="H16" s="142"/>
      <c r="I16" s="142"/>
      <c r="J16" s="199"/>
      <c r="K16" s="119"/>
      <c r="L16" s="91"/>
      <c r="M16" s="92"/>
      <c r="N16" s="92"/>
      <c r="O16" s="92"/>
      <c r="P16" s="20"/>
      <c r="Q16" s="20"/>
      <c r="R16" s="20"/>
      <c r="S16" s="20"/>
      <c r="T16" s="20"/>
      <c r="U16" s="20"/>
      <c r="V16" s="20"/>
      <c r="W16" s="20"/>
      <c r="X16" s="20"/>
      <c r="Y16" s="20"/>
    </row>
    <row r="17" spans="1:25" s="7" customFormat="1">
      <c r="A17" s="202" t="s">
        <v>408</v>
      </c>
      <c r="B17" s="174"/>
      <c r="C17" s="175"/>
      <c r="D17" s="175"/>
      <c r="E17" s="175"/>
      <c r="F17" s="175"/>
      <c r="G17" s="175"/>
      <c r="H17" s="142"/>
      <c r="I17" s="142"/>
      <c r="J17" s="199"/>
      <c r="K17" s="119"/>
      <c r="L17" s="91"/>
      <c r="M17" s="92"/>
      <c r="N17" s="92"/>
      <c r="O17" s="92"/>
      <c r="P17" s="20"/>
      <c r="Q17" s="20"/>
      <c r="R17" s="20"/>
      <c r="S17" s="20"/>
      <c r="T17" s="20"/>
      <c r="U17" s="20"/>
      <c r="V17" s="20"/>
      <c r="W17" s="20"/>
      <c r="X17" s="20"/>
      <c r="Y17" s="20"/>
    </row>
    <row r="18" spans="1:25" s="7" customFormat="1">
      <c r="A18" s="202" t="s">
        <v>378</v>
      </c>
      <c r="B18" s="174"/>
      <c r="C18" s="175"/>
      <c r="D18" s="175"/>
      <c r="E18" s="175"/>
      <c r="F18" s="175"/>
      <c r="G18" s="175"/>
      <c r="H18" s="142"/>
      <c r="I18" s="142"/>
      <c r="J18" s="199"/>
      <c r="K18" s="119"/>
      <c r="L18" s="91"/>
      <c r="M18" s="92"/>
      <c r="N18" s="92"/>
      <c r="O18" s="92"/>
      <c r="P18" s="20"/>
      <c r="Q18" s="20"/>
      <c r="R18" s="20"/>
      <c r="S18" s="20"/>
      <c r="T18" s="20"/>
      <c r="U18" s="20"/>
      <c r="V18" s="20"/>
      <c r="W18" s="20"/>
      <c r="X18" s="20"/>
      <c r="Y18" s="20"/>
    </row>
    <row r="19" spans="1:25" s="7" customFormat="1">
      <c r="A19" s="202" t="s">
        <v>379</v>
      </c>
      <c r="B19" s="174"/>
      <c r="C19" s="175"/>
      <c r="D19" s="175"/>
      <c r="E19" s="175"/>
      <c r="F19" s="175"/>
      <c r="G19" s="175"/>
      <c r="H19" s="142"/>
      <c r="I19" s="142"/>
      <c r="J19" s="199"/>
      <c r="K19" s="119"/>
      <c r="L19" s="91"/>
      <c r="M19" s="92"/>
      <c r="N19" s="92"/>
      <c r="O19" s="92"/>
      <c r="P19" s="20"/>
      <c r="Q19" s="20"/>
      <c r="R19" s="20"/>
      <c r="S19" s="20"/>
      <c r="T19" s="20"/>
      <c r="U19" s="20"/>
      <c r="V19" s="20"/>
      <c r="W19" s="20"/>
      <c r="X19" s="20"/>
      <c r="Y19" s="20"/>
    </row>
    <row r="20" spans="1:25" s="7" customFormat="1">
      <c r="A20" s="202" t="s">
        <v>360</v>
      </c>
      <c r="B20" s="174"/>
      <c r="C20" s="175"/>
      <c r="D20" s="175"/>
      <c r="E20" s="175"/>
      <c r="F20" s="175"/>
      <c r="G20" s="175"/>
      <c r="H20" s="142"/>
      <c r="I20" s="142"/>
      <c r="J20" s="199"/>
      <c r="K20" s="119"/>
      <c r="L20" s="91"/>
      <c r="M20" s="92"/>
      <c r="N20" s="92"/>
      <c r="O20" s="92"/>
      <c r="P20" s="20"/>
      <c r="Q20" s="20"/>
      <c r="R20" s="20"/>
      <c r="S20" s="20"/>
      <c r="T20" s="20"/>
      <c r="U20" s="20"/>
      <c r="V20" s="20"/>
      <c r="W20" s="20"/>
      <c r="X20" s="20"/>
      <c r="Y20" s="20"/>
    </row>
    <row r="21" spans="1:25" s="7" customFormat="1">
      <c r="A21" s="202" t="s">
        <v>359</v>
      </c>
      <c r="B21" s="174"/>
      <c r="C21" s="175"/>
      <c r="D21" s="175"/>
      <c r="E21" s="175"/>
      <c r="F21" s="175"/>
      <c r="G21" s="175"/>
      <c r="H21" s="142"/>
      <c r="I21" s="142"/>
      <c r="J21" s="199"/>
      <c r="K21" s="119"/>
      <c r="L21" s="91"/>
      <c r="M21" s="92"/>
      <c r="N21" s="92"/>
      <c r="O21" s="92"/>
      <c r="P21" s="20"/>
      <c r="Q21" s="20"/>
      <c r="R21" s="20"/>
      <c r="S21" s="20"/>
      <c r="T21" s="20"/>
      <c r="U21" s="20"/>
      <c r="V21" s="20"/>
      <c r="W21" s="20"/>
      <c r="X21" s="20"/>
      <c r="Y21" s="20"/>
    </row>
    <row r="22" spans="1:25" s="7" customFormat="1">
      <c r="A22" s="202" t="s">
        <v>337</v>
      </c>
      <c r="B22" s="174"/>
      <c r="C22" s="175"/>
      <c r="D22" s="175"/>
      <c r="E22" s="175"/>
      <c r="F22" s="175"/>
      <c r="G22" s="175"/>
      <c r="H22" s="142"/>
      <c r="I22" s="142"/>
      <c r="J22" s="199"/>
      <c r="K22" s="119"/>
      <c r="L22" s="91"/>
      <c r="M22" s="92"/>
      <c r="N22" s="92"/>
      <c r="O22" s="92"/>
      <c r="P22" s="20"/>
      <c r="Q22" s="20"/>
      <c r="R22" s="20"/>
      <c r="S22" s="20"/>
      <c r="T22" s="20"/>
      <c r="U22" s="20"/>
      <c r="V22" s="20"/>
      <c r="W22" s="20"/>
      <c r="X22" s="20"/>
      <c r="Y22" s="20"/>
    </row>
    <row r="23" spans="1:25" s="7" customFormat="1">
      <c r="A23" s="202" t="s">
        <v>363</v>
      </c>
      <c r="B23" s="174"/>
      <c r="C23" s="175"/>
      <c r="D23" s="175"/>
      <c r="E23" s="175"/>
      <c r="F23" s="175"/>
      <c r="G23" s="175"/>
      <c r="H23" s="142"/>
      <c r="I23" s="142"/>
      <c r="J23" s="199"/>
      <c r="K23" s="119"/>
      <c r="L23" s="91"/>
      <c r="M23" s="92"/>
      <c r="N23" s="92"/>
      <c r="O23" s="92"/>
      <c r="P23" s="20"/>
      <c r="Q23" s="20"/>
      <c r="R23" s="20"/>
      <c r="S23" s="20"/>
      <c r="T23" s="20"/>
      <c r="U23" s="20"/>
      <c r="V23" s="20"/>
      <c r="W23" s="20"/>
      <c r="X23" s="20"/>
      <c r="Y23" s="20"/>
    </row>
    <row r="24" spans="1:25" s="7" customFormat="1">
      <c r="A24" s="202" t="s">
        <v>386</v>
      </c>
      <c r="B24" s="174"/>
      <c r="C24" s="175"/>
      <c r="D24" s="175"/>
      <c r="E24" s="175"/>
      <c r="F24" s="175"/>
      <c r="G24" s="175"/>
      <c r="H24" s="142"/>
      <c r="I24" s="142"/>
      <c r="J24" s="199"/>
      <c r="K24" s="119"/>
      <c r="L24" s="91"/>
      <c r="M24" s="92"/>
      <c r="N24" s="92"/>
      <c r="O24" s="92"/>
      <c r="P24" s="20"/>
      <c r="Q24" s="20"/>
      <c r="R24" s="20"/>
      <c r="S24" s="20"/>
      <c r="T24" s="20"/>
      <c r="U24" s="20"/>
      <c r="V24" s="20"/>
      <c r="W24" s="20"/>
      <c r="X24" s="20"/>
      <c r="Y24" s="20"/>
    </row>
    <row r="25" spans="1:25" s="7" customFormat="1">
      <c r="A25" s="202" t="s">
        <v>387</v>
      </c>
      <c r="B25" s="174"/>
      <c r="C25" s="175"/>
      <c r="D25" s="175"/>
      <c r="E25" s="175"/>
      <c r="F25" s="175"/>
      <c r="G25" s="175"/>
      <c r="H25" s="142"/>
      <c r="I25" s="142"/>
      <c r="J25" s="199"/>
      <c r="K25" s="119"/>
      <c r="L25" s="91"/>
      <c r="M25" s="92"/>
      <c r="N25" s="92"/>
      <c r="O25" s="92"/>
      <c r="P25" s="20"/>
      <c r="Q25" s="20"/>
      <c r="R25" s="20"/>
      <c r="S25" s="20"/>
      <c r="T25" s="20"/>
      <c r="U25" s="20"/>
      <c r="V25" s="20"/>
      <c r="W25" s="20"/>
      <c r="X25" s="20"/>
      <c r="Y25" s="20"/>
    </row>
    <row r="26" spans="1:25" s="7" customFormat="1">
      <c r="A26" s="202" t="s">
        <v>389</v>
      </c>
      <c r="B26" s="174"/>
      <c r="C26" s="175"/>
      <c r="D26" s="175"/>
      <c r="E26" s="175"/>
      <c r="F26" s="175"/>
      <c r="G26" s="175"/>
      <c r="H26" s="142"/>
      <c r="I26" s="142"/>
      <c r="J26" s="199"/>
      <c r="K26" s="119"/>
      <c r="L26" s="91"/>
      <c r="M26" s="92"/>
      <c r="N26" s="92"/>
      <c r="O26" s="92"/>
      <c r="P26" s="20"/>
      <c r="Q26" s="20"/>
      <c r="R26" s="20"/>
      <c r="S26" s="20"/>
      <c r="T26" s="20"/>
      <c r="U26" s="20"/>
      <c r="V26" s="20"/>
      <c r="W26" s="20"/>
      <c r="X26" s="20"/>
      <c r="Y26" s="20"/>
    </row>
    <row r="27" spans="1:25" s="7" customFormat="1">
      <c r="A27" s="202" t="s">
        <v>370</v>
      </c>
      <c r="B27" s="174"/>
      <c r="C27" s="175"/>
      <c r="D27" s="175"/>
      <c r="E27" s="175"/>
      <c r="F27" s="175"/>
      <c r="G27" s="175"/>
      <c r="H27" s="142"/>
      <c r="I27" s="142"/>
      <c r="J27" s="199"/>
      <c r="K27" s="119"/>
      <c r="L27" s="91"/>
      <c r="M27" s="92"/>
      <c r="N27" s="92"/>
      <c r="O27" s="92"/>
      <c r="P27" s="20"/>
      <c r="Q27" s="20"/>
      <c r="R27" s="20"/>
      <c r="S27" s="20"/>
      <c r="T27" s="20"/>
      <c r="U27" s="20"/>
      <c r="V27" s="20"/>
      <c r="W27" s="20"/>
      <c r="X27" s="20"/>
      <c r="Y27" s="20"/>
    </row>
    <row r="28" spans="1:25" s="7" customFormat="1">
      <c r="A28" s="202" t="s">
        <v>365</v>
      </c>
      <c r="B28" s="174"/>
      <c r="C28" s="175"/>
      <c r="D28" s="175"/>
      <c r="E28" s="175"/>
      <c r="F28" s="175"/>
      <c r="G28" s="175"/>
      <c r="H28" s="142"/>
      <c r="I28" s="142"/>
      <c r="J28" s="199"/>
      <c r="K28" s="119"/>
      <c r="L28" s="91"/>
      <c r="M28" s="92"/>
      <c r="N28" s="92"/>
      <c r="O28" s="92"/>
      <c r="P28" s="20"/>
      <c r="Q28" s="20"/>
      <c r="R28" s="20"/>
      <c r="S28" s="20"/>
      <c r="T28" s="20"/>
      <c r="U28" s="20"/>
      <c r="V28" s="20"/>
      <c r="W28" s="20"/>
      <c r="X28" s="20"/>
      <c r="Y28" s="20"/>
    </row>
    <row r="29" spans="1:25" s="7" customFormat="1">
      <c r="A29" s="202" t="s">
        <v>366</v>
      </c>
      <c r="B29" s="174"/>
      <c r="C29" s="175"/>
      <c r="D29" s="175"/>
      <c r="E29" s="175"/>
      <c r="F29" s="175"/>
      <c r="G29" s="175"/>
      <c r="H29" s="142"/>
      <c r="I29" s="142"/>
      <c r="J29" s="199"/>
      <c r="K29" s="119"/>
      <c r="L29" s="91"/>
      <c r="M29" s="92"/>
      <c r="N29" s="92"/>
      <c r="O29" s="92"/>
      <c r="P29" s="20"/>
      <c r="Q29" s="20"/>
      <c r="R29" s="20"/>
      <c r="S29" s="20"/>
      <c r="T29" s="20"/>
      <c r="U29" s="20"/>
      <c r="V29" s="20"/>
      <c r="W29" s="20"/>
      <c r="X29" s="20"/>
      <c r="Y29" s="20"/>
    </row>
    <row r="30" spans="1:25" s="7" customFormat="1">
      <c r="A30" s="202" t="s">
        <v>367</v>
      </c>
      <c r="B30" s="174"/>
      <c r="C30" s="175"/>
      <c r="D30" s="175"/>
      <c r="E30" s="175"/>
      <c r="F30" s="175"/>
      <c r="G30" s="175"/>
      <c r="H30" s="142"/>
      <c r="I30" s="142"/>
      <c r="J30" s="199"/>
      <c r="K30" s="119"/>
      <c r="L30" s="91"/>
      <c r="M30" s="92"/>
      <c r="N30" s="92"/>
      <c r="O30" s="92"/>
      <c r="P30" s="20"/>
      <c r="Q30" s="20"/>
      <c r="R30" s="20"/>
      <c r="S30" s="20"/>
      <c r="T30" s="20"/>
      <c r="U30" s="20"/>
      <c r="V30" s="20"/>
      <c r="W30" s="20"/>
      <c r="X30" s="20"/>
      <c r="Y30" s="20"/>
    </row>
    <row r="31" spans="1:25" s="7" customFormat="1">
      <c r="A31" s="202" t="s">
        <v>368</v>
      </c>
      <c r="B31" s="174"/>
      <c r="C31" s="175"/>
      <c r="D31" s="175"/>
      <c r="E31" s="175"/>
      <c r="F31" s="175"/>
      <c r="G31" s="175"/>
      <c r="H31" s="142"/>
      <c r="I31" s="142"/>
      <c r="J31" s="199"/>
      <c r="K31" s="119"/>
      <c r="L31" s="91"/>
      <c r="M31" s="92"/>
      <c r="N31" s="92"/>
      <c r="O31" s="92"/>
      <c r="P31" s="20"/>
      <c r="Q31" s="20"/>
      <c r="R31" s="20"/>
      <c r="S31" s="20"/>
      <c r="T31" s="20"/>
      <c r="U31" s="20"/>
      <c r="V31" s="20"/>
      <c r="W31" s="20"/>
      <c r="X31" s="20"/>
      <c r="Y31" s="20"/>
    </row>
    <row r="32" spans="1:25" s="7" customFormat="1">
      <c r="A32" s="202" t="s">
        <v>346</v>
      </c>
      <c r="B32" s="174"/>
      <c r="C32" s="175"/>
      <c r="D32" s="175"/>
      <c r="E32" s="175"/>
      <c r="F32" s="175"/>
      <c r="G32" s="175"/>
      <c r="H32" s="142"/>
      <c r="I32" s="142"/>
      <c r="J32" s="199"/>
      <c r="K32" s="119"/>
      <c r="L32" s="91"/>
      <c r="M32" s="92"/>
      <c r="N32" s="92"/>
      <c r="O32" s="92"/>
      <c r="P32" s="20"/>
      <c r="Q32" s="20"/>
      <c r="R32" s="20"/>
      <c r="S32" s="20"/>
      <c r="T32" s="20"/>
      <c r="U32" s="20"/>
      <c r="V32" s="20"/>
      <c r="W32" s="20"/>
      <c r="X32" s="20"/>
      <c r="Y32" s="20"/>
    </row>
    <row r="33" spans="1:25" s="7" customFormat="1">
      <c r="A33" s="202" t="s">
        <v>347</v>
      </c>
      <c r="B33" s="174"/>
      <c r="C33" s="175"/>
      <c r="D33" s="175"/>
      <c r="E33" s="175"/>
      <c r="F33" s="175"/>
      <c r="G33" s="175"/>
      <c r="H33" s="142"/>
      <c r="I33" s="142"/>
      <c r="J33" s="199"/>
      <c r="K33" s="119"/>
      <c r="L33" s="91"/>
      <c r="M33" s="92"/>
      <c r="N33" s="92"/>
      <c r="O33" s="92"/>
      <c r="P33" s="20"/>
      <c r="Q33" s="20"/>
      <c r="R33" s="20"/>
      <c r="S33" s="20"/>
      <c r="T33" s="20"/>
      <c r="U33" s="20"/>
      <c r="V33" s="20"/>
      <c r="W33" s="20"/>
      <c r="X33" s="20"/>
      <c r="Y33" s="20"/>
    </row>
    <row r="34" spans="1:25" s="7" customFormat="1">
      <c r="A34" s="202" t="s">
        <v>324</v>
      </c>
      <c r="B34" s="174"/>
      <c r="C34" s="175"/>
      <c r="D34" s="175"/>
      <c r="E34" s="175"/>
      <c r="F34" s="175"/>
      <c r="G34" s="175"/>
      <c r="H34" s="142"/>
      <c r="I34" s="142"/>
      <c r="J34" s="199"/>
      <c r="K34" s="119"/>
      <c r="L34" s="91"/>
      <c r="M34" s="92"/>
      <c r="N34" s="92"/>
      <c r="O34" s="92"/>
      <c r="P34" s="20"/>
      <c r="Q34" s="20"/>
      <c r="R34" s="20"/>
      <c r="S34" s="20"/>
      <c r="T34" s="20"/>
      <c r="U34" s="20"/>
      <c r="V34" s="20"/>
      <c r="W34" s="20"/>
      <c r="X34" s="20"/>
      <c r="Y34" s="20"/>
    </row>
    <row r="35" spans="1:25" s="7" customFormat="1">
      <c r="A35" s="202" t="s">
        <v>349</v>
      </c>
      <c r="B35" s="174"/>
      <c r="C35" s="175"/>
      <c r="D35" s="175"/>
      <c r="E35" s="175"/>
      <c r="F35" s="175"/>
      <c r="G35" s="175"/>
      <c r="H35" s="142"/>
      <c r="I35" s="142"/>
      <c r="J35" s="199"/>
      <c r="K35" s="119"/>
      <c r="L35" s="91"/>
      <c r="M35" s="92"/>
      <c r="N35" s="92"/>
      <c r="O35" s="92"/>
      <c r="P35" s="20"/>
      <c r="Q35" s="20"/>
      <c r="R35" s="20"/>
      <c r="S35" s="20"/>
      <c r="T35" s="20"/>
      <c r="U35" s="20"/>
      <c r="V35" s="20"/>
      <c r="W35" s="20"/>
      <c r="X35" s="20"/>
      <c r="Y35" s="20"/>
    </row>
    <row r="36" spans="1:25" s="7" customFormat="1">
      <c r="A36" s="202" t="s">
        <v>350</v>
      </c>
      <c r="B36" s="174"/>
      <c r="C36" s="175"/>
      <c r="D36" s="175"/>
      <c r="E36" s="175"/>
      <c r="F36" s="175"/>
      <c r="G36" s="175"/>
      <c r="H36" s="142"/>
      <c r="I36" s="142"/>
      <c r="J36" s="199"/>
      <c r="K36" s="119"/>
      <c r="L36" s="91"/>
      <c r="M36" s="92"/>
      <c r="N36" s="92"/>
      <c r="O36" s="92"/>
      <c r="P36" s="20"/>
      <c r="Q36" s="20"/>
      <c r="R36" s="20"/>
      <c r="S36" s="20"/>
      <c r="T36" s="20"/>
      <c r="U36" s="20"/>
      <c r="V36" s="20"/>
      <c r="W36" s="20"/>
      <c r="X36" s="20"/>
      <c r="Y36" s="20"/>
    </row>
    <row r="37" spans="1:25" s="7" customFormat="1">
      <c r="A37" s="202" t="s">
        <v>376</v>
      </c>
      <c r="B37" s="174"/>
      <c r="C37" s="175"/>
      <c r="D37" s="175"/>
      <c r="E37" s="175"/>
      <c r="F37" s="175"/>
      <c r="G37" s="175"/>
      <c r="H37" s="142"/>
      <c r="I37" s="142"/>
      <c r="J37" s="199"/>
      <c r="K37" s="119"/>
      <c r="L37" s="91"/>
      <c r="M37" s="92"/>
      <c r="N37" s="92"/>
      <c r="O37" s="92"/>
      <c r="P37" s="20"/>
      <c r="Q37" s="20"/>
      <c r="R37" s="20"/>
      <c r="S37" s="20"/>
      <c r="T37" s="20"/>
      <c r="U37" s="20"/>
      <c r="V37" s="20"/>
      <c r="W37" s="20"/>
      <c r="X37" s="20"/>
      <c r="Y37" s="20"/>
    </row>
    <row r="38" spans="1:25" s="7" customFormat="1">
      <c r="A38" s="202" t="s">
        <v>406</v>
      </c>
      <c r="B38" s="174"/>
      <c r="C38" s="175"/>
      <c r="D38" s="175"/>
      <c r="E38" s="175"/>
      <c r="F38" s="175"/>
      <c r="G38" s="175"/>
      <c r="H38" s="142"/>
      <c r="I38" s="142"/>
      <c r="J38" s="199"/>
      <c r="K38" s="119"/>
      <c r="L38" s="91"/>
      <c r="M38" s="92"/>
      <c r="N38" s="92"/>
      <c r="O38" s="92"/>
      <c r="P38" s="20"/>
      <c r="Q38" s="20"/>
      <c r="R38" s="20"/>
      <c r="S38" s="20"/>
      <c r="T38" s="20"/>
      <c r="U38" s="20"/>
      <c r="V38" s="20"/>
      <c r="W38" s="20"/>
      <c r="X38" s="20"/>
      <c r="Y38" s="20"/>
    </row>
    <row r="39" spans="1:25" s="7" customFormat="1">
      <c r="A39" s="202" t="s">
        <v>377</v>
      </c>
      <c r="B39" s="174"/>
      <c r="C39" s="175"/>
      <c r="D39" s="175"/>
      <c r="E39" s="175"/>
      <c r="F39" s="175"/>
      <c r="G39" s="175"/>
      <c r="H39" s="142"/>
      <c r="I39" s="142"/>
      <c r="J39" s="199"/>
      <c r="K39" s="119"/>
      <c r="L39" s="91"/>
      <c r="M39" s="92"/>
      <c r="N39" s="92"/>
      <c r="O39" s="92"/>
      <c r="P39" s="20"/>
      <c r="Q39" s="20"/>
      <c r="R39" s="20"/>
      <c r="S39" s="20"/>
      <c r="T39" s="20"/>
      <c r="U39" s="20"/>
      <c r="V39" s="20"/>
      <c r="W39" s="20"/>
      <c r="X39" s="20"/>
      <c r="Y39" s="20"/>
    </row>
    <row r="40" spans="1:25" s="7" customFormat="1">
      <c r="A40" s="202" t="s">
        <v>355</v>
      </c>
      <c r="B40" s="174"/>
      <c r="C40" s="175"/>
      <c r="D40" s="175"/>
      <c r="E40" s="175"/>
      <c r="F40" s="175"/>
      <c r="G40" s="175"/>
      <c r="H40" s="142"/>
      <c r="I40" s="142"/>
      <c r="J40" s="199"/>
      <c r="K40" s="119"/>
      <c r="L40" s="91"/>
      <c r="M40" s="92"/>
      <c r="N40" s="92"/>
      <c r="O40" s="92"/>
      <c r="P40" s="20"/>
      <c r="Q40" s="20"/>
      <c r="R40" s="20"/>
      <c r="S40" s="20"/>
      <c r="T40" s="20"/>
      <c r="U40" s="20"/>
      <c r="V40" s="20"/>
      <c r="W40" s="20"/>
      <c r="X40" s="20"/>
      <c r="Y40" s="20"/>
    </row>
    <row r="41" spans="1:25" s="7" customFormat="1">
      <c r="A41" s="202" t="s">
        <v>356</v>
      </c>
      <c r="B41" s="174"/>
      <c r="C41" s="175"/>
      <c r="D41" s="175"/>
      <c r="E41" s="175"/>
      <c r="F41" s="175"/>
      <c r="G41" s="175"/>
      <c r="H41" s="142"/>
      <c r="I41" s="142"/>
      <c r="J41" s="199"/>
      <c r="K41" s="119"/>
      <c r="L41" s="91"/>
      <c r="M41" s="92"/>
      <c r="N41" s="92"/>
      <c r="O41" s="92"/>
      <c r="P41" s="20"/>
      <c r="Q41" s="20"/>
      <c r="R41" s="20"/>
      <c r="S41" s="20"/>
      <c r="T41" s="20"/>
      <c r="U41" s="20"/>
      <c r="V41" s="20"/>
      <c r="W41" s="20"/>
      <c r="X41" s="20"/>
      <c r="Y41" s="20"/>
    </row>
    <row r="42" spans="1:25" s="7" customFormat="1">
      <c r="A42" s="202" t="s">
        <v>357</v>
      </c>
      <c r="B42" s="174"/>
      <c r="C42" s="175"/>
      <c r="D42" s="175"/>
      <c r="E42" s="175"/>
      <c r="F42" s="175"/>
      <c r="G42" s="175"/>
      <c r="H42" s="142"/>
      <c r="I42" s="142"/>
      <c r="J42" s="199"/>
      <c r="K42" s="119"/>
      <c r="L42" s="91"/>
      <c r="M42" s="92"/>
      <c r="N42" s="92"/>
      <c r="O42" s="92"/>
      <c r="P42" s="20"/>
      <c r="Q42" s="20"/>
      <c r="R42" s="20"/>
      <c r="S42" s="20"/>
      <c r="T42" s="20"/>
      <c r="U42" s="20"/>
      <c r="V42" s="20"/>
      <c r="W42" s="20"/>
      <c r="X42" s="20"/>
      <c r="Y42" s="20"/>
    </row>
    <row r="43" spans="1:25" s="7" customFormat="1">
      <c r="A43" s="202" t="s">
        <v>358</v>
      </c>
      <c r="B43" s="163"/>
      <c r="C43" s="109"/>
      <c r="D43" s="109"/>
      <c r="E43" s="109"/>
      <c r="F43" s="109"/>
      <c r="G43" s="109"/>
      <c r="H43" s="151"/>
      <c r="I43" s="151"/>
      <c r="J43" s="200"/>
      <c r="K43" s="109"/>
      <c r="L43" s="91"/>
      <c r="M43" s="92"/>
      <c r="N43" s="92"/>
      <c r="O43" s="92"/>
      <c r="P43" s="20"/>
      <c r="Q43" s="20"/>
      <c r="R43" s="20"/>
      <c r="S43" s="20"/>
      <c r="T43" s="20"/>
      <c r="U43" s="20"/>
      <c r="V43" s="20"/>
      <c r="W43" s="20"/>
      <c r="X43" s="20"/>
      <c r="Y43" s="20"/>
    </row>
    <row r="44" spans="1:25" s="7" customFormat="1">
      <c r="A44" s="202" t="s">
        <v>336</v>
      </c>
      <c r="B44" s="163"/>
      <c r="C44" s="109"/>
      <c r="D44" s="109"/>
      <c r="E44" s="109"/>
      <c r="F44" s="109"/>
      <c r="G44" s="109"/>
      <c r="H44" s="151"/>
      <c r="I44" s="151"/>
      <c r="J44" s="200"/>
      <c r="K44" s="109"/>
      <c r="L44" s="91"/>
      <c r="M44" s="92"/>
      <c r="N44" s="92"/>
      <c r="O44" s="92"/>
      <c r="P44" s="20"/>
      <c r="Q44" s="20"/>
      <c r="R44" s="20"/>
      <c r="S44" s="20"/>
      <c r="T44" s="20"/>
      <c r="U44" s="20"/>
      <c r="V44" s="20"/>
      <c r="W44" s="20"/>
      <c r="X44" s="20"/>
      <c r="Y44" s="20"/>
    </row>
    <row r="45" spans="1:25" s="7" customFormat="1">
      <c r="A45" s="202" t="s">
        <v>308</v>
      </c>
      <c r="B45" s="163"/>
      <c r="C45" s="109"/>
      <c r="D45" s="109"/>
      <c r="E45" s="109"/>
      <c r="F45" s="109"/>
      <c r="G45" s="109"/>
      <c r="H45" s="151"/>
      <c r="I45" s="151"/>
      <c r="J45" s="200"/>
      <c r="K45" s="109"/>
      <c r="L45" s="91"/>
      <c r="M45" s="92"/>
      <c r="N45" s="92"/>
      <c r="O45" s="92"/>
      <c r="P45" s="20"/>
      <c r="Q45" s="20"/>
      <c r="R45" s="20"/>
      <c r="S45" s="20"/>
      <c r="T45" s="20"/>
      <c r="U45" s="20"/>
      <c r="V45" s="20"/>
      <c r="W45" s="20"/>
      <c r="X45" s="20"/>
      <c r="Y45" s="20"/>
    </row>
    <row r="46" spans="1:25" s="7" customFormat="1">
      <c r="A46" s="202" t="s">
        <v>338</v>
      </c>
      <c r="B46" s="163"/>
      <c r="C46" s="109"/>
      <c r="D46" s="109"/>
      <c r="E46" s="109"/>
      <c r="F46" s="109"/>
      <c r="G46" s="109"/>
      <c r="H46" s="151"/>
      <c r="I46" s="151"/>
      <c r="J46" s="200"/>
      <c r="K46" s="109"/>
      <c r="L46" s="91"/>
      <c r="M46" s="92"/>
      <c r="N46" s="92"/>
      <c r="O46" s="92"/>
      <c r="P46" s="20"/>
      <c r="Q46" s="20"/>
      <c r="R46" s="20"/>
      <c r="S46" s="20"/>
      <c r="T46" s="20"/>
      <c r="U46" s="20"/>
      <c r="V46" s="20"/>
      <c r="W46" s="20"/>
      <c r="X46" s="20"/>
      <c r="Y46" s="20"/>
    </row>
    <row r="47" spans="1:25" s="7" customFormat="1">
      <c r="A47" s="202" t="s">
        <v>339</v>
      </c>
      <c r="B47" s="163"/>
      <c r="C47" s="109"/>
      <c r="D47" s="109"/>
      <c r="E47" s="109"/>
      <c r="F47" s="109"/>
      <c r="G47" s="109"/>
      <c r="H47" s="151"/>
      <c r="I47" s="151"/>
      <c r="J47" s="200"/>
      <c r="K47" s="109"/>
      <c r="L47" s="91"/>
      <c r="M47" s="92"/>
      <c r="N47" s="92"/>
      <c r="O47" s="92"/>
      <c r="P47" s="20"/>
      <c r="Q47" s="20"/>
      <c r="R47" s="20"/>
      <c r="S47" s="20"/>
      <c r="T47" s="20"/>
      <c r="U47" s="20"/>
      <c r="V47" s="20"/>
      <c r="W47" s="20"/>
      <c r="X47" s="20"/>
      <c r="Y47" s="20"/>
    </row>
    <row r="48" spans="1:25" s="7" customFormat="1">
      <c r="A48" s="202" t="s">
        <v>340</v>
      </c>
      <c r="B48" s="163"/>
      <c r="C48" s="109"/>
      <c r="D48" s="109"/>
      <c r="E48" s="109"/>
      <c r="F48" s="109"/>
      <c r="G48" s="109"/>
      <c r="H48" s="151"/>
      <c r="I48" s="151"/>
      <c r="J48" s="200"/>
      <c r="K48" s="109"/>
      <c r="L48" s="91"/>
      <c r="M48" s="92"/>
      <c r="N48" s="92"/>
      <c r="O48" s="92"/>
      <c r="P48" s="20"/>
      <c r="Q48" s="20"/>
      <c r="R48" s="20"/>
      <c r="S48" s="20"/>
      <c r="T48" s="20"/>
      <c r="U48" s="20"/>
      <c r="V48" s="20"/>
      <c r="W48" s="20"/>
      <c r="X48" s="20"/>
      <c r="Y48" s="20"/>
    </row>
    <row r="49" spans="1:25" s="7" customFormat="1">
      <c r="A49" s="202" t="s">
        <v>388</v>
      </c>
      <c r="B49" s="163"/>
      <c r="C49" s="109"/>
      <c r="D49" s="109"/>
      <c r="E49" s="109"/>
      <c r="F49" s="109"/>
      <c r="G49" s="109"/>
      <c r="H49" s="151"/>
      <c r="I49" s="151"/>
      <c r="J49" s="200"/>
      <c r="K49" s="109"/>
      <c r="L49" s="91"/>
      <c r="M49" s="92"/>
      <c r="N49" s="92"/>
      <c r="O49" s="92"/>
      <c r="P49" s="20"/>
      <c r="Q49" s="20"/>
      <c r="R49" s="20"/>
      <c r="S49" s="20"/>
      <c r="T49" s="20"/>
      <c r="U49" s="20"/>
      <c r="V49" s="20"/>
      <c r="W49" s="20"/>
      <c r="X49" s="20"/>
      <c r="Y49" s="20"/>
    </row>
    <row r="50" spans="1:25" s="7" customFormat="1">
      <c r="A50" s="202" t="s">
        <v>364</v>
      </c>
      <c r="B50" s="163"/>
      <c r="C50" s="109"/>
      <c r="D50" s="109"/>
      <c r="E50" s="109"/>
      <c r="F50" s="109"/>
      <c r="G50" s="109"/>
      <c r="H50" s="151"/>
      <c r="I50" s="151"/>
      <c r="J50" s="200"/>
      <c r="K50" s="109"/>
      <c r="L50" s="91"/>
      <c r="M50" s="92"/>
      <c r="N50" s="92"/>
      <c r="O50" s="92"/>
      <c r="P50" s="20"/>
      <c r="Q50" s="20"/>
      <c r="R50" s="20"/>
      <c r="S50" s="20"/>
      <c r="T50" s="20"/>
      <c r="U50" s="20"/>
      <c r="V50" s="20"/>
      <c r="W50" s="20"/>
      <c r="X50" s="20"/>
      <c r="Y50" s="20"/>
    </row>
    <row r="51" spans="1:25" s="7" customFormat="1">
      <c r="A51" s="202" t="s">
        <v>344</v>
      </c>
      <c r="B51" s="163"/>
      <c r="C51" s="109"/>
      <c r="D51" s="109"/>
      <c r="E51" s="109"/>
      <c r="F51" s="109"/>
      <c r="G51" s="109"/>
      <c r="H51" s="151"/>
      <c r="I51" s="151"/>
      <c r="J51" s="200"/>
      <c r="K51" s="109"/>
      <c r="L51" s="91"/>
      <c r="M51" s="92"/>
      <c r="N51" s="92"/>
      <c r="O51" s="92"/>
      <c r="P51" s="20"/>
      <c r="Q51" s="20"/>
      <c r="R51" s="20"/>
      <c r="S51" s="20"/>
      <c r="T51" s="20"/>
      <c r="U51" s="20"/>
      <c r="V51" s="20"/>
      <c r="W51" s="20"/>
      <c r="X51" s="20"/>
      <c r="Y51" s="20"/>
    </row>
    <row r="52" spans="1:25" s="7" customFormat="1">
      <c r="A52" s="202" t="s">
        <v>345</v>
      </c>
      <c r="B52" s="163"/>
      <c r="C52" s="109"/>
      <c r="D52" s="109"/>
      <c r="E52" s="109"/>
      <c r="F52" s="109"/>
      <c r="G52" s="109"/>
      <c r="H52" s="151"/>
      <c r="I52" s="151"/>
      <c r="J52" s="200"/>
      <c r="K52" s="109"/>
      <c r="L52" s="91"/>
      <c r="M52" s="92"/>
      <c r="N52" s="92"/>
      <c r="O52" s="92"/>
      <c r="P52" s="20"/>
      <c r="Q52" s="20"/>
      <c r="R52" s="20"/>
      <c r="S52" s="20"/>
      <c r="T52" s="20"/>
      <c r="U52" s="20"/>
      <c r="V52" s="20"/>
      <c r="W52" s="20"/>
      <c r="X52" s="20"/>
      <c r="Y52" s="20"/>
    </row>
    <row r="53" spans="1:25" s="7" customFormat="1">
      <c r="A53" s="202" t="s">
        <v>323</v>
      </c>
      <c r="B53" s="163"/>
      <c r="C53" s="109"/>
      <c r="D53" s="109"/>
      <c r="E53" s="109"/>
      <c r="F53" s="109"/>
      <c r="G53" s="109"/>
      <c r="H53" s="151"/>
      <c r="I53" s="151"/>
      <c r="J53" s="200"/>
      <c r="K53" s="109"/>
      <c r="L53" s="91"/>
      <c r="M53" s="92"/>
      <c r="N53" s="92"/>
      <c r="O53" s="92"/>
      <c r="P53" s="20"/>
      <c r="Q53" s="20"/>
      <c r="R53" s="20"/>
      <c r="S53" s="20"/>
      <c r="T53" s="20"/>
      <c r="U53" s="20"/>
      <c r="V53" s="20"/>
      <c r="W53" s="20"/>
      <c r="X53" s="20"/>
      <c r="Y53" s="20"/>
    </row>
    <row r="54" spans="1:25" s="7" customFormat="1">
      <c r="A54" s="202" t="s">
        <v>284</v>
      </c>
      <c r="B54" s="163"/>
      <c r="C54" s="109"/>
      <c r="D54" s="109"/>
      <c r="E54" s="109"/>
      <c r="F54" s="109"/>
      <c r="G54" s="109"/>
      <c r="H54" s="151"/>
      <c r="I54" s="151"/>
      <c r="J54" s="200"/>
      <c r="K54" s="109"/>
      <c r="L54" s="91"/>
      <c r="M54" s="92"/>
      <c r="N54" s="92"/>
      <c r="O54" s="92"/>
      <c r="P54" s="20"/>
      <c r="Q54" s="20"/>
      <c r="R54" s="20"/>
      <c r="S54" s="20"/>
      <c r="T54" s="20"/>
      <c r="U54" s="20"/>
      <c r="V54" s="20"/>
      <c r="W54" s="20"/>
      <c r="X54" s="20"/>
      <c r="Y54" s="20"/>
    </row>
    <row r="55" spans="1:25" s="7" customFormat="1">
      <c r="A55" s="202" t="s">
        <v>325</v>
      </c>
      <c r="B55" s="163"/>
      <c r="C55" s="109"/>
      <c r="D55" s="109"/>
      <c r="E55" s="109"/>
      <c r="F55" s="109"/>
      <c r="G55" s="109"/>
      <c r="H55" s="151"/>
      <c r="I55" s="151"/>
      <c r="J55" s="200"/>
      <c r="K55" s="109"/>
      <c r="L55" s="91"/>
      <c r="M55" s="92"/>
      <c r="N55" s="92"/>
      <c r="O55" s="92"/>
      <c r="P55" s="20"/>
      <c r="Q55" s="20"/>
      <c r="R55" s="20"/>
      <c r="S55" s="20"/>
      <c r="T55" s="20"/>
      <c r="U55" s="20"/>
      <c r="V55" s="20"/>
      <c r="W55" s="20"/>
      <c r="X55" s="20"/>
      <c r="Y55" s="20"/>
    </row>
    <row r="56" spans="1:25" s="7" customFormat="1">
      <c r="A56" s="202" t="s">
        <v>326</v>
      </c>
      <c r="B56" s="163"/>
      <c r="C56" s="109"/>
      <c r="D56" s="109"/>
      <c r="E56" s="109"/>
      <c r="F56" s="109"/>
      <c r="G56" s="109"/>
      <c r="H56" s="151"/>
      <c r="I56" s="151"/>
      <c r="J56" s="200"/>
      <c r="K56" s="109"/>
      <c r="L56" s="91"/>
      <c r="M56" s="92"/>
      <c r="N56" s="92"/>
      <c r="O56" s="92"/>
      <c r="P56" s="20"/>
      <c r="Q56" s="20"/>
      <c r="R56" s="20"/>
      <c r="S56" s="20"/>
      <c r="T56" s="20"/>
      <c r="U56" s="20"/>
      <c r="V56" s="20"/>
      <c r="W56" s="20"/>
      <c r="X56" s="20"/>
      <c r="Y56" s="20"/>
    </row>
    <row r="57" spans="1:25" s="7" customFormat="1">
      <c r="A57" s="202" t="s">
        <v>327</v>
      </c>
      <c r="B57" s="163"/>
      <c r="C57" s="109"/>
      <c r="D57" s="109"/>
      <c r="E57" s="109"/>
      <c r="F57" s="109"/>
      <c r="G57" s="109"/>
      <c r="H57" s="151"/>
      <c r="I57" s="151"/>
      <c r="J57" s="200"/>
      <c r="K57" s="109"/>
      <c r="L57" s="91"/>
      <c r="M57" s="92"/>
      <c r="N57" s="92"/>
      <c r="O57" s="92"/>
      <c r="P57" s="20"/>
      <c r="Q57" s="20"/>
      <c r="R57" s="20"/>
      <c r="S57" s="20"/>
      <c r="T57" s="20"/>
      <c r="U57" s="20"/>
      <c r="V57" s="20"/>
      <c r="W57" s="20"/>
      <c r="X57" s="20"/>
      <c r="Y57" s="20"/>
    </row>
    <row r="58" spans="1:25" s="7" customFormat="1">
      <c r="A58" s="202" t="s">
        <v>328</v>
      </c>
      <c r="B58" s="163"/>
      <c r="C58" s="109"/>
      <c r="D58" s="109"/>
      <c r="E58" s="109"/>
      <c r="F58" s="109"/>
      <c r="G58" s="109"/>
      <c r="H58" s="151"/>
      <c r="I58" s="151"/>
      <c r="J58" s="200"/>
      <c r="K58" s="109"/>
      <c r="L58" s="91"/>
      <c r="M58" s="92"/>
      <c r="N58" s="92"/>
      <c r="O58" s="92"/>
      <c r="P58" s="20"/>
      <c r="Q58" s="20"/>
      <c r="R58" s="20"/>
      <c r="S58" s="20"/>
      <c r="T58" s="20"/>
      <c r="U58" s="20"/>
      <c r="V58" s="20"/>
      <c r="W58" s="20"/>
      <c r="X58" s="20"/>
      <c r="Y58" s="20"/>
    </row>
    <row r="59" spans="1:25" s="7" customFormat="1">
      <c r="A59" s="202" t="s">
        <v>351</v>
      </c>
      <c r="B59" s="163"/>
      <c r="C59" s="109"/>
      <c r="D59" s="109"/>
      <c r="E59" s="109"/>
      <c r="F59" s="109"/>
      <c r="G59" s="109"/>
      <c r="H59" s="151"/>
      <c r="I59" s="151"/>
      <c r="J59" s="200"/>
      <c r="K59" s="109"/>
      <c r="L59" s="91"/>
      <c r="M59" s="92"/>
      <c r="N59" s="92"/>
      <c r="O59" s="92"/>
      <c r="P59" s="20"/>
      <c r="Q59" s="20"/>
      <c r="R59" s="20"/>
      <c r="S59" s="20"/>
      <c r="T59" s="20"/>
      <c r="U59" s="20"/>
      <c r="V59" s="20"/>
      <c r="W59" s="20"/>
      <c r="X59" s="20"/>
      <c r="Y59" s="20"/>
    </row>
    <row r="60" spans="1:25" s="7" customFormat="1">
      <c r="A60" s="202" t="s">
        <v>352</v>
      </c>
      <c r="B60" s="163"/>
      <c r="C60" s="109"/>
      <c r="D60" s="109"/>
      <c r="E60" s="109"/>
      <c r="F60" s="109"/>
      <c r="G60" s="109"/>
      <c r="H60" s="151"/>
      <c r="I60" s="151"/>
      <c r="J60" s="200"/>
      <c r="K60" s="109"/>
      <c r="L60" s="91"/>
      <c r="M60" s="92"/>
      <c r="N60" s="92"/>
      <c r="O60" s="92"/>
      <c r="P60" s="20"/>
      <c r="Q60" s="20"/>
      <c r="R60" s="20"/>
      <c r="S60" s="20"/>
      <c r="T60" s="20"/>
      <c r="U60" s="20"/>
      <c r="V60" s="20"/>
      <c r="W60" s="20"/>
      <c r="X60" s="20"/>
      <c r="Y60" s="20"/>
    </row>
    <row r="61" spans="1:25" s="7" customFormat="1">
      <c r="A61" s="202" t="s">
        <v>353</v>
      </c>
      <c r="B61" s="163"/>
      <c r="C61" s="109"/>
      <c r="D61" s="109"/>
      <c r="E61" s="109"/>
      <c r="F61" s="109"/>
      <c r="G61" s="109"/>
      <c r="H61" s="151"/>
      <c r="I61" s="151"/>
      <c r="J61" s="200"/>
      <c r="K61" s="109"/>
      <c r="L61" s="91"/>
      <c r="M61" s="92"/>
      <c r="N61" s="92"/>
      <c r="O61" s="92"/>
      <c r="P61" s="20"/>
      <c r="Q61" s="20"/>
      <c r="R61" s="20"/>
      <c r="S61" s="20"/>
      <c r="T61" s="20"/>
      <c r="U61" s="20"/>
      <c r="V61" s="20"/>
      <c r="W61" s="20"/>
      <c r="X61" s="20"/>
      <c r="Y61" s="20"/>
    </row>
    <row r="62" spans="1:25" s="7" customFormat="1">
      <c r="A62" s="202" t="s">
        <v>354</v>
      </c>
      <c r="B62" s="163"/>
      <c r="C62" s="109"/>
      <c r="D62" s="109"/>
      <c r="E62" s="109"/>
      <c r="F62" s="109"/>
      <c r="G62" s="109"/>
      <c r="H62" s="151"/>
      <c r="I62" s="151"/>
      <c r="J62" s="200"/>
      <c r="K62" s="109"/>
      <c r="L62" s="91"/>
      <c r="M62" s="92"/>
      <c r="N62" s="92"/>
      <c r="O62" s="92"/>
      <c r="P62" s="20"/>
      <c r="Q62" s="20"/>
      <c r="R62" s="20"/>
      <c r="S62" s="20"/>
      <c r="T62" s="20"/>
      <c r="U62" s="20"/>
      <c r="V62" s="20"/>
      <c r="W62" s="20"/>
      <c r="X62" s="20"/>
      <c r="Y62" s="20"/>
    </row>
    <row r="63" spans="1:25" s="7" customFormat="1">
      <c r="A63" s="202" t="s">
        <v>331</v>
      </c>
      <c r="B63" s="163"/>
      <c r="C63" s="109"/>
      <c r="D63" s="109"/>
      <c r="E63" s="109"/>
      <c r="F63" s="109"/>
      <c r="G63" s="109"/>
      <c r="H63" s="151"/>
      <c r="I63" s="151"/>
      <c r="J63" s="200"/>
      <c r="K63" s="109"/>
      <c r="L63" s="91"/>
      <c r="M63" s="92"/>
      <c r="N63" s="92"/>
      <c r="O63" s="92"/>
      <c r="P63" s="20"/>
      <c r="Q63" s="20"/>
      <c r="R63" s="20"/>
      <c r="S63" s="20"/>
      <c r="T63" s="20"/>
      <c r="U63" s="20"/>
      <c r="V63" s="20"/>
      <c r="W63" s="20"/>
      <c r="X63" s="20"/>
      <c r="Y63" s="20"/>
    </row>
    <row r="64" spans="1:25" s="7" customFormat="1">
      <c r="A64" s="202" t="s">
        <v>332</v>
      </c>
      <c r="B64" s="163"/>
      <c r="C64" s="109"/>
      <c r="D64" s="109"/>
      <c r="E64" s="109"/>
      <c r="F64" s="109"/>
      <c r="G64" s="109"/>
      <c r="H64" s="151"/>
      <c r="I64" s="151"/>
      <c r="J64" s="200"/>
      <c r="K64" s="109"/>
      <c r="L64" s="91"/>
      <c r="M64" s="92"/>
      <c r="N64" s="92"/>
      <c r="O64" s="92"/>
      <c r="P64" s="20"/>
      <c r="Q64" s="20"/>
      <c r="R64" s="20"/>
      <c r="S64" s="20"/>
      <c r="T64" s="20"/>
      <c r="U64" s="20"/>
      <c r="V64" s="20"/>
      <c r="W64" s="20"/>
      <c r="X64" s="20"/>
      <c r="Y64" s="20"/>
    </row>
    <row r="65" spans="1:25" s="7" customFormat="1">
      <c r="A65" s="202" t="s">
        <v>333</v>
      </c>
      <c r="B65" s="174"/>
      <c r="C65" s="175"/>
      <c r="D65" s="175"/>
      <c r="E65" s="175"/>
      <c r="F65" s="175"/>
      <c r="G65" s="175"/>
      <c r="H65" s="142"/>
      <c r="I65" s="142"/>
      <c r="J65" s="199"/>
      <c r="K65" s="119"/>
      <c r="L65" s="91"/>
      <c r="M65" s="92"/>
      <c r="N65" s="92"/>
      <c r="O65" s="92"/>
      <c r="P65" s="20"/>
      <c r="Q65" s="20"/>
      <c r="R65" s="20"/>
      <c r="S65" s="20"/>
      <c r="T65" s="20"/>
      <c r="U65" s="20"/>
      <c r="V65" s="20"/>
      <c r="W65" s="20"/>
      <c r="X65" s="20"/>
      <c r="Y65" s="20"/>
    </row>
    <row r="66" spans="1:25" s="7" customFormat="1">
      <c r="A66" s="202" t="s">
        <v>334</v>
      </c>
      <c r="B66" s="174"/>
      <c r="C66" s="175"/>
      <c r="D66" s="175"/>
      <c r="E66" s="175"/>
      <c r="F66" s="175"/>
      <c r="G66" s="175"/>
      <c r="H66" s="142"/>
      <c r="I66" s="142"/>
      <c r="J66" s="199"/>
      <c r="K66" s="119"/>
      <c r="L66" s="91"/>
      <c r="M66" s="92"/>
      <c r="N66" s="92"/>
      <c r="O66" s="92"/>
      <c r="P66" s="20"/>
      <c r="Q66" s="20"/>
      <c r="R66" s="20"/>
      <c r="S66" s="20"/>
      <c r="T66" s="20"/>
      <c r="U66" s="20"/>
      <c r="V66" s="20"/>
      <c r="W66" s="20"/>
      <c r="X66" s="20"/>
      <c r="Y66" s="20"/>
    </row>
    <row r="67" spans="1:25" s="7" customFormat="1">
      <c r="A67" s="202" t="s">
        <v>335</v>
      </c>
      <c r="B67" s="174"/>
      <c r="C67" s="175"/>
      <c r="D67" s="175"/>
      <c r="E67" s="175"/>
      <c r="F67" s="175"/>
      <c r="G67" s="175"/>
      <c r="H67" s="142"/>
      <c r="I67" s="142"/>
      <c r="J67" s="199"/>
      <c r="K67" s="119"/>
      <c r="L67" s="91"/>
      <c r="M67" s="92"/>
      <c r="N67" s="92"/>
      <c r="O67" s="92"/>
      <c r="P67" s="20"/>
      <c r="Q67" s="20"/>
      <c r="R67" s="20"/>
      <c r="S67" s="20"/>
      <c r="T67" s="20"/>
      <c r="U67" s="20"/>
      <c r="V67" s="20"/>
      <c r="W67" s="20"/>
      <c r="X67" s="20"/>
      <c r="Y67" s="20"/>
    </row>
    <row r="68" spans="1:25" s="7" customFormat="1">
      <c r="A68" s="202" t="s">
        <v>260</v>
      </c>
      <c r="B68" s="174"/>
      <c r="C68" s="175"/>
      <c r="D68" s="175"/>
      <c r="E68" s="175"/>
      <c r="F68" s="175"/>
      <c r="G68" s="175"/>
      <c r="H68" s="142"/>
      <c r="I68" s="142"/>
      <c r="J68" s="199"/>
      <c r="K68" s="119"/>
      <c r="L68" s="91"/>
      <c r="M68" s="92"/>
      <c r="N68" s="92"/>
      <c r="O68" s="92"/>
      <c r="P68" s="20"/>
      <c r="Q68" s="20"/>
      <c r="R68" s="20"/>
      <c r="S68" s="20"/>
      <c r="T68" s="20"/>
      <c r="U68" s="20"/>
      <c r="V68" s="20"/>
      <c r="W68" s="20"/>
      <c r="X68" s="20"/>
      <c r="Y68" s="20"/>
    </row>
    <row r="69" spans="1:25" s="7" customFormat="1">
      <c r="A69" s="202" t="s">
        <v>261</v>
      </c>
      <c r="B69" s="174"/>
      <c r="C69" s="175"/>
      <c r="D69" s="175"/>
      <c r="E69" s="175"/>
      <c r="F69" s="175"/>
      <c r="G69" s="175"/>
      <c r="H69" s="142"/>
      <c r="I69" s="142"/>
      <c r="J69" s="199"/>
      <c r="K69" s="119"/>
      <c r="L69" s="91"/>
      <c r="M69" s="92"/>
      <c r="N69" s="92"/>
      <c r="O69" s="92"/>
      <c r="P69" s="20"/>
      <c r="Q69" s="20"/>
      <c r="R69" s="20"/>
      <c r="S69" s="20"/>
      <c r="T69" s="20"/>
      <c r="U69" s="20"/>
      <c r="V69" s="20"/>
      <c r="W69" s="20"/>
      <c r="X69" s="20"/>
      <c r="Y69" s="20"/>
    </row>
    <row r="70" spans="1:25" s="7" customFormat="1">
      <c r="A70" s="202" t="s">
        <v>309</v>
      </c>
      <c r="B70" s="174"/>
      <c r="C70" s="175"/>
      <c r="D70" s="175"/>
      <c r="E70" s="175"/>
      <c r="F70" s="175"/>
      <c r="G70" s="175"/>
      <c r="H70" s="142"/>
      <c r="I70" s="142"/>
      <c r="J70" s="199"/>
      <c r="K70" s="119"/>
      <c r="L70" s="91"/>
      <c r="M70" s="92"/>
      <c r="N70" s="92"/>
      <c r="O70" s="92"/>
      <c r="P70" s="20"/>
      <c r="Q70" s="20"/>
      <c r="R70" s="20"/>
      <c r="S70" s="20"/>
      <c r="T70" s="20"/>
      <c r="U70" s="20"/>
      <c r="V70" s="20"/>
      <c r="W70" s="20"/>
      <c r="X70" s="20"/>
      <c r="Y70" s="20"/>
    </row>
    <row r="71" spans="1:25" s="7" customFormat="1">
      <c r="A71" s="202" t="s">
        <v>310</v>
      </c>
      <c r="B71" s="174"/>
      <c r="C71" s="175"/>
      <c r="D71" s="175"/>
      <c r="E71" s="175"/>
      <c r="F71" s="175"/>
      <c r="G71" s="175"/>
      <c r="H71" s="142"/>
      <c r="I71" s="142"/>
      <c r="J71" s="199"/>
      <c r="K71" s="119"/>
      <c r="L71" s="91"/>
      <c r="M71" s="92"/>
      <c r="N71" s="92"/>
      <c r="O71" s="92"/>
      <c r="P71" s="20"/>
      <c r="Q71" s="20"/>
      <c r="R71" s="20"/>
      <c r="S71" s="20"/>
      <c r="T71" s="20"/>
      <c r="U71" s="20"/>
      <c r="V71" s="20"/>
      <c r="W71" s="20"/>
      <c r="X71" s="20"/>
      <c r="Y71" s="20"/>
    </row>
    <row r="72" spans="1:25" s="7" customFormat="1">
      <c r="A72" s="202" t="s">
        <v>311</v>
      </c>
      <c r="B72" s="174"/>
      <c r="C72" s="175"/>
      <c r="D72" s="175"/>
      <c r="E72" s="175"/>
      <c r="F72" s="175"/>
      <c r="G72" s="175"/>
      <c r="H72" s="142"/>
      <c r="I72" s="142"/>
      <c r="J72" s="199"/>
      <c r="K72" s="119"/>
      <c r="L72" s="91"/>
      <c r="M72" s="92"/>
      <c r="N72" s="92"/>
      <c r="O72" s="92"/>
      <c r="P72" s="20"/>
      <c r="Q72" s="20"/>
      <c r="R72" s="20"/>
      <c r="S72" s="20"/>
      <c r="T72" s="20"/>
      <c r="U72" s="20"/>
      <c r="V72" s="20"/>
      <c r="W72" s="20"/>
      <c r="X72" s="20"/>
      <c r="Y72" s="20"/>
    </row>
    <row r="73" spans="1:25" s="7" customFormat="1">
      <c r="A73" s="202" t="s">
        <v>341</v>
      </c>
      <c r="B73" s="174"/>
      <c r="C73" s="175"/>
      <c r="D73" s="175"/>
      <c r="E73" s="175"/>
      <c r="F73" s="175"/>
      <c r="G73" s="175"/>
      <c r="H73" s="142"/>
      <c r="I73" s="142"/>
      <c r="J73" s="199"/>
      <c r="K73" s="119"/>
      <c r="L73" s="91"/>
      <c r="M73" s="92"/>
      <c r="N73" s="92"/>
      <c r="O73" s="92"/>
      <c r="P73" s="20"/>
      <c r="Q73" s="20"/>
      <c r="R73" s="20"/>
      <c r="S73" s="20"/>
      <c r="T73" s="20"/>
      <c r="U73" s="20"/>
      <c r="V73" s="20"/>
      <c r="W73" s="20"/>
      <c r="X73" s="20"/>
      <c r="Y73" s="20"/>
    </row>
    <row r="74" spans="1:25" s="7" customFormat="1">
      <c r="A74" s="202" t="s">
        <v>342</v>
      </c>
      <c r="B74" s="174"/>
      <c r="C74" s="175"/>
      <c r="D74" s="175"/>
      <c r="E74" s="175"/>
      <c r="F74" s="175"/>
      <c r="G74" s="175"/>
      <c r="H74" s="142"/>
      <c r="I74" s="142"/>
      <c r="J74" s="199"/>
      <c r="K74" s="119"/>
      <c r="L74" s="91"/>
      <c r="M74" s="92"/>
      <c r="N74" s="92"/>
      <c r="O74" s="92"/>
      <c r="P74" s="20"/>
      <c r="Q74" s="20"/>
      <c r="R74" s="20"/>
      <c r="S74" s="20"/>
      <c r="T74" s="20"/>
      <c r="U74" s="20"/>
      <c r="V74" s="20"/>
      <c r="W74" s="20"/>
      <c r="X74" s="20"/>
      <c r="Y74" s="20"/>
    </row>
    <row r="75" spans="1:25" s="7" customFormat="1">
      <c r="A75" s="202" t="s">
        <v>314</v>
      </c>
      <c r="B75" s="174"/>
      <c r="C75" s="175"/>
      <c r="D75" s="175"/>
      <c r="E75" s="175"/>
      <c r="F75" s="175"/>
      <c r="G75" s="175"/>
      <c r="H75" s="142"/>
      <c r="I75" s="142"/>
      <c r="J75" s="199"/>
      <c r="K75" s="119"/>
      <c r="L75" s="91"/>
      <c r="M75" s="92"/>
      <c r="N75" s="92"/>
      <c r="O75" s="92"/>
      <c r="P75" s="20"/>
      <c r="Q75" s="20"/>
      <c r="R75" s="20"/>
      <c r="S75" s="20"/>
      <c r="T75" s="20"/>
      <c r="U75" s="20"/>
      <c r="V75" s="20"/>
      <c r="W75" s="20"/>
      <c r="X75" s="20"/>
      <c r="Y75" s="20"/>
    </row>
    <row r="76" spans="1:25" s="7" customFormat="1">
      <c r="A76" s="202" t="s">
        <v>343</v>
      </c>
      <c r="B76" s="174"/>
      <c r="C76" s="175"/>
      <c r="D76" s="175"/>
      <c r="E76" s="175"/>
      <c r="F76" s="175"/>
      <c r="G76" s="175"/>
      <c r="H76" s="142"/>
      <c r="I76" s="142"/>
      <c r="J76" s="199"/>
      <c r="K76" s="119"/>
      <c r="L76" s="91"/>
      <c r="M76" s="92"/>
      <c r="N76" s="92"/>
      <c r="O76" s="92"/>
      <c r="P76" s="20"/>
      <c r="Q76" s="20"/>
      <c r="R76" s="20"/>
      <c r="S76" s="20"/>
      <c r="T76" s="20"/>
      <c r="U76" s="20"/>
      <c r="V76" s="20"/>
      <c r="W76" s="20"/>
      <c r="X76" s="20"/>
      <c r="Y76" s="20"/>
    </row>
    <row r="77" spans="1:25" s="7" customFormat="1">
      <c r="A77" s="202" t="s">
        <v>271</v>
      </c>
      <c r="B77" s="174"/>
      <c r="C77" s="175"/>
      <c r="D77" s="175"/>
      <c r="E77" s="175"/>
      <c r="F77" s="175"/>
      <c r="G77" s="175"/>
      <c r="H77" s="142"/>
      <c r="I77" s="142"/>
      <c r="J77" s="199"/>
      <c r="K77" s="119"/>
      <c r="L77" s="91"/>
      <c r="M77" s="92"/>
      <c r="N77" s="92"/>
      <c r="O77" s="92"/>
      <c r="P77" s="20"/>
      <c r="Q77" s="20"/>
      <c r="R77" s="20"/>
      <c r="S77" s="20"/>
      <c r="T77" s="20"/>
      <c r="U77" s="20"/>
      <c r="V77" s="20"/>
      <c r="W77" s="20"/>
      <c r="X77" s="20"/>
      <c r="Y77" s="20"/>
    </row>
    <row r="78" spans="1:25" s="7" customFormat="1">
      <c r="A78" s="202" t="s">
        <v>315</v>
      </c>
      <c r="B78" s="174"/>
      <c r="C78" s="175"/>
      <c r="D78" s="175"/>
      <c r="E78" s="175"/>
      <c r="F78" s="175"/>
      <c r="G78" s="175"/>
      <c r="H78" s="142"/>
      <c r="I78" s="142"/>
      <c r="J78" s="199"/>
      <c r="K78" s="119"/>
      <c r="L78" s="91"/>
      <c r="M78" s="92"/>
      <c r="N78" s="92"/>
      <c r="O78" s="92"/>
      <c r="P78" s="20"/>
      <c r="Q78" s="20"/>
      <c r="R78" s="20"/>
      <c r="S78" s="20"/>
      <c r="T78" s="20"/>
      <c r="U78" s="20"/>
      <c r="V78" s="20"/>
      <c r="W78" s="20"/>
      <c r="X78" s="20"/>
      <c r="Y78" s="20"/>
    </row>
    <row r="79" spans="1:25" s="7" customFormat="1">
      <c r="A79" s="202" t="s">
        <v>316</v>
      </c>
      <c r="B79" s="174"/>
      <c r="C79" s="175"/>
      <c r="D79" s="175"/>
      <c r="E79" s="175"/>
      <c r="F79" s="175"/>
      <c r="G79" s="175"/>
      <c r="H79" s="142"/>
      <c r="I79" s="142"/>
      <c r="J79" s="199"/>
      <c r="K79" s="119"/>
      <c r="L79" s="91"/>
      <c r="M79" s="92"/>
      <c r="N79" s="92"/>
      <c r="O79" s="92"/>
      <c r="P79" s="20"/>
      <c r="Q79" s="20"/>
      <c r="R79" s="20"/>
      <c r="S79" s="20"/>
      <c r="T79" s="20"/>
      <c r="U79" s="20"/>
      <c r="V79" s="20"/>
      <c r="W79" s="20"/>
      <c r="X79" s="20"/>
      <c r="Y79" s="20"/>
    </row>
    <row r="80" spans="1:25" s="7" customFormat="1">
      <c r="A80" s="202" t="s">
        <v>317</v>
      </c>
      <c r="B80" s="174"/>
      <c r="C80" s="175"/>
      <c r="D80" s="175"/>
      <c r="E80" s="175"/>
      <c r="F80" s="175"/>
      <c r="G80" s="175"/>
      <c r="H80" s="142"/>
      <c r="I80" s="142"/>
      <c r="J80" s="199"/>
      <c r="K80" s="119"/>
      <c r="L80" s="91"/>
      <c r="M80" s="92"/>
      <c r="N80" s="92"/>
      <c r="O80" s="92"/>
      <c r="P80" s="20"/>
      <c r="Q80" s="20"/>
      <c r="R80" s="20"/>
      <c r="S80" s="20"/>
      <c r="T80" s="20"/>
      <c r="U80" s="20"/>
      <c r="V80" s="20"/>
      <c r="W80" s="20"/>
      <c r="X80" s="20"/>
      <c r="Y80" s="20"/>
    </row>
    <row r="81" spans="1:25" s="7" customFormat="1">
      <c r="A81" s="202" t="s">
        <v>318</v>
      </c>
      <c r="B81" s="174"/>
      <c r="C81" s="175"/>
      <c r="D81" s="175"/>
      <c r="E81" s="175"/>
      <c r="F81" s="175"/>
      <c r="G81" s="175"/>
      <c r="H81" s="142"/>
      <c r="I81" s="142"/>
      <c r="J81" s="199"/>
      <c r="K81" s="119"/>
      <c r="L81" s="91"/>
      <c r="M81" s="92"/>
      <c r="N81" s="92"/>
      <c r="O81" s="92"/>
      <c r="P81" s="20"/>
      <c r="Q81" s="20"/>
      <c r="R81" s="20"/>
      <c r="S81" s="20"/>
      <c r="T81" s="20"/>
      <c r="U81" s="20"/>
      <c r="V81" s="20"/>
      <c r="W81" s="20"/>
      <c r="X81" s="20"/>
      <c r="Y81" s="20"/>
    </row>
    <row r="82" spans="1:25" s="7" customFormat="1">
      <c r="A82" s="202" t="s">
        <v>319</v>
      </c>
      <c r="B82" s="174"/>
      <c r="C82" s="175"/>
      <c r="D82" s="175"/>
      <c r="E82" s="175"/>
      <c r="F82" s="175"/>
      <c r="G82" s="175"/>
      <c r="H82" s="142"/>
      <c r="I82" s="142"/>
      <c r="J82" s="199"/>
      <c r="K82" s="119"/>
      <c r="L82" s="91"/>
      <c r="M82" s="92"/>
      <c r="N82" s="92"/>
      <c r="O82" s="92"/>
      <c r="P82" s="20"/>
      <c r="Q82" s="20"/>
      <c r="R82" s="20"/>
      <c r="S82" s="20"/>
      <c r="T82" s="20"/>
      <c r="U82" s="20"/>
      <c r="V82" s="20"/>
      <c r="W82" s="20"/>
      <c r="X82" s="20"/>
      <c r="Y82" s="20"/>
    </row>
    <row r="83" spans="1:25" s="7" customFormat="1">
      <c r="A83" s="202" t="s">
        <v>320</v>
      </c>
      <c r="B83" s="174"/>
      <c r="C83" s="175"/>
      <c r="D83" s="175"/>
      <c r="E83" s="175"/>
      <c r="F83" s="175"/>
      <c r="G83" s="175"/>
      <c r="H83" s="142"/>
      <c r="I83" s="142"/>
      <c r="J83" s="199"/>
      <c r="K83" s="119"/>
      <c r="L83" s="91"/>
      <c r="M83" s="92"/>
      <c r="N83" s="92"/>
      <c r="O83" s="92"/>
      <c r="P83" s="20"/>
      <c r="Q83" s="20"/>
      <c r="R83" s="20"/>
      <c r="S83" s="20"/>
      <c r="T83" s="20"/>
      <c r="U83" s="20"/>
      <c r="V83" s="20"/>
      <c r="W83" s="20"/>
      <c r="X83" s="20"/>
      <c r="Y83" s="20"/>
    </row>
    <row r="84" spans="1:25" s="7" customFormat="1">
      <c r="A84" s="202" t="s">
        <v>321</v>
      </c>
      <c r="B84" s="174"/>
      <c r="C84" s="175"/>
      <c r="D84" s="175"/>
      <c r="E84" s="175"/>
      <c r="F84" s="175"/>
      <c r="G84" s="175"/>
      <c r="H84" s="142"/>
      <c r="I84" s="142"/>
      <c r="J84" s="199"/>
      <c r="K84" s="119"/>
      <c r="L84" s="91"/>
      <c r="M84" s="92"/>
      <c r="N84" s="92"/>
      <c r="O84" s="92"/>
      <c r="P84" s="20"/>
      <c r="Q84" s="20"/>
      <c r="R84" s="20"/>
      <c r="S84" s="20"/>
      <c r="T84" s="20"/>
      <c r="U84" s="20"/>
      <c r="V84" s="20"/>
      <c r="W84" s="20"/>
      <c r="X84" s="20"/>
      <c r="Y84" s="20"/>
    </row>
    <row r="85" spans="1:25" s="7" customFormat="1">
      <c r="A85" s="202" t="s">
        <v>322</v>
      </c>
      <c r="B85" s="174"/>
      <c r="C85" s="175"/>
      <c r="D85" s="175"/>
      <c r="E85" s="175"/>
      <c r="F85" s="175"/>
      <c r="G85" s="175"/>
      <c r="H85" s="142"/>
      <c r="I85" s="142"/>
      <c r="J85" s="199"/>
      <c r="K85" s="119"/>
      <c r="L85" s="91"/>
      <c r="M85" s="92"/>
      <c r="N85" s="92"/>
      <c r="O85" s="92"/>
      <c r="P85" s="20"/>
      <c r="Q85" s="20"/>
      <c r="R85" s="20"/>
      <c r="S85" s="20"/>
      <c r="T85" s="20"/>
      <c r="U85" s="20"/>
      <c r="V85" s="20"/>
      <c r="W85" s="20"/>
      <c r="X85" s="20"/>
      <c r="Y85" s="20"/>
    </row>
    <row r="86" spans="1:25" s="7" customFormat="1">
      <c r="A86" s="202" t="s">
        <v>229</v>
      </c>
      <c r="B86" s="174"/>
      <c r="C86" s="175"/>
      <c r="D86" s="175"/>
      <c r="E86" s="175"/>
      <c r="F86" s="175"/>
      <c r="G86" s="175"/>
      <c r="H86" s="142"/>
      <c r="I86" s="142"/>
      <c r="J86" s="199"/>
      <c r="K86" s="119"/>
      <c r="L86" s="91"/>
      <c r="M86" s="92"/>
      <c r="N86" s="92"/>
      <c r="O86" s="92"/>
      <c r="P86" s="20"/>
      <c r="Q86" s="20"/>
      <c r="R86" s="20"/>
      <c r="S86" s="20"/>
      <c r="T86" s="20"/>
      <c r="U86" s="20"/>
      <c r="V86" s="20"/>
      <c r="W86" s="20"/>
      <c r="X86" s="20"/>
      <c r="Y86" s="20"/>
    </row>
    <row r="87" spans="1:25" s="7" customFormat="1">
      <c r="A87" s="202" t="s">
        <v>230</v>
      </c>
      <c r="B87" s="174"/>
      <c r="C87" s="175"/>
      <c r="D87" s="175"/>
      <c r="E87" s="175"/>
      <c r="F87" s="175"/>
      <c r="G87" s="175"/>
      <c r="H87" s="142"/>
      <c r="I87" s="142"/>
      <c r="J87" s="199"/>
      <c r="K87" s="119"/>
      <c r="L87" s="91"/>
      <c r="M87" s="92"/>
      <c r="N87" s="92"/>
      <c r="O87" s="92"/>
      <c r="P87" s="20"/>
      <c r="Q87" s="20"/>
      <c r="R87" s="20"/>
      <c r="S87" s="20"/>
      <c r="T87" s="20"/>
      <c r="U87" s="20"/>
      <c r="V87" s="20"/>
      <c r="W87" s="20"/>
      <c r="X87" s="20"/>
      <c r="Y87" s="20"/>
    </row>
    <row r="88" spans="1:25" s="7" customFormat="1">
      <c r="A88" s="202" t="s">
        <v>231</v>
      </c>
      <c r="B88" s="174"/>
      <c r="C88" s="175"/>
      <c r="D88" s="175"/>
      <c r="E88" s="175"/>
      <c r="F88" s="175"/>
      <c r="G88" s="175"/>
      <c r="H88" s="142"/>
      <c r="I88" s="142"/>
      <c r="J88" s="199"/>
      <c r="K88" s="119"/>
      <c r="L88" s="91"/>
      <c r="M88" s="92"/>
      <c r="N88" s="92"/>
      <c r="O88" s="92"/>
      <c r="P88" s="20"/>
      <c r="Q88" s="20"/>
      <c r="R88" s="20"/>
      <c r="S88" s="20"/>
      <c r="T88" s="20"/>
      <c r="U88" s="20"/>
      <c r="V88" s="20"/>
      <c r="W88" s="20"/>
      <c r="X88" s="20"/>
      <c r="Y88" s="20"/>
    </row>
    <row r="89" spans="1:25" s="7" customFormat="1">
      <c r="A89" s="202" t="s">
        <v>285</v>
      </c>
      <c r="B89" s="174"/>
      <c r="C89" s="175"/>
      <c r="D89" s="175"/>
      <c r="E89" s="175"/>
      <c r="F89" s="175"/>
      <c r="G89" s="175"/>
      <c r="H89" s="142"/>
      <c r="I89" s="142"/>
      <c r="J89" s="199"/>
      <c r="K89" s="119"/>
      <c r="L89" s="91"/>
      <c r="M89" s="92"/>
      <c r="N89" s="92"/>
      <c r="O89" s="92"/>
      <c r="P89" s="20"/>
      <c r="Q89" s="20"/>
      <c r="R89" s="20"/>
      <c r="S89" s="20"/>
      <c r="T89" s="20"/>
      <c r="U89" s="20"/>
      <c r="V89" s="20"/>
      <c r="W89" s="20"/>
      <c r="X89" s="20"/>
      <c r="Y89" s="20"/>
    </row>
    <row r="90" spans="1:25" s="7" customFormat="1">
      <c r="A90" s="202" t="s">
        <v>286</v>
      </c>
      <c r="B90" s="174"/>
      <c r="C90" s="175"/>
      <c r="D90" s="175"/>
      <c r="E90" s="175"/>
      <c r="F90" s="175"/>
      <c r="G90" s="175"/>
      <c r="H90" s="142"/>
      <c r="I90" s="142"/>
      <c r="J90" s="199"/>
      <c r="K90" s="119"/>
      <c r="L90" s="91"/>
      <c r="M90" s="92"/>
      <c r="N90" s="92"/>
      <c r="O90" s="92"/>
      <c r="P90" s="20"/>
      <c r="Q90" s="20"/>
      <c r="R90" s="20"/>
      <c r="S90" s="20"/>
      <c r="T90" s="20"/>
      <c r="U90" s="20"/>
      <c r="V90" s="20"/>
      <c r="W90" s="20"/>
      <c r="X90" s="20"/>
      <c r="Y90" s="20"/>
    </row>
    <row r="91" spans="1:25" s="7" customFormat="1">
      <c r="A91" s="202" t="s">
        <v>287</v>
      </c>
      <c r="B91" s="174"/>
      <c r="C91" s="175"/>
      <c r="D91" s="175"/>
      <c r="E91" s="175"/>
      <c r="F91" s="175"/>
      <c r="G91" s="175"/>
      <c r="H91" s="142"/>
      <c r="I91" s="142"/>
      <c r="J91" s="199"/>
      <c r="K91" s="119"/>
      <c r="L91" s="91"/>
      <c r="M91" s="92"/>
      <c r="N91" s="92"/>
      <c r="O91" s="92"/>
      <c r="P91" s="20"/>
      <c r="Q91" s="20"/>
      <c r="R91" s="20"/>
      <c r="S91" s="20"/>
      <c r="T91" s="20"/>
      <c r="U91" s="20"/>
      <c r="V91" s="20"/>
      <c r="W91" s="20"/>
      <c r="X91" s="20"/>
      <c r="Y91" s="20"/>
    </row>
    <row r="92" spans="1:25" s="7" customFormat="1">
      <c r="A92" s="202" t="s">
        <v>288</v>
      </c>
      <c r="B92" s="174"/>
      <c r="C92" s="175"/>
      <c r="D92" s="175"/>
      <c r="E92" s="175"/>
      <c r="F92" s="175"/>
      <c r="G92" s="175"/>
      <c r="H92" s="142"/>
      <c r="I92" s="142"/>
      <c r="J92" s="199"/>
      <c r="K92" s="119"/>
      <c r="L92" s="91"/>
      <c r="M92" s="92"/>
      <c r="N92" s="92"/>
      <c r="O92" s="92"/>
      <c r="P92" s="20"/>
      <c r="Q92" s="20"/>
      <c r="R92" s="20"/>
      <c r="S92" s="20"/>
      <c r="T92" s="20"/>
      <c r="U92" s="20"/>
      <c r="V92" s="20"/>
      <c r="W92" s="20"/>
      <c r="X92" s="20"/>
      <c r="Y92" s="20"/>
    </row>
    <row r="93" spans="1:25" s="7" customFormat="1">
      <c r="A93" s="202" t="s">
        <v>289</v>
      </c>
      <c r="B93" s="174"/>
      <c r="C93" s="175"/>
      <c r="D93" s="175"/>
      <c r="E93" s="175"/>
      <c r="F93" s="175"/>
      <c r="G93" s="175"/>
      <c r="H93" s="142"/>
      <c r="I93" s="142"/>
      <c r="J93" s="199"/>
      <c r="K93" s="119"/>
      <c r="L93" s="91"/>
      <c r="M93" s="92"/>
      <c r="N93" s="92"/>
      <c r="O93" s="92"/>
      <c r="P93" s="20"/>
      <c r="Q93" s="20"/>
      <c r="R93" s="20"/>
      <c r="S93" s="20"/>
      <c r="T93" s="20"/>
      <c r="U93" s="20"/>
      <c r="V93" s="20"/>
      <c r="W93" s="20"/>
      <c r="X93" s="20"/>
      <c r="Y93" s="20"/>
    </row>
    <row r="94" spans="1:25" s="7" customFormat="1">
      <c r="A94" s="202" t="s">
        <v>329</v>
      </c>
      <c r="B94" s="174"/>
      <c r="C94" s="175"/>
      <c r="D94" s="175"/>
      <c r="E94" s="175"/>
      <c r="F94" s="175"/>
      <c r="G94" s="175"/>
      <c r="H94" s="142"/>
      <c r="I94" s="142"/>
      <c r="J94" s="199"/>
      <c r="K94" s="119"/>
      <c r="L94" s="91"/>
      <c r="M94" s="92"/>
      <c r="N94" s="92"/>
      <c r="O94" s="92"/>
      <c r="P94" s="20"/>
      <c r="Q94" s="20"/>
      <c r="R94" s="20"/>
      <c r="S94" s="20"/>
      <c r="T94" s="20"/>
      <c r="U94" s="20"/>
      <c r="V94" s="20"/>
      <c r="W94" s="20"/>
      <c r="X94" s="20"/>
      <c r="Y94" s="20"/>
    </row>
    <row r="95" spans="1:25" s="7" customFormat="1">
      <c r="A95" s="202" t="s">
        <v>330</v>
      </c>
      <c r="B95" s="174"/>
      <c r="C95" s="175"/>
      <c r="D95" s="175"/>
      <c r="E95" s="175"/>
      <c r="F95" s="175"/>
      <c r="G95" s="175"/>
      <c r="H95" s="142"/>
      <c r="I95" s="142"/>
      <c r="J95" s="199"/>
      <c r="K95" s="119"/>
      <c r="L95" s="91"/>
      <c r="M95" s="92"/>
      <c r="N95" s="92"/>
      <c r="O95" s="92"/>
      <c r="P95" s="20"/>
      <c r="Q95" s="20"/>
      <c r="R95" s="20"/>
      <c r="S95" s="20"/>
      <c r="T95" s="20"/>
      <c r="U95" s="20"/>
      <c r="V95" s="20"/>
      <c r="W95" s="20"/>
      <c r="X95" s="20"/>
      <c r="Y95" s="20"/>
    </row>
    <row r="96" spans="1:25" s="7" customFormat="1">
      <c r="A96" s="202" t="s">
        <v>298</v>
      </c>
      <c r="B96" s="174"/>
      <c r="C96" s="175"/>
      <c r="D96" s="175"/>
      <c r="E96" s="175"/>
      <c r="F96" s="175"/>
      <c r="G96" s="175"/>
      <c r="H96" s="142"/>
      <c r="I96" s="142"/>
      <c r="J96" s="199"/>
      <c r="K96" s="119"/>
      <c r="L96" s="91"/>
      <c r="M96" s="92"/>
      <c r="N96" s="92"/>
      <c r="O96" s="92"/>
      <c r="P96" s="20"/>
      <c r="Q96" s="20"/>
      <c r="R96" s="20"/>
      <c r="S96" s="20"/>
      <c r="T96" s="20"/>
      <c r="U96" s="20"/>
      <c r="V96" s="20"/>
      <c r="W96" s="20"/>
      <c r="X96" s="20"/>
      <c r="Y96" s="20"/>
    </row>
    <row r="97" spans="1:25" s="7" customFormat="1">
      <c r="A97" s="202" t="s">
        <v>299</v>
      </c>
      <c r="B97" s="174"/>
      <c r="C97" s="175"/>
      <c r="D97" s="175"/>
      <c r="E97" s="175"/>
      <c r="F97" s="175"/>
      <c r="G97" s="175"/>
      <c r="H97" s="142"/>
      <c r="I97" s="142"/>
      <c r="J97" s="199"/>
      <c r="K97" s="119"/>
      <c r="L97" s="91"/>
      <c r="M97" s="92"/>
      <c r="N97" s="92"/>
      <c r="O97" s="92"/>
      <c r="P97" s="20"/>
      <c r="Q97" s="20"/>
      <c r="R97" s="20"/>
      <c r="S97" s="20"/>
      <c r="T97" s="20"/>
      <c r="U97" s="20"/>
      <c r="V97" s="20"/>
      <c r="W97" s="20"/>
      <c r="X97" s="20"/>
      <c r="Y97" s="20"/>
    </row>
    <row r="98" spans="1:25">
      <c r="A98" s="204" t="s">
        <v>249</v>
      </c>
      <c r="B98" s="174"/>
      <c r="C98" s="175"/>
      <c r="D98" s="175"/>
      <c r="E98" s="175"/>
      <c r="F98" s="175"/>
      <c r="G98" s="175"/>
      <c r="H98" s="142"/>
      <c r="I98" s="142"/>
      <c r="J98" s="199"/>
      <c r="K98" s="119"/>
      <c r="L98" s="91"/>
      <c r="M98" s="92"/>
      <c r="N98" s="85"/>
      <c r="O98" s="85"/>
      <c r="P98" s="16"/>
      <c r="Q98" s="16"/>
      <c r="R98" s="16"/>
      <c r="S98" s="16"/>
      <c r="T98" s="16"/>
      <c r="U98" s="16"/>
      <c r="V98" s="16"/>
      <c r="W98" s="16"/>
      <c r="X98" s="16"/>
      <c r="Y98" s="18"/>
    </row>
    <row r="99" spans="1:25">
      <c r="A99" s="204" t="s">
        <v>300</v>
      </c>
      <c r="B99" s="174"/>
      <c r="C99" s="175"/>
      <c r="D99" s="175"/>
      <c r="E99" s="175"/>
      <c r="F99" s="175"/>
      <c r="G99" s="175"/>
      <c r="H99" s="142"/>
      <c r="I99" s="142"/>
      <c r="J99" s="186"/>
      <c r="K99" s="119"/>
      <c r="L99" s="90"/>
      <c r="M99" s="85"/>
      <c r="N99" s="85"/>
      <c r="O99" s="85"/>
      <c r="P99" s="16"/>
      <c r="Q99" s="16"/>
      <c r="R99" s="16"/>
      <c r="S99" s="16"/>
      <c r="T99" s="16"/>
      <c r="U99" s="16"/>
      <c r="V99" s="16"/>
      <c r="W99" s="16"/>
      <c r="X99" s="16"/>
      <c r="Y99" s="18"/>
    </row>
    <row r="100" spans="1:25">
      <c r="A100" s="204" t="s">
        <v>301</v>
      </c>
      <c r="B100" s="174"/>
      <c r="C100" s="175"/>
      <c r="D100" s="175"/>
      <c r="E100" s="175"/>
      <c r="F100" s="175"/>
      <c r="G100" s="175"/>
      <c r="H100" s="142"/>
      <c r="I100" s="142"/>
      <c r="J100" s="186"/>
      <c r="K100" s="119"/>
      <c r="L100" s="90"/>
      <c r="M100" s="85"/>
      <c r="N100" s="85"/>
      <c r="O100" s="85"/>
      <c r="P100" s="16"/>
      <c r="Q100" s="16"/>
      <c r="R100" s="16"/>
      <c r="S100" s="16"/>
      <c r="T100" s="16"/>
      <c r="U100" s="16"/>
      <c r="V100" s="16"/>
      <c r="W100" s="16"/>
      <c r="X100" s="16"/>
      <c r="Y100" s="18"/>
    </row>
    <row r="101" spans="1:25">
      <c r="A101" s="204" t="s">
        <v>302</v>
      </c>
      <c r="B101" s="174"/>
      <c r="C101" s="175"/>
      <c r="D101" s="175"/>
      <c r="E101" s="175"/>
      <c r="F101" s="175"/>
      <c r="G101" s="175"/>
      <c r="H101" s="142"/>
      <c r="I101" s="142"/>
      <c r="J101" s="186"/>
      <c r="K101" s="119"/>
      <c r="L101" s="90"/>
      <c r="M101" s="85"/>
      <c r="N101" s="85"/>
      <c r="O101" s="85"/>
      <c r="P101" s="16"/>
      <c r="Q101" s="16"/>
      <c r="R101" s="16"/>
      <c r="S101" s="16"/>
      <c r="T101" s="16"/>
      <c r="U101" s="16"/>
      <c r="V101" s="16"/>
      <c r="W101" s="16"/>
      <c r="X101" s="16"/>
      <c r="Y101" s="18"/>
    </row>
    <row r="102" spans="1:25" s="1" customFormat="1">
      <c r="A102" s="202" t="s">
        <v>303</v>
      </c>
      <c r="B102" s="174"/>
      <c r="C102" s="175"/>
      <c r="D102" s="175"/>
      <c r="E102" s="175"/>
      <c r="F102" s="175"/>
      <c r="G102" s="175"/>
      <c r="H102" s="142"/>
      <c r="I102" s="142"/>
      <c r="J102" s="186"/>
      <c r="K102" s="119"/>
      <c r="L102" s="90"/>
      <c r="M102" s="85"/>
      <c r="N102" s="85"/>
      <c r="O102" s="85"/>
      <c r="P102" s="16"/>
      <c r="Q102" s="16"/>
      <c r="R102" s="16"/>
      <c r="S102" s="16"/>
      <c r="T102" s="16"/>
      <c r="U102" s="16"/>
      <c r="V102" s="16"/>
      <c r="W102" s="16"/>
      <c r="X102" s="16"/>
      <c r="Y102" s="16"/>
    </row>
    <row r="103" spans="1:25" s="1" customFormat="1">
      <c r="A103" s="202" t="s">
        <v>304</v>
      </c>
      <c r="B103" s="174"/>
      <c r="C103" s="175"/>
      <c r="D103" s="175"/>
      <c r="E103" s="175"/>
      <c r="F103" s="175"/>
      <c r="G103" s="175"/>
      <c r="H103" s="142"/>
      <c r="I103" s="142"/>
      <c r="J103" s="186"/>
      <c r="K103" s="119"/>
      <c r="L103" s="90"/>
      <c r="M103" s="85"/>
      <c r="N103" s="85"/>
      <c r="O103" s="85"/>
      <c r="P103" s="16"/>
      <c r="Q103" s="16"/>
      <c r="R103" s="16"/>
      <c r="S103" s="16"/>
      <c r="T103" s="16"/>
      <c r="U103" s="16"/>
      <c r="V103" s="16"/>
      <c r="W103" s="16"/>
      <c r="X103" s="16"/>
      <c r="Y103" s="16"/>
    </row>
    <row r="104" spans="1:25" s="1" customFormat="1">
      <c r="A104" s="202" t="s">
        <v>305</v>
      </c>
      <c r="B104" s="174"/>
      <c r="C104" s="175"/>
      <c r="D104" s="175"/>
      <c r="E104" s="175"/>
      <c r="F104" s="175"/>
      <c r="G104" s="175"/>
      <c r="H104" s="142"/>
      <c r="I104" s="142"/>
      <c r="J104" s="186"/>
      <c r="K104" s="119"/>
      <c r="L104" s="90"/>
      <c r="M104" s="85"/>
      <c r="N104" s="85"/>
      <c r="O104" s="85"/>
      <c r="P104" s="16"/>
      <c r="Q104" s="16"/>
      <c r="R104" s="16"/>
      <c r="S104" s="16"/>
      <c r="T104" s="16"/>
      <c r="U104" s="16"/>
      <c r="V104" s="16"/>
      <c r="W104" s="16"/>
      <c r="X104" s="16"/>
      <c r="Y104" s="16"/>
    </row>
    <row r="105" spans="1:25" s="1" customFormat="1">
      <c r="A105" s="202" t="s">
        <v>306</v>
      </c>
      <c r="B105" s="174"/>
      <c r="C105" s="175"/>
      <c r="D105" s="175"/>
      <c r="E105" s="175"/>
      <c r="F105" s="175"/>
      <c r="G105" s="175"/>
      <c r="H105" s="142"/>
      <c r="I105" s="142"/>
      <c r="J105" s="186"/>
      <c r="K105" s="119"/>
      <c r="L105" s="90"/>
      <c r="M105" s="85"/>
      <c r="N105" s="85"/>
      <c r="O105" s="85"/>
      <c r="P105" s="16"/>
      <c r="Q105" s="16"/>
      <c r="R105" s="16"/>
      <c r="S105" s="16"/>
      <c r="T105" s="16"/>
      <c r="U105" s="16"/>
      <c r="V105" s="16"/>
      <c r="W105" s="16"/>
      <c r="X105" s="16"/>
      <c r="Y105" s="16"/>
    </row>
    <row r="106" spans="1:25" s="1" customFormat="1">
      <c r="A106" s="202" t="s">
        <v>307</v>
      </c>
      <c r="B106" s="174"/>
      <c r="C106" s="175"/>
      <c r="D106" s="175"/>
      <c r="E106" s="175"/>
      <c r="F106" s="175"/>
      <c r="G106" s="175"/>
      <c r="H106" s="142"/>
      <c r="I106" s="142"/>
      <c r="J106" s="186"/>
      <c r="K106" s="119"/>
      <c r="L106" s="90"/>
      <c r="M106" s="85"/>
      <c r="N106" s="85"/>
      <c r="O106" s="85"/>
      <c r="P106" s="16"/>
      <c r="Q106" s="16"/>
      <c r="R106" s="16"/>
      <c r="S106" s="16"/>
      <c r="T106" s="16"/>
      <c r="U106" s="16"/>
      <c r="V106" s="16"/>
      <c r="W106" s="16"/>
      <c r="X106" s="16"/>
      <c r="Y106" s="16"/>
    </row>
    <row r="107" spans="1:25" s="1" customFormat="1">
      <c r="A107" s="202" t="s">
        <v>197</v>
      </c>
      <c r="B107" s="174"/>
      <c r="C107" s="175"/>
      <c r="D107" s="175"/>
      <c r="E107" s="175"/>
      <c r="F107" s="175"/>
      <c r="G107" s="175"/>
      <c r="H107" s="142"/>
      <c r="I107" s="142"/>
      <c r="J107" s="186"/>
      <c r="K107" s="119"/>
      <c r="L107" s="90"/>
      <c r="M107" s="85"/>
      <c r="N107" s="85"/>
      <c r="O107" s="85"/>
      <c r="P107" s="16"/>
      <c r="Q107" s="16"/>
      <c r="R107" s="16"/>
      <c r="S107" s="16"/>
      <c r="T107" s="16"/>
      <c r="U107" s="16"/>
      <c r="V107" s="16"/>
      <c r="W107" s="16"/>
      <c r="X107" s="16"/>
      <c r="Y107" s="16"/>
    </row>
    <row r="108" spans="1:25" s="1" customFormat="1">
      <c r="A108" s="202" t="s">
        <v>198</v>
      </c>
      <c r="B108" s="174"/>
      <c r="C108" s="175"/>
      <c r="D108" s="175"/>
      <c r="E108" s="175"/>
      <c r="F108" s="175"/>
      <c r="G108" s="175"/>
      <c r="H108" s="142"/>
      <c r="I108" s="142"/>
      <c r="J108" s="186"/>
      <c r="K108" s="119"/>
      <c r="L108" s="90"/>
      <c r="M108" s="85"/>
      <c r="N108" s="85"/>
      <c r="O108" s="85"/>
      <c r="P108" s="16"/>
      <c r="Q108" s="16"/>
      <c r="R108" s="16"/>
      <c r="S108" s="16"/>
      <c r="T108" s="16"/>
      <c r="U108" s="16"/>
      <c r="V108" s="16"/>
      <c r="W108" s="16"/>
      <c r="X108" s="16"/>
      <c r="Y108" s="16"/>
    </row>
    <row r="109" spans="1:25" s="1" customFormat="1">
      <c r="A109" s="202" t="s">
        <v>262</v>
      </c>
      <c r="B109" s="174"/>
      <c r="C109" s="175"/>
      <c r="D109" s="175"/>
      <c r="E109" s="175"/>
      <c r="F109" s="175"/>
      <c r="G109" s="175"/>
      <c r="H109" s="142"/>
      <c r="I109" s="142"/>
      <c r="J109" s="186"/>
      <c r="K109" s="119"/>
      <c r="L109" s="90"/>
      <c r="M109" s="85"/>
      <c r="N109" s="85"/>
      <c r="O109" s="85"/>
      <c r="P109" s="16"/>
      <c r="Q109" s="16"/>
      <c r="R109" s="16"/>
      <c r="S109" s="16"/>
      <c r="T109" s="16"/>
      <c r="U109" s="16"/>
      <c r="V109" s="16"/>
      <c r="W109" s="16"/>
      <c r="X109" s="16"/>
      <c r="Y109" s="16"/>
    </row>
    <row r="110" spans="1:25" s="1" customFormat="1">
      <c r="A110" s="202" t="s">
        <v>263</v>
      </c>
      <c r="B110" s="174"/>
      <c r="C110" s="175"/>
      <c r="D110" s="175"/>
      <c r="E110" s="175"/>
      <c r="F110" s="175"/>
      <c r="G110" s="175"/>
      <c r="H110" s="142"/>
      <c r="I110" s="142"/>
      <c r="J110" s="186"/>
      <c r="K110" s="119"/>
      <c r="L110" s="90"/>
      <c r="M110" s="85"/>
      <c r="N110" s="85"/>
      <c r="O110" s="85"/>
      <c r="P110" s="16"/>
      <c r="Q110" s="16"/>
      <c r="R110" s="16"/>
      <c r="S110" s="16"/>
      <c r="T110" s="16"/>
      <c r="U110" s="16"/>
      <c r="V110" s="16"/>
      <c r="W110" s="16"/>
      <c r="X110" s="16"/>
      <c r="Y110" s="16"/>
    </row>
    <row r="111" spans="1:25" s="1" customFormat="1">
      <c r="A111" s="202" t="s">
        <v>264</v>
      </c>
      <c r="B111" s="174"/>
      <c r="C111" s="175"/>
      <c r="D111" s="175"/>
      <c r="E111" s="175"/>
      <c r="F111" s="175"/>
      <c r="G111" s="175"/>
      <c r="H111" s="142"/>
      <c r="I111" s="142"/>
      <c r="J111" s="186"/>
      <c r="K111" s="119"/>
      <c r="L111" s="90"/>
      <c r="M111" s="85"/>
      <c r="N111" s="85"/>
      <c r="O111" s="85"/>
      <c r="P111" s="16"/>
      <c r="Q111" s="16"/>
      <c r="R111" s="16"/>
      <c r="S111" s="16"/>
      <c r="T111" s="16"/>
      <c r="U111" s="16"/>
      <c r="V111" s="16"/>
      <c r="W111" s="16"/>
      <c r="X111" s="16"/>
      <c r="Y111" s="16"/>
    </row>
    <row r="112" spans="1:25" s="1" customFormat="1">
      <c r="A112" s="202" t="s">
        <v>265</v>
      </c>
      <c r="B112" s="174"/>
      <c r="C112" s="175"/>
      <c r="D112" s="175"/>
      <c r="E112" s="175"/>
      <c r="F112" s="175"/>
      <c r="G112" s="175"/>
      <c r="H112" s="142"/>
      <c r="I112" s="142"/>
      <c r="J112" s="186"/>
      <c r="K112" s="119"/>
      <c r="L112" s="90"/>
      <c r="M112" s="85"/>
      <c r="N112" s="85"/>
      <c r="O112" s="85"/>
      <c r="P112" s="16"/>
      <c r="Q112" s="16"/>
      <c r="R112" s="16"/>
      <c r="S112" s="16"/>
      <c r="T112" s="16"/>
      <c r="U112" s="16"/>
      <c r="V112" s="16"/>
      <c r="W112" s="16"/>
      <c r="X112" s="16"/>
      <c r="Y112" s="16"/>
    </row>
    <row r="113" spans="1:25" s="1" customFormat="1">
      <c r="A113" s="202" t="s">
        <v>312</v>
      </c>
      <c r="B113" s="174"/>
      <c r="C113" s="175"/>
      <c r="D113" s="175"/>
      <c r="E113" s="175"/>
      <c r="F113" s="175"/>
      <c r="G113" s="175"/>
      <c r="H113" s="142"/>
      <c r="I113" s="142"/>
      <c r="J113" s="186"/>
      <c r="K113" s="119"/>
      <c r="L113" s="90"/>
      <c r="M113" s="85"/>
      <c r="N113" s="85"/>
      <c r="O113" s="85"/>
      <c r="P113" s="16"/>
      <c r="Q113" s="16"/>
      <c r="R113" s="16"/>
      <c r="S113" s="16"/>
      <c r="T113" s="16"/>
      <c r="U113" s="16"/>
      <c r="V113" s="16"/>
      <c r="W113" s="16"/>
      <c r="X113" s="16"/>
      <c r="Y113" s="16"/>
    </row>
    <row r="114" spans="1:25" s="1" customFormat="1">
      <c r="A114" s="202" t="s">
        <v>313</v>
      </c>
      <c r="B114" s="174"/>
      <c r="C114" s="175"/>
      <c r="D114" s="175"/>
      <c r="E114" s="175"/>
      <c r="F114" s="175"/>
      <c r="G114" s="175"/>
      <c r="H114" s="142"/>
      <c r="I114" s="142"/>
      <c r="J114" s="186"/>
      <c r="K114" s="119"/>
      <c r="L114" s="90"/>
      <c r="M114" s="85"/>
      <c r="N114" s="85"/>
      <c r="O114" s="85"/>
      <c r="P114" s="16"/>
      <c r="Q114" s="16"/>
      <c r="R114" s="16"/>
      <c r="S114" s="16"/>
      <c r="T114" s="16"/>
      <c r="U114" s="16"/>
      <c r="V114" s="16"/>
      <c r="W114" s="16"/>
      <c r="X114" s="16"/>
      <c r="Y114" s="16"/>
    </row>
    <row r="115" spans="1:25" s="1" customFormat="1">
      <c r="A115" s="202" t="s">
        <v>270</v>
      </c>
      <c r="B115" s="174"/>
      <c r="C115" s="175"/>
      <c r="D115" s="175"/>
      <c r="E115" s="175"/>
      <c r="F115" s="175"/>
      <c r="G115" s="175"/>
      <c r="H115" s="142"/>
      <c r="I115" s="142"/>
      <c r="J115" s="186"/>
      <c r="K115" s="119"/>
      <c r="L115" s="90"/>
      <c r="M115" s="85"/>
      <c r="N115" s="85"/>
      <c r="O115" s="85"/>
      <c r="P115" s="16"/>
      <c r="Q115" s="16"/>
      <c r="R115" s="16"/>
      <c r="S115" s="16"/>
      <c r="T115" s="16"/>
      <c r="U115" s="16"/>
      <c r="V115" s="16"/>
      <c r="W115" s="16"/>
      <c r="X115" s="16"/>
      <c r="Y115" s="16"/>
    </row>
    <row r="116" spans="1:25" s="1" customFormat="1">
      <c r="A116" s="202" t="s">
        <v>214</v>
      </c>
      <c r="B116" s="174"/>
      <c r="C116" s="175"/>
      <c r="D116" s="175"/>
      <c r="E116" s="175"/>
      <c r="F116" s="175"/>
      <c r="G116" s="175"/>
      <c r="H116" s="142"/>
      <c r="I116" s="142"/>
      <c r="J116" s="186"/>
      <c r="K116" s="119"/>
      <c r="L116" s="90"/>
      <c r="M116" s="85"/>
      <c r="N116" s="85"/>
      <c r="O116" s="85"/>
      <c r="P116" s="16"/>
      <c r="Q116" s="16"/>
      <c r="R116" s="16"/>
      <c r="S116" s="16"/>
      <c r="T116" s="16"/>
      <c r="U116" s="16"/>
      <c r="V116" s="16"/>
      <c r="W116" s="16"/>
      <c r="X116" s="16"/>
      <c r="Y116" s="16"/>
    </row>
    <row r="117" spans="1:25" s="1" customFormat="1">
      <c r="A117" s="202" t="s">
        <v>272</v>
      </c>
      <c r="B117" s="174"/>
      <c r="C117" s="175"/>
      <c r="D117" s="175"/>
      <c r="E117" s="175"/>
      <c r="F117" s="175"/>
      <c r="G117" s="175"/>
      <c r="H117" s="142"/>
      <c r="I117" s="142"/>
      <c r="J117" s="186"/>
      <c r="K117" s="119"/>
      <c r="L117" s="90"/>
      <c r="M117" s="85"/>
      <c r="N117" s="85"/>
      <c r="O117" s="85"/>
      <c r="P117" s="16"/>
      <c r="Q117" s="16"/>
      <c r="R117" s="16"/>
      <c r="S117" s="16"/>
      <c r="T117" s="16"/>
      <c r="U117" s="16"/>
      <c r="V117" s="16"/>
      <c r="W117" s="16"/>
      <c r="X117" s="16"/>
      <c r="Y117" s="16"/>
    </row>
    <row r="118" spans="1:25" s="1" customFormat="1">
      <c r="A118" s="202" t="s">
        <v>273</v>
      </c>
      <c r="B118" s="174"/>
      <c r="C118" s="175"/>
      <c r="D118" s="175"/>
      <c r="E118" s="175"/>
      <c r="F118" s="175"/>
      <c r="G118" s="175"/>
      <c r="H118" s="142"/>
      <c r="I118" s="142"/>
      <c r="J118" s="186"/>
      <c r="K118" s="119"/>
      <c r="L118" s="90"/>
      <c r="M118" s="85"/>
      <c r="N118" s="85"/>
      <c r="O118" s="85"/>
      <c r="P118" s="16"/>
      <c r="Q118" s="16"/>
      <c r="R118" s="16"/>
      <c r="S118" s="16"/>
      <c r="T118" s="16"/>
      <c r="U118" s="16"/>
      <c r="V118" s="16"/>
      <c r="W118" s="16"/>
      <c r="X118" s="16"/>
      <c r="Y118" s="16"/>
    </row>
    <row r="119" spans="1:25" s="1" customFormat="1">
      <c r="A119" s="202" t="s">
        <v>274</v>
      </c>
      <c r="B119" s="174"/>
      <c r="C119" s="175"/>
      <c r="D119" s="175"/>
      <c r="E119" s="175"/>
      <c r="F119" s="175"/>
      <c r="G119" s="175"/>
      <c r="H119" s="142"/>
      <c r="I119" s="142"/>
      <c r="J119" s="186"/>
      <c r="K119" s="119"/>
      <c r="L119" s="90"/>
      <c r="M119" s="85"/>
      <c r="N119" s="85"/>
      <c r="O119" s="85"/>
      <c r="P119" s="16"/>
      <c r="Q119" s="16"/>
      <c r="R119" s="16"/>
      <c r="S119" s="16"/>
      <c r="T119" s="16"/>
      <c r="U119" s="16"/>
      <c r="V119" s="16"/>
      <c r="W119" s="16"/>
      <c r="X119" s="16"/>
      <c r="Y119" s="16"/>
    </row>
    <row r="120" spans="1:25" s="1" customFormat="1">
      <c r="A120" s="202" t="s">
        <v>275</v>
      </c>
      <c r="B120" s="174"/>
      <c r="C120" s="175"/>
      <c r="D120" s="175"/>
      <c r="E120" s="175"/>
      <c r="F120" s="175"/>
      <c r="G120" s="175"/>
      <c r="H120" s="142"/>
      <c r="I120" s="142"/>
      <c r="J120" s="186"/>
      <c r="K120" s="119"/>
      <c r="L120" s="90"/>
      <c r="M120" s="85"/>
      <c r="N120" s="85"/>
      <c r="O120" s="85"/>
      <c r="P120" s="16"/>
      <c r="Q120" s="16"/>
      <c r="R120" s="16"/>
      <c r="S120" s="16"/>
      <c r="T120" s="16"/>
      <c r="U120" s="16"/>
      <c r="V120" s="16"/>
      <c r="W120" s="16"/>
      <c r="X120" s="16"/>
      <c r="Y120" s="16"/>
    </row>
    <row r="121" spans="1:25" s="1" customFormat="1">
      <c r="A121" s="202" t="s">
        <v>487</v>
      </c>
      <c r="B121" s="174"/>
      <c r="C121" s="175"/>
      <c r="D121" s="175"/>
      <c r="E121" s="175"/>
      <c r="F121" s="175"/>
      <c r="G121" s="175"/>
      <c r="H121" s="142"/>
      <c r="I121" s="142"/>
      <c r="J121" s="186"/>
      <c r="K121" s="119"/>
      <c r="L121" s="90"/>
      <c r="M121" s="85"/>
      <c r="N121" s="85"/>
      <c r="O121" s="85"/>
      <c r="P121" s="16"/>
      <c r="Q121" s="16"/>
      <c r="R121" s="16"/>
      <c r="S121" s="16"/>
      <c r="T121" s="16"/>
      <c r="U121" s="16"/>
      <c r="V121" s="16"/>
      <c r="W121" s="16"/>
      <c r="X121" s="16"/>
      <c r="Y121" s="16"/>
    </row>
    <row r="122" spans="1:25" s="1" customFormat="1">
      <c r="A122" s="202" t="s">
        <v>569</v>
      </c>
      <c r="B122" s="174"/>
      <c r="C122" s="175"/>
      <c r="D122" s="175"/>
      <c r="E122" s="175"/>
      <c r="F122" s="175"/>
      <c r="G122" s="175"/>
      <c r="H122" s="142"/>
      <c r="I122" s="142"/>
      <c r="J122" s="186"/>
      <c r="K122" s="119"/>
      <c r="L122" s="90"/>
      <c r="M122" s="85"/>
      <c r="N122" s="85"/>
      <c r="O122" s="85"/>
      <c r="P122" s="16"/>
      <c r="Q122" s="16"/>
      <c r="R122" s="16"/>
      <c r="S122" s="16"/>
      <c r="T122" s="16"/>
      <c r="U122" s="16"/>
      <c r="V122" s="16"/>
      <c r="W122" s="16"/>
      <c r="X122" s="16"/>
      <c r="Y122" s="16"/>
    </row>
    <row r="123" spans="1:25" s="1" customFormat="1">
      <c r="A123" s="202" t="s">
        <v>488</v>
      </c>
      <c r="B123" s="174"/>
      <c r="C123" s="175"/>
      <c r="D123" s="175"/>
      <c r="E123" s="175"/>
      <c r="F123" s="175"/>
      <c r="G123" s="175"/>
      <c r="H123" s="142"/>
      <c r="I123" s="142"/>
      <c r="J123" s="186"/>
      <c r="K123" s="119"/>
      <c r="L123" s="90"/>
      <c r="M123" s="85"/>
      <c r="N123" s="85"/>
      <c r="O123" s="85"/>
      <c r="P123" s="16"/>
      <c r="Q123" s="16"/>
      <c r="R123" s="16"/>
      <c r="S123" s="16"/>
      <c r="T123" s="16"/>
      <c r="U123" s="16"/>
      <c r="V123" s="16"/>
      <c r="W123" s="16"/>
      <c r="X123" s="16"/>
      <c r="Y123" s="16"/>
    </row>
    <row r="124" spans="1:25" s="1" customFormat="1">
      <c r="A124" s="202" t="s">
        <v>489</v>
      </c>
      <c r="B124" s="174"/>
      <c r="C124" s="175"/>
      <c r="D124" s="175"/>
      <c r="E124" s="175"/>
      <c r="F124" s="175"/>
      <c r="G124" s="175"/>
      <c r="H124" s="142"/>
      <c r="I124" s="142"/>
      <c r="J124" s="186"/>
      <c r="K124" s="119"/>
      <c r="L124" s="90"/>
      <c r="M124" s="85"/>
      <c r="N124" s="85"/>
      <c r="O124" s="85"/>
      <c r="P124" s="16"/>
      <c r="Q124" s="16"/>
      <c r="R124" s="16"/>
      <c r="S124" s="16"/>
      <c r="T124" s="16"/>
      <c r="U124" s="16"/>
      <c r="V124" s="16"/>
      <c r="W124" s="16"/>
      <c r="X124" s="16"/>
      <c r="Y124" s="16"/>
    </row>
    <row r="125" spans="1:25" s="1" customFormat="1">
      <c r="A125" s="202" t="s">
        <v>437</v>
      </c>
      <c r="B125" s="174"/>
      <c r="C125" s="175"/>
      <c r="D125" s="175"/>
      <c r="E125" s="175"/>
      <c r="F125" s="175"/>
      <c r="G125" s="175"/>
      <c r="H125" s="142"/>
      <c r="I125" s="142"/>
      <c r="J125" s="186"/>
      <c r="K125" s="119"/>
      <c r="L125" s="90"/>
      <c r="M125" s="85"/>
      <c r="N125" s="85"/>
      <c r="O125" s="85"/>
      <c r="P125" s="16"/>
      <c r="Q125" s="16"/>
      <c r="R125" s="16"/>
      <c r="S125" s="16"/>
      <c r="T125" s="16"/>
      <c r="U125" s="16"/>
      <c r="V125" s="16"/>
      <c r="W125" s="16"/>
      <c r="X125" s="16"/>
      <c r="Y125" s="16"/>
    </row>
    <row r="126" spans="1:25" s="1" customFormat="1">
      <c r="A126" s="202" t="s">
        <v>445</v>
      </c>
      <c r="B126" s="174"/>
      <c r="C126" s="175"/>
      <c r="D126" s="175"/>
      <c r="E126" s="175"/>
      <c r="F126" s="175"/>
      <c r="G126" s="175"/>
      <c r="H126" s="142"/>
      <c r="I126" s="142"/>
      <c r="J126" s="186"/>
      <c r="K126" s="119"/>
      <c r="L126" s="90"/>
      <c r="M126" s="85"/>
      <c r="N126" s="85"/>
      <c r="O126" s="85"/>
      <c r="P126" s="16"/>
      <c r="Q126" s="16"/>
      <c r="R126" s="16"/>
      <c r="S126" s="16"/>
      <c r="T126" s="16"/>
      <c r="U126" s="16"/>
      <c r="V126" s="16"/>
      <c r="W126" s="16"/>
      <c r="X126" s="16"/>
      <c r="Y126" s="16"/>
    </row>
    <row r="127" spans="1:25" s="1" customFormat="1">
      <c r="A127" s="202" t="s">
        <v>446</v>
      </c>
      <c r="B127" s="174"/>
      <c r="C127" s="175"/>
      <c r="D127" s="175"/>
      <c r="E127" s="175"/>
      <c r="F127" s="175"/>
      <c r="G127" s="175"/>
      <c r="H127" s="142"/>
      <c r="I127" s="142"/>
      <c r="J127" s="186"/>
      <c r="K127" s="119"/>
      <c r="L127" s="90"/>
      <c r="M127" s="85"/>
      <c r="N127" s="85"/>
      <c r="O127" s="85"/>
      <c r="P127" s="16"/>
      <c r="Q127" s="16"/>
      <c r="R127" s="16"/>
      <c r="S127" s="16"/>
      <c r="T127" s="16"/>
      <c r="U127" s="16"/>
      <c r="V127" s="16"/>
      <c r="W127" s="16"/>
      <c r="X127" s="16"/>
      <c r="Y127" s="16"/>
    </row>
    <row r="128" spans="1:25" s="1" customFormat="1">
      <c r="A128" s="202" t="s">
        <v>383</v>
      </c>
      <c r="B128" s="174"/>
      <c r="C128" s="175"/>
      <c r="D128" s="175"/>
      <c r="E128" s="175"/>
      <c r="F128" s="175"/>
      <c r="G128" s="175"/>
      <c r="H128" s="142"/>
      <c r="I128" s="142"/>
      <c r="J128" s="186"/>
      <c r="K128" s="119"/>
      <c r="L128" s="90"/>
      <c r="M128" s="85"/>
      <c r="N128" s="85"/>
      <c r="O128" s="85"/>
      <c r="P128" s="16"/>
      <c r="Q128" s="16"/>
      <c r="R128" s="16"/>
      <c r="S128" s="16"/>
      <c r="T128" s="16"/>
      <c r="U128" s="16"/>
      <c r="V128" s="16"/>
      <c r="W128" s="16"/>
      <c r="X128" s="16"/>
      <c r="Y128" s="16"/>
    </row>
    <row r="129" spans="1:25" s="1" customFormat="1">
      <c r="A129" s="202" t="s">
        <v>411</v>
      </c>
      <c r="B129" s="174"/>
      <c r="C129" s="175"/>
      <c r="D129" s="175"/>
      <c r="E129" s="175"/>
      <c r="F129" s="175"/>
      <c r="G129" s="175"/>
      <c r="H129" s="142"/>
      <c r="I129" s="142"/>
      <c r="J129" s="186"/>
      <c r="K129" s="119"/>
      <c r="L129" s="90"/>
      <c r="M129" s="85"/>
      <c r="N129" s="85"/>
      <c r="O129" s="85"/>
      <c r="P129" s="16"/>
      <c r="Q129" s="16"/>
      <c r="R129" s="16"/>
      <c r="S129" s="16"/>
      <c r="T129" s="16"/>
      <c r="U129" s="16"/>
      <c r="V129" s="16"/>
      <c r="W129" s="16"/>
      <c r="X129" s="16"/>
      <c r="Y129" s="16"/>
    </row>
    <row r="130" spans="1:25" s="1" customFormat="1">
      <c r="A130" s="202" t="s">
        <v>410</v>
      </c>
      <c r="B130" s="174"/>
      <c r="C130" s="175"/>
      <c r="D130" s="175"/>
      <c r="E130" s="175"/>
      <c r="F130" s="175"/>
      <c r="G130" s="175"/>
      <c r="H130" s="142"/>
      <c r="I130" s="142"/>
      <c r="J130" s="186"/>
      <c r="K130" s="119"/>
      <c r="L130" s="90"/>
      <c r="M130" s="85"/>
      <c r="N130" s="85"/>
      <c r="O130" s="85"/>
      <c r="P130" s="16"/>
      <c r="Q130" s="16"/>
      <c r="R130" s="16"/>
      <c r="S130" s="16"/>
      <c r="T130" s="16"/>
      <c r="U130" s="16"/>
      <c r="V130" s="16"/>
      <c r="W130" s="16"/>
      <c r="X130" s="16"/>
      <c r="Y130" s="16"/>
    </row>
    <row r="131" spans="1:25">
      <c r="A131" s="204" t="s">
        <v>452</v>
      </c>
      <c r="B131" s="174"/>
      <c r="C131" s="175"/>
      <c r="D131" s="175"/>
      <c r="E131" s="175"/>
      <c r="F131" s="175"/>
      <c r="G131" s="175"/>
      <c r="H131" s="142"/>
      <c r="I131" s="142"/>
      <c r="J131" s="186"/>
      <c r="K131" s="119"/>
      <c r="L131" s="90"/>
      <c r="M131" s="85"/>
      <c r="N131" s="85"/>
      <c r="O131" s="85"/>
      <c r="P131" s="16"/>
      <c r="Q131" s="16"/>
      <c r="R131" s="16"/>
      <c r="S131" s="16"/>
      <c r="T131" s="16"/>
      <c r="U131" s="16"/>
      <c r="V131" s="16"/>
      <c r="W131" s="16"/>
      <c r="X131" s="16"/>
      <c r="Y131" s="18"/>
    </row>
    <row r="132" spans="1:25">
      <c r="A132" s="204" t="s">
        <v>453</v>
      </c>
      <c r="B132" s="174"/>
      <c r="C132" s="175"/>
      <c r="D132" s="175"/>
      <c r="E132" s="175"/>
      <c r="F132" s="175"/>
      <c r="G132" s="175"/>
      <c r="H132" s="142"/>
      <c r="I132" s="142"/>
      <c r="J132" s="186"/>
      <c r="K132" s="119"/>
      <c r="L132" s="90"/>
      <c r="M132" s="85"/>
      <c r="N132" s="85"/>
      <c r="O132" s="85"/>
      <c r="P132" s="16"/>
      <c r="Q132" s="16"/>
      <c r="R132" s="16"/>
      <c r="S132" s="16"/>
      <c r="T132" s="16"/>
      <c r="U132" s="16"/>
      <c r="V132" s="16"/>
      <c r="W132" s="16"/>
      <c r="X132" s="16"/>
      <c r="Y132" s="18"/>
    </row>
    <row r="133" spans="1:25">
      <c r="A133" s="204" t="s">
        <v>412</v>
      </c>
      <c r="B133" s="174"/>
      <c r="C133" s="175"/>
      <c r="D133" s="175"/>
      <c r="E133" s="175"/>
      <c r="F133" s="175"/>
      <c r="G133" s="175"/>
      <c r="H133" s="142"/>
      <c r="I133" s="142"/>
      <c r="J133" s="186"/>
      <c r="K133" s="119"/>
      <c r="L133" s="90"/>
      <c r="M133" s="85"/>
      <c r="N133" s="85"/>
      <c r="O133" s="85"/>
      <c r="P133" s="16"/>
      <c r="Q133" s="16"/>
      <c r="R133" s="16"/>
      <c r="S133" s="16"/>
      <c r="T133" s="16"/>
      <c r="U133" s="16"/>
      <c r="V133" s="16"/>
      <c r="W133" s="16"/>
      <c r="X133" s="16"/>
      <c r="Y133" s="18"/>
    </row>
    <row r="134" spans="1:25" s="7" customFormat="1">
      <c r="A134" s="202" t="s">
        <v>454</v>
      </c>
      <c r="B134" s="174"/>
      <c r="C134" s="175"/>
      <c r="D134" s="175"/>
      <c r="E134" s="175"/>
      <c r="F134" s="175"/>
      <c r="G134" s="175"/>
      <c r="H134" s="142"/>
      <c r="I134" s="142"/>
      <c r="J134" s="199"/>
      <c r="K134" s="119"/>
      <c r="L134" s="91"/>
      <c r="M134" s="92"/>
      <c r="N134" s="92"/>
      <c r="O134" s="92"/>
      <c r="P134" s="20"/>
      <c r="Q134" s="20"/>
      <c r="R134" s="20"/>
      <c r="S134" s="20"/>
      <c r="T134" s="20"/>
      <c r="U134" s="20"/>
      <c r="V134" s="20"/>
      <c r="W134" s="20"/>
      <c r="X134" s="20"/>
      <c r="Y134" s="20"/>
    </row>
    <row r="135" spans="1:25" s="7" customFormat="1">
      <c r="A135" s="202" t="s">
        <v>455</v>
      </c>
      <c r="B135" s="174"/>
      <c r="C135" s="175"/>
      <c r="D135" s="175"/>
      <c r="E135" s="175"/>
      <c r="F135" s="175"/>
      <c r="G135" s="175"/>
      <c r="H135" s="142"/>
      <c r="I135" s="142"/>
      <c r="J135" s="199"/>
      <c r="K135" s="119"/>
      <c r="L135" s="91"/>
      <c r="M135" s="92"/>
      <c r="N135" s="92"/>
      <c r="O135" s="92"/>
      <c r="P135" s="20"/>
      <c r="Q135" s="20"/>
      <c r="R135" s="20"/>
      <c r="S135" s="20"/>
      <c r="T135" s="20"/>
      <c r="U135" s="20"/>
      <c r="V135" s="20"/>
      <c r="W135" s="20"/>
      <c r="X135" s="20"/>
      <c r="Y135" s="20"/>
    </row>
    <row r="136" spans="1:25" s="7" customFormat="1">
      <c r="A136" s="202" t="s">
        <v>456</v>
      </c>
      <c r="B136" s="174"/>
      <c r="C136" s="175"/>
      <c r="D136" s="175"/>
      <c r="E136" s="175"/>
      <c r="F136" s="175"/>
      <c r="G136" s="175"/>
      <c r="H136" s="142"/>
      <c r="I136" s="142"/>
      <c r="J136" s="199"/>
      <c r="K136" s="119"/>
      <c r="L136" s="91"/>
      <c r="M136" s="92"/>
      <c r="N136" s="92"/>
      <c r="O136" s="92"/>
      <c r="P136" s="20"/>
      <c r="Q136" s="20"/>
      <c r="R136" s="20"/>
      <c r="S136" s="20"/>
      <c r="T136" s="20"/>
      <c r="U136" s="20"/>
      <c r="V136" s="20"/>
      <c r="W136" s="20"/>
      <c r="X136" s="20"/>
      <c r="Y136" s="20"/>
    </row>
    <row r="137" spans="1:25" s="7" customFormat="1">
      <c r="A137" s="202" t="s">
        <v>457</v>
      </c>
      <c r="B137" s="174"/>
      <c r="C137" s="175"/>
      <c r="D137" s="175"/>
      <c r="E137" s="175"/>
      <c r="F137" s="175"/>
      <c r="G137" s="175"/>
      <c r="H137" s="142"/>
      <c r="I137" s="142"/>
      <c r="J137" s="199"/>
      <c r="K137" s="119"/>
      <c r="L137" s="91"/>
      <c r="M137" s="92"/>
      <c r="N137" s="92"/>
      <c r="O137" s="92"/>
      <c r="P137" s="20"/>
      <c r="Q137" s="20"/>
      <c r="R137" s="20"/>
      <c r="S137" s="20"/>
      <c r="T137" s="20"/>
      <c r="U137" s="20"/>
      <c r="V137" s="20"/>
      <c r="W137" s="20"/>
      <c r="X137" s="20"/>
      <c r="Y137" s="20"/>
    </row>
    <row r="138" spans="1:25" s="7" customFormat="1">
      <c r="A138" s="202" t="s">
        <v>415</v>
      </c>
      <c r="B138" s="174"/>
      <c r="C138" s="175"/>
      <c r="D138" s="175"/>
      <c r="E138" s="175"/>
      <c r="F138" s="175"/>
      <c r="G138" s="175"/>
      <c r="H138" s="142"/>
      <c r="I138" s="142"/>
      <c r="J138" s="199"/>
      <c r="K138" s="119"/>
      <c r="L138" s="91"/>
      <c r="M138" s="92"/>
      <c r="N138" s="92"/>
      <c r="O138" s="92"/>
      <c r="P138" s="20"/>
      <c r="Q138" s="20"/>
      <c r="R138" s="20"/>
      <c r="S138" s="20"/>
      <c r="T138" s="20"/>
      <c r="U138" s="20"/>
      <c r="V138" s="20"/>
      <c r="W138" s="20"/>
      <c r="X138" s="20"/>
      <c r="Y138" s="20"/>
    </row>
    <row r="139" spans="1:25" s="7" customFormat="1">
      <c r="A139" s="202" t="s">
        <v>416</v>
      </c>
      <c r="B139" s="174"/>
      <c r="C139" s="175"/>
      <c r="D139" s="175"/>
      <c r="E139" s="175"/>
      <c r="F139" s="175"/>
      <c r="G139" s="175"/>
      <c r="H139" s="142"/>
      <c r="I139" s="142"/>
      <c r="J139" s="199"/>
      <c r="K139" s="119"/>
      <c r="L139" s="91"/>
      <c r="M139" s="92"/>
      <c r="N139" s="92"/>
      <c r="O139" s="92"/>
      <c r="P139" s="20"/>
      <c r="Q139" s="20"/>
      <c r="R139" s="20"/>
      <c r="S139" s="20"/>
      <c r="T139" s="20"/>
      <c r="U139" s="20"/>
      <c r="V139" s="20"/>
      <c r="W139" s="20"/>
      <c r="X139" s="20"/>
      <c r="Y139" s="20"/>
    </row>
    <row r="140" spans="1:25" s="7" customFormat="1">
      <c r="A140" s="202" t="s">
        <v>417</v>
      </c>
      <c r="B140" s="174"/>
      <c r="C140" s="175"/>
      <c r="D140" s="175"/>
      <c r="E140" s="175"/>
      <c r="F140" s="175"/>
      <c r="G140" s="175"/>
      <c r="H140" s="142"/>
      <c r="I140" s="142"/>
      <c r="J140" s="199"/>
      <c r="K140" s="119"/>
      <c r="L140" s="91"/>
      <c r="M140" s="92"/>
      <c r="N140" s="92"/>
      <c r="O140" s="92"/>
      <c r="P140" s="20"/>
      <c r="Q140" s="20"/>
      <c r="R140" s="20"/>
      <c r="S140" s="20"/>
      <c r="T140" s="20"/>
      <c r="U140" s="20"/>
      <c r="V140" s="20"/>
      <c r="W140" s="20"/>
      <c r="X140" s="20"/>
      <c r="Y140" s="20"/>
    </row>
    <row r="141" spans="1:25" s="7" customFormat="1">
      <c r="A141" s="202" t="s">
        <v>418</v>
      </c>
      <c r="B141" s="174"/>
      <c r="C141" s="175"/>
      <c r="D141" s="175"/>
      <c r="E141" s="175"/>
      <c r="F141" s="175"/>
      <c r="G141" s="175"/>
      <c r="H141" s="142"/>
      <c r="I141" s="142"/>
      <c r="J141" s="199"/>
      <c r="K141" s="119"/>
      <c r="L141" s="91"/>
      <c r="M141" s="92"/>
      <c r="N141" s="92"/>
      <c r="O141" s="92"/>
      <c r="P141" s="20"/>
      <c r="Q141" s="20"/>
      <c r="R141" s="20"/>
      <c r="S141" s="20"/>
      <c r="T141" s="20"/>
      <c r="U141" s="20"/>
      <c r="V141" s="20"/>
      <c r="W141" s="20"/>
      <c r="X141" s="20"/>
      <c r="Y141" s="20"/>
    </row>
    <row r="142" spans="1:25" s="7" customFormat="1">
      <c r="A142" s="202" t="s">
        <v>425</v>
      </c>
      <c r="B142" s="174"/>
      <c r="C142" s="175"/>
      <c r="D142" s="175"/>
      <c r="E142" s="175"/>
      <c r="F142" s="175"/>
      <c r="G142" s="175"/>
      <c r="H142" s="142"/>
      <c r="I142" s="142"/>
      <c r="J142" s="199"/>
      <c r="K142" s="119"/>
      <c r="L142" s="91"/>
      <c r="M142" s="92"/>
      <c r="N142" s="92"/>
      <c r="O142" s="92"/>
      <c r="P142" s="20"/>
      <c r="Q142" s="20"/>
      <c r="R142" s="20"/>
      <c r="S142" s="20"/>
      <c r="T142" s="20"/>
      <c r="U142" s="20"/>
      <c r="V142" s="20"/>
      <c r="W142" s="20"/>
      <c r="X142" s="20"/>
      <c r="Y142" s="20"/>
    </row>
    <row r="143" spans="1:25" s="7" customFormat="1">
      <c r="A143" s="202" t="s">
        <v>426</v>
      </c>
      <c r="B143" s="174"/>
      <c r="C143" s="175"/>
      <c r="D143" s="175"/>
      <c r="E143" s="175"/>
      <c r="F143" s="175"/>
      <c r="G143" s="175"/>
      <c r="H143" s="142"/>
      <c r="I143" s="142"/>
      <c r="J143" s="199"/>
      <c r="K143" s="119"/>
      <c r="L143" s="91"/>
      <c r="M143" s="92"/>
      <c r="N143" s="92"/>
      <c r="O143" s="92"/>
      <c r="P143" s="20"/>
      <c r="Q143" s="20"/>
      <c r="R143" s="20"/>
      <c r="S143" s="20"/>
      <c r="T143" s="20"/>
      <c r="U143" s="20"/>
      <c r="V143" s="20"/>
      <c r="W143" s="20"/>
      <c r="X143" s="20"/>
      <c r="Y143" s="20"/>
    </row>
    <row r="144" spans="1:25" s="7" customFormat="1">
      <c r="A144" s="202" t="s">
        <v>390</v>
      </c>
      <c r="B144" s="174"/>
      <c r="C144" s="175"/>
      <c r="D144" s="175"/>
      <c r="E144" s="175"/>
      <c r="F144" s="175"/>
      <c r="G144" s="175"/>
      <c r="H144" s="142"/>
      <c r="I144" s="142"/>
      <c r="J144" s="199"/>
      <c r="K144" s="119"/>
      <c r="L144" s="91"/>
      <c r="M144" s="92"/>
      <c r="N144" s="92"/>
      <c r="O144" s="92"/>
      <c r="P144" s="20"/>
      <c r="Q144" s="20"/>
      <c r="R144" s="20"/>
      <c r="S144" s="20"/>
      <c r="T144" s="20"/>
      <c r="U144" s="20"/>
      <c r="V144" s="20"/>
      <c r="W144" s="20"/>
      <c r="X144" s="20"/>
      <c r="Y144" s="20"/>
    </row>
    <row r="145" spans="1:25" s="7" customFormat="1">
      <c r="A145" s="202" t="s">
        <v>400</v>
      </c>
      <c r="B145" s="174"/>
      <c r="C145" s="175"/>
      <c r="D145" s="175"/>
      <c r="E145" s="175"/>
      <c r="F145" s="175"/>
      <c r="G145" s="175"/>
      <c r="H145" s="142"/>
      <c r="I145" s="142"/>
      <c r="J145" s="199"/>
      <c r="K145" s="119"/>
      <c r="L145" s="91"/>
      <c r="M145" s="92"/>
      <c r="N145" s="92"/>
      <c r="O145" s="92"/>
      <c r="P145" s="20"/>
      <c r="Q145" s="20"/>
      <c r="R145" s="20"/>
      <c r="S145" s="20"/>
      <c r="T145" s="20"/>
      <c r="U145" s="20"/>
      <c r="V145" s="20"/>
      <c r="W145" s="20"/>
      <c r="X145" s="20"/>
      <c r="Y145" s="20"/>
    </row>
    <row r="146" spans="1:25" s="7" customFormat="1">
      <c r="A146" s="202" t="s">
        <v>373</v>
      </c>
      <c r="B146" s="174"/>
      <c r="C146" s="175"/>
      <c r="D146" s="175"/>
      <c r="E146" s="175"/>
      <c r="F146" s="175"/>
      <c r="G146" s="175"/>
      <c r="H146" s="142"/>
      <c r="I146" s="142"/>
      <c r="J146" s="199"/>
      <c r="K146" s="119"/>
      <c r="L146" s="91"/>
      <c r="M146" s="92"/>
      <c r="N146" s="92"/>
      <c r="O146" s="92"/>
      <c r="P146" s="20"/>
      <c r="Q146" s="20"/>
      <c r="R146" s="20"/>
      <c r="S146" s="20"/>
      <c r="T146" s="20"/>
      <c r="U146" s="20"/>
      <c r="V146" s="20"/>
      <c r="W146" s="20"/>
      <c r="X146" s="20"/>
      <c r="Y146" s="20"/>
    </row>
    <row r="147" spans="1:25" s="7" customFormat="1">
      <c r="A147" s="202" t="s">
        <v>430</v>
      </c>
      <c r="B147" s="174"/>
      <c r="C147" s="175"/>
      <c r="D147" s="175"/>
      <c r="E147" s="175"/>
      <c r="F147" s="175"/>
      <c r="G147" s="175"/>
      <c r="H147" s="142"/>
      <c r="I147" s="142"/>
      <c r="J147" s="199"/>
      <c r="K147" s="119"/>
      <c r="L147" s="91"/>
      <c r="M147" s="92"/>
      <c r="N147" s="92"/>
      <c r="O147" s="92"/>
      <c r="P147" s="20"/>
      <c r="Q147" s="20"/>
      <c r="R147" s="20"/>
      <c r="S147" s="20"/>
      <c r="T147" s="20"/>
      <c r="U147" s="20"/>
      <c r="V147" s="20"/>
      <c r="W147" s="20"/>
      <c r="X147" s="20"/>
      <c r="Y147" s="20"/>
    </row>
    <row r="148" spans="1:25" s="7" customFormat="1">
      <c r="A148" s="202" t="s">
        <v>431</v>
      </c>
      <c r="B148" s="174"/>
      <c r="C148" s="175"/>
      <c r="D148" s="175"/>
      <c r="E148" s="175"/>
      <c r="F148" s="175"/>
      <c r="G148" s="175"/>
      <c r="H148" s="142"/>
      <c r="I148" s="142"/>
      <c r="J148" s="199"/>
      <c r="K148" s="119"/>
      <c r="L148" s="91"/>
      <c r="M148" s="92"/>
      <c r="N148" s="92"/>
      <c r="O148" s="92"/>
      <c r="P148" s="20"/>
      <c r="Q148" s="20"/>
      <c r="R148" s="20"/>
      <c r="S148" s="20"/>
      <c r="T148" s="20"/>
      <c r="U148" s="20"/>
      <c r="V148" s="20"/>
      <c r="W148" s="20"/>
      <c r="X148" s="20"/>
      <c r="Y148" s="20"/>
    </row>
    <row r="149" spans="1:25" s="7" customFormat="1">
      <c r="A149" s="202" t="s">
        <v>401</v>
      </c>
      <c r="B149" s="174"/>
      <c r="C149" s="175"/>
      <c r="D149" s="175"/>
      <c r="E149" s="175"/>
      <c r="F149" s="175"/>
      <c r="G149" s="175"/>
      <c r="H149" s="142"/>
      <c r="I149" s="142"/>
      <c r="J149" s="199"/>
      <c r="K149" s="119"/>
      <c r="L149" s="91"/>
      <c r="M149" s="92"/>
      <c r="N149" s="92"/>
      <c r="O149" s="92"/>
      <c r="P149" s="20"/>
      <c r="Q149" s="20"/>
      <c r="R149" s="20"/>
      <c r="S149" s="20"/>
      <c r="T149" s="20"/>
      <c r="U149" s="20"/>
      <c r="V149" s="20"/>
      <c r="W149" s="20"/>
      <c r="X149" s="20"/>
      <c r="Y149" s="20"/>
    </row>
    <row r="150" spans="1:25" s="7" customFormat="1">
      <c r="A150" s="202" t="s">
        <v>402</v>
      </c>
      <c r="B150" s="174"/>
      <c r="C150" s="175"/>
      <c r="D150" s="175"/>
      <c r="E150" s="175"/>
      <c r="F150" s="175"/>
      <c r="G150" s="175"/>
      <c r="H150" s="142"/>
      <c r="I150" s="142"/>
      <c r="J150" s="199"/>
      <c r="K150" s="119"/>
      <c r="L150" s="91"/>
      <c r="M150" s="92"/>
      <c r="N150" s="92"/>
      <c r="O150" s="92"/>
      <c r="P150" s="20"/>
      <c r="Q150" s="20"/>
      <c r="R150" s="20"/>
      <c r="S150" s="20"/>
      <c r="T150" s="20"/>
      <c r="U150" s="20"/>
      <c r="V150" s="20"/>
      <c r="W150" s="20"/>
      <c r="X150" s="20"/>
      <c r="Y150" s="20"/>
    </row>
    <row r="151" spans="1:25" s="7" customFormat="1">
      <c r="A151" s="202" t="s">
        <v>432</v>
      </c>
      <c r="B151" s="174"/>
      <c r="C151" s="175"/>
      <c r="D151" s="175"/>
      <c r="E151" s="175"/>
      <c r="F151" s="175"/>
      <c r="G151" s="175"/>
      <c r="H151" s="142"/>
      <c r="I151" s="142"/>
      <c r="J151" s="199"/>
      <c r="K151" s="119"/>
      <c r="L151" s="91"/>
      <c r="M151" s="92"/>
      <c r="N151" s="92"/>
      <c r="O151" s="92"/>
      <c r="P151" s="20"/>
      <c r="Q151" s="20"/>
      <c r="R151" s="20"/>
      <c r="S151" s="20"/>
      <c r="T151" s="20"/>
      <c r="U151" s="20"/>
      <c r="V151" s="20"/>
      <c r="W151" s="20"/>
      <c r="X151" s="20"/>
      <c r="Y151" s="20"/>
    </row>
    <row r="152" spans="1:25" s="7" customFormat="1">
      <c r="A152" s="202" t="s">
        <v>433</v>
      </c>
      <c r="B152" s="174"/>
      <c r="C152" s="175"/>
      <c r="D152" s="175"/>
      <c r="E152" s="175"/>
      <c r="F152" s="175"/>
      <c r="G152" s="175"/>
      <c r="H152" s="142"/>
      <c r="I152" s="142"/>
      <c r="J152" s="199"/>
      <c r="K152" s="119"/>
      <c r="L152" s="91"/>
      <c r="M152" s="92"/>
      <c r="N152" s="92"/>
      <c r="O152" s="92"/>
      <c r="P152" s="20"/>
      <c r="Q152" s="20"/>
      <c r="R152" s="20"/>
      <c r="S152" s="20"/>
      <c r="T152" s="20"/>
      <c r="U152" s="20"/>
      <c r="V152" s="20"/>
      <c r="W152" s="20"/>
      <c r="X152" s="20"/>
      <c r="Y152" s="20"/>
    </row>
    <row r="153" spans="1:25" s="7" customFormat="1">
      <c r="A153" s="202" t="s">
        <v>434</v>
      </c>
      <c r="B153" s="174"/>
      <c r="C153" s="175"/>
      <c r="D153" s="175"/>
      <c r="E153" s="175"/>
      <c r="F153" s="175"/>
      <c r="G153" s="175"/>
      <c r="H153" s="142"/>
      <c r="I153" s="142"/>
      <c r="J153" s="199"/>
      <c r="K153" s="119"/>
      <c r="L153" s="91"/>
      <c r="M153" s="92"/>
      <c r="N153" s="92"/>
      <c r="O153" s="92"/>
      <c r="P153" s="20"/>
      <c r="Q153" s="20"/>
      <c r="R153" s="20"/>
      <c r="S153" s="20"/>
      <c r="T153" s="20"/>
      <c r="U153" s="20"/>
      <c r="V153" s="20"/>
      <c r="W153" s="20"/>
      <c r="X153" s="20"/>
      <c r="Y153" s="20"/>
    </row>
    <row r="154" spans="1:25" s="7" customFormat="1">
      <c r="A154" s="202" t="s">
        <v>435</v>
      </c>
      <c r="B154" s="174"/>
      <c r="C154" s="175"/>
      <c r="D154" s="175"/>
      <c r="E154" s="175"/>
      <c r="F154" s="175"/>
      <c r="G154" s="175"/>
      <c r="H154" s="142"/>
      <c r="I154" s="142"/>
      <c r="J154" s="199"/>
      <c r="K154" s="119"/>
      <c r="L154" s="91"/>
      <c r="M154" s="92"/>
      <c r="N154" s="92"/>
      <c r="O154" s="92"/>
      <c r="P154" s="20"/>
      <c r="Q154" s="20"/>
      <c r="R154" s="20"/>
      <c r="S154" s="20"/>
      <c r="T154" s="20"/>
      <c r="U154" s="20"/>
      <c r="V154" s="20"/>
      <c r="W154" s="20"/>
      <c r="X154" s="20"/>
      <c r="Y154" s="20"/>
    </row>
    <row r="155" spans="1:25" s="7" customFormat="1">
      <c r="A155" s="202" t="s">
        <v>436</v>
      </c>
      <c r="B155" s="174"/>
      <c r="C155" s="175"/>
      <c r="D155" s="175"/>
      <c r="E155" s="175"/>
      <c r="F155" s="175"/>
      <c r="G155" s="175"/>
      <c r="H155" s="142"/>
      <c r="I155" s="142"/>
      <c r="J155" s="199"/>
      <c r="K155" s="119"/>
      <c r="L155" s="91"/>
      <c r="M155" s="92"/>
      <c r="N155" s="92"/>
      <c r="O155" s="92"/>
      <c r="P155" s="20"/>
      <c r="Q155" s="20"/>
      <c r="R155" s="20"/>
      <c r="S155" s="20"/>
      <c r="T155" s="20"/>
      <c r="U155" s="20"/>
      <c r="V155" s="20"/>
      <c r="W155" s="20"/>
      <c r="X155" s="20"/>
      <c r="Y155" s="20"/>
    </row>
    <row r="156" spans="1:25" s="7" customFormat="1">
      <c r="A156" s="202" t="s">
        <v>405</v>
      </c>
      <c r="B156" s="174"/>
      <c r="C156" s="175"/>
      <c r="D156" s="175"/>
      <c r="E156" s="175"/>
      <c r="F156" s="175"/>
      <c r="G156" s="175"/>
      <c r="H156" s="142"/>
      <c r="I156" s="142"/>
      <c r="J156" s="199"/>
      <c r="K156" s="119"/>
      <c r="L156" s="91"/>
      <c r="M156" s="92"/>
      <c r="N156" s="92"/>
      <c r="O156" s="92"/>
      <c r="P156" s="20"/>
      <c r="Q156" s="20"/>
      <c r="R156" s="20"/>
      <c r="S156" s="20"/>
      <c r="T156" s="20"/>
      <c r="U156" s="20"/>
      <c r="V156" s="20"/>
      <c r="W156" s="20"/>
      <c r="X156" s="20"/>
      <c r="Y156" s="20"/>
    </row>
    <row r="157" spans="1:25" s="7" customFormat="1">
      <c r="A157" s="202" t="s">
        <v>444</v>
      </c>
      <c r="B157" s="130"/>
      <c r="C157" s="131"/>
      <c r="D157" s="131"/>
      <c r="E157" s="131"/>
      <c r="F157" s="131"/>
      <c r="G157" s="131"/>
      <c r="H157" s="132"/>
      <c r="I157" s="176"/>
      <c r="J157" s="178"/>
      <c r="K157" s="108"/>
      <c r="L157" s="87"/>
      <c r="M157" s="92"/>
      <c r="N157" s="92"/>
      <c r="O157" s="92"/>
      <c r="P157" s="20"/>
      <c r="Q157" s="20"/>
      <c r="R157" s="20"/>
      <c r="S157" s="20"/>
      <c r="T157" s="20"/>
      <c r="U157" s="20"/>
      <c r="V157" s="20"/>
      <c r="W157" s="20"/>
      <c r="X157" s="20"/>
      <c r="Y157" s="20"/>
    </row>
    <row r="158" spans="1:25">
      <c r="A158" s="204" t="s">
        <v>380</v>
      </c>
      <c r="B158" s="130"/>
      <c r="C158" s="131"/>
      <c r="D158" s="131"/>
      <c r="E158" s="131"/>
      <c r="F158" s="131"/>
      <c r="G158" s="131"/>
      <c r="H158" s="132"/>
      <c r="I158" s="176"/>
      <c r="J158" s="184"/>
      <c r="K158" s="108"/>
      <c r="L158" s="80"/>
      <c r="M158" s="85"/>
      <c r="N158" s="85"/>
      <c r="O158" s="85"/>
      <c r="P158" s="16"/>
      <c r="Q158" s="16"/>
      <c r="R158" s="16"/>
      <c r="S158" s="16"/>
      <c r="T158" s="16"/>
      <c r="U158" s="16"/>
      <c r="V158" s="16"/>
      <c r="W158" s="16"/>
      <c r="X158" s="16"/>
      <c r="Y158" s="18"/>
    </row>
    <row r="159" spans="1:25">
      <c r="A159" s="204" t="s">
        <v>381</v>
      </c>
      <c r="B159" s="130"/>
      <c r="C159" s="131"/>
      <c r="D159" s="131"/>
      <c r="E159" s="131"/>
      <c r="F159" s="131"/>
      <c r="G159" s="131"/>
      <c r="H159" s="132"/>
      <c r="I159" s="176"/>
      <c r="J159" s="184"/>
      <c r="K159" s="108"/>
      <c r="L159" s="80"/>
      <c r="M159" s="85"/>
      <c r="N159" s="85"/>
      <c r="O159" s="85"/>
      <c r="P159" s="16"/>
      <c r="Q159" s="16"/>
      <c r="R159" s="16"/>
      <c r="S159" s="16"/>
      <c r="T159" s="16"/>
      <c r="U159" s="16"/>
      <c r="V159" s="16"/>
      <c r="W159" s="16"/>
      <c r="X159" s="16"/>
      <c r="Y159" s="18"/>
    </row>
    <row r="160" spans="1:25">
      <c r="A160" s="204" t="s">
        <v>382</v>
      </c>
      <c r="B160" s="130"/>
      <c r="C160" s="131"/>
      <c r="D160" s="131"/>
      <c r="E160" s="131"/>
      <c r="F160" s="131"/>
      <c r="G160" s="131"/>
      <c r="H160" s="132"/>
      <c r="I160" s="176"/>
      <c r="J160" s="184"/>
      <c r="K160" s="108"/>
      <c r="L160" s="80"/>
      <c r="M160" s="85"/>
      <c r="N160" s="85"/>
      <c r="O160" s="85"/>
      <c r="P160" s="16"/>
      <c r="Q160" s="16"/>
      <c r="R160" s="16"/>
      <c r="S160" s="16"/>
      <c r="T160" s="16"/>
      <c r="U160" s="16"/>
      <c r="V160" s="16"/>
      <c r="W160" s="16"/>
      <c r="X160" s="16"/>
      <c r="Y160" s="18"/>
    </row>
    <row r="161" spans="1:25">
      <c r="A161" s="204" t="s">
        <v>361</v>
      </c>
      <c r="B161" s="130"/>
      <c r="C161" s="131"/>
      <c r="D161" s="131"/>
      <c r="E161" s="131"/>
      <c r="F161" s="131"/>
      <c r="G161" s="131"/>
      <c r="H161" s="132"/>
      <c r="I161" s="176"/>
      <c r="J161" s="184"/>
      <c r="K161" s="108"/>
      <c r="L161" s="80"/>
      <c r="M161" s="85"/>
      <c r="N161" s="85"/>
      <c r="O161" s="85"/>
      <c r="P161" s="16"/>
      <c r="Q161" s="16"/>
      <c r="R161" s="16"/>
      <c r="S161" s="16"/>
      <c r="T161" s="16"/>
      <c r="U161" s="16"/>
      <c r="V161" s="16"/>
      <c r="W161" s="16"/>
      <c r="X161" s="16"/>
      <c r="Y161" s="18"/>
    </row>
    <row r="162" spans="1:25">
      <c r="A162" s="204" t="s">
        <v>362</v>
      </c>
      <c r="B162" s="130"/>
      <c r="C162" s="131"/>
      <c r="D162" s="131"/>
      <c r="E162" s="131"/>
      <c r="F162" s="131"/>
      <c r="G162" s="131"/>
      <c r="H162" s="132"/>
      <c r="I162" s="176"/>
      <c r="J162" s="184"/>
      <c r="K162" s="108"/>
      <c r="L162" s="80"/>
      <c r="M162" s="85"/>
      <c r="N162" s="85"/>
      <c r="O162" s="85"/>
      <c r="P162" s="16"/>
      <c r="Q162" s="16"/>
      <c r="R162" s="16"/>
      <c r="S162" s="16"/>
      <c r="T162" s="16"/>
      <c r="U162" s="16"/>
      <c r="V162" s="16"/>
      <c r="W162" s="16"/>
      <c r="X162" s="16"/>
      <c r="Y162" s="18"/>
    </row>
    <row r="163" spans="1:25">
      <c r="A163" s="204" t="s">
        <v>6893</v>
      </c>
      <c r="B163" s="174"/>
      <c r="C163" s="175"/>
      <c r="D163" s="175"/>
      <c r="E163" s="175"/>
      <c r="F163" s="175"/>
      <c r="G163" s="175"/>
      <c r="H163" s="142"/>
      <c r="I163" s="142"/>
      <c r="J163" s="186"/>
      <c r="K163" s="119"/>
      <c r="L163" s="90"/>
      <c r="M163" s="85"/>
      <c r="N163" s="85"/>
      <c r="O163" s="85"/>
      <c r="P163" s="16"/>
      <c r="Q163" s="16"/>
      <c r="R163" s="16"/>
      <c r="S163" s="16"/>
      <c r="T163" s="16"/>
      <c r="U163" s="16"/>
      <c r="V163" s="16"/>
      <c r="W163" s="16"/>
      <c r="X163" s="16"/>
      <c r="Y163" s="18"/>
    </row>
    <row r="164" spans="1:25">
      <c r="A164" s="204" t="s">
        <v>6667</v>
      </c>
      <c r="B164" s="174"/>
      <c r="C164" s="175"/>
      <c r="D164" s="175"/>
      <c r="E164" s="175"/>
      <c r="F164" s="175"/>
      <c r="G164" s="175"/>
      <c r="H164" s="142"/>
      <c r="I164" s="142"/>
      <c r="J164" s="186"/>
      <c r="K164" s="119"/>
      <c r="L164" s="90"/>
      <c r="M164" s="85"/>
      <c r="N164" s="85"/>
      <c r="O164" s="85"/>
      <c r="P164" s="16"/>
      <c r="Q164" s="16"/>
      <c r="R164" s="16"/>
      <c r="S164" s="16"/>
      <c r="T164" s="16"/>
      <c r="U164" s="16"/>
      <c r="V164" s="16"/>
      <c r="W164" s="16"/>
      <c r="X164" s="16"/>
      <c r="Y164" s="18"/>
    </row>
    <row r="165" spans="1:25">
      <c r="A165" s="204" t="s">
        <v>175</v>
      </c>
      <c r="B165" s="174"/>
      <c r="C165" s="175"/>
      <c r="D165" s="175"/>
      <c r="E165" s="175"/>
      <c r="F165" s="175"/>
      <c r="G165" s="175"/>
      <c r="H165" s="142"/>
      <c r="I165" s="142"/>
      <c r="J165" s="186"/>
      <c r="K165" s="119"/>
      <c r="L165" s="90"/>
      <c r="M165" s="85"/>
      <c r="N165" s="85"/>
      <c r="O165" s="85"/>
      <c r="P165" s="16"/>
      <c r="Q165" s="16"/>
      <c r="R165" s="16"/>
      <c r="S165" s="16"/>
      <c r="T165" s="16"/>
      <c r="U165" s="16"/>
      <c r="V165" s="16"/>
      <c r="W165" s="16"/>
      <c r="X165" s="16"/>
      <c r="Y165" s="18"/>
    </row>
    <row r="166" spans="1:25">
      <c r="A166" s="204" t="s">
        <v>1108</v>
      </c>
      <c r="B166" s="174"/>
      <c r="C166" s="175"/>
      <c r="D166" s="175"/>
      <c r="E166" s="175"/>
      <c r="F166" s="175"/>
      <c r="G166" s="175"/>
      <c r="H166" s="142"/>
      <c r="I166" s="142"/>
      <c r="J166" s="186"/>
      <c r="K166" s="119"/>
      <c r="L166" s="90"/>
      <c r="M166" s="85"/>
      <c r="N166" s="85"/>
      <c r="O166" s="85"/>
      <c r="P166" s="16"/>
      <c r="Q166" s="16"/>
      <c r="R166" s="16"/>
      <c r="S166" s="16"/>
      <c r="T166" s="16"/>
      <c r="U166" s="16"/>
      <c r="V166" s="16"/>
      <c r="W166" s="16"/>
      <c r="X166" s="16"/>
      <c r="Y166" s="18"/>
    </row>
    <row r="167" spans="1:25">
      <c r="A167" s="204" t="s">
        <v>1716</v>
      </c>
      <c r="B167" s="174"/>
      <c r="C167" s="175"/>
      <c r="D167" s="175"/>
      <c r="E167" s="175"/>
      <c r="F167" s="175"/>
      <c r="G167" s="175"/>
      <c r="H167" s="142"/>
      <c r="I167" s="142"/>
      <c r="J167" s="186"/>
      <c r="K167" s="119"/>
      <c r="L167" s="90"/>
      <c r="M167" s="85"/>
      <c r="N167" s="85"/>
      <c r="O167" s="85"/>
      <c r="P167" s="16"/>
      <c r="Q167" s="16"/>
      <c r="R167" s="16"/>
      <c r="S167" s="16"/>
      <c r="T167" s="16"/>
      <c r="U167" s="16"/>
      <c r="V167" s="16"/>
      <c r="W167" s="16"/>
      <c r="X167" s="16"/>
      <c r="Y167" s="18"/>
    </row>
    <row r="168" spans="1:25">
      <c r="A168" s="204" t="s">
        <v>8065</v>
      </c>
      <c r="B168" s="174"/>
      <c r="C168" s="175"/>
      <c r="D168" s="175"/>
      <c r="E168" s="175"/>
      <c r="F168" s="175"/>
      <c r="G168" s="175"/>
      <c r="H168" s="142"/>
      <c r="I168" s="142"/>
      <c r="J168" s="186"/>
      <c r="K168" s="119"/>
      <c r="L168" s="90"/>
      <c r="M168" s="85"/>
      <c r="N168" s="85"/>
      <c r="O168" s="85"/>
      <c r="P168" s="16"/>
      <c r="Q168" s="16"/>
      <c r="R168" s="16"/>
      <c r="S168" s="16"/>
      <c r="T168" s="16"/>
      <c r="U168" s="16"/>
      <c r="V168" s="16"/>
      <c r="W168" s="16"/>
      <c r="X168" s="16"/>
      <c r="Y168" s="18"/>
    </row>
    <row r="169" spans="1:25">
      <c r="A169" s="204" t="s">
        <v>8006</v>
      </c>
      <c r="B169" s="174"/>
      <c r="C169" s="175"/>
      <c r="D169" s="175"/>
      <c r="E169" s="175"/>
      <c r="F169" s="175"/>
      <c r="G169" s="175"/>
      <c r="H169" s="142"/>
      <c r="I169" s="142"/>
      <c r="J169" s="186"/>
      <c r="K169" s="119"/>
      <c r="L169" s="90"/>
      <c r="M169" s="85"/>
      <c r="N169" s="85"/>
      <c r="O169" s="85"/>
      <c r="P169" s="16"/>
      <c r="Q169" s="16"/>
      <c r="R169" s="16"/>
      <c r="S169" s="16"/>
      <c r="T169" s="16"/>
      <c r="U169" s="16"/>
      <c r="V169" s="16"/>
      <c r="W169" s="16"/>
      <c r="X169" s="16"/>
      <c r="Y169" s="18"/>
    </row>
    <row r="170" spans="1:25">
      <c r="A170" s="204" t="s">
        <v>134</v>
      </c>
      <c r="B170" s="174"/>
      <c r="C170" s="175"/>
      <c r="D170" s="175"/>
      <c r="E170" s="175"/>
      <c r="F170" s="175"/>
      <c r="G170" s="175"/>
      <c r="H170" s="142"/>
      <c r="I170" s="142"/>
      <c r="J170" s="186"/>
      <c r="K170" s="119"/>
      <c r="L170" s="90"/>
      <c r="M170" s="85"/>
      <c r="N170" s="85"/>
      <c r="O170" s="85"/>
      <c r="P170" s="16"/>
      <c r="Q170" s="16"/>
      <c r="R170" s="16"/>
      <c r="S170" s="16"/>
      <c r="T170" s="16"/>
      <c r="U170" s="16"/>
      <c r="V170" s="16"/>
      <c r="W170" s="16"/>
      <c r="X170" s="16"/>
      <c r="Y170" s="18"/>
    </row>
    <row r="171" spans="1:25">
      <c r="A171" s="204" t="s">
        <v>7959</v>
      </c>
      <c r="B171" s="174"/>
      <c r="C171" s="175"/>
      <c r="D171" s="175"/>
      <c r="E171" s="175"/>
      <c r="F171" s="175"/>
      <c r="G171" s="175"/>
      <c r="H171" s="142"/>
      <c r="I171" s="142"/>
      <c r="J171" s="186"/>
      <c r="K171" s="119"/>
      <c r="L171" s="90"/>
      <c r="M171" s="85"/>
      <c r="N171" s="85"/>
      <c r="O171" s="85"/>
      <c r="P171" s="16"/>
      <c r="Q171" s="16"/>
      <c r="R171" s="16"/>
      <c r="S171" s="16"/>
      <c r="T171" s="16"/>
      <c r="U171" s="16"/>
      <c r="V171" s="16"/>
      <c r="W171" s="16"/>
      <c r="X171" s="16"/>
      <c r="Y171" s="18"/>
    </row>
    <row r="172" spans="1:25">
      <c r="A172" s="204" t="s">
        <v>6788</v>
      </c>
      <c r="B172" s="174"/>
      <c r="C172" s="175"/>
      <c r="D172" s="175"/>
      <c r="E172" s="175"/>
      <c r="F172" s="175"/>
      <c r="G172" s="175"/>
      <c r="H172" s="142"/>
      <c r="I172" s="142"/>
      <c r="J172" s="186"/>
      <c r="K172" s="119"/>
      <c r="L172" s="90"/>
      <c r="M172" s="85"/>
      <c r="N172" s="85"/>
      <c r="O172" s="85"/>
      <c r="P172" s="16"/>
      <c r="Q172" s="16"/>
      <c r="R172" s="16"/>
      <c r="S172" s="16"/>
      <c r="T172" s="16"/>
      <c r="U172" s="16"/>
      <c r="V172" s="16"/>
      <c r="W172" s="16"/>
      <c r="X172" s="16"/>
      <c r="Y172" s="18"/>
    </row>
    <row r="173" spans="1:25">
      <c r="A173" s="204" t="s">
        <v>7930</v>
      </c>
      <c r="B173" s="174"/>
      <c r="C173" s="175"/>
      <c r="D173" s="175"/>
      <c r="E173" s="175"/>
      <c r="F173" s="175"/>
      <c r="G173" s="175"/>
      <c r="H173" s="142"/>
      <c r="I173" s="142"/>
      <c r="J173" s="186"/>
      <c r="K173" s="119"/>
      <c r="L173" s="90"/>
      <c r="M173" s="85"/>
      <c r="N173" s="85"/>
      <c r="O173" s="85"/>
      <c r="P173" s="16"/>
      <c r="Q173" s="16"/>
      <c r="R173" s="16"/>
      <c r="S173" s="16"/>
      <c r="T173" s="16"/>
      <c r="U173" s="16"/>
      <c r="V173" s="16"/>
      <c r="W173" s="16"/>
      <c r="X173" s="16"/>
      <c r="Y173" s="18"/>
    </row>
    <row r="174" spans="1:25">
      <c r="A174" s="204" t="s">
        <v>1206</v>
      </c>
      <c r="B174" s="174"/>
      <c r="C174" s="175"/>
      <c r="D174" s="175"/>
      <c r="E174" s="175"/>
      <c r="F174" s="175"/>
      <c r="G174" s="175"/>
      <c r="H174" s="142"/>
      <c r="I174" s="142"/>
      <c r="J174" s="186"/>
      <c r="K174" s="119"/>
      <c r="L174" s="90"/>
      <c r="M174" s="85"/>
      <c r="N174" s="85"/>
      <c r="O174" s="85"/>
      <c r="P174" s="16"/>
      <c r="Q174" s="16"/>
      <c r="R174" s="16"/>
      <c r="S174" s="16"/>
      <c r="T174" s="16"/>
      <c r="U174" s="16"/>
      <c r="V174" s="16"/>
      <c r="W174" s="16"/>
      <c r="X174" s="16"/>
      <c r="Y174" s="18"/>
    </row>
    <row r="175" spans="1:25">
      <c r="A175" s="204" t="s">
        <v>987</v>
      </c>
      <c r="B175" s="174"/>
      <c r="C175" s="175"/>
      <c r="D175" s="175"/>
      <c r="E175" s="175"/>
      <c r="F175" s="175"/>
      <c r="G175" s="175"/>
      <c r="H175" s="142"/>
      <c r="I175" s="142"/>
      <c r="J175" s="186"/>
      <c r="K175" s="119"/>
      <c r="L175" s="90"/>
      <c r="M175" s="85"/>
      <c r="N175" s="85"/>
      <c r="O175" s="85"/>
      <c r="P175" s="16"/>
      <c r="Q175" s="16"/>
      <c r="R175" s="16"/>
      <c r="S175" s="16"/>
      <c r="T175" s="16"/>
      <c r="U175" s="16"/>
      <c r="V175" s="16"/>
      <c r="W175" s="16"/>
      <c r="X175" s="16"/>
      <c r="Y175" s="18"/>
    </row>
    <row r="176" spans="1:25">
      <c r="A176" s="204" t="s">
        <v>7942</v>
      </c>
      <c r="B176" s="174"/>
      <c r="C176" s="175"/>
      <c r="D176" s="175"/>
      <c r="E176" s="175"/>
      <c r="F176" s="175"/>
      <c r="G176" s="175"/>
      <c r="H176" s="142"/>
      <c r="I176" s="142"/>
      <c r="J176" s="186"/>
      <c r="K176" s="119"/>
      <c r="L176" s="90"/>
      <c r="M176" s="85"/>
      <c r="N176" s="85"/>
      <c r="O176" s="85"/>
      <c r="P176" s="16"/>
      <c r="Q176" s="16"/>
      <c r="R176" s="16"/>
      <c r="S176" s="16"/>
      <c r="T176" s="16"/>
      <c r="U176" s="16"/>
      <c r="V176" s="16"/>
      <c r="W176" s="16"/>
      <c r="X176" s="16"/>
      <c r="Y176" s="18"/>
    </row>
    <row r="177" spans="1:25">
      <c r="A177" s="204" t="s">
        <v>8314</v>
      </c>
      <c r="B177" s="174"/>
      <c r="C177" s="175"/>
      <c r="D177" s="175"/>
      <c r="E177" s="175"/>
      <c r="F177" s="175"/>
      <c r="G177" s="175"/>
      <c r="H177" s="142"/>
      <c r="I177" s="142"/>
      <c r="J177" s="186"/>
      <c r="K177" s="119"/>
      <c r="L177" s="90"/>
      <c r="M177" s="85"/>
      <c r="N177" s="85"/>
      <c r="O177" s="85"/>
      <c r="P177" s="16"/>
      <c r="Q177" s="16"/>
      <c r="R177" s="16"/>
      <c r="S177" s="16"/>
      <c r="T177" s="16"/>
      <c r="U177" s="16"/>
      <c r="V177" s="16"/>
      <c r="W177" s="16"/>
      <c r="X177" s="16"/>
      <c r="Y177" s="18"/>
    </row>
    <row r="178" spans="1:25">
      <c r="A178" s="204" t="s">
        <v>7932</v>
      </c>
      <c r="B178" s="174"/>
      <c r="C178" s="175"/>
      <c r="D178" s="175"/>
      <c r="E178" s="175"/>
      <c r="F178" s="175"/>
      <c r="G178" s="175"/>
      <c r="H178" s="142"/>
      <c r="I178" s="142"/>
      <c r="J178" s="186"/>
      <c r="K178" s="119"/>
      <c r="L178" s="90"/>
      <c r="M178" s="85"/>
      <c r="N178" s="85"/>
      <c r="O178" s="85"/>
      <c r="P178" s="16"/>
      <c r="Q178" s="16"/>
      <c r="R178" s="16"/>
      <c r="S178" s="16"/>
      <c r="T178" s="16"/>
      <c r="U178" s="16"/>
      <c r="V178" s="16"/>
      <c r="W178" s="16"/>
      <c r="X178" s="16"/>
      <c r="Y178" s="18"/>
    </row>
    <row r="179" spans="1:25">
      <c r="A179" s="202" t="s">
        <v>8016</v>
      </c>
      <c r="B179" s="174"/>
      <c r="C179" s="175"/>
      <c r="D179" s="175"/>
      <c r="E179" s="175"/>
      <c r="F179" s="175"/>
      <c r="G179" s="175"/>
      <c r="H179" s="142"/>
      <c r="I179" s="142"/>
      <c r="J179" s="186"/>
      <c r="K179" s="119"/>
      <c r="L179" s="90"/>
      <c r="M179" s="85"/>
      <c r="N179" s="85"/>
      <c r="O179" s="85"/>
      <c r="P179" s="16"/>
      <c r="Q179" s="16"/>
      <c r="R179" s="16"/>
      <c r="S179" s="16"/>
      <c r="T179" s="16"/>
      <c r="U179" s="16"/>
      <c r="V179" s="16"/>
      <c r="W179" s="16"/>
      <c r="X179" s="16"/>
      <c r="Y179" s="18"/>
    </row>
    <row r="180" spans="1:25">
      <c r="A180" s="204" t="s">
        <v>142</v>
      </c>
      <c r="B180" s="174"/>
      <c r="C180" s="175"/>
      <c r="D180" s="175"/>
      <c r="E180" s="175"/>
      <c r="F180" s="175"/>
      <c r="G180" s="175"/>
      <c r="H180" s="142"/>
      <c r="I180" s="142"/>
      <c r="J180" s="186"/>
      <c r="K180" s="119"/>
      <c r="L180" s="90"/>
      <c r="M180" s="85"/>
      <c r="N180" s="85"/>
      <c r="O180" s="85"/>
      <c r="P180" s="16"/>
      <c r="Q180" s="16"/>
      <c r="R180" s="16"/>
      <c r="S180" s="16"/>
      <c r="T180" s="16"/>
      <c r="U180" s="16"/>
      <c r="V180" s="16"/>
      <c r="W180" s="16"/>
      <c r="X180" s="16"/>
      <c r="Y180" s="18"/>
    </row>
    <row r="181" spans="1:25">
      <c r="A181" s="204" t="s">
        <v>169</v>
      </c>
      <c r="B181" s="174"/>
      <c r="C181" s="175"/>
      <c r="D181" s="175"/>
      <c r="E181" s="175"/>
      <c r="F181" s="175"/>
      <c r="G181" s="175"/>
      <c r="H181" s="142"/>
      <c r="I181" s="142"/>
      <c r="J181" s="186"/>
      <c r="K181" s="119"/>
      <c r="L181" s="90"/>
      <c r="M181" s="85"/>
      <c r="N181" s="85"/>
      <c r="O181" s="85"/>
      <c r="P181" s="16"/>
      <c r="Q181" s="16"/>
      <c r="R181" s="16"/>
      <c r="S181" s="16"/>
      <c r="T181" s="16"/>
      <c r="U181" s="16"/>
      <c r="V181" s="16"/>
      <c r="W181" s="16"/>
      <c r="X181" s="16"/>
      <c r="Y181" s="18"/>
    </row>
    <row r="182" spans="1:25">
      <c r="A182" s="204" t="s">
        <v>1888</v>
      </c>
      <c r="B182" s="174"/>
      <c r="C182" s="175"/>
      <c r="D182" s="175"/>
      <c r="E182" s="175"/>
      <c r="F182" s="175"/>
      <c r="G182" s="175"/>
      <c r="H182" s="142"/>
      <c r="I182" s="142"/>
      <c r="J182" s="186"/>
      <c r="K182" s="119"/>
      <c r="L182" s="90"/>
      <c r="M182" s="85"/>
      <c r="N182" s="85"/>
      <c r="O182" s="85"/>
      <c r="P182" s="16"/>
      <c r="Q182" s="16"/>
      <c r="R182" s="16"/>
      <c r="S182" s="16"/>
      <c r="T182" s="16"/>
      <c r="U182" s="16"/>
      <c r="V182" s="16"/>
      <c r="W182" s="16"/>
      <c r="X182" s="16"/>
      <c r="Y182" s="18"/>
    </row>
    <row r="183" spans="1:25">
      <c r="A183" s="204" t="s">
        <v>7775</v>
      </c>
      <c r="B183" s="174"/>
      <c r="C183" s="175"/>
      <c r="D183" s="175"/>
      <c r="E183" s="175"/>
      <c r="F183" s="175"/>
      <c r="G183" s="175"/>
      <c r="H183" s="142"/>
      <c r="I183" s="142"/>
      <c r="J183" s="186"/>
      <c r="K183" s="119"/>
      <c r="L183" s="90"/>
      <c r="M183" s="85"/>
      <c r="N183" s="85"/>
      <c r="O183" s="85"/>
      <c r="P183" s="16"/>
      <c r="Q183" s="16"/>
      <c r="R183" s="16"/>
      <c r="S183" s="16"/>
      <c r="T183" s="16"/>
      <c r="U183" s="16"/>
      <c r="V183" s="16"/>
      <c r="W183" s="16"/>
      <c r="X183" s="16"/>
      <c r="Y183" s="18"/>
    </row>
    <row r="184" spans="1:25">
      <c r="A184" s="204" t="s">
        <v>6857</v>
      </c>
      <c r="B184" s="174"/>
      <c r="C184" s="175"/>
      <c r="D184" s="175"/>
      <c r="E184" s="175"/>
      <c r="F184" s="175"/>
      <c r="G184" s="175"/>
      <c r="H184" s="142"/>
      <c r="I184" s="142"/>
      <c r="J184" s="186"/>
      <c r="K184" s="119"/>
      <c r="L184" s="90"/>
      <c r="M184" s="85"/>
      <c r="N184" s="85"/>
      <c r="O184" s="85"/>
      <c r="P184" s="16"/>
      <c r="Q184" s="16"/>
      <c r="R184" s="16"/>
      <c r="S184" s="16"/>
      <c r="T184" s="16"/>
      <c r="U184" s="16"/>
      <c r="V184" s="16"/>
      <c r="W184" s="16"/>
      <c r="X184" s="16"/>
      <c r="Y184" s="18"/>
    </row>
    <row r="185" spans="1:25">
      <c r="A185" s="204" t="s">
        <v>7872</v>
      </c>
      <c r="B185" s="174"/>
      <c r="C185" s="175"/>
      <c r="D185" s="175"/>
      <c r="E185" s="175"/>
      <c r="F185" s="175"/>
      <c r="G185" s="175"/>
      <c r="H185" s="142"/>
      <c r="I185" s="142"/>
      <c r="J185" s="186"/>
      <c r="K185" s="119"/>
      <c r="L185" s="90"/>
      <c r="M185" s="85"/>
      <c r="N185" s="85"/>
      <c r="O185" s="85"/>
      <c r="P185" s="16"/>
      <c r="Q185" s="16"/>
      <c r="R185" s="16"/>
      <c r="S185" s="16"/>
      <c r="T185" s="16"/>
      <c r="U185" s="16"/>
      <c r="V185" s="16"/>
      <c r="W185" s="16"/>
      <c r="X185" s="16"/>
      <c r="Y185" s="18"/>
    </row>
    <row r="186" spans="1:25">
      <c r="A186" s="204" t="s">
        <v>7748</v>
      </c>
      <c r="B186" s="174"/>
      <c r="C186" s="175"/>
      <c r="D186" s="175"/>
      <c r="E186" s="175"/>
      <c r="F186" s="175"/>
      <c r="G186" s="175"/>
      <c r="H186" s="142"/>
      <c r="I186" s="142"/>
      <c r="J186" s="186"/>
      <c r="K186" s="119"/>
      <c r="L186" s="90"/>
      <c r="M186" s="85"/>
      <c r="N186" s="85"/>
      <c r="O186" s="85"/>
      <c r="P186" s="16"/>
      <c r="Q186" s="16"/>
      <c r="R186" s="16"/>
      <c r="S186" s="16"/>
      <c r="T186" s="16"/>
      <c r="U186" s="16"/>
      <c r="V186" s="16"/>
      <c r="W186" s="16"/>
      <c r="X186" s="16"/>
      <c r="Y186" s="18"/>
    </row>
    <row r="187" spans="1:25">
      <c r="A187" s="204" t="s">
        <v>7879</v>
      </c>
      <c r="B187" s="174"/>
      <c r="C187" s="175"/>
      <c r="D187" s="175"/>
      <c r="E187" s="175"/>
      <c r="F187" s="175"/>
      <c r="G187" s="175"/>
      <c r="H187" s="142"/>
      <c r="I187" s="142"/>
      <c r="J187" s="186"/>
      <c r="K187" s="119"/>
      <c r="L187" s="90"/>
      <c r="M187" s="85"/>
      <c r="N187" s="85"/>
      <c r="O187" s="85"/>
      <c r="P187" s="16"/>
      <c r="Q187" s="16"/>
      <c r="R187" s="16"/>
      <c r="S187" s="16"/>
      <c r="T187" s="16"/>
      <c r="U187" s="16"/>
      <c r="V187" s="16"/>
      <c r="W187" s="16"/>
      <c r="X187" s="16"/>
      <c r="Y187" s="18"/>
    </row>
    <row r="188" spans="1:25">
      <c r="A188" s="204" t="s">
        <v>7939</v>
      </c>
      <c r="B188" s="174"/>
      <c r="C188" s="175"/>
      <c r="D188" s="175"/>
      <c r="E188" s="175"/>
      <c r="F188" s="175"/>
      <c r="G188" s="175"/>
      <c r="H188" s="142"/>
      <c r="I188" s="142"/>
      <c r="J188" s="186"/>
      <c r="K188" s="119"/>
      <c r="L188" s="90"/>
      <c r="M188" s="85"/>
      <c r="N188" s="85"/>
      <c r="O188" s="85"/>
      <c r="P188" s="16"/>
      <c r="Q188" s="16"/>
      <c r="R188" s="16"/>
      <c r="S188" s="16"/>
      <c r="T188" s="16"/>
      <c r="U188" s="16"/>
      <c r="V188" s="16"/>
      <c r="W188" s="16"/>
      <c r="X188" s="16"/>
      <c r="Y188" s="18"/>
    </row>
    <row r="189" spans="1:25">
      <c r="A189" s="204" t="s">
        <v>6725</v>
      </c>
      <c r="B189" s="174"/>
      <c r="C189" s="175"/>
      <c r="D189" s="175"/>
      <c r="E189" s="175"/>
      <c r="F189" s="175"/>
      <c r="G189" s="175"/>
      <c r="H189" s="142"/>
      <c r="I189" s="142"/>
      <c r="J189" s="186"/>
      <c r="K189" s="119"/>
      <c r="L189" s="90"/>
      <c r="M189" s="85"/>
      <c r="N189" s="85"/>
      <c r="O189" s="85"/>
      <c r="P189" s="16"/>
      <c r="Q189" s="16"/>
      <c r="R189" s="16"/>
      <c r="S189" s="16"/>
      <c r="T189" s="16"/>
      <c r="U189" s="16"/>
      <c r="V189" s="16"/>
      <c r="W189" s="16"/>
      <c r="X189" s="16"/>
      <c r="Y189" s="18"/>
    </row>
    <row r="190" spans="1:25">
      <c r="A190" s="204" t="s">
        <v>7886</v>
      </c>
      <c r="B190" s="174"/>
      <c r="C190" s="175"/>
      <c r="D190" s="175"/>
      <c r="E190" s="175"/>
      <c r="F190" s="175"/>
      <c r="G190" s="175"/>
      <c r="H190" s="142"/>
      <c r="I190" s="142"/>
      <c r="J190" s="186"/>
      <c r="K190" s="119"/>
      <c r="L190" s="90"/>
      <c r="M190" s="85"/>
      <c r="N190" s="85"/>
      <c r="O190" s="85"/>
      <c r="P190" s="16"/>
      <c r="Q190" s="16"/>
      <c r="R190" s="16"/>
      <c r="S190" s="16"/>
      <c r="T190" s="16"/>
      <c r="U190" s="16"/>
      <c r="V190" s="16"/>
      <c r="W190" s="16"/>
      <c r="X190" s="16"/>
      <c r="Y190" s="18"/>
    </row>
    <row r="191" spans="1:25">
      <c r="A191" s="204" t="s">
        <v>7819</v>
      </c>
      <c r="B191" s="174"/>
      <c r="C191" s="175"/>
      <c r="D191" s="175"/>
      <c r="E191" s="175"/>
      <c r="F191" s="175"/>
      <c r="G191" s="175"/>
      <c r="H191" s="142"/>
      <c r="I191" s="142"/>
      <c r="J191" s="186"/>
      <c r="K191" s="119"/>
      <c r="L191" s="90"/>
      <c r="M191" s="85"/>
      <c r="N191" s="85"/>
      <c r="O191" s="85"/>
      <c r="P191" s="16"/>
      <c r="Q191" s="16"/>
      <c r="R191" s="16"/>
      <c r="S191" s="16"/>
      <c r="T191" s="16"/>
      <c r="U191" s="16"/>
      <c r="V191" s="16"/>
      <c r="W191" s="16"/>
      <c r="X191" s="16"/>
      <c r="Y191" s="18"/>
    </row>
    <row r="192" spans="1:25">
      <c r="A192" s="202" t="s">
        <v>6503</v>
      </c>
      <c r="B192" s="174"/>
      <c r="C192" s="175"/>
      <c r="D192" s="175"/>
      <c r="E192" s="175"/>
      <c r="F192" s="175"/>
      <c r="G192" s="175"/>
      <c r="H192" s="142"/>
      <c r="I192" s="142"/>
      <c r="J192" s="186"/>
      <c r="K192" s="119"/>
      <c r="L192" s="90"/>
      <c r="M192" s="85"/>
      <c r="N192" s="85"/>
      <c r="O192" s="85"/>
      <c r="P192" s="16"/>
      <c r="Q192" s="16"/>
      <c r="R192" s="16"/>
      <c r="S192" s="16"/>
      <c r="T192" s="16"/>
      <c r="U192" s="16"/>
      <c r="V192" s="16"/>
      <c r="W192" s="16"/>
      <c r="X192" s="16"/>
      <c r="Y192" s="18"/>
    </row>
    <row r="193" spans="1:25">
      <c r="A193" s="204" t="s">
        <v>8241</v>
      </c>
      <c r="B193" s="174"/>
      <c r="C193" s="175"/>
      <c r="D193" s="175"/>
      <c r="E193" s="175"/>
      <c r="F193" s="175"/>
      <c r="G193" s="175"/>
      <c r="H193" s="142"/>
      <c r="I193" s="142"/>
      <c r="J193" s="186"/>
      <c r="K193" s="119"/>
      <c r="L193" s="90"/>
      <c r="M193" s="85"/>
      <c r="N193" s="85"/>
      <c r="O193" s="85"/>
      <c r="P193" s="16"/>
      <c r="Q193" s="16"/>
      <c r="R193" s="16"/>
      <c r="S193" s="16"/>
      <c r="T193" s="16"/>
      <c r="U193" s="16"/>
      <c r="V193" s="16"/>
      <c r="W193" s="16"/>
      <c r="X193" s="16"/>
      <c r="Y193" s="18"/>
    </row>
    <row r="194" spans="1:25">
      <c r="A194" s="204" t="s">
        <v>6322</v>
      </c>
      <c r="B194" s="174"/>
      <c r="C194" s="175"/>
      <c r="D194" s="175"/>
      <c r="E194" s="175"/>
      <c r="F194" s="175"/>
      <c r="G194" s="175"/>
      <c r="H194" s="142"/>
      <c r="I194" s="142"/>
      <c r="J194" s="186"/>
      <c r="K194" s="119"/>
      <c r="L194" s="90"/>
      <c r="M194" s="85"/>
      <c r="N194" s="85"/>
      <c r="O194" s="85"/>
      <c r="P194" s="16"/>
      <c r="Q194" s="16"/>
      <c r="R194" s="16"/>
      <c r="S194" s="16"/>
      <c r="T194" s="16"/>
      <c r="U194" s="16"/>
      <c r="V194" s="16"/>
      <c r="W194" s="16"/>
      <c r="X194" s="16"/>
      <c r="Y194" s="18"/>
    </row>
    <row r="195" spans="1:25">
      <c r="A195" s="204" t="s">
        <v>7938</v>
      </c>
      <c r="B195" s="174"/>
      <c r="C195" s="175"/>
      <c r="D195" s="175"/>
      <c r="E195" s="175"/>
      <c r="F195" s="175"/>
      <c r="G195" s="175"/>
      <c r="H195" s="142"/>
      <c r="I195" s="142"/>
      <c r="J195" s="186"/>
      <c r="K195" s="119"/>
      <c r="L195" s="90"/>
      <c r="M195" s="85"/>
      <c r="N195" s="85"/>
      <c r="O195" s="85"/>
      <c r="P195" s="16"/>
      <c r="Q195" s="16"/>
      <c r="R195" s="16"/>
      <c r="S195" s="16"/>
      <c r="T195" s="16"/>
      <c r="U195" s="16"/>
      <c r="V195" s="16"/>
      <c r="W195" s="16"/>
      <c r="X195" s="16"/>
      <c r="Y195" s="18"/>
    </row>
    <row r="196" spans="1:25">
      <c r="A196" s="204" t="s">
        <v>7877</v>
      </c>
      <c r="B196" s="174"/>
      <c r="C196" s="175"/>
      <c r="D196" s="175"/>
      <c r="E196" s="175"/>
      <c r="F196" s="175"/>
      <c r="G196" s="175"/>
      <c r="H196" s="142"/>
      <c r="I196" s="142"/>
      <c r="J196" s="186"/>
      <c r="K196" s="119"/>
      <c r="L196" s="90"/>
      <c r="M196" s="85"/>
      <c r="N196" s="85"/>
      <c r="O196" s="85"/>
      <c r="P196" s="16"/>
      <c r="Q196" s="16"/>
      <c r="R196" s="16"/>
      <c r="S196" s="16"/>
      <c r="T196" s="16"/>
      <c r="U196" s="16"/>
      <c r="V196" s="16"/>
      <c r="W196" s="16"/>
      <c r="X196" s="16"/>
      <c r="Y196" s="18"/>
    </row>
    <row r="197" spans="1:25">
      <c r="A197" s="202" t="s">
        <v>1708</v>
      </c>
      <c r="B197" s="174"/>
      <c r="C197" s="175"/>
      <c r="D197" s="175"/>
      <c r="E197" s="175"/>
      <c r="F197" s="175"/>
      <c r="G197" s="175"/>
      <c r="H197" s="142"/>
      <c r="I197" s="142"/>
      <c r="J197" s="186"/>
      <c r="K197" s="119"/>
      <c r="L197" s="90"/>
      <c r="M197" s="85"/>
      <c r="N197" s="85"/>
      <c r="O197" s="85"/>
      <c r="P197" s="16"/>
      <c r="Q197" s="16"/>
      <c r="R197" s="16"/>
      <c r="S197" s="16"/>
      <c r="T197" s="16"/>
      <c r="U197" s="16"/>
      <c r="V197" s="16"/>
      <c r="W197" s="16"/>
      <c r="X197" s="16"/>
      <c r="Y197" s="18"/>
    </row>
    <row r="198" spans="1:25">
      <c r="A198" s="204" t="s">
        <v>143</v>
      </c>
      <c r="B198" s="174"/>
      <c r="C198" s="175"/>
      <c r="D198" s="175"/>
      <c r="E198" s="175"/>
      <c r="F198" s="175"/>
      <c r="G198" s="175"/>
      <c r="H198" s="142"/>
      <c r="I198" s="142"/>
      <c r="J198" s="186"/>
      <c r="K198" s="119"/>
      <c r="L198" s="90"/>
      <c r="M198" s="85"/>
      <c r="N198" s="85"/>
      <c r="O198" s="85"/>
      <c r="P198" s="16"/>
      <c r="Q198" s="16"/>
      <c r="R198" s="16"/>
      <c r="S198" s="16"/>
      <c r="T198" s="16"/>
      <c r="U198" s="16"/>
      <c r="V198" s="16"/>
      <c r="W198" s="16"/>
      <c r="X198" s="16"/>
      <c r="Y198" s="18"/>
    </row>
    <row r="199" spans="1:25">
      <c r="A199" s="204" t="s">
        <v>163</v>
      </c>
      <c r="B199" s="174"/>
      <c r="C199" s="175"/>
      <c r="D199" s="175"/>
      <c r="E199" s="175"/>
      <c r="F199" s="175"/>
      <c r="G199" s="175"/>
      <c r="H199" s="142"/>
      <c r="I199" s="142"/>
      <c r="J199" s="186"/>
      <c r="K199" s="119"/>
      <c r="L199" s="90"/>
      <c r="M199" s="85"/>
      <c r="N199" s="85"/>
      <c r="O199" s="85"/>
      <c r="P199" s="16"/>
      <c r="Q199" s="16"/>
      <c r="R199" s="16"/>
      <c r="S199" s="16"/>
      <c r="T199" s="16"/>
      <c r="U199" s="16"/>
      <c r="V199" s="16"/>
      <c r="W199" s="16"/>
      <c r="X199" s="16"/>
      <c r="Y199" s="18"/>
    </row>
    <row r="200" spans="1:25">
      <c r="A200" s="204" t="s">
        <v>8061</v>
      </c>
      <c r="B200" s="174"/>
      <c r="C200" s="175"/>
      <c r="D200" s="175"/>
      <c r="E200" s="175"/>
      <c r="F200" s="175"/>
      <c r="G200" s="175"/>
      <c r="H200" s="142"/>
      <c r="I200" s="142"/>
      <c r="J200" s="186"/>
      <c r="K200" s="119"/>
      <c r="L200" s="90"/>
      <c r="M200" s="85"/>
      <c r="N200" s="85"/>
      <c r="O200" s="85"/>
      <c r="P200" s="16"/>
      <c r="Q200" s="16"/>
      <c r="R200" s="16"/>
      <c r="S200" s="16"/>
      <c r="T200" s="16"/>
      <c r="U200" s="16"/>
      <c r="V200" s="16"/>
      <c r="W200" s="16"/>
      <c r="X200" s="16"/>
      <c r="Y200" s="18"/>
    </row>
    <row r="201" spans="1:25">
      <c r="A201" s="204" t="s">
        <v>8067</v>
      </c>
      <c r="B201" s="174"/>
      <c r="C201" s="175"/>
      <c r="D201" s="175"/>
      <c r="E201" s="175"/>
      <c r="F201" s="175"/>
      <c r="G201" s="175"/>
      <c r="H201" s="142"/>
      <c r="I201" s="142"/>
      <c r="J201" s="186"/>
      <c r="K201" s="119"/>
      <c r="L201" s="90"/>
      <c r="M201" s="85"/>
      <c r="N201" s="85"/>
      <c r="O201" s="85"/>
      <c r="P201" s="16"/>
      <c r="Q201" s="16"/>
      <c r="R201" s="16"/>
      <c r="S201" s="16"/>
      <c r="T201" s="16"/>
      <c r="U201" s="16"/>
      <c r="V201" s="16"/>
      <c r="W201" s="16"/>
      <c r="X201" s="16"/>
      <c r="Y201" s="18"/>
    </row>
    <row r="202" spans="1:25">
      <c r="A202" s="204" t="s">
        <v>8004</v>
      </c>
      <c r="B202" s="174"/>
      <c r="C202" s="175"/>
      <c r="D202" s="175"/>
      <c r="E202" s="175"/>
      <c r="F202" s="175"/>
      <c r="G202" s="175"/>
      <c r="H202" s="142"/>
      <c r="I202" s="142"/>
      <c r="J202" s="186"/>
      <c r="K202" s="119"/>
      <c r="L202" s="90"/>
      <c r="M202" s="85"/>
      <c r="N202" s="85"/>
      <c r="O202" s="85"/>
      <c r="P202" s="16"/>
      <c r="Q202" s="16"/>
      <c r="R202" s="16"/>
      <c r="S202" s="16"/>
      <c r="T202" s="16"/>
      <c r="U202" s="16"/>
      <c r="V202" s="16"/>
      <c r="W202" s="16"/>
      <c r="X202" s="16"/>
      <c r="Y202" s="18"/>
    </row>
    <row r="203" spans="1:25">
      <c r="A203" s="204" t="s">
        <v>7936</v>
      </c>
      <c r="B203" s="174"/>
      <c r="C203" s="175"/>
      <c r="D203" s="175"/>
      <c r="E203" s="175"/>
      <c r="F203" s="175"/>
      <c r="G203" s="175"/>
      <c r="H203" s="142"/>
      <c r="I203" s="142"/>
      <c r="J203" s="186"/>
      <c r="K203" s="119"/>
      <c r="L203" s="90"/>
      <c r="M203" s="85"/>
      <c r="N203" s="85"/>
      <c r="O203" s="85"/>
      <c r="P203" s="16"/>
      <c r="Q203" s="16"/>
      <c r="R203" s="16"/>
      <c r="S203" s="16"/>
      <c r="T203" s="16"/>
      <c r="U203" s="16"/>
      <c r="V203" s="16"/>
      <c r="W203" s="16"/>
      <c r="X203" s="16"/>
      <c r="Y203" s="18"/>
    </row>
    <row r="204" spans="1:25">
      <c r="A204" s="204" t="s">
        <v>199</v>
      </c>
      <c r="B204" s="174"/>
      <c r="C204" s="175"/>
      <c r="D204" s="175"/>
      <c r="E204" s="175"/>
      <c r="F204" s="175"/>
      <c r="G204" s="175"/>
      <c r="H204" s="142"/>
      <c r="I204" s="142"/>
      <c r="J204" s="186"/>
      <c r="K204" s="119"/>
      <c r="L204" s="90"/>
      <c r="M204" s="85"/>
      <c r="N204" s="85"/>
      <c r="O204" s="85"/>
      <c r="P204" s="16"/>
      <c r="Q204" s="16"/>
      <c r="R204" s="16"/>
      <c r="S204" s="16"/>
      <c r="T204" s="16"/>
      <c r="U204" s="16"/>
      <c r="V204" s="16"/>
      <c r="W204" s="16"/>
      <c r="X204" s="16"/>
      <c r="Y204" s="18"/>
    </row>
    <row r="205" spans="1:25">
      <c r="A205" s="204" t="s">
        <v>1877</v>
      </c>
      <c r="B205" s="174"/>
      <c r="C205" s="175"/>
      <c r="D205" s="175"/>
      <c r="E205" s="175"/>
      <c r="F205" s="175"/>
      <c r="G205" s="175"/>
      <c r="H205" s="142"/>
      <c r="I205" s="142"/>
      <c r="J205" s="186"/>
      <c r="K205" s="119"/>
      <c r="L205" s="90"/>
      <c r="M205" s="85"/>
      <c r="N205" s="85"/>
      <c r="O205" s="85"/>
      <c r="P205" s="16"/>
      <c r="Q205" s="16"/>
      <c r="R205" s="16"/>
      <c r="S205" s="16"/>
      <c r="T205" s="16"/>
      <c r="U205" s="16"/>
      <c r="V205" s="16"/>
      <c r="W205" s="16"/>
      <c r="X205" s="16"/>
      <c r="Y205" s="18"/>
    </row>
    <row r="206" spans="1:25">
      <c r="A206" s="204" t="s">
        <v>234</v>
      </c>
      <c r="B206" s="174"/>
      <c r="C206" s="175"/>
      <c r="D206" s="175"/>
      <c r="E206" s="175"/>
      <c r="F206" s="175"/>
      <c r="G206" s="175"/>
      <c r="H206" s="142"/>
      <c r="I206" s="142"/>
      <c r="J206" s="186"/>
      <c r="K206" s="119"/>
      <c r="L206" s="90"/>
      <c r="M206" s="85"/>
      <c r="N206" s="85"/>
      <c r="O206" s="85"/>
      <c r="P206" s="16"/>
      <c r="Q206" s="16"/>
      <c r="R206" s="16"/>
      <c r="S206" s="16"/>
      <c r="T206" s="16"/>
      <c r="U206" s="16"/>
      <c r="V206" s="16"/>
      <c r="W206" s="16"/>
      <c r="X206" s="16"/>
      <c r="Y206" s="18"/>
    </row>
    <row r="207" spans="1:25">
      <c r="A207" s="204" t="s">
        <v>200</v>
      </c>
      <c r="B207" s="174"/>
      <c r="C207" s="175"/>
      <c r="D207" s="175"/>
      <c r="E207" s="175"/>
      <c r="F207" s="175"/>
      <c r="G207" s="175"/>
      <c r="H207" s="142"/>
      <c r="I207" s="142"/>
      <c r="J207" s="186"/>
      <c r="K207" s="119"/>
      <c r="L207" s="90"/>
      <c r="M207" s="85"/>
      <c r="N207" s="85"/>
      <c r="O207" s="85"/>
      <c r="P207" s="16"/>
      <c r="Q207" s="16"/>
      <c r="R207" s="16"/>
      <c r="S207" s="16"/>
      <c r="T207" s="16"/>
      <c r="U207" s="16"/>
      <c r="V207" s="16"/>
      <c r="W207" s="16"/>
      <c r="X207" s="16"/>
      <c r="Y207" s="18"/>
    </row>
    <row r="208" spans="1:25">
      <c r="A208" s="204" t="s">
        <v>7960</v>
      </c>
      <c r="B208" s="174"/>
      <c r="C208" s="175"/>
      <c r="D208" s="175"/>
      <c r="E208" s="175"/>
      <c r="F208" s="175"/>
      <c r="G208" s="175"/>
      <c r="H208" s="142"/>
      <c r="I208" s="142"/>
      <c r="J208" s="186"/>
      <c r="K208" s="119"/>
      <c r="L208" s="90"/>
      <c r="M208" s="85"/>
      <c r="N208" s="85"/>
      <c r="O208" s="85"/>
      <c r="P208" s="16"/>
      <c r="Q208" s="16"/>
      <c r="R208" s="16"/>
      <c r="S208" s="16"/>
      <c r="T208" s="16"/>
      <c r="U208" s="16"/>
      <c r="V208" s="16"/>
      <c r="W208" s="16"/>
      <c r="X208" s="16"/>
      <c r="Y208" s="18"/>
    </row>
    <row r="209" spans="1:25">
      <c r="A209" s="204" t="s">
        <v>7749</v>
      </c>
      <c r="B209" s="174"/>
      <c r="C209" s="175"/>
      <c r="D209" s="175"/>
      <c r="E209" s="175"/>
      <c r="F209" s="175"/>
      <c r="G209" s="175"/>
      <c r="H209" s="142"/>
      <c r="I209" s="142"/>
      <c r="J209" s="186"/>
      <c r="K209" s="119"/>
      <c r="L209" s="90"/>
      <c r="M209" s="85"/>
      <c r="N209" s="85"/>
      <c r="O209" s="85"/>
      <c r="P209" s="16"/>
      <c r="Q209" s="16"/>
      <c r="R209" s="16"/>
      <c r="S209" s="16"/>
      <c r="T209" s="16"/>
      <c r="U209" s="16"/>
      <c r="V209" s="16"/>
      <c r="W209" s="16"/>
      <c r="X209" s="16"/>
      <c r="Y209" s="18"/>
    </row>
    <row r="210" spans="1:25">
      <c r="A210" s="204" t="s">
        <v>7931</v>
      </c>
      <c r="B210" s="174"/>
      <c r="C210" s="175"/>
      <c r="D210" s="175"/>
      <c r="E210" s="175"/>
      <c r="F210" s="175"/>
      <c r="G210" s="175"/>
      <c r="H210" s="142"/>
      <c r="I210" s="142"/>
      <c r="J210" s="186"/>
      <c r="K210" s="119"/>
      <c r="L210" s="90"/>
      <c r="M210" s="85"/>
      <c r="N210" s="85"/>
      <c r="O210" s="85"/>
      <c r="P210" s="16"/>
      <c r="Q210" s="16"/>
      <c r="R210" s="16"/>
      <c r="S210" s="16"/>
      <c r="T210" s="16"/>
      <c r="U210" s="16"/>
      <c r="V210" s="16"/>
      <c r="W210" s="16"/>
      <c r="X210" s="16"/>
      <c r="Y210" s="18"/>
    </row>
    <row r="211" spans="1:25">
      <c r="A211" s="204" t="s">
        <v>8005</v>
      </c>
      <c r="B211" s="174"/>
      <c r="C211" s="175"/>
      <c r="D211" s="175"/>
      <c r="E211" s="175"/>
      <c r="F211" s="175"/>
      <c r="G211" s="175"/>
      <c r="H211" s="142"/>
      <c r="I211" s="142"/>
      <c r="J211" s="186"/>
      <c r="K211" s="119"/>
      <c r="L211" s="90"/>
      <c r="M211" s="85"/>
      <c r="N211" s="85"/>
      <c r="O211" s="85"/>
      <c r="P211" s="16"/>
      <c r="Q211" s="16"/>
      <c r="R211" s="16"/>
      <c r="S211" s="16"/>
      <c r="T211" s="16"/>
      <c r="U211" s="16"/>
      <c r="V211" s="16"/>
      <c r="W211" s="16"/>
      <c r="X211" s="16"/>
      <c r="Y211" s="18"/>
    </row>
    <row r="212" spans="1:25">
      <c r="A212" s="204" t="s">
        <v>8157</v>
      </c>
      <c r="B212" s="174"/>
      <c r="C212" s="175"/>
      <c r="D212" s="175"/>
      <c r="E212" s="175"/>
      <c r="F212" s="175"/>
      <c r="G212" s="175"/>
      <c r="H212" s="142"/>
      <c r="I212" s="142"/>
      <c r="J212" s="186"/>
      <c r="K212" s="119"/>
      <c r="L212" s="90"/>
      <c r="M212" s="85"/>
      <c r="N212" s="85"/>
      <c r="O212" s="85"/>
      <c r="P212" s="16"/>
      <c r="Q212" s="16"/>
      <c r="R212" s="16"/>
      <c r="S212" s="16"/>
      <c r="T212" s="16"/>
      <c r="U212" s="16"/>
      <c r="V212" s="16"/>
      <c r="W212" s="16"/>
      <c r="X212" s="16"/>
      <c r="Y212" s="18"/>
    </row>
    <row r="213" spans="1:25">
      <c r="A213" s="204" t="s">
        <v>1783</v>
      </c>
      <c r="B213" s="174"/>
      <c r="C213" s="175"/>
      <c r="D213" s="175"/>
      <c r="E213" s="175"/>
      <c r="F213" s="175"/>
      <c r="G213" s="175"/>
      <c r="H213" s="142"/>
      <c r="I213" s="142"/>
      <c r="J213" s="186"/>
      <c r="K213" s="119"/>
      <c r="L213" s="90"/>
      <c r="M213" s="85"/>
      <c r="N213" s="85"/>
      <c r="O213" s="85"/>
      <c r="P213" s="16"/>
      <c r="Q213" s="16"/>
      <c r="R213" s="16"/>
      <c r="S213" s="16"/>
      <c r="T213" s="16"/>
      <c r="U213" s="16"/>
      <c r="V213" s="16"/>
      <c r="W213" s="16"/>
      <c r="X213" s="16"/>
      <c r="Y213" s="18"/>
    </row>
    <row r="214" spans="1:25">
      <c r="A214" s="204" t="s">
        <v>1602</v>
      </c>
      <c r="B214" s="174"/>
      <c r="C214" s="175"/>
      <c r="D214" s="175"/>
      <c r="E214" s="175"/>
      <c r="F214" s="175"/>
      <c r="G214" s="175"/>
      <c r="H214" s="142"/>
      <c r="I214" s="142"/>
      <c r="J214" s="186"/>
      <c r="K214" s="119"/>
      <c r="L214" s="90"/>
      <c r="M214" s="85"/>
      <c r="N214" s="85"/>
      <c r="O214" s="85"/>
      <c r="P214" s="16"/>
      <c r="Q214" s="16"/>
      <c r="R214" s="16"/>
      <c r="S214" s="16"/>
      <c r="T214" s="16"/>
      <c r="U214" s="16"/>
      <c r="V214" s="16"/>
      <c r="W214" s="16"/>
      <c r="X214" s="16"/>
      <c r="Y214" s="18"/>
    </row>
    <row r="215" spans="1:25">
      <c r="A215" s="204" t="s">
        <v>251</v>
      </c>
      <c r="B215" s="174"/>
      <c r="C215" s="175"/>
      <c r="D215" s="175"/>
      <c r="E215" s="175"/>
      <c r="F215" s="175"/>
      <c r="G215" s="175"/>
      <c r="H215" s="142"/>
      <c r="I215" s="142"/>
      <c r="J215" s="186"/>
      <c r="K215" s="119"/>
      <c r="L215" s="90"/>
      <c r="M215" s="85"/>
      <c r="N215" s="85"/>
      <c r="O215" s="85"/>
      <c r="P215" s="16"/>
      <c r="Q215" s="16"/>
      <c r="R215" s="16"/>
      <c r="S215" s="16"/>
      <c r="T215" s="16"/>
      <c r="U215" s="16"/>
      <c r="V215" s="16"/>
      <c r="W215" s="16"/>
      <c r="X215" s="16"/>
      <c r="Y215" s="18"/>
    </row>
    <row r="216" spans="1:25">
      <c r="A216" s="204" t="s">
        <v>1857</v>
      </c>
      <c r="B216" s="174"/>
      <c r="C216" s="175"/>
      <c r="D216" s="175"/>
      <c r="E216" s="175"/>
      <c r="F216" s="175"/>
      <c r="G216" s="175"/>
      <c r="H216" s="142"/>
      <c r="I216" s="142"/>
      <c r="J216" s="186"/>
      <c r="K216" s="119"/>
      <c r="L216" s="90"/>
      <c r="M216" s="85"/>
      <c r="N216" s="85"/>
      <c r="O216" s="85"/>
      <c r="P216" s="16"/>
      <c r="Q216" s="16"/>
      <c r="R216" s="16"/>
      <c r="S216" s="16"/>
      <c r="T216" s="16"/>
      <c r="U216" s="16"/>
      <c r="V216" s="16"/>
      <c r="W216" s="16"/>
      <c r="X216" s="16"/>
      <c r="Y216" s="18"/>
    </row>
    <row r="217" spans="1:25">
      <c r="A217" s="204" t="s">
        <v>7891</v>
      </c>
      <c r="B217" s="174"/>
      <c r="C217" s="175"/>
      <c r="D217" s="175"/>
      <c r="E217" s="175"/>
      <c r="F217" s="175"/>
      <c r="G217" s="175"/>
      <c r="H217" s="142"/>
      <c r="I217" s="142"/>
      <c r="J217" s="186"/>
      <c r="K217" s="119"/>
      <c r="L217" s="90"/>
      <c r="M217" s="85"/>
      <c r="N217" s="85"/>
      <c r="O217" s="85"/>
      <c r="P217" s="16"/>
      <c r="Q217" s="16"/>
      <c r="R217" s="16"/>
      <c r="S217" s="16"/>
      <c r="T217" s="16"/>
      <c r="U217" s="16"/>
      <c r="V217" s="16"/>
      <c r="W217" s="16"/>
      <c r="X217" s="16"/>
      <c r="Y217" s="18"/>
    </row>
    <row r="218" spans="1:25">
      <c r="A218" s="204" t="s">
        <v>1834</v>
      </c>
      <c r="B218" s="174"/>
      <c r="C218" s="175"/>
      <c r="D218" s="175"/>
      <c r="E218" s="175"/>
      <c r="F218" s="175"/>
      <c r="G218" s="175"/>
      <c r="H218" s="142"/>
      <c r="I218" s="142"/>
      <c r="J218" s="186"/>
      <c r="K218" s="119"/>
      <c r="L218" s="90"/>
      <c r="M218" s="85"/>
      <c r="N218" s="85"/>
      <c r="O218" s="85"/>
      <c r="P218" s="16"/>
      <c r="Q218" s="16"/>
      <c r="R218" s="16"/>
      <c r="S218" s="16"/>
      <c r="T218" s="16"/>
      <c r="U218" s="16"/>
      <c r="V218" s="16"/>
      <c r="W218" s="16"/>
      <c r="X218" s="16"/>
      <c r="Y218" s="18"/>
    </row>
    <row r="219" spans="1:25">
      <c r="A219" s="204" t="s">
        <v>1958</v>
      </c>
      <c r="B219" s="174"/>
      <c r="C219" s="175"/>
      <c r="D219" s="175"/>
      <c r="E219" s="175"/>
      <c r="F219" s="175"/>
      <c r="G219" s="175"/>
      <c r="H219" s="142"/>
      <c r="I219" s="142"/>
      <c r="J219" s="186"/>
      <c r="K219" s="119"/>
      <c r="L219" s="90"/>
      <c r="M219" s="85"/>
      <c r="N219" s="85"/>
      <c r="O219" s="85"/>
      <c r="P219" s="16"/>
      <c r="Q219" s="16"/>
      <c r="R219" s="16"/>
      <c r="S219" s="16"/>
      <c r="T219" s="16"/>
      <c r="U219" s="16"/>
      <c r="V219" s="16"/>
      <c r="W219" s="16"/>
      <c r="X219" s="16"/>
      <c r="Y219" s="18"/>
    </row>
    <row r="220" spans="1:25">
      <c r="A220" s="204" t="s">
        <v>8211</v>
      </c>
      <c r="B220" s="174"/>
      <c r="C220" s="175"/>
      <c r="D220" s="175"/>
      <c r="E220" s="175"/>
      <c r="F220" s="175"/>
      <c r="G220" s="175"/>
      <c r="H220" s="142"/>
      <c r="I220" s="142"/>
      <c r="J220" s="186"/>
      <c r="K220" s="119"/>
      <c r="L220" s="90"/>
      <c r="M220" s="85"/>
      <c r="N220" s="85"/>
      <c r="O220" s="85"/>
      <c r="P220" s="16"/>
      <c r="Q220" s="16"/>
      <c r="R220" s="16"/>
      <c r="S220" s="16"/>
      <c r="T220" s="16"/>
      <c r="U220" s="16"/>
      <c r="V220" s="16"/>
      <c r="W220" s="16"/>
      <c r="X220" s="16"/>
      <c r="Y220" s="18"/>
    </row>
    <row r="221" spans="1:25">
      <c r="A221" s="204" t="s">
        <v>7645</v>
      </c>
      <c r="B221" s="174"/>
      <c r="C221" s="175"/>
      <c r="D221" s="175"/>
      <c r="E221" s="175"/>
      <c r="F221" s="175"/>
      <c r="G221" s="175"/>
      <c r="H221" s="142"/>
      <c r="I221" s="142"/>
      <c r="J221" s="186"/>
      <c r="K221" s="119"/>
      <c r="L221" s="90"/>
      <c r="M221" s="85"/>
      <c r="N221" s="85"/>
      <c r="O221" s="85"/>
      <c r="P221" s="16"/>
      <c r="Q221" s="16"/>
      <c r="R221" s="16"/>
      <c r="S221" s="16"/>
      <c r="T221" s="16"/>
      <c r="U221" s="16"/>
      <c r="V221" s="16"/>
      <c r="W221" s="16"/>
      <c r="X221" s="16"/>
      <c r="Y221" s="18"/>
    </row>
    <row r="222" spans="1:25">
      <c r="A222" s="204" t="s">
        <v>8063</v>
      </c>
      <c r="B222" s="174"/>
      <c r="C222" s="175"/>
      <c r="D222" s="175"/>
      <c r="E222" s="175"/>
      <c r="F222" s="175"/>
      <c r="G222" s="175"/>
      <c r="H222" s="142"/>
      <c r="I222" s="142"/>
      <c r="J222" s="186"/>
      <c r="K222" s="119"/>
      <c r="L222" s="90"/>
      <c r="M222" s="85"/>
      <c r="N222" s="85"/>
      <c r="O222" s="85"/>
      <c r="P222" s="16"/>
      <c r="Q222" s="16"/>
      <c r="R222" s="16"/>
      <c r="S222" s="16"/>
      <c r="T222" s="16"/>
      <c r="U222" s="16"/>
      <c r="V222" s="16"/>
      <c r="W222" s="16"/>
      <c r="X222" s="16"/>
      <c r="Y222" s="18"/>
    </row>
    <row r="223" spans="1:25">
      <c r="A223" s="204" t="s">
        <v>1742</v>
      </c>
      <c r="B223" s="174"/>
      <c r="C223" s="175"/>
      <c r="D223" s="175"/>
      <c r="E223" s="175"/>
      <c r="F223" s="175"/>
      <c r="G223" s="175"/>
      <c r="H223" s="142"/>
      <c r="I223" s="142"/>
      <c r="J223" s="186"/>
      <c r="K223" s="119"/>
      <c r="L223" s="90"/>
      <c r="M223" s="85"/>
      <c r="N223" s="85"/>
      <c r="O223" s="85"/>
      <c r="P223" s="16"/>
      <c r="Q223" s="16"/>
      <c r="R223" s="16"/>
      <c r="S223" s="16"/>
      <c r="T223" s="16"/>
      <c r="U223" s="16"/>
      <c r="V223" s="16"/>
      <c r="W223" s="16"/>
      <c r="X223" s="16"/>
      <c r="Y223" s="18"/>
    </row>
    <row r="224" spans="1:25">
      <c r="A224" s="204" t="s">
        <v>1846</v>
      </c>
      <c r="B224" s="174"/>
      <c r="C224" s="175"/>
      <c r="D224" s="175"/>
      <c r="E224" s="175"/>
      <c r="F224" s="175"/>
      <c r="G224" s="175"/>
      <c r="H224" s="142"/>
      <c r="I224" s="142"/>
      <c r="J224" s="186"/>
      <c r="K224" s="119"/>
      <c r="L224" s="90"/>
      <c r="M224" s="85"/>
      <c r="N224" s="85"/>
      <c r="O224" s="85"/>
      <c r="P224" s="16"/>
      <c r="Q224" s="16"/>
      <c r="R224" s="16"/>
      <c r="S224" s="16"/>
      <c r="T224" s="16"/>
      <c r="U224" s="16"/>
      <c r="V224" s="16"/>
      <c r="W224" s="16"/>
      <c r="X224" s="16"/>
      <c r="Y224" s="18"/>
    </row>
    <row r="225" spans="1:25">
      <c r="A225" s="204" t="s">
        <v>1706</v>
      </c>
      <c r="B225" s="174"/>
      <c r="C225" s="175"/>
      <c r="D225" s="175"/>
      <c r="E225" s="175"/>
      <c r="F225" s="175"/>
      <c r="G225" s="175"/>
      <c r="H225" s="142"/>
      <c r="I225" s="142"/>
      <c r="J225" s="186"/>
      <c r="K225" s="119"/>
      <c r="L225" s="90"/>
      <c r="M225" s="85"/>
      <c r="N225" s="85"/>
      <c r="O225" s="85"/>
      <c r="P225" s="16"/>
      <c r="Q225" s="16"/>
      <c r="R225" s="16"/>
      <c r="S225" s="16"/>
      <c r="T225" s="16"/>
      <c r="U225" s="16"/>
      <c r="V225" s="16"/>
      <c r="W225" s="16"/>
      <c r="X225" s="16"/>
      <c r="Y225" s="18"/>
    </row>
    <row r="226" spans="1:25">
      <c r="A226" s="204" t="s">
        <v>1496</v>
      </c>
      <c r="B226" s="174"/>
      <c r="C226" s="175"/>
      <c r="D226" s="175"/>
      <c r="E226" s="175"/>
      <c r="F226" s="175"/>
      <c r="G226" s="175"/>
      <c r="H226" s="142"/>
      <c r="I226" s="142"/>
      <c r="J226" s="186"/>
      <c r="K226" s="119"/>
      <c r="L226" s="90"/>
      <c r="M226" s="85"/>
      <c r="N226" s="85"/>
      <c r="O226" s="85"/>
      <c r="P226" s="16"/>
      <c r="Q226" s="16"/>
      <c r="R226" s="16"/>
      <c r="S226" s="16"/>
      <c r="T226" s="16"/>
      <c r="U226" s="16"/>
      <c r="V226" s="16"/>
      <c r="W226" s="16"/>
      <c r="X226" s="16"/>
      <c r="Y226" s="18"/>
    </row>
    <row r="227" spans="1:25">
      <c r="A227" s="201" t="s">
        <v>7948</v>
      </c>
      <c r="B227" s="174"/>
      <c r="C227" s="175"/>
      <c r="D227" s="175"/>
      <c r="E227" s="175"/>
      <c r="F227" s="175"/>
      <c r="G227" s="175"/>
      <c r="H227" s="142"/>
      <c r="I227" s="142"/>
      <c r="J227" s="186"/>
      <c r="K227" s="119"/>
      <c r="L227" s="90"/>
      <c r="M227" s="85"/>
      <c r="N227" s="85"/>
      <c r="O227" s="85"/>
      <c r="P227" s="16"/>
      <c r="Q227" s="16"/>
      <c r="R227" s="16"/>
      <c r="S227" s="16"/>
      <c r="T227" s="16"/>
      <c r="U227" s="16"/>
      <c r="V227" s="16"/>
      <c r="W227" s="16"/>
      <c r="X227" s="16"/>
      <c r="Y227" s="18"/>
    </row>
    <row r="228" spans="1:25">
      <c r="A228" s="201" t="s">
        <v>7949</v>
      </c>
      <c r="B228" s="174"/>
      <c r="C228" s="175"/>
      <c r="D228" s="175"/>
      <c r="E228" s="175"/>
      <c r="F228" s="175"/>
      <c r="G228" s="175"/>
      <c r="H228" s="142"/>
      <c r="I228" s="142"/>
      <c r="J228" s="186"/>
      <c r="K228" s="119"/>
      <c r="L228" s="90"/>
      <c r="M228" s="85"/>
      <c r="N228" s="85"/>
      <c r="O228" s="85"/>
      <c r="P228" s="16"/>
      <c r="Q228" s="16"/>
      <c r="R228" s="16"/>
      <c r="S228" s="16"/>
      <c r="T228" s="16"/>
      <c r="U228" s="16"/>
      <c r="V228" s="16"/>
      <c r="W228" s="16"/>
      <c r="X228" s="16"/>
      <c r="Y228" s="18"/>
    </row>
    <row r="229" spans="1:25">
      <c r="A229" s="201" t="s">
        <v>7911</v>
      </c>
      <c r="B229" s="174"/>
      <c r="C229" s="175"/>
      <c r="D229" s="175"/>
      <c r="E229" s="175"/>
      <c r="F229" s="175"/>
      <c r="G229" s="175"/>
      <c r="H229" s="142"/>
      <c r="I229" s="142"/>
      <c r="J229" s="186"/>
      <c r="K229" s="119"/>
      <c r="L229" s="90"/>
      <c r="M229" s="85"/>
      <c r="N229" s="85"/>
      <c r="O229" s="85"/>
      <c r="P229" s="16"/>
      <c r="Q229" s="16"/>
      <c r="R229" s="16"/>
      <c r="S229" s="16"/>
      <c r="T229" s="16"/>
      <c r="U229" s="16"/>
      <c r="V229" s="16"/>
      <c r="W229" s="16"/>
      <c r="X229" s="16"/>
      <c r="Y229" s="18"/>
    </row>
    <row r="230" spans="1:25">
      <c r="A230" s="201" t="s">
        <v>7795</v>
      </c>
      <c r="B230" s="174"/>
      <c r="C230" s="175"/>
      <c r="D230" s="175"/>
      <c r="E230" s="175"/>
      <c r="F230" s="175"/>
      <c r="G230" s="175"/>
      <c r="H230" s="142"/>
      <c r="I230" s="142"/>
      <c r="J230" s="186"/>
      <c r="K230" s="119"/>
      <c r="L230" s="90"/>
      <c r="M230" s="85"/>
      <c r="N230" s="85"/>
      <c r="O230" s="85"/>
      <c r="P230" s="16"/>
      <c r="Q230" s="16"/>
      <c r="R230" s="16"/>
      <c r="S230" s="16"/>
      <c r="T230" s="16"/>
      <c r="U230" s="16"/>
      <c r="V230" s="16"/>
      <c r="W230" s="16"/>
      <c r="X230" s="16"/>
      <c r="Y230" s="18"/>
    </row>
    <row r="231" spans="1:25">
      <c r="A231" s="201" t="s">
        <v>7912</v>
      </c>
      <c r="B231" s="174"/>
      <c r="C231" s="175"/>
      <c r="D231" s="175"/>
      <c r="E231" s="175"/>
      <c r="F231" s="175"/>
      <c r="G231" s="175"/>
      <c r="H231" s="142"/>
      <c r="I231" s="142"/>
      <c r="J231" s="186"/>
      <c r="K231" s="119"/>
      <c r="L231" s="90"/>
      <c r="M231" s="85"/>
      <c r="N231" s="85"/>
      <c r="O231" s="85"/>
      <c r="P231" s="16"/>
      <c r="Q231" s="16"/>
      <c r="R231" s="16"/>
      <c r="S231" s="16"/>
      <c r="T231" s="16"/>
      <c r="U231" s="16"/>
      <c r="V231" s="16"/>
      <c r="W231" s="16"/>
      <c r="X231" s="16"/>
      <c r="Y231" s="18"/>
    </row>
    <row r="232" spans="1:25">
      <c r="A232" s="201" t="s">
        <v>7830</v>
      </c>
      <c r="B232" s="174"/>
      <c r="C232" s="175"/>
      <c r="D232" s="175"/>
      <c r="E232" s="175"/>
      <c r="F232" s="175"/>
      <c r="G232" s="175"/>
      <c r="H232" s="142"/>
      <c r="I232" s="142"/>
      <c r="J232" s="186"/>
      <c r="K232" s="119"/>
      <c r="L232" s="90"/>
      <c r="M232" s="85"/>
      <c r="N232" s="85"/>
      <c r="O232" s="85"/>
      <c r="P232" s="16"/>
      <c r="Q232" s="16"/>
      <c r="R232" s="16"/>
      <c r="S232" s="16"/>
      <c r="T232" s="16"/>
      <c r="U232" s="16"/>
      <c r="V232" s="16"/>
      <c r="W232" s="16"/>
      <c r="X232" s="16"/>
      <c r="Y232" s="18"/>
    </row>
    <row r="233" spans="1:25">
      <c r="A233" s="201" t="s">
        <v>7797</v>
      </c>
      <c r="B233" s="174"/>
      <c r="C233" s="175"/>
      <c r="D233" s="175"/>
      <c r="E233" s="175"/>
      <c r="F233" s="175"/>
      <c r="G233" s="175"/>
      <c r="H233" s="142"/>
      <c r="I233" s="142"/>
      <c r="J233" s="186"/>
      <c r="K233" s="119"/>
      <c r="L233" s="90"/>
      <c r="M233" s="85"/>
      <c r="N233" s="85"/>
      <c r="O233" s="85"/>
      <c r="P233" s="16"/>
      <c r="Q233" s="16"/>
      <c r="R233" s="16"/>
      <c r="S233" s="16"/>
      <c r="T233" s="16"/>
      <c r="U233" s="16"/>
      <c r="V233" s="16"/>
      <c r="W233" s="16"/>
      <c r="X233" s="16"/>
      <c r="Y233" s="18"/>
    </row>
    <row r="234" spans="1:25">
      <c r="A234" s="204" t="s">
        <v>1847</v>
      </c>
      <c r="B234" s="174"/>
      <c r="C234" s="175"/>
      <c r="D234" s="175"/>
      <c r="E234" s="175"/>
      <c r="F234" s="175"/>
      <c r="G234" s="175"/>
      <c r="H234" s="142"/>
      <c r="I234" s="142"/>
      <c r="J234" s="186"/>
      <c r="K234" s="119"/>
      <c r="L234" s="90"/>
      <c r="M234" s="85"/>
      <c r="N234" s="85"/>
      <c r="O234" s="85"/>
      <c r="P234" s="16"/>
      <c r="Q234" s="16"/>
      <c r="R234" s="16"/>
      <c r="S234" s="16"/>
      <c r="T234" s="16"/>
      <c r="U234" s="16"/>
      <c r="V234" s="16"/>
      <c r="W234" s="16"/>
      <c r="X234" s="16"/>
      <c r="Y234" s="18"/>
    </row>
    <row r="235" spans="1:25">
      <c r="A235" s="204" t="s">
        <v>1812</v>
      </c>
      <c r="B235" s="174"/>
      <c r="C235" s="175"/>
      <c r="D235" s="175"/>
      <c r="E235" s="175"/>
      <c r="F235" s="175"/>
      <c r="G235" s="175"/>
      <c r="H235" s="142"/>
      <c r="I235" s="142"/>
      <c r="J235" s="186"/>
      <c r="K235" s="119"/>
      <c r="L235" s="90"/>
      <c r="M235" s="85"/>
      <c r="N235" s="85"/>
      <c r="O235" s="85"/>
      <c r="P235" s="16"/>
      <c r="Q235" s="16"/>
      <c r="R235" s="16"/>
      <c r="S235" s="16"/>
      <c r="T235" s="16"/>
      <c r="U235" s="16"/>
      <c r="V235" s="16"/>
      <c r="W235" s="16"/>
      <c r="X235" s="16"/>
      <c r="Y235" s="18"/>
    </row>
    <row r="236" spans="1:25">
      <c r="A236" s="204" t="s">
        <v>1826</v>
      </c>
      <c r="B236" s="174"/>
      <c r="C236" s="175"/>
      <c r="D236" s="175"/>
      <c r="E236" s="175"/>
      <c r="F236" s="175"/>
      <c r="G236" s="175"/>
      <c r="H236" s="142"/>
      <c r="I236" s="142"/>
      <c r="J236" s="186"/>
      <c r="K236" s="119"/>
      <c r="L236" s="90"/>
      <c r="M236" s="85"/>
      <c r="N236" s="85"/>
      <c r="O236" s="85"/>
      <c r="P236" s="16"/>
      <c r="Q236" s="16"/>
      <c r="R236" s="16"/>
      <c r="S236" s="16"/>
      <c r="T236" s="16"/>
      <c r="U236" s="16"/>
      <c r="V236" s="16"/>
      <c r="W236" s="16"/>
      <c r="X236" s="16"/>
      <c r="Y236" s="18"/>
    </row>
    <row r="237" spans="1:25">
      <c r="A237" s="204" t="s">
        <v>1807</v>
      </c>
      <c r="B237" s="174"/>
      <c r="C237" s="175"/>
      <c r="D237" s="175"/>
      <c r="E237" s="175"/>
      <c r="F237" s="175"/>
      <c r="G237" s="175"/>
      <c r="H237" s="142"/>
      <c r="I237" s="142"/>
      <c r="J237" s="186"/>
      <c r="K237" s="119"/>
      <c r="L237" s="90"/>
      <c r="M237" s="85"/>
      <c r="N237" s="85"/>
      <c r="O237" s="85"/>
      <c r="P237" s="16"/>
      <c r="Q237" s="16"/>
      <c r="R237" s="16"/>
      <c r="S237" s="16"/>
      <c r="T237" s="16"/>
      <c r="U237" s="16"/>
      <c r="V237" s="16"/>
      <c r="W237" s="16"/>
      <c r="X237" s="16"/>
      <c r="Y237" s="18"/>
    </row>
    <row r="238" spans="1:25">
      <c r="A238" s="204" t="s">
        <v>1829</v>
      </c>
      <c r="B238" s="174"/>
      <c r="C238" s="175"/>
      <c r="D238" s="175"/>
      <c r="E238" s="175"/>
      <c r="F238" s="175"/>
      <c r="G238" s="175"/>
      <c r="H238" s="142"/>
      <c r="I238" s="142"/>
      <c r="J238" s="186"/>
      <c r="K238" s="119"/>
      <c r="L238" s="90"/>
      <c r="M238" s="85"/>
      <c r="N238" s="85"/>
      <c r="O238" s="85"/>
      <c r="P238" s="16"/>
      <c r="Q238" s="16"/>
      <c r="R238" s="16"/>
      <c r="S238" s="16"/>
      <c r="T238" s="16"/>
      <c r="U238" s="16"/>
      <c r="V238" s="16"/>
      <c r="W238" s="16"/>
      <c r="X238" s="16"/>
      <c r="Y238" s="18"/>
    </row>
    <row r="239" spans="1:25">
      <c r="A239" s="204" t="s">
        <v>1879</v>
      </c>
      <c r="B239" s="174"/>
      <c r="C239" s="175"/>
      <c r="D239" s="175"/>
      <c r="E239" s="175"/>
      <c r="F239" s="175"/>
      <c r="G239" s="175"/>
      <c r="H239" s="142"/>
      <c r="I239" s="142"/>
      <c r="J239" s="186"/>
      <c r="K239" s="119"/>
      <c r="L239" s="90"/>
      <c r="M239" s="85"/>
      <c r="N239" s="85"/>
      <c r="O239" s="85"/>
      <c r="P239" s="16"/>
      <c r="Q239" s="16"/>
      <c r="R239" s="16"/>
      <c r="S239" s="16"/>
      <c r="T239" s="16"/>
      <c r="U239" s="16"/>
      <c r="V239" s="16"/>
      <c r="W239" s="16"/>
      <c r="X239" s="16"/>
      <c r="Y239" s="18"/>
    </row>
    <row r="240" spans="1:25">
      <c r="A240" s="204" t="s">
        <v>1811</v>
      </c>
      <c r="B240" s="174"/>
      <c r="C240" s="175"/>
      <c r="D240" s="175"/>
      <c r="E240" s="175"/>
      <c r="F240" s="175"/>
      <c r="G240" s="175"/>
      <c r="H240" s="142"/>
      <c r="I240" s="142"/>
      <c r="J240" s="186"/>
      <c r="K240" s="119"/>
      <c r="L240" s="90"/>
      <c r="M240" s="85"/>
      <c r="N240" s="85"/>
      <c r="O240" s="85"/>
      <c r="P240" s="16"/>
      <c r="Q240" s="16"/>
      <c r="R240" s="16"/>
      <c r="S240" s="16"/>
      <c r="T240" s="16"/>
      <c r="U240" s="16"/>
      <c r="V240" s="16"/>
      <c r="W240" s="16"/>
      <c r="X240" s="16"/>
      <c r="Y240" s="18"/>
    </row>
    <row r="241" spans="1:25">
      <c r="A241" s="204" t="s">
        <v>1881</v>
      </c>
      <c r="B241" s="174"/>
      <c r="C241" s="175"/>
      <c r="D241" s="175"/>
      <c r="E241" s="175"/>
      <c r="F241" s="175"/>
      <c r="G241" s="175"/>
      <c r="H241" s="142"/>
      <c r="I241" s="142"/>
      <c r="J241" s="186"/>
      <c r="K241" s="119"/>
      <c r="L241" s="90"/>
      <c r="M241" s="85"/>
      <c r="N241" s="85"/>
      <c r="O241" s="85"/>
      <c r="P241" s="16"/>
      <c r="Q241" s="16"/>
      <c r="R241" s="16"/>
      <c r="S241" s="16"/>
      <c r="T241" s="16"/>
      <c r="U241" s="16"/>
      <c r="V241" s="16"/>
      <c r="W241" s="16"/>
      <c r="X241" s="16"/>
      <c r="Y241" s="18"/>
    </row>
    <row r="242" spans="1:25">
      <c r="A242" s="204" t="s">
        <v>1889</v>
      </c>
      <c r="B242" s="174"/>
      <c r="C242" s="175"/>
      <c r="D242" s="175"/>
      <c r="E242" s="175"/>
      <c r="F242" s="175"/>
      <c r="G242" s="175"/>
      <c r="H242" s="142"/>
      <c r="I242" s="142"/>
      <c r="J242" s="186"/>
      <c r="K242" s="119"/>
      <c r="L242" s="90"/>
      <c r="M242" s="85"/>
      <c r="N242" s="85"/>
      <c r="O242" s="85"/>
      <c r="P242" s="16"/>
      <c r="Q242" s="16"/>
      <c r="R242" s="16"/>
      <c r="S242" s="16"/>
      <c r="T242" s="16"/>
      <c r="U242" s="16"/>
      <c r="V242" s="16"/>
      <c r="W242" s="16"/>
      <c r="X242" s="16"/>
      <c r="Y242" s="18"/>
    </row>
    <row r="243" spans="1:25">
      <c r="A243" s="204" t="s">
        <v>250</v>
      </c>
      <c r="B243" s="174"/>
      <c r="C243" s="175"/>
      <c r="D243" s="175"/>
      <c r="E243" s="175"/>
      <c r="F243" s="175"/>
      <c r="G243" s="175"/>
      <c r="H243" s="142"/>
      <c r="I243" s="142"/>
      <c r="J243" s="186"/>
      <c r="K243" s="119"/>
      <c r="L243" s="90"/>
      <c r="M243" s="85"/>
      <c r="N243" s="85"/>
      <c r="O243" s="85"/>
      <c r="P243" s="16"/>
      <c r="Q243" s="16"/>
      <c r="R243" s="16"/>
      <c r="S243" s="16"/>
      <c r="T243" s="16"/>
      <c r="U243" s="16"/>
      <c r="V243" s="16"/>
      <c r="W243" s="16"/>
      <c r="X243" s="16"/>
      <c r="Y243" s="18"/>
    </row>
    <row r="244" spans="1:25">
      <c r="A244" s="204" t="s">
        <v>7935</v>
      </c>
      <c r="B244" s="174"/>
      <c r="C244" s="175"/>
      <c r="D244" s="175"/>
      <c r="E244" s="175"/>
      <c r="F244" s="175"/>
      <c r="G244" s="175"/>
      <c r="H244" s="142"/>
      <c r="I244" s="142"/>
      <c r="J244" s="186"/>
      <c r="K244" s="119"/>
      <c r="L244" s="90"/>
      <c r="M244" s="85"/>
      <c r="N244" s="85"/>
      <c r="O244" s="85"/>
      <c r="P244" s="16"/>
      <c r="Q244" s="16"/>
      <c r="R244" s="16"/>
      <c r="S244" s="16"/>
      <c r="T244" s="16"/>
      <c r="U244" s="16"/>
      <c r="V244" s="16"/>
      <c r="W244" s="16"/>
      <c r="X244" s="16"/>
      <c r="Y244" s="18"/>
    </row>
    <row r="245" spans="1:25">
      <c r="A245" s="204" t="s">
        <v>7958</v>
      </c>
      <c r="B245" s="174"/>
      <c r="C245" s="175"/>
      <c r="D245" s="175"/>
      <c r="E245" s="175"/>
      <c r="F245" s="175"/>
      <c r="G245" s="175"/>
      <c r="H245" s="142"/>
      <c r="I245" s="142"/>
      <c r="J245" s="186"/>
      <c r="K245" s="119"/>
      <c r="L245" s="90"/>
      <c r="M245" s="85"/>
      <c r="N245" s="85"/>
      <c r="O245" s="85"/>
      <c r="P245" s="16"/>
      <c r="Q245" s="16"/>
      <c r="R245" s="16"/>
      <c r="S245" s="16"/>
      <c r="T245" s="16"/>
      <c r="U245" s="16"/>
      <c r="V245" s="16"/>
      <c r="W245" s="16"/>
      <c r="X245" s="16"/>
      <c r="Y245" s="18"/>
    </row>
    <row r="246" spans="1:25">
      <c r="A246" s="204" t="s">
        <v>7764</v>
      </c>
      <c r="B246" s="174"/>
      <c r="C246" s="175"/>
      <c r="D246" s="175"/>
      <c r="E246" s="175"/>
      <c r="F246" s="175"/>
      <c r="G246" s="175"/>
      <c r="H246" s="142"/>
      <c r="I246" s="142"/>
      <c r="J246" s="186"/>
      <c r="K246" s="119"/>
      <c r="L246" s="90"/>
      <c r="M246" s="85"/>
      <c r="N246" s="85"/>
      <c r="O246" s="85"/>
      <c r="P246" s="16"/>
      <c r="Q246" s="16"/>
      <c r="R246" s="16"/>
      <c r="S246" s="16"/>
      <c r="T246" s="16"/>
      <c r="U246" s="16"/>
      <c r="V246" s="16"/>
      <c r="W246" s="16"/>
      <c r="X246" s="16"/>
      <c r="Y246" s="18"/>
    </row>
    <row r="247" spans="1:25">
      <c r="A247" s="204" t="s">
        <v>7820</v>
      </c>
      <c r="B247" s="174"/>
      <c r="C247" s="175"/>
      <c r="D247" s="175"/>
      <c r="E247" s="175"/>
      <c r="F247" s="175"/>
      <c r="G247" s="175"/>
      <c r="H247" s="142"/>
      <c r="I247" s="142"/>
      <c r="J247" s="186"/>
      <c r="K247" s="119"/>
      <c r="L247" s="90"/>
      <c r="M247" s="85"/>
      <c r="N247" s="85"/>
      <c r="O247" s="85"/>
      <c r="P247" s="16"/>
      <c r="Q247" s="16"/>
      <c r="R247" s="16"/>
      <c r="S247" s="16"/>
      <c r="T247" s="16"/>
      <c r="U247" s="16"/>
      <c r="V247" s="16"/>
      <c r="W247" s="16"/>
      <c r="X247" s="16"/>
      <c r="Y247" s="18"/>
    </row>
    <row r="248" spans="1:25">
      <c r="A248" s="204" t="s">
        <v>7824</v>
      </c>
      <c r="B248" s="174"/>
      <c r="C248" s="175"/>
      <c r="D248" s="175"/>
      <c r="E248" s="175"/>
      <c r="F248" s="175"/>
      <c r="G248" s="175"/>
      <c r="H248" s="142"/>
      <c r="I248" s="142"/>
      <c r="J248" s="186"/>
      <c r="K248" s="119"/>
      <c r="L248" s="90"/>
      <c r="M248" s="85"/>
      <c r="N248" s="85"/>
      <c r="O248" s="85"/>
      <c r="P248" s="16"/>
      <c r="Q248" s="16"/>
      <c r="R248" s="16"/>
      <c r="S248" s="16"/>
      <c r="T248" s="16"/>
      <c r="U248" s="16"/>
      <c r="V248" s="16"/>
      <c r="W248" s="16"/>
      <c r="X248" s="16"/>
      <c r="Y248" s="18"/>
    </row>
    <row r="249" spans="1:25">
      <c r="A249" s="204" t="s">
        <v>7670</v>
      </c>
      <c r="B249" s="174"/>
      <c r="C249" s="175"/>
      <c r="D249" s="175"/>
      <c r="E249" s="175"/>
      <c r="F249" s="175"/>
      <c r="G249" s="175"/>
      <c r="H249" s="142"/>
      <c r="I249" s="142"/>
      <c r="J249" s="186"/>
      <c r="K249" s="119"/>
      <c r="L249" s="90"/>
      <c r="M249" s="85"/>
      <c r="N249" s="85"/>
      <c r="O249" s="85"/>
      <c r="P249" s="16"/>
      <c r="Q249" s="16"/>
      <c r="R249" s="16"/>
      <c r="S249" s="16"/>
      <c r="T249" s="16"/>
      <c r="U249" s="16"/>
      <c r="V249" s="16"/>
      <c r="W249" s="16"/>
      <c r="X249" s="16"/>
      <c r="Y249" s="18"/>
    </row>
    <row r="250" spans="1:25">
      <c r="A250" s="204" t="s">
        <v>7772</v>
      </c>
      <c r="B250" s="174"/>
      <c r="C250" s="175"/>
      <c r="D250" s="175"/>
      <c r="E250" s="175"/>
      <c r="F250" s="175"/>
      <c r="G250" s="175"/>
      <c r="H250" s="142"/>
      <c r="I250" s="142"/>
      <c r="J250" s="186"/>
      <c r="K250" s="119"/>
      <c r="L250" s="90"/>
      <c r="M250" s="85"/>
      <c r="N250" s="85"/>
      <c r="O250" s="85"/>
      <c r="P250" s="16"/>
      <c r="Q250" s="16"/>
      <c r="R250" s="16"/>
      <c r="S250" s="16"/>
      <c r="T250" s="16"/>
      <c r="U250" s="16"/>
      <c r="V250" s="16"/>
      <c r="W250" s="16"/>
      <c r="X250" s="16"/>
      <c r="Y250" s="18"/>
    </row>
    <row r="251" spans="1:25">
      <c r="A251" s="204" t="s">
        <v>7894</v>
      </c>
      <c r="B251" s="174"/>
      <c r="C251" s="175"/>
      <c r="D251" s="175"/>
      <c r="E251" s="175"/>
      <c r="F251" s="175"/>
      <c r="G251" s="175"/>
      <c r="H251" s="142"/>
      <c r="I251" s="142"/>
      <c r="J251" s="186"/>
      <c r="K251" s="119"/>
      <c r="L251" s="90"/>
      <c r="M251" s="85"/>
      <c r="N251" s="85"/>
      <c r="O251" s="85"/>
      <c r="P251" s="16"/>
      <c r="Q251" s="16"/>
      <c r="R251" s="16"/>
      <c r="S251" s="16"/>
      <c r="T251" s="16"/>
      <c r="U251" s="16"/>
      <c r="V251" s="16"/>
      <c r="W251" s="16"/>
      <c r="X251" s="16"/>
      <c r="Y251" s="18"/>
    </row>
    <row r="252" spans="1:25">
      <c r="A252" s="204" t="s">
        <v>7878</v>
      </c>
      <c r="B252" s="174"/>
      <c r="C252" s="175"/>
      <c r="D252" s="175"/>
      <c r="E252" s="175"/>
      <c r="F252" s="175"/>
      <c r="G252" s="175"/>
      <c r="H252" s="142"/>
      <c r="I252" s="142"/>
      <c r="J252" s="186"/>
      <c r="K252" s="119"/>
      <c r="L252" s="90"/>
      <c r="M252" s="85"/>
      <c r="N252" s="85"/>
      <c r="O252" s="85"/>
      <c r="P252" s="16"/>
      <c r="Q252" s="16"/>
      <c r="R252" s="16"/>
      <c r="S252" s="16"/>
      <c r="T252" s="16"/>
      <c r="U252" s="16"/>
      <c r="V252" s="16"/>
      <c r="W252" s="16"/>
      <c r="X252" s="16"/>
      <c r="Y252" s="18"/>
    </row>
    <row r="253" spans="1:25">
      <c r="A253" s="204" t="s">
        <v>7888</v>
      </c>
      <c r="B253" s="174"/>
      <c r="C253" s="175"/>
      <c r="D253" s="175"/>
      <c r="E253" s="175"/>
      <c r="F253" s="175"/>
      <c r="G253" s="175"/>
      <c r="H253" s="142"/>
      <c r="I253" s="142"/>
      <c r="J253" s="186"/>
      <c r="K253" s="119"/>
      <c r="L253" s="90"/>
      <c r="M253" s="85"/>
      <c r="N253" s="85"/>
      <c r="O253" s="85"/>
      <c r="P253" s="16"/>
      <c r="Q253" s="16"/>
      <c r="R253" s="16"/>
      <c r="S253" s="16"/>
      <c r="T253" s="16"/>
      <c r="U253" s="16"/>
      <c r="V253" s="16"/>
      <c r="W253" s="16"/>
      <c r="X253" s="16"/>
      <c r="Y253" s="18"/>
    </row>
    <row r="254" spans="1:25">
      <c r="A254" s="204" t="s">
        <v>7896</v>
      </c>
      <c r="B254" s="174"/>
      <c r="C254" s="175"/>
      <c r="D254" s="175"/>
      <c r="E254" s="175"/>
      <c r="F254" s="175"/>
      <c r="G254" s="175"/>
      <c r="H254" s="142"/>
      <c r="I254" s="142"/>
      <c r="J254" s="186"/>
      <c r="K254" s="119"/>
      <c r="L254" s="90"/>
      <c r="M254" s="85"/>
      <c r="N254" s="85"/>
      <c r="O254" s="85"/>
      <c r="P254" s="16"/>
      <c r="Q254" s="16"/>
      <c r="R254" s="16"/>
      <c r="S254" s="16"/>
      <c r="T254" s="16"/>
      <c r="U254" s="16"/>
      <c r="V254" s="16"/>
      <c r="W254" s="16"/>
      <c r="X254" s="16"/>
      <c r="Y254" s="18"/>
    </row>
    <row r="255" spans="1:25">
      <c r="A255" s="204" t="s">
        <v>7802</v>
      </c>
      <c r="B255" s="174"/>
      <c r="C255" s="175"/>
      <c r="D255" s="175"/>
      <c r="E255" s="175"/>
      <c r="F255" s="175"/>
      <c r="G255" s="175"/>
      <c r="H255" s="142"/>
      <c r="I255" s="142"/>
      <c r="J255" s="186"/>
      <c r="K255" s="119"/>
      <c r="L255" s="90"/>
      <c r="M255" s="85"/>
      <c r="N255" s="85"/>
      <c r="O255" s="85"/>
      <c r="P255" s="16"/>
      <c r="Q255" s="16"/>
      <c r="R255" s="16"/>
      <c r="S255" s="16"/>
      <c r="T255" s="16"/>
      <c r="U255" s="16"/>
      <c r="V255" s="16"/>
      <c r="W255" s="16"/>
      <c r="X255" s="16"/>
      <c r="Y255" s="18"/>
    </row>
    <row r="256" spans="1:25">
      <c r="A256" s="204" t="s">
        <v>7803</v>
      </c>
      <c r="B256" s="174"/>
      <c r="C256" s="175"/>
      <c r="D256" s="175"/>
      <c r="E256" s="175"/>
      <c r="F256" s="175"/>
      <c r="G256" s="175"/>
      <c r="H256" s="142"/>
      <c r="I256" s="142"/>
      <c r="J256" s="186"/>
      <c r="K256" s="119"/>
      <c r="L256" s="90"/>
      <c r="M256" s="85"/>
      <c r="N256" s="85"/>
      <c r="O256" s="85"/>
      <c r="P256" s="16"/>
      <c r="Q256" s="16"/>
      <c r="R256" s="16"/>
      <c r="S256" s="16"/>
      <c r="T256" s="16"/>
      <c r="U256" s="16"/>
      <c r="V256" s="16"/>
      <c r="W256" s="16"/>
      <c r="X256" s="16"/>
      <c r="Y256" s="18"/>
    </row>
    <row r="257" spans="1:25">
      <c r="A257" s="204" t="s">
        <v>7738</v>
      </c>
      <c r="B257" s="174"/>
      <c r="C257" s="175"/>
      <c r="D257" s="175"/>
      <c r="E257" s="175"/>
      <c r="F257" s="175"/>
      <c r="G257" s="175"/>
      <c r="H257" s="142"/>
      <c r="I257" s="142"/>
      <c r="J257" s="186"/>
      <c r="K257" s="119"/>
      <c r="L257" s="90"/>
      <c r="M257" s="85"/>
      <c r="N257" s="85"/>
      <c r="O257" s="85"/>
      <c r="P257" s="16"/>
      <c r="Q257" s="16"/>
      <c r="R257" s="16"/>
      <c r="S257" s="16"/>
      <c r="T257" s="16"/>
      <c r="U257" s="16"/>
      <c r="V257" s="16"/>
      <c r="W257" s="16"/>
      <c r="X257" s="16"/>
      <c r="Y257" s="18"/>
    </row>
    <row r="258" spans="1:25">
      <c r="A258" s="204" t="s">
        <v>7804</v>
      </c>
      <c r="B258" s="174"/>
      <c r="C258" s="175"/>
      <c r="D258" s="175"/>
      <c r="E258" s="175"/>
      <c r="F258" s="175"/>
      <c r="G258" s="175"/>
      <c r="H258" s="142"/>
      <c r="I258" s="142"/>
      <c r="J258" s="186"/>
      <c r="K258" s="119"/>
      <c r="L258" s="90"/>
      <c r="M258" s="85"/>
      <c r="N258" s="85"/>
      <c r="O258" s="85"/>
      <c r="P258" s="16"/>
      <c r="Q258" s="16"/>
      <c r="R258" s="16"/>
      <c r="S258" s="16"/>
      <c r="T258" s="16"/>
      <c r="U258" s="16"/>
      <c r="V258" s="16"/>
      <c r="W258" s="16"/>
      <c r="X258" s="16"/>
      <c r="Y258" s="18"/>
    </row>
    <row r="259" spans="1:25">
      <c r="A259" s="204" t="s">
        <v>1940</v>
      </c>
      <c r="B259" s="174"/>
      <c r="C259" s="175"/>
      <c r="D259" s="175"/>
      <c r="E259" s="175"/>
      <c r="F259" s="175"/>
      <c r="G259" s="175"/>
      <c r="H259" s="142"/>
      <c r="I259" s="142"/>
      <c r="J259" s="186"/>
      <c r="K259" s="119"/>
      <c r="L259" s="90"/>
      <c r="M259" s="85"/>
      <c r="N259" s="85"/>
      <c r="O259" s="85"/>
      <c r="P259" s="16"/>
      <c r="Q259" s="16"/>
      <c r="R259" s="16"/>
      <c r="S259" s="16"/>
      <c r="T259" s="16"/>
      <c r="U259" s="16"/>
      <c r="V259" s="16"/>
      <c r="W259" s="16"/>
      <c r="X259" s="16"/>
      <c r="Y259" s="18"/>
    </row>
    <row r="260" spans="1:25">
      <c r="A260" s="204" t="s">
        <v>1779</v>
      </c>
      <c r="B260" s="174"/>
      <c r="C260" s="175"/>
      <c r="D260" s="175"/>
      <c r="E260" s="175"/>
      <c r="F260" s="175"/>
      <c r="G260" s="175"/>
      <c r="H260" s="142"/>
      <c r="I260" s="142"/>
      <c r="J260" s="186"/>
      <c r="K260" s="119"/>
      <c r="L260" s="90"/>
      <c r="M260" s="85"/>
      <c r="N260" s="85"/>
      <c r="O260" s="85"/>
      <c r="P260" s="16"/>
      <c r="Q260" s="16"/>
      <c r="R260" s="16"/>
      <c r="S260" s="16"/>
      <c r="T260" s="16"/>
      <c r="U260" s="16"/>
      <c r="V260" s="16"/>
      <c r="W260" s="16"/>
      <c r="X260" s="16"/>
      <c r="Y260" s="18"/>
    </row>
    <row r="261" spans="1:25">
      <c r="A261" s="204" t="s">
        <v>1836</v>
      </c>
      <c r="B261" s="174"/>
      <c r="C261" s="175"/>
      <c r="D261" s="175"/>
      <c r="E261" s="175"/>
      <c r="F261" s="175"/>
      <c r="G261" s="175"/>
      <c r="H261" s="142"/>
      <c r="I261" s="142"/>
      <c r="J261" s="186"/>
      <c r="K261" s="119"/>
      <c r="L261" s="90"/>
      <c r="M261" s="85"/>
      <c r="N261" s="85"/>
      <c r="O261" s="85"/>
      <c r="P261" s="16"/>
      <c r="Q261" s="16"/>
      <c r="R261" s="16"/>
      <c r="S261" s="16"/>
      <c r="T261" s="16"/>
      <c r="U261" s="16"/>
      <c r="V261" s="16"/>
      <c r="W261" s="16"/>
      <c r="X261" s="16"/>
      <c r="Y261" s="18"/>
    </row>
    <row r="262" spans="1:25">
      <c r="A262" s="204" t="s">
        <v>7778</v>
      </c>
      <c r="B262" s="174"/>
      <c r="C262" s="175"/>
      <c r="D262" s="175"/>
      <c r="E262" s="175"/>
      <c r="F262" s="175"/>
      <c r="G262" s="175"/>
      <c r="H262" s="142"/>
      <c r="I262" s="142"/>
      <c r="J262" s="186"/>
      <c r="K262" s="119"/>
      <c r="L262" s="90"/>
      <c r="M262" s="85"/>
      <c r="N262" s="85"/>
      <c r="O262" s="85"/>
      <c r="P262" s="16"/>
      <c r="Q262" s="16"/>
      <c r="R262" s="16"/>
      <c r="S262" s="16"/>
      <c r="T262" s="16"/>
      <c r="U262" s="16"/>
      <c r="V262" s="16"/>
      <c r="W262" s="16"/>
      <c r="X262" s="16"/>
      <c r="Y262" s="18"/>
    </row>
    <row r="263" spans="1:25">
      <c r="A263" s="204" t="s">
        <v>7780</v>
      </c>
      <c r="B263" s="174"/>
      <c r="C263" s="175"/>
      <c r="D263" s="175"/>
      <c r="E263" s="175"/>
      <c r="F263" s="175"/>
      <c r="G263" s="175"/>
      <c r="H263" s="142"/>
      <c r="I263" s="142"/>
      <c r="J263" s="186"/>
      <c r="K263" s="119"/>
      <c r="L263" s="90"/>
      <c r="M263" s="85"/>
      <c r="N263" s="85"/>
      <c r="O263" s="85"/>
      <c r="P263" s="16"/>
      <c r="Q263" s="16"/>
      <c r="R263" s="16"/>
      <c r="S263" s="16"/>
      <c r="T263" s="16"/>
      <c r="U263" s="16"/>
      <c r="V263" s="16"/>
      <c r="W263" s="16"/>
      <c r="X263" s="16"/>
      <c r="Y263" s="18"/>
    </row>
    <row r="264" spans="1:25">
      <c r="A264" s="204" t="s">
        <v>7751</v>
      </c>
      <c r="B264" s="174"/>
      <c r="C264" s="175"/>
      <c r="D264" s="175"/>
      <c r="E264" s="175"/>
      <c r="F264" s="175"/>
      <c r="G264" s="175"/>
      <c r="H264" s="142"/>
      <c r="I264" s="142"/>
      <c r="J264" s="186"/>
      <c r="K264" s="119"/>
      <c r="L264" s="90"/>
      <c r="M264" s="85"/>
      <c r="N264" s="85"/>
      <c r="O264" s="85"/>
      <c r="P264" s="16"/>
      <c r="Q264" s="16"/>
      <c r="R264" s="16"/>
      <c r="S264" s="16"/>
      <c r="T264" s="16"/>
      <c r="U264" s="16"/>
      <c r="V264" s="16"/>
      <c r="W264" s="16"/>
      <c r="X264" s="16"/>
      <c r="Y264" s="18"/>
    </row>
    <row r="265" spans="1:25">
      <c r="A265" s="204" t="s">
        <v>1963</v>
      </c>
      <c r="B265" s="174"/>
      <c r="C265" s="175"/>
      <c r="D265" s="175"/>
      <c r="E265" s="175"/>
      <c r="F265" s="175"/>
      <c r="G265" s="175"/>
      <c r="H265" s="142"/>
      <c r="I265" s="142"/>
      <c r="J265" s="186"/>
      <c r="K265" s="119"/>
      <c r="L265" s="90"/>
      <c r="M265" s="85"/>
      <c r="N265" s="85"/>
      <c r="O265" s="85"/>
      <c r="P265" s="16"/>
      <c r="Q265" s="16"/>
      <c r="R265" s="16"/>
      <c r="S265" s="16"/>
      <c r="T265" s="16"/>
      <c r="U265" s="16"/>
      <c r="V265" s="16"/>
      <c r="W265" s="16"/>
      <c r="X265" s="16"/>
      <c r="Y265" s="18"/>
    </row>
    <row r="266" spans="1:25">
      <c r="A266" s="204" t="s">
        <v>1798</v>
      </c>
      <c r="B266" s="174"/>
      <c r="C266" s="175"/>
      <c r="D266" s="175"/>
      <c r="E266" s="175"/>
      <c r="F266" s="175"/>
      <c r="G266" s="175"/>
      <c r="H266" s="142"/>
      <c r="I266" s="142"/>
      <c r="J266" s="186"/>
      <c r="K266" s="119"/>
      <c r="L266" s="90"/>
      <c r="M266" s="85"/>
      <c r="N266" s="85"/>
      <c r="O266" s="85"/>
      <c r="P266" s="16"/>
      <c r="Q266" s="16"/>
      <c r="R266" s="16"/>
      <c r="S266" s="16"/>
      <c r="T266" s="16"/>
      <c r="U266" s="16"/>
      <c r="V266" s="16"/>
      <c r="W266" s="16"/>
      <c r="X266" s="16"/>
      <c r="Y266" s="18"/>
    </row>
    <row r="267" spans="1:25">
      <c r="A267" s="204" t="s">
        <v>1713</v>
      </c>
      <c r="B267" s="174"/>
      <c r="C267" s="175"/>
      <c r="D267" s="175"/>
      <c r="E267" s="175"/>
      <c r="F267" s="175"/>
      <c r="G267" s="175"/>
      <c r="H267" s="142"/>
      <c r="I267" s="142"/>
      <c r="J267" s="186"/>
      <c r="K267" s="119"/>
      <c r="L267" s="90"/>
      <c r="M267" s="85"/>
      <c r="N267" s="85"/>
      <c r="O267" s="85"/>
      <c r="P267" s="16"/>
      <c r="Q267" s="16"/>
      <c r="R267" s="16"/>
      <c r="S267" s="16"/>
      <c r="T267" s="16"/>
      <c r="U267" s="16"/>
      <c r="V267" s="16"/>
      <c r="W267" s="16"/>
      <c r="X267" s="16"/>
      <c r="Y267" s="18"/>
    </row>
    <row r="268" spans="1:25">
      <c r="A268" s="204" t="s">
        <v>1714</v>
      </c>
      <c r="B268" s="174"/>
      <c r="C268" s="175"/>
      <c r="D268" s="175"/>
      <c r="E268" s="175"/>
      <c r="F268" s="175"/>
      <c r="G268" s="175"/>
      <c r="H268" s="142"/>
      <c r="I268" s="142"/>
      <c r="J268" s="186"/>
      <c r="K268" s="119"/>
      <c r="L268" s="90"/>
      <c r="M268" s="85"/>
      <c r="N268" s="85"/>
      <c r="O268" s="85"/>
      <c r="P268" s="16"/>
      <c r="Q268" s="16"/>
      <c r="R268" s="16"/>
      <c r="S268" s="16"/>
      <c r="T268" s="16"/>
      <c r="U268" s="16"/>
      <c r="V268" s="16"/>
      <c r="W268" s="16"/>
      <c r="X268" s="16"/>
      <c r="Y268" s="18"/>
    </row>
    <row r="269" spans="1:25">
      <c r="A269" s="204" t="s">
        <v>1715</v>
      </c>
      <c r="B269" s="174"/>
      <c r="C269" s="175"/>
      <c r="D269" s="175"/>
      <c r="E269" s="175"/>
      <c r="F269" s="175"/>
      <c r="G269" s="175"/>
      <c r="H269" s="142"/>
      <c r="I269" s="142"/>
      <c r="J269" s="186"/>
      <c r="K269" s="119"/>
      <c r="L269" s="90"/>
      <c r="M269" s="85"/>
      <c r="N269" s="85"/>
      <c r="O269" s="85"/>
      <c r="P269" s="16"/>
      <c r="Q269" s="16"/>
      <c r="R269" s="16"/>
      <c r="S269" s="16"/>
      <c r="T269" s="16"/>
      <c r="U269" s="16"/>
      <c r="V269" s="16"/>
      <c r="W269" s="16"/>
      <c r="X269" s="16"/>
      <c r="Y269" s="18"/>
    </row>
    <row r="270" spans="1:25">
      <c r="A270" s="204" t="s">
        <v>1603</v>
      </c>
      <c r="B270" s="174"/>
      <c r="C270" s="175"/>
      <c r="D270" s="175"/>
      <c r="E270" s="175"/>
      <c r="F270" s="175"/>
      <c r="G270" s="175"/>
      <c r="H270" s="142"/>
      <c r="I270" s="142"/>
      <c r="J270" s="186"/>
      <c r="K270" s="119"/>
      <c r="L270" s="90"/>
      <c r="M270" s="85"/>
      <c r="N270" s="85"/>
      <c r="O270" s="85"/>
      <c r="P270" s="16"/>
      <c r="Q270" s="16"/>
      <c r="R270" s="16"/>
      <c r="S270" s="16"/>
      <c r="T270" s="16"/>
      <c r="U270" s="16"/>
      <c r="V270" s="16"/>
      <c r="W270" s="16"/>
      <c r="X270" s="16"/>
      <c r="Y270" s="18"/>
    </row>
    <row r="271" spans="1:25">
      <c r="A271" s="204" t="s">
        <v>7752</v>
      </c>
      <c r="B271" s="174"/>
      <c r="C271" s="175"/>
      <c r="D271" s="175"/>
      <c r="E271" s="175"/>
      <c r="F271" s="175"/>
      <c r="G271" s="175"/>
      <c r="H271" s="142"/>
      <c r="I271" s="142"/>
      <c r="J271" s="186"/>
      <c r="K271" s="119"/>
      <c r="L271" s="90"/>
      <c r="M271" s="85"/>
      <c r="N271" s="85"/>
      <c r="O271" s="85"/>
      <c r="P271" s="16"/>
      <c r="Q271" s="16"/>
      <c r="R271" s="16"/>
      <c r="S271" s="16"/>
      <c r="T271" s="16"/>
      <c r="U271" s="16"/>
      <c r="V271" s="16"/>
      <c r="W271" s="16"/>
      <c r="X271" s="16"/>
      <c r="Y271" s="18"/>
    </row>
    <row r="272" spans="1:25">
      <c r="A272" s="204" t="s">
        <v>7887</v>
      </c>
      <c r="B272" s="174"/>
      <c r="C272" s="175"/>
      <c r="D272" s="175"/>
      <c r="E272" s="175"/>
      <c r="F272" s="175"/>
      <c r="G272" s="175"/>
      <c r="H272" s="142"/>
      <c r="I272" s="142"/>
      <c r="J272" s="186"/>
      <c r="K272" s="119"/>
      <c r="L272" s="90"/>
      <c r="M272" s="85"/>
      <c r="N272" s="85"/>
      <c r="O272" s="85"/>
      <c r="P272" s="16"/>
      <c r="Q272" s="16"/>
      <c r="R272" s="16"/>
      <c r="S272" s="16"/>
      <c r="T272" s="16"/>
      <c r="U272" s="16"/>
      <c r="V272" s="16"/>
      <c r="W272" s="16"/>
      <c r="X272" s="16"/>
      <c r="Y272" s="18"/>
    </row>
    <row r="273" spans="1:25">
      <c r="A273" s="204" t="s">
        <v>7815</v>
      </c>
      <c r="B273" s="174"/>
      <c r="C273" s="175"/>
      <c r="D273" s="175"/>
      <c r="E273" s="175"/>
      <c r="F273" s="175"/>
      <c r="G273" s="175"/>
      <c r="H273" s="142"/>
      <c r="I273" s="142"/>
      <c r="J273" s="186"/>
      <c r="K273" s="119"/>
      <c r="L273" s="90"/>
      <c r="M273" s="85"/>
      <c r="N273" s="85"/>
      <c r="O273" s="85"/>
      <c r="P273" s="16"/>
      <c r="Q273" s="16"/>
      <c r="R273" s="16"/>
      <c r="S273" s="16"/>
      <c r="T273" s="16"/>
      <c r="U273" s="16"/>
      <c r="V273" s="16"/>
      <c r="W273" s="16"/>
      <c r="X273" s="16"/>
      <c r="Y273" s="18"/>
    </row>
    <row r="274" spans="1:25">
      <c r="A274" s="204" t="s">
        <v>7817</v>
      </c>
      <c r="B274" s="174"/>
      <c r="C274" s="175"/>
      <c r="D274" s="175"/>
      <c r="E274" s="175"/>
      <c r="F274" s="175"/>
      <c r="G274" s="175"/>
      <c r="H274" s="142"/>
      <c r="I274" s="142"/>
      <c r="J274" s="186"/>
      <c r="K274" s="119"/>
      <c r="L274" s="90"/>
      <c r="M274" s="85"/>
      <c r="N274" s="85"/>
      <c r="O274" s="85"/>
      <c r="P274" s="16"/>
      <c r="Q274" s="16"/>
      <c r="R274" s="16"/>
      <c r="S274" s="16"/>
      <c r="T274" s="16"/>
      <c r="U274" s="16"/>
      <c r="V274" s="16"/>
      <c r="W274" s="16"/>
      <c r="X274" s="16"/>
      <c r="Y274" s="18"/>
    </row>
    <row r="275" spans="1:25">
      <c r="A275" s="204" t="s">
        <v>7818</v>
      </c>
      <c r="B275" s="174"/>
      <c r="C275" s="175"/>
      <c r="D275" s="175"/>
      <c r="E275" s="175"/>
      <c r="F275" s="175"/>
      <c r="G275" s="175"/>
      <c r="H275" s="142"/>
      <c r="I275" s="142"/>
      <c r="J275" s="186"/>
      <c r="K275" s="119"/>
      <c r="L275" s="90"/>
      <c r="M275" s="85"/>
      <c r="N275" s="85"/>
      <c r="O275" s="85"/>
      <c r="P275" s="16"/>
      <c r="Q275" s="16"/>
      <c r="R275" s="16"/>
      <c r="S275" s="16"/>
      <c r="T275" s="16"/>
      <c r="U275" s="16"/>
      <c r="V275" s="16"/>
      <c r="W275" s="16"/>
      <c r="X275" s="16"/>
      <c r="Y275" s="18"/>
    </row>
    <row r="276" spans="1:25">
      <c r="A276" s="204" t="s">
        <v>7567</v>
      </c>
      <c r="B276" s="174"/>
      <c r="C276" s="175"/>
      <c r="D276" s="175"/>
      <c r="E276" s="175"/>
      <c r="F276" s="175"/>
      <c r="G276" s="175"/>
      <c r="H276" s="142"/>
      <c r="I276" s="142"/>
      <c r="J276" s="186"/>
      <c r="K276" s="119"/>
      <c r="L276" s="90"/>
      <c r="M276" s="85"/>
      <c r="N276" s="85"/>
      <c r="O276" s="85"/>
      <c r="P276" s="16"/>
      <c r="Q276" s="16"/>
      <c r="R276" s="16"/>
      <c r="S276" s="16"/>
      <c r="T276" s="16"/>
      <c r="U276" s="16"/>
      <c r="V276" s="16"/>
      <c r="W276" s="16"/>
      <c r="X276" s="16"/>
      <c r="Y276" s="18"/>
    </row>
    <row r="277" spans="1:25">
      <c r="A277" s="204" t="s">
        <v>7692</v>
      </c>
      <c r="B277" s="174"/>
      <c r="C277" s="175"/>
      <c r="D277" s="175"/>
      <c r="E277" s="175"/>
      <c r="F277" s="175"/>
      <c r="G277" s="175"/>
      <c r="H277" s="142"/>
      <c r="I277" s="142"/>
      <c r="J277" s="186"/>
      <c r="K277" s="119"/>
      <c r="L277" s="90"/>
      <c r="M277" s="85"/>
      <c r="N277" s="85"/>
      <c r="O277" s="85"/>
      <c r="P277" s="16"/>
      <c r="Q277" s="16"/>
      <c r="R277" s="16"/>
      <c r="S277" s="16"/>
      <c r="T277" s="16"/>
      <c r="U277" s="16"/>
      <c r="V277" s="16"/>
      <c r="W277" s="16"/>
      <c r="X277" s="16"/>
      <c r="Y277" s="18"/>
    </row>
    <row r="278" spans="1:25">
      <c r="A278" s="204" t="s">
        <v>7783</v>
      </c>
      <c r="B278" s="174"/>
      <c r="C278" s="175"/>
      <c r="D278" s="175"/>
      <c r="E278" s="175"/>
      <c r="F278" s="175"/>
      <c r="G278" s="175"/>
      <c r="H278" s="142"/>
      <c r="I278" s="142"/>
      <c r="J278" s="186"/>
      <c r="K278" s="119"/>
      <c r="L278" s="90"/>
      <c r="M278" s="85"/>
      <c r="N278" s="85"/>
      <c r="O278" s="85"/>
      <c r="P278" s="16"/>
      <c r="Q278" s="16"/>
      <c r="R278" s="16"/>
      <c r="S278" s="16"/>
      <c r="T278" s="16"/>
      <c r="U278" s="16"/>
      <c r="V278" s="16"/>
      <c r="W278" s="16"/>
      <c r="X278" s="16"/>
      <c r="Y278" s="18"/>
    </row>
    <row r="279" spans="1:25">
      <c r="A279" s="204" t="s">
        <v>7841</v>
      </c>
      <c r="B279" s="174"/>
      <c r="C279" s="175"/>
      <c r="D279" s="175"/>
      <c r="E279" s="175"/>
      <c r="F279" s="175"/>
      <c r="G279" s="175"/>
      <c r="H279" s="142"/>
      <c r="I279" s="142"/>
      <c r="J279" s="186"/>
      <c r="K279" s="119"/>
      <c r="L279" s="90"/>
      <c r="M279" s="85"/>
      <c r="N279" s="85"/>
      <c r="O279" s="85"/>
      <c r="P279" s="16"/>
      <c r="Q279" s="16"/>
      <c r="R279" s="16"/>
      <c r="S279" s="16"/>
      <c r="T279" s="16"/>
      <c r="U279" s="16"/>
      <c r="V279" s="16"/>
      <c r="W279" s="16"/>
      <c r="X279" s="16"/>
      <c r="Y279" s="18"/>
    </row>
    <row r="280" spans="1:25">
      <c r="A280" s="204" t="s">
        <v>7796</v>
      </c>
      <c r="B280" s="174"/>
      <c r="C280" s="175"/>
      <c r="D280" s="175"/>
      <c r="E280" s="175"/>
      <c r="F280" s="175"/>
      <c r="G280" s="175"/>
      <c r="H280" s="142"/>
      <c r="I280" s="142"/>
      <c r="J280" s="186"/>
      <c r="K280" s="119"/>
      <c r="L280" s="90"/>
      <c r="M280" s="85"/>
      <c r="N280" s="85"/>
      <c r="O280" s="85"/>
      <c r="P280" s="16"/>
      <c r="Q280" s="16"/>
      <c r="R280" s="16"/>
      <c r="S280" s="16"/>
      <c r="T280" s="16"/>
      <c r="U280" s="16"/>
      <c r="V280" s="16"/>
      <c r="W280" s="16"/>
      <c r="X280" s="16"/>
      <c r="Y280" s="18"/>
    </row>
    <row r="281" spans="1:25">
      <c r="A281" s="204" t="s">
        <v>7799</v>
      </c>
      <c r="B281" s="174"/>
      <c r="C281" s="175"/>
      <c r="D281" s="175"/>
      <c r="E281" s="175"/>
      <c r="F281" s="175"/>
      <c r="G281" s="175"/>
      <c r="H281" s="142"/>
      <c r="I281" s="142"/>
      <c r="J281" s="186"/>
      <c r="K281" s="119"/>
      <c r="L281" s="90"/>
      <c r="M281" s="85"/>
      <c r="N281" s="85"/>
      <c r="O281" s="85"/>
      <c r="P281" s="16"/>
      <c r="Q281" s="16"/>
      <c r="R281" s="16"/>
      <c r="S281" s="16"/>
      <c r="T281" s="16"/>
      <c r="U281" s="16"/>
      <c r="V281" s="16"/>
      <c r="W281" s="16"/>
      <c r="X281" s="16"/>
      <c r="Y281" s="18"/>
    </row>
    <row r="282" spans="1:25">
      <c r="A282" s="204" t="s">
        <v>7816</v>
      </c>
      <c r="B282" s="174"/>
      <c r="C282" s="175"/>
      <c r="D282" s="175"/>
      <c r="E282" s="175"/>
      <c r="F282" s="175"/>
      <c r="G282" s="175"/>
      <c r="H282" s="142"/>
      <c r="I282" s="142"/>
      <c r="J282" s="186"/>
      <c r="K282" s="119"/>
      <c r="L282" s="90"/>
      <c r="M282" s="85"/>
      <c r="N282" s="85"/>
      <c r="O282" s="85"/>
      <c r="P282" s="16"/>
      <c r="Q282" s="16"/>
      <c r="R282" s="16"/>
      <c r="S282" s="16"/>
      <c r="T282" s="16"/>
      <c r="U282" s="16"/>
      <c r="V282" s="16"/>
      <c r="W282" s="16"/>
      <c r="X282" s="16"/>
      <c r="Y282" s="18"/>
    </row>
    <row r="283" spans="1:25">
      <c r="A283" s="204" t="s">
        <v>1964</v>
      </c>
      <c r="B283" s="174"/>
      <c r="C283" s="175"/>
      <c r="D283" s="175"/>
      <c r="E283" s="175"/>
      <c r="F283" s="175"/>
      <c r="G283" s="175"/>
      <c r="H283" s="142"/>
      <c r="I283" s="142"/>
      <c r="J283" s="186"/>
      <c r="K283" s="119"/>
      <c r="L283" s="90"/>
      <c r="M283" s="85"/>
      <c r="N283" s="85"/>
      <c r="O283" s="85"/>
      <c r="P283" s="16"/>
      <c r="Q283" s="16"/>
      <c r="R283" s="16"/>
      <c r="S283" s="16"/>
      <c r="T283" s="16"/>
      <c r="U283" s="16"/>
      <c r="V283" s="16"/>
      <c r="W283" s="16"/>
      <c r="X283" s="16"/>
      <c r="Y283" s="18"/>
    </row>
    <row r="284" spans="1:25">
      <c r="A284" s="204" t="s">
        <v>126</v>
      </c>
      <c r="B284" s="174"/>
      <c r="C284" s="175"/>
      <c r="D284" s="175"/>
      <c r="E284" s="175"/>
      <c r="F284" s="175"/>
      <c r="G284" s="175"/>
      <c r="H284" s="142"/>
      <c r="I284" s="142"/>
      <c r="J284" s="186"/>
      <c r="K284" s="119"/>
      <c r="L284" s="90"/>
      <c r="M284" s="85"/>
      <c r="N284" s="85"/>
      <c r="O284" s="85"/>
      <c r="P284" s="16"/>
      <c r="Q284" s="16"/>
      <c r="R284" s="16"/>
      <c r="S284" s="16"/>
      <c r="T284" s="16"/>
      <c r="U284" s="16"/>
      <c r="V284" s="16"/>
      <c r="W284" s="16"/>
      <c r="X284" s="16"/>
      <c r="Y284" s="18"/>
    </row>
    <row r="285" spans="1:25">
      <c r="A285" s="375" t="s">
        <v>8461</v>
      </c>
      <c r="B285" s="174"/>
      <c r="C285" s="175"/>
      <c r="D285" s="175"/>
      <c r="E285" s="175"/>
      <c r="F285" s="175"/>
      <c r="G285" s="175"/>
      <c r="H285" s="142"/>
      <c r="I285" s="142"/>
      <c r="J285" s="186"/>
      <c r="K285" s="119"/>
      <c r="L285" s="90"/>
      <c r="M285" s="85"/>
      <c r="N285" s="85"/>
      <c r="O285" s="85"/>
      <c r="P285" s="16"/>
      <c r="Q285" s="16"/>
      <c r="R285" s="16"/>
      <c r="S285" s="16"/>
      <c r="T285" s="16"/>
      <c r="U285" s="16"/>
      <c r="V285" s="16"/>
      <c r="W285" s="16"/>
      <c r="X285" s="16"/>
      <c r="Y285" s="18"/>
    </row>
    <row r="286" spans="1:25">
      <c r="A286" t="s">
        <v>8462</v>
      </c>
    </row>
    <row r="287" spans="1:25">
      <c r="A287" s="375" t="s">
        <v>8470</v>
      </c>
    </row>
  </sheetData>
  <phoneticPr fontId="27"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2"/>
  <sheetViews>
    <sheetView topLeftCell="A33" workbookViewId="0">
      <selection activeCell="F20" sqref="F20"/>
    </sheetView>
  </sheetViews>
  <sheetFormatPr defaultColWidth="11.42578125" defaultRowHeight="12.75"/>
  <cols>
    <col min="1" max="1" width="8.7109375" bestFit="1" customWidth="1"/>
    <col min="2" max="2" width="25" bestFit="1" customWidth="1"/>
    <col min="3" max="3" width="12.7109375" bestFit="1" customWidth="1"/>
    <col min="4" max="4" width="10.140625" bestFit="1" customWidth="1"/>
    <col min="5" max="5" width="13.85546875" bestFit="1" customWidth="1"/>
    <col min="6" max="6" width="13.28515625" bestFit="1" customWidth="1"/>
    <col min="7" max="7" width="15" bestFit="1" customWidth="1"/>
    <col min="8" max="8" width="8.140625" bestFit="1" customWidth="1"/>
    <col min="9" max="9" width="16" bestFit="1" customWidth="1"/>
    <col min="10" max="14" width="31.42578125" style="82" customWidth="1"/>
  </cols>
  <sheetData>
    <row r="1" spans="1:25">
      <c r="A1" s="22" t="s">
        <v>3588</v>
      </c>
      <c r="B1" s="23" t="s">
        <v>5042</v>
      </c>
      <c r="C1" s="24" t="s">
        <v>4431</v>
      </c>
      <c r="D1" s="24" t="s">
        <v>4223</v>
      </c>
      <c r="E1" s="24" t="s">
        <v>5090</v>
      </c>
      <c r="F1" s="24" t="s">
        <v>3590</v>
      </c>
      <c r="G1" s="24" t="s">
        <v>4481</v>
      </c>
      <c r="H1" s="25" t="s">
        <v>3353</v>
      </c>
      <c r="I1" s="26" t="s">
        <v>3600</v>
      </c>
      <c r="J1" s="100" t="s">
        <v>3815</v>
      </c>
      <c r="K1" s="101" t="s">
        <v>5200</v>
      </c>
    </row>
    <row r="2" spans="1:25">
      <c r="A2" s="34" t="s">
        <v>2594</v>
      </c>
      <c r="B2" s="31" t="s">
        <v>2593</v>
      </c>
      <c r="C2" s="33" t="s">
        <v>3817</v>
      </c>
      <c r="D2" s="33" t="s">
        <v>7250</v>
      </c>
      <c r="E2" s="33" t="s">
        <v>6737</v>
      </c>
      <c r="F2" s="33" t="s">
        <v>5698</v>
      </c>
      <c r="G2" s="33" t="s">
        <v>4110</v>
      </c>
      <c r="H2" s="40">
        <f t="shared" ref="H2:H48" si="0">LOG(I2)</f>
        <v>1.8893017025063104</v>
      </c>
      <c r="I2" s="40">
        <v>77.5</v>
      </c>
      <c r="J2" s="79" t="s">
        <v>6126</v>
      </c>
      <c r="K2" s="102" t="s">
        <v>6358</v>
      </c>
      <c r="M2" s="85" t="s">
        <v>6641</v>
      </c>
      <c r="N2" s="85" t="s">
        <v>6640</v>
      </c>
      <c r="O2" s="16"/>
      <c r="P2" s="16"/>
      <c r="Q2" s="16"/>
      <c r="R2" s="16"/>
      <c r="S2" s="16"/>
      <c r="T2" s="16"/>
      <c r="U2" s="16"/>
      <c r="V2" s="16"/>
      <c r="W2" s="16"/>
      <c r="X2" s="16"/>
      <c r="Y2" s="18"/>
    </row>
    <row r="3" spans="1:25">
      <c r="A3" s="34" t="s">
        <v>2594</v>
      </c>
      <c r="B3" s="33" t="s">
        <v>2593</v>
      </c>
      <c r="C3" s="33" t="s">
        <v>7037</v>
      </c>
      <c r="D3" s="33" t="s">
        <v>7250</v>
      </c>
      <c r="E3" s="33" t="s">
        <v>1720</v>
      </c>
      <c r="F3" s="33" t="s">
        <v>3108</v>
      </c>
      <c r="G3" s="33" t="s">
        <v>1729</v>
      </c>
      <c r="H3">
        <f t="shared" si="0"/>
        <v>5.3010299956639813</v>
      </c>
      <c r="I3">
        <v>200000</v>
      </c>
      <c r="J3" s="79" t="s">
        <v>1288</v>
      </c>
      <c r="K3" s="79" t="s">
        <v>6358</v>
      </c>
      <c r="O3" s="16"/>
      <c r="P3" s="16"/>
      <c r="Q3" s="16"/>
      <c r="R3" s="16"/>
      <c r="S3" s="16"/>
      <c r="T3" s="16"/>
      <c r="U3" s="16"/>
      <c r="V3" s="16"/>
      <c r="W3" s="16"/>
      <c r="X3" s="16"/>
      <c r="Y3" s="18"/>
    </row>
    <row r="4" spans="1:25">
      <c r="A4" s="34" t="s">
        <v>2594</v>
      </c>
      <c r="B4" s="33" t="s">
        <v>2593</v>
      </c>
      <c r="C4" s="33" t="s">
        <v>1481</v>
      </c>
      <c r="D4" s="33" t="s">
        <v>7250</v>
      </c>
      <c r="E4" s="33" t="s">
        <v>6270</v>
      </c>
      <c r="F4" s="33" t="s">
        <v>6271</v>
      </c>
      <c r="G4" s="33" t="s">
        <v>4060</v>
      </c>
      <c r="H4">
        <f t="shared" si="0"/>
        <v>4.3010299956639813</v>
      </c>
      <c r="I4">
        <v>20000</v>
      </c>
      <c r="J4" s="79"/>
      <c r="K4" s="79" t="s">
        <v>6358</v>
      </c>
      <c r="N4" s="85"/>
      <c r="O4" s="16"/>
      <c r="P4" s="16"/>
      <c r="Q4" s="16"/>
      <c r="R4" s="16"/>
      <c r="S4" s="16"/>
      <c r="T4" s="16"/>
      <c r="U4" s="16"/>
      <c r="V4" s="16"/>
      <c r="W4" s="16"/>
      <c r="X4" s="16"/>
      <c r="Y4" s="18"/>
    </row>
    <row r="5" spans="1:25">
      <c r="A5" s="34" t="s">
        <v>2594</v>
      </c>
      <c r="B5" s="33" t="s">
        <v>2593</v>
      </c>
      <c r="C5" s="33" t="s">
        <v>1481</v>
      </c>
      <c r="D5" s="33" t="s">
        <v>7250</v>
      </c>
      <c r="E5" s="33" t="s">
        <v>6270</v>
      </c>
      <c r="F5" s="33" t="s">
        <v>6271</v>
      </c>
      <c r="G5" s="33" t="s">
        <v>5475</v>
      </c>
      <c r="H5">
        <f t="shared" si="0"/>
        <v>4.3010299956639813</v>
      </c>
      <c r="I5">
        <v>20000</v>
      </c>
      <c r="J5" s="79" t="s">
        <v>6272</v>
      </c>
      <c r="K5" s="79" t="s">
        <v>6358</v>
      </c>
      <c r="N5" s="85"/>
      <c r="O5" s="16"/>
      <c r="P5" s="16"/>
      <c r="Q5" s="16"/>
      <c r="R5" s="16"/>
      <c r="S5" s="16"/>
      <c r="T5" s="16"/>
      <c r="U5" s="16"/>
      <c r="V5" s="16"/>
      <c r="W5" s="16"/>
      <c r="X5" s="16"/>
      <c r="Y5" s="18"/>
    </row>
    <row r="6" spans="1:25" ht="25.5">
      <c r="A6" s="34" t="s">
        <v>2594</v>
      </c>
      <c r="B6" s="33" t="s">
        <v>2593</v>
      </c>
      <c r="C6" s="33" t="s">
        <v>3817</v>
      </c>
      <c r="D6" s="33" t="s">
        <v>7250</v>
      </c>
      <c r="E6" s="33" t="s">
        <v>6739</v>
      </c>
      <c r="F6" s="33" t="s">
        <v>8121</v>
      </c>
      <c r="G6" s="33" t="s">
        <v>7488</v>
      </c>
      <c r="H6" s="40">
        <f t="shared" si="0"/>
        <v>2.9542425094393248</v>
      </c>
      <c r="I6" s="40">
        <v>900</v>
      </c>
      <c r="J6" s="79" t="s">
        <v>6736</v>
      </c>
      <c r="K6" s="102">
        <v>68</v>
      </c>
      <c r="L6" s="85" t="s">
        <v>6044</v>
      </c>
      <c r="M6" s="82" t="s">
        <v>6641</v>
      </c>
      <c r="N6" s="85" t="s">
        <v>6642</v>
      </c>
      <c r="O6" s="16"/>
      <c r="P6" s="16"/>
      <c r="Q6" s="16"/>
      <c r="R6" s="16"/>
      <c r="S6" s="16"/>
      <c r="T6" s="16"/>
      <c r="U6" s="16"/>
      <c r="V6" s="16"/>
      <c r="W6" s="16"/>
      <c r="X6" s="16"/>
      <c r="Y6" s="18"/>
    </row>
    <row r="7" spans="1:25">
      <c r="A7" s="34" t="s">
        <v>2594</v>
      </c>
      <c r="B7" s="33" t="s">
        <v>2593</v>
      </c>
      <c r="C7" s="33" t="s">
        <v>3817</v>
      </c>
      <c r="D7" s="33" t="s">
        <v>7250</v>
      </c>
      <c r="E7" s="33" t="s">
        <v>6739</v>
      </c>
      <c r="F7" s="33" t="s">
        <v>8121</v>
      </c>
      <c r="G7" s="33" t="s">
        <v>4843</v>
      </c>
      <c r="H7" s="40">
        <f t="shared" si="0"/>
        <v>2.9030899869919438</v>
      </c>
      <c r="I7" s="40">
        <v>800</v>
      </c>
      <c r="J7" s="79" t="s">
        <v>6045</v>
      </c>
      <c r="K7" s="102" t="s">
        <v>6358</v>
      </c>
      <c r="L7" s="85"/>
      <c r="M7" s="82" t="s">
        <v>6641</v>
      </c>
      <c r="N7" s="85" t="s">
        <v>6988</v>
      </c>
      <c r="O7" s="16"/>
      <c r="P7" s="16"/>
      <c r="Q7" s="16"/>
      <c r="R7" s="16"/>
      <c r="S7" s="16"/>
      <c r="T7" s="16"/>
      <c r="U7" s="16"/>
      <c r="V7" s="16"/>
      <c r="W7" s="16"/>
      <c r="X7" s="16"/>
      <c r="Y7" s="18"/>
    </row>
    <row r="8" spans="1:25">
      <c r="A8" s="34" t="s">
        <v>2594</v>
      </c>
      <c r="B8" s="33" t="s">
        <v>2593</v>
      </c>
      <c r="C8" s="33" t="s">
        <v>1478</v>
      </c>
      <c r="D8" s="33" t="s">
        <v>7250</v>
      </c>
      <c r="E8" s="33" t="s">
        <v>1720</v>
      </c>
      <c r="F8" s="33" t="s">
        <v>1289</v>
      </c>
      <c r="G8" s="33" t="s">
        <v>3050</v>
      </c>
      <c r="H8">
        <f t="shared" si="0"/>
        <v>4.1760912590556813</v>
      </c>
      <c r="I8">
        <v>15000</v>
      </c>
      <c r="J8" s="79"/>
      <c r="K8" s="79" t="s">
        <v>6358</v>
      </c>
      <c r="N8" s="85"/>
      <c r="O8" s="16"/>
      <c r="P8" s="16"/>
      <c r="Q8" s="16"/>
      <c r="R8" s="16"/>
      <c r="S8" s="16"/>
      <c r="T8" s="16"/>
      <c r="U8" s="16"/>
      <c r="V8" s="16"/>
      <c r="W8" s="16"/>
      <c r="X8" s="16"/>
      <c r="Y8" s="18"/>
    </row>
    <row r="9" spans="1:25">
      <c r="A9" s="34" t="s">
        <v>2594</v>
      </c>
      <c r="B9" s="31" t="s">
        <v>2593</v>
      </c>
      <c r="C9" s="33" t="s">
        <v>3817</v>
      </c>
      <c r="D9" s="33" t="s">
        <v>3618</v>
      </c>
      <c r="E9" s="33" t="s">
        <v>3638</v>
      </c>
      <c r="F9" s="33" t="s">
        <v>4146</v>
      </c>
      <c r="G9" s="33" t="s">
        <v>7096</v>
      </c>
      <c r="H9" s="40">
        <f t="shared" si="0"/>
        <v>2.3010299956639813</v>
      </c>
      <c r="I9" s="40">
        <v>200</v>
      </c>
      <c r="J9" s="79" t="s">
        <v>6151</v>
      </c>
      <c r="K9" s="102" t="s">
        <v>6358</v>
      </c>
      <c r="L9" s="85"/>
      <c r="M9" s="85"/>
      <c r="N9" s="85"/>
      <c r="O9" s="16"/>
      <c r="P9" s="16"/>
      <c r="Q9" s="16"/>
      <c r="R9" s="16"/>
      <c r="S9" s="16"/>
      <c r="T9" s="16"/>
      <c r="U9" s="16"/>
      <c r="V9" s="16"/>
      <c r="W9" s="16"/>
      <c r="X9" s="16"/>
      <c r="Y9" s="18"/>
    </row>
    <row r="10" spans="1:25">
      <c r="A10" s="34" t="s">
        <v>2594</v>
      </c>
      <c r="B10" s="31" t="s">
        <v>2593</v>
      </c>
      <c r="C10" s="33" t="s">
        <v>3817</v>
      </c>
      <c r="D10" s="33" t="s">
        <v>3618</v>
      </c>
      <c r="E10" s="33" t="s">
        <v>3638</v>
      </c>
      <c r="F10" s="33" t="s">
        <v>4146</v>
      </c>
      <c r="G10" s="33" t="s">
        <v>6153</v>
      </c>
      <c r="H10" s="40">
        <f t="shared" si="0"/>
        <v>2.3424226808222062</v>
      </c>
      <c r="I10" s="40">
        <v>220</v>
      </c>
      <c r="J10" s="79" t="s">
        <v>6151</v>
      </c>
      <c r="K10" s="102" t="s">
        <v>6358</v>
      </c>
      <c r="L10" s="85" t="s">
        <v>2616</v>
      </c>
      <c r="M10" s="85"/>
      <c r="N10" s="85"/>
      <c r="O10" s="16"/>
      <c r="P10" s="16"/>
      <c r="Q10" s="16"/>
      <c r="R10" s="16"/>
      <c r="S10" s="16"/>
      <c r="T10" s="16"/>
      <c r="U10" s="16"/>
      <c r="V10" s="16"/>
      <c r="W10" s="16"/>
      <c r="X10" s="16"/>
      <c r="Y10" s="18"/>
    </row>
    <row r="11" spans="1:25">
      <c r="A11" s="34" t="s">
        <v>2594</v>
      </c>
      <c r="B11" s="31" t="s">
        <v>2593</v>
      </c>
      <c r="C11" s="33" t="s">
        <v>3817</v>
      </c>
      <c r="D11" s="33" t="s">
        <v>3618</v>
      </c>
      <c r="E11" s="33" t="s">
        <v>3638</v>
      </c>
      <c r="F11" s="33" t="s">
        <v>6072</v>
      </c>
      <c r="G11" s="33" t="s">
        <v>3457</v>
      </c>
      <c r="H11" s="40">
        <f t="shared" si="0"/>
        <v>1.9661417327390327</v>
      </c>
      <c r="I11" s="40">
        <v>92.5</v>
      </c>
      <c r="J11" s="79" t="s">
        <v>3258</v>
      </c>
      <c r="K11" s="102" t="s">
        <v>6358</v>
      </c>
      <c r="L11" s="85"/>
      <c r="M11" s="85" t="s">
        <v>6882</v>
      </c>
      <c r="N11" s="85" t="s">
        <v>6642</v>
      </c>
      <c r="O11" s="16"/>
      <c r="P11" s="16"/>
      <c r="Q11" s="16"/>
      <c r="R11" s="16"/>
      <c r="S11" s="16"/>
      <c r="T11" s="16"/>
      <c r="U11" s="16"/>
      <c r="V11" s="16"/>
      <c r="W11" s="16"/>
      <c r="X11" s="16"/>
      <c r="Y11" s="18"/>
    </row>
    <row r="12" spans="1:25">
      <c r="A12" s="34" t="s">
        <v>2594</v>
      </c>
      <c r="B12" s="31" t="s">
        <v>2593</v>
      </c>
      <c r="C12" s="33" t="s">
        <v>3817</v>
      </c>
      <c r="D12" s="33" t="s">
        <v>3618</v>
      </c>
      <c r="E12" s="33" t="s">
        <v>3638</v>
      </c>
      <c r="F12" s="33" t="s">
        <v>6072</v>
      </c>
      <c r="G12" s="33" t="s">
        <v>3458</v>
      </c>
      <c r="H12" s="40">
        <f t="shared" si="0"/>
        <v>1.954242509439325</v>
      </c>
      <c r="I12" s="40">
        <v>90</v>
      </c>
      <c r="J12" s="79" t="s">
        <v>3257</v>
      </c>
      <c r="K12" s="102" t="s">
        <v>6358</v>
      </c>
      <c r="L12" s="85"/>
      <c r="M12" s="85" t="s">
        <v>6882</v>
      </c>
      <c r="N12" s="85" t="s">
        <v>6642</v>
      </c>
      <c r="O12" s="16"/>
      <c r="P12" s="16"/>
      <c r="Q12" s="16"/>
      <c r="R12" s="16"/>
      <c r="S12" s="16"/>
      <c r="T12" s="16"/>
      <c r="U12" s="16"/>
      <c r="V12" s="16"/>
      <c r="W12" s="16"/>
      <c r="X12" s="16"/>
      <c r="Y12" s="18"/>
    </row>
    <row r="13" spans="1:25" ht="38.25">
      <c r="A13" s="34" t="s">
        <v>2594</v>
      </c>
      <c r="B13" s="33" t="s">
        <v>2593</v>
      </c>
      <c r="C13" s="33" t="s">
        <v>3817</v>
      </c>
      <c r="D13" s="33" t="s">
        <v>7250</v>
      </c>
      <c r="E13" s="33" t="s">
        <v>6737</v>
      </c>
      <c r="F13" s="33" t="s">
        <v>5837</v>
      </c>
      <c r="G13" s="33" t="s">
        <v>5838</v>
      </c>
      <c r="H13" s="40">
        <f t="shared" si="0"/>
        <v>2.6532125137753435</v>
      </c>
      <c r="I13" s="40">
        <v>450</v>
      </c>
      <c r="J13" s="79" t="s">
        <v>6736</v>
      </c>
      <c r="K13" s="102">
        <v>68</v>
      </c>
      <c r="L13" s="85" t="s">
        <v>5981</v>
      </c>
      <c r="M13" s="85"/>
      <c r="N13" s="85"/>
      <c r="O13" s="16"/>
      <c r="P13" s="16"/>
      <c r="Q13" s="16"/>
      <c r="R13" s="16"/>
      <c r="S13" s="16"/>
      <c r="T13" s="16"/>
      <c r="U13" s="16"/>
      <c r="V13" s="16"/>
      <c r="W13" s="16"/>
      <c r="X13" s="16"/>
      <c r="Y13" s="18"/>
    </row>
    <row r="14" spans="1:25" ht="25.5">
      <c r="A14" s="34" t="s">
        <v>2594</v>
      </c>
      <c r="B14" s="33" t="s">
        <v>2593</v>
      </c>
      <c r="C14" s="33" t="s">
        <v>3817</v>
      </c>
      <c r="D14" s="33" t="s">
        <v>7250</v>
      </c>
      <c r="E14" s="33" t="s">
        <v>6737</v>
      </c>
      <c r="F14" s="33" t="s">
        <v>5837</v>
      </c>
      <c r="G14" s="33" t="s">
        <v>5110</v>
      </c>
      <c r="H14" s="40">
        <f t="shared" si="0"/>
        <v>2.2576785748691846</v>
      </c>
      <c r="I14" s="40">
        <v>181</v>
      </c>
      <c r="J14" s="79" t="s">
        <v>6736</v>
      </c>
      <c r="K14" s="102">
        <v>68</v>
      </c>
      <c r="L14" s="85" t="s">
        <v>1200</v>
      </c>
      <c r="M14" s="85"/>
      <c r="N14" s="85"/>
      <c r="O14" s="16"/>
      <c r="P14" s="16"/>
      <c r="Q14" s="16"/>
      <c r="R14" s="16"/>
      <c r="S14" s="16"/>
      <c r="T14" s="16"/>
      <c r="U14" s="16"/>
      <c r="V14" s="16"/>
      <c r="W14" s="16"/>
      <c r="X14" s="16"/>
      <c r="Y14" s="18"/>
    </row>
    <row r="15" spans="1:25" ht="25.5">
      <c r="A15" s="34" t="s">
        <v>2594</v>
      </c>
      <c r="B15" s="33" t="s">
        <v>2593</v>
      </c>
      <c r="C15" s="33" t="s">
        <v>3817</v>
      </c>
      <c r="D15" s="33" t="s">
        <v>3954</v>
      </c>
      <c r="E15" s="33" t="s">
        <v>4908</v>
      </c>
      <c r="F15" s="33" t="s">
        <v>5608</v>
      </c>
      <c r="G15" s="33" t="s">
        <v>5609</v>
      </c>
      <c r="H15" s="40">
        <f t="shared" si="0"/>
        <v>3.9777236052888476</v>
      </c>
      <c r="I15" s="40">
        <v>9500</v>
      </c>
      <c r="J15" s="79" t="s">
        <v>6736</v>
      </c>
      <c r="K15" s="102">
        <v>68</v>
      </c>
      <c r="L15" s="85" t="s">
        <v>2744</v>
      </c>
      <c r="M15" s="82" t="s">
        <v>6920</v>
      </c>
      <c r="N15" s="85" t="s">
        <v>6640</v>
      </c>
      <c r="O15" s="16"/>
      <c r="P15" s="16"/>
      <c r="Q15" s="16"/>
      <c r="R15" s="16"/>
      <c r="S15" s="16"/>
      <c r="T15" s="16"/>
      <c r="U15" s="16"/>
      <c r="V15" s="16"/>
      <c r="W15" s="16"/>
      <c r="X15" s="16"/>
      <c r="Y15" s="18"/>
    </row>
    <row r="16" spans="1:25">
      <c r="A16" s="34" t="s">
        <v>2594</v>
      </c>
      <c r="B16" s="33" t="s">
        <v>2593</v>
      </c>
      <c r="C16" s="33" t="s">
        <v>3817</v>
      </c>
      <c r="D16" s="33" t="s">
        <v>7250</v>
      </c>
      <c r="E16" s="33" t="s">
        <v>3565</v>
      </c>
      <c r="F16" s="33" t="s">
        <v>8118</v>
      </c>
      <c r="G16" s="33" t="s">
        <v>8119</v>
      </c>
      <c r="H16" s="40">
        <f t="shared" si="0"/>
        <v>3.3979400086720375</v>
      </c>
      <c r="I16" s="40">
        <v>2500</v>
      </c>
      <c r="J16" s="79" t="s">
        <v>6736</v>
      </c>
      <c r="K16" s="102">
        <v>68</v>
      </c>
      <c r="L16" s="85" t="s">
        <v>1287</v>
      </c>
      <c r="M16" s="82" t="s">
        <v>7081</v>
      </c>
      <c r="N16" s="85" t="s">
        <v>6640</v>
      </c>
      <c r="O16" s="16"/>
      <c r="P16" s="16"/>
      <c r="Q16" s="16"/>
      <c r="R16" s="16"/>
      <c r="S16" s="16"/>
      <c r="T16" s="16"/>
      <c r="U16" s="16"/>
      <c r="V16" s="16"/>
      <c r="W16" s="16"/>
      <c r="X16" s="16"/>
      <c r="Y16" s="18"/>
    </row>
    <row r="17" spans="1:25" ht="25.5">
      <c r="A17" s="34" t="s">
        <v>2594</v>
      </c>
      <c r="B17" s="33" t="s">
        <v>2593</v>
      </c>
      <c r="C17" s="33" t="s">
        <v>5092</v>
      </c>
      <c r="D17" s="33" t="s">
        <v>7250</v>
      </c>
      <c r="E17" s="33" t="s">
        <v>3565</v>
      </c>
      <c r="F17" s="33" t="s">
        <v>8118</v>
      </c>
      <c r="G17" s="33" t="s">
        <v>4701</v>
      </c>
      <c r="H17" s="40">
        <f t="shared" si="0"/>
        <v>4</v>
      </c>
      <c r="I17" s="40">
        <v>10000</v>
      </c>
      <c r="J17" s="79" t="s">
        <v>1286</v>
      </c>
      <c r="K17" s="102" t="s">
        <v>6358</v>
      </c>
      <c r="L17" s="85"/>
      <c r="N17" s="85"/>
      <c r="O17" s="16"/>
      <c r="P17" s="16"/>
      <c r="Q17" s="16"/>
      <c r="R17" s="16"/>
      <c r="S17" s="16"/>
      <c r="T17" s="16"/>
      <c r="U17" s="16"/>
      <c r="V17" s="16"/>
      <c r="W17" s="16"/>
      <c r="X17" s="16"/>
      <c r="Y17" s="18"/>
    </row>
    <row r="18" spans="1:25" ht="25.5">
      <c r="A18" s="34" t="s">
        <v>2594</v>
      </c>
      <c r="B18" s="33" t="s">
        <v>2593</v>
      </c>
      <c r="C18" s="33" t="s">
        <v>3817</v>
      </c>
      <c r="D18" s="33" t="s">
        <v>7278</v>
      </c>
      <c r="E18" s="33" t="s">
        <v>7424</v>
      </c>
      <c r="F18" s="33" t="s">
        <v>5467</v>
      </c>
      <c r="G18" s="33" t="s">
        <v>6177</v>
      </c>
      <c r="H18" s="40">
        <f t="shared" si="0"/>
        <v>1.9319661147281726</v>
      </c>
      <c r="I18" s="40">
        <v>85.5</v>
      </c>
      <c r="J18" s="79" t="s">
        <v>6736</v>
      </c>
      <c r="K18" s="102" t="s">
        <v>1357</v>
      </c>
      <c r="L18" s="85" t="s">
        <v>2239</v>
      </c>
      <c r="M18" s="85"/>
      <c r="N18" s="85"/>
      <c r="O18" s="16"/>
      <c r="P18" s="16"/>
      <c r="Q18" s="16"/>
      <c r="R18" s="16"/>
      <c r="S18" s="16"/>
      <c r="T18" s="16"/>
      <c r="U18" s="16"/>
      <c r="V18" s="16"/>
      <c r="W18" s="16"/>
      <c r="X18" s="16"/>
      <c r="Y18" s="18"/>
    </row>
    <row r="19" spans="1:25">
      <c r="A19" s="34" t="s">
        <v>2594</v>
      </c>
      <c r="B19" s="33" t="s">
        <v>2593</v>
      </c>
      <c r="C19" s="33" t="s">
        <v>3817</v>
      </c>
      <c r="D19" s="33" t="s">
        <v>2663</v>
      </c>
      <c r="E19" s="33" t="s">
        <v>6203</v>
      </c>
      <c r="F19" s="33" t="s">
        <v>2530</v>
      </c>
      <c r="G19" s="33" t="s">
        <v>2531</v>
      </c>
      <c r="H19">
        <f t="shared" si="0"/>
        <v>2.469822015978163</v>
      </c>
      <c r="I19" s="40">
        <v>295</v>
      </c>
      <c r="J19" s="79" t="s">
        <v>2715</v>
      </c>
      <c r="K19" s="102" t="s">
        <v>6358</v>
      </c>
      <c r="M19" s="85"/>
      <c r="N19" s="85"/>
      <c r="O19" s="16"/>
      <c r="P19" s="16"/>
      <c r="Q19" s="16"/>
      <c r="R19" s="16"/>
      <c r="S19" s="16"/>
      <c r="T19" s="16"/>
      <c r="U19" s="16"/>
      <c r="V19" s="16"/>
      <c r="W19" s="16"/>
      <c r="X19" s="16"/>
      <c r="Y19" s="18"/>
    </row>
    <row r="20" spans="1:25">
      <c r="A20" s="34" t="s">
        <v>2594</v>
      </c>
      <c r="B20" s="33" t="s">
        <v>2593</v>
      </c>
      <c r="C20" s="33" t="s">
        <v>3817</v>
      </c>
      <c r="D20" s="33" t="s">
        <v>3618</v>
      </c>
      <c r="E20" s="33" t="s">
        <v>3638</v>
      </c>
      <c r="F20" s="33" t="s">
        <v>3459</v>
      </c>
      <c r="G20" s="33" t="s">
        <v>8200</v>
      </c>
      <c r="H20" s="40">
        <f t="shared" si="0"/>
        <v>2</v>
      </c>
      <c r="I20" s="40">
        <v>100</v>
      </c>
      <c r="J20" s="79" t="s">
        <v>6151</v>
      </c>
      <c r="K20" s="102" t="s">
        <v>6358</v>
      </c>
      <c r="L20" s="85" t="s">
        <v>6152</v>
      </c>
      <c r="M20" s="85"/>
      <c r="N20" s="85"/>
      <c r="O20" s="16"/>
      <c r="P20" s="16"/>
      <c r="Q20" s="16"/>
      <c r="R20" s="16"/>
      <c r="S20" s="16"/>
      <c r="T20" s="16"/>
      <c r="U20" s="16"/>
      <c r="V20" s="16"/>
      <c r="W20" s="16"/>
      <c r="X20" s="16"/>
      <c r="Y20" s="18"/>
    </row>
    <row r="21" spans="1:25">
      <c r="A21" s="34" t="s">
        <v>2594</v>
      </c>
      <c r="B21" s="33" t="s">
        <v>2593</v>
      </c>
      <c r="C21" s="33" t="s">
        <v>3817</v>
      </c>
      <c r="D21" s="33" t="s">
        <v>3618</v>
      </c>
      <c r="E21" s="33" t="s">
        <v>3638</v>
      </c>
      <c r="F21" s="33" t="s">
        <v>3459</v>
      </c>
      <c r="G21" s="33" t="s">
        <v>5475</v>
      </c>
      <c r="H21" s="40">
        <f t="shared" si="0"/>
        <v>2</v>
      </c>
      <c r="I21" s="40">
        <v>100</v>
      </c>
      <c r="J21" s="79" t="s">
        <v>6557</v>
      </c>
      <c r="K21" s="102" t="s">
        <v>6358</v>
      </c>
      <c r="L21" s="85"/>
      <c r="M21" s="85" t="s">
        <v>6641</v>
      </c>
      <c r="N21" s="85" t="s">
        <v>6640</v>
      </c>
      <c r="O21" s="16"/>
      <c r="P21" s="16"/>
      <c r="Q21" s="16"/>
      <c r="R21" s="16"/>
      <c r="S21" s="16"/>
      <c r="T21" s="16"/>
      <c r="U21" s="16"/>
      <c r="V21" s="16"/>
      <c r="W21" s="16"/>
      <c r="X21" s="16"/>
      <c r="Y21" s="18"/>
    </row>
    <row r="22" spans="1:25">
      <c r="A22" s="34" t="s">
        <v>2594</v>
      </c>
      <c r="B22" s="33" t="s">
        <v>2593</v>
      </c>
      <c r="C22" s="33" t="s">
        <v>3817</v>
      </c>
      <c r="D22" s="33" t="s">
        <v>3618</v>
      </c>
      <c r="E22" s="33" t="s">
        <v>3638</v>
      </c>
      <c r="F22" s="33" t="s">
        <v>3459</v>
      </c>
      <c r="G22" s="33" t="s">
        <v>3078</v>
      </c>
      <c r="H22" s="40">
        <f t="shared" si="0"/>
        <v>1.5740312677277188</v>
      </c>
      <c r="I22" s="40">
        <v>37.5</v>
      </c>
      <c r="J22" s="79" t="s">
        <v>6295</v>
      </c>
      <c r="K22" s="102" t="s">
        <v>6358</v>
      </c>
      <c r="L22" s="85"/>
      <c r="M22" s="85"/>
      <c r="N22" s="85"/>
      <c r="O22" s="16"/>
      <c r="P22" s="16"/>
      <c r="Q22" s="16"/>
      <c r="R22" s="16"/>
      <c r="S22" s="16"/>
      <c r="T22" s="16"/>
      <c r="U22" s="16"/>
      <c r="V22" s="16"/>
      <c r="W22" s="16"/>
      <c r="X22" s="16"/>
      <c r="Y22" s="18"/>
    </row>
    <row r="23" spans="1:25">
      <c r="A23" s="34" t="s">
        <v>2594</v>
      </c>
      <c r="B23" s="33" t="s">
        <v>2593</v>
      </c>
      <c r="C23" s="33" t="s">
        <v>3817</v>
      </c>
      <c r="D23" s="33" t="s">
        <v>3618</v>
      </c>
      <c r="E23" s="33" t="s">
        <v>3638</v>
      </c>
      <c r="F23" s="33" t="s">
        <v>3459</v>
      </c>
      <c r="G23" s="33" t="s">
        <v>3460</v>
      </c>
      <c r="H23" s="40">
        <f t="shared" si="0"/>
        <v>1.8450980400142569</v>
      </c>
      <c r="I23" s="40">
        <v>70</v>
      </c>
      <c r="J23" s="79" t="s">
        <v>6193</v>
      </c>
      <c r="K23" s="102" t="s">
        <v>6358</v>
      </c>
      <c r="L23" s="85"/>
      <c r="M23" s="85"/>
      <c r="N23" s="85"/>
      <c r="O23" s="16"/>
      <c r="P23" s="16"/>
      <c r="Q23" s="16"/>
      <c r="R23" s="16"/>
      <c r="S23" s="16"/>
      <c r="T23" s="16"/>
      <c r="U23" s="16"/>
      <c r="V23" s="16"/>
      <c r="W23" s="16"/>
      <c r="X23" s="16"/>
      <c r="Y23" s="18"/>
    </row>
    <row r="24" spans="1:25">
      <c r="A24" s="34" t="s">
        <v>2594</v>
      </c>
      <c r="B24" s="33" t="s">
        <v>2593</v>
      </c>
      <c r="C24" s="33" t="s">
        <v>3817</v>
      </c>
      <c r="D24" s="33" t="s">
        <v>3618</v>
      </c>
      <c r="E24" s="33" t="s">
        <v>3638</v>
      </c>
      <c r="F24" s="33" t="s">
        <v>3459</v>
      </c>
      <c r="G24" s="33" t="s">
        <v>3156</v>
      </c>
      <c r="H24" s="40">
        <f t="shared" si="0"/>
        <v>2</v>
      </c>
      <c r="I24" s="40">
        <v>100</v>
      </c>
      <c r="J24" s="79" t="s">
        <v>3356</v>
      </c>
      <c r="K24" s="102" t="s">
        <v>6358</v>
      </c>
      <c r="L24" s="85"/>
      <c r="M24" s="85" t="s">
        <v>6641</v>
      </c>
      <c r="N24" s="85" t="s">
        <v>7071</v>
      </c>
      <c r="O24" s="16"/>
      <c r="P24" s="16"/>
      <c r="Q24" s="16"/>
      <c r="R24" s="16"/>
      <c r="S24" s="16"/>
      <c r="T24" s="16"/>
      <c r="U24" s="16"/>
      <c r="V24" s="16"/>
      <c r="W24" s="16"/>
      <c r="X24" s="16"/>
      <c r="Y24" s="18"/>
    </row>
    <row r="25" spans="1:25">
      <c r="A25" s="34" t="s">
        <v>2594</v>
      </c>
      <c r="B25" s="33" t="s">
        <v>2593</v>
      </c>
      <c r="C25" s="33" t="s">
        <v>3817</v>
      </c>
      <c r="D25" s="33" t="s">
        <v>3618</v>
      </c>
      <c r="E25" s="33" t="s">
        <v>3638</v>
      </c>
      <c r="F25" s="33" t="s">
        <v>3459</v>
      </c>
      <c r="G25" s="33" t="s">
        <v>3073</v>
      </c>
      <c r="H25" s="40">
        <f t="shared" si="0"/>
        <v>1.8750612633917001</v>
      </c>
      <c r="I25" s="40">
        <v>75</v>
      </c>
      <c r="J25" s="79"/>
      <c r="K25" s="102" t="s">
        <v>6358</v>
      </c>
      <c r="L25" s="85" t="s">
        <v>6152</v>
      </c>
      <c r="M25" s="85"/>
      <c r="N25" s="85"/>
      <c r="O25" s="16"/>
      <c r="P25" s="16"/>
      <c r="Q25" s="16"/>
      <c r="R25" s="16"/>
      <c r="S25" s="16"/>
      <c r="T25" s="16"/>
      <c r="U25" s="16"/>
      <c r="V25" s="16"/>
      <c r="W25" s="16"/>
      <c r="X25" s="16"/>
      <c r="Y25" s="18"/>
    </row>
    <row r="26" spans="1:25" ht="25.5">
      <c r="A26" s="34" t="s">
        <v>2594</v>
      </c>
      <c r="B26" s="33" t="s">
        <v>2593</v>
      </c>
      <c r="C26" s="33" t="s">
        <v>3817</v>
      </c>
      <c r="D26" s="33" t="s">
        <v>3618</v>
      </c>
      <c r="E26" s="33" t="s">
        <v>3638</v>
      </c>
      <c r="F26" s="33" t="s">
        <v>3459</v>
      </c>
      <c r="G26" s="33" t="s">
        <v>3461</v>
      </c>
      <c r="H26" s="40">
        <f t="shared" si="0"/>
        <v>1.954242509439325</v>
      </c>
      <c r="I26" s="40">
        <v>90</v>
      </c>
      <c r="J26" s="79" t="s">
        <v>2708</v>
      </c>
      <c r="K26" s="102" t="s">
        <v>6358</v>
      </c>
      <c r="L26" s="85"/>
      <c r="M26" s="85"/>
      <c r="N26" s="85"/>
      <c r="O26" s="16"/>
      <c r="P26" s="16"/>
      <c r="Q26" s="16"/>
      <c r="R26" s="16"/>
      <c r="S26" s="16"/>
      <c r="T26" s="16"/>
      <c r="U26" s="16"/>
      <c r="V26" s="16"/>
      <c r="W26" s="16"/>
      <c r="X26" s="16"/>
      <c r="Y26" s="18"/>
    </row>
    <row r="27" spans="1:25">
      <c r="A27" s="34" t="s">
        <v>2594</v>
      </c>
      <c r="B27" s="33" t="s">
        <v>2593</v>
      </c>
      <c r="C27" s="33" t="s">
        <v>3817</v>
      </c>
      <c r="D27" s="33" t="s">
        <v>3618</v>
      </c>
      <c r="E27" s="33" t="s">
        <v>3638</v>
      </c>
      <c r="F27" s="33" t="s">
        <v>3459</v>
      </c>
      <c r="G27" s="33" t="s">
        <v>3655</v>
      </c>
      <c r="H27" s="40">
        <f t="shared" si="0"/>
        <v>1.8750612633917001</v>
      </c>
      <c r="I27" s="40">
        <v>75</v>
      </c>
      <c r="J27" s="79" t="s">
        <v>6296</v>
      </c>
      <c r="K27" s="102" t="s">
        <v>6358</v>
      </c>
      <c r="L27" s="85"/>
      <c r="M27" s="85" t="s">
        <v>6641</v>
      </c>
      <c r="N27" s="85" t="s">
        <v>6642</v>
      </c>
      <c r="O27" s="16"/>
      <c r="P27" s="16"/>
      <c r="Q27" s="16"/>
      <c r="R27" s="16"/>
      <c r="S27" s="16"/>
      <c r="T27" s="16"/>
      <c r="U27" s="16"/>
      <c r="V27" s="16"/>
      <c r="W27" s="16"/>
      <c r="X27" s="16"/>
      <c r="Y27" s="18"/>
    </row>
    <row r="28" spans="1:25">
      <c r="A28" s="47" t="s">
        <v>2594</v>
      </c>
      <c r="B28" t="s">
        <v>2593</v>
      </c>
      <c r="C28" t="s">
        <v>3817</v>
      </c>
      <c r="D28" t="s">
        <v>2663</v>
      </c>
      <c r="E28" t="s">
        <v>2839</v>
      </c>
      <c r="F28" s="33" t="s">
        <v>2840</v>
      </c>
      <c r="G28" s="33" t="s">
        <v>5862</v>
      </c>
      <c r="H28">
        <f t="shared" si="0"/>
        <v>0.65321251377534373</v>
      </c>
      <c r="I28" s="40">
        <v>4.5</v>
      </c>
      <c r="J28" s="79" t="s">
        <v>2841</v>
      </c>
      <c r="K28" s="102" t="s">
        <v>6358</v>
      </c>
      <c r="M28" s="85" t="s">
        <v>6641</v>
      </c>
      <c r="N28" s="85" t="s">
        <v>6988</v>
      </c>
      <c r="O28" s="16"/>
      <c r="P28" s="16"/>
      <c r="Q28" s="16"/>
      <c r="R28" s="16"/>
      <c r="S28" s="16"/>
      <c r="T28" s="16"/>
      <c r="U28" s="16"/>
      <c r="V28" s="16"/>
      <c r="W28" s="16"/>
      <c r="X28" s="16"/>
      <c r="Y28" s="18"/>
    </row>
    <row r="29" spans="1:25">
      <c r="A29" s="47" t="s">
        <v>2594</v>
      </c>
      <c r="B29" t="s">
        <v>2593</v>
      </c>
      <c r="C29" t="s">
        <v>3817</v>
      </c>
      <c r="D29" t="s">
        <v>2663</v>
      </c>
      <c r="E29" t="s">
        <v>6205</v>
      </c>
      <c r="F29" s="33" t="s">
        <v>6273</v>
      </c>
      <c r="G29" s="33" t="s">
        <v>6274</v>
      </c>
      <c r="H29">
        <f t="shared" si="0"/>
        <v>0.81291335664285558</v>
      </c>
      <c r="I29" s="40">
        <v>6.5</v>
      </c>
      <c r="J29" s="106" t="s">
        <v>6275</v>
      </c>
      <c r="K29" s="102" t="s">
        <v>6358</v>
      </c>
      <c r="M29" s="85"/>
      <c r="N29" s="85"/>
      <c r="O29" s="16"/>
      <c r="P29" s="16"/>
      <c r="Q29" s="16"/>
      <c r="R29" s="16"/>
      <c r="S29" s="16"/>
      <c r="T29" s="16"/>
      <c r="U29" s="16"/>
      <c r="V29" s="16"/>
      <c r="W29" s="16"/>
      <c r="X29" s="16"/>
      <c r="Y29" s="18"/>
    </row>
    <row r="30" spans="1:25">
      <c r="A30" s="47" t="s">
        <v>2594</v>
      </c>
      <c r="B30" t="s">
        <v>2593</v>
      </c>
      <c r="C30" t="s">
        <v>3817</v>
      </c>
      <c r="D30" t="s">
        <v>2663</v>
      </c>
      <c r="E30" t="s">
        <v>6205</v>
      </c>
      <c r="F30" s="33" t="s">
        <v>6273</v>
      </c>
      <c r="G30" s="33" t="s">
        <v>4104</v>
      </c>
      <c r="H30">
        <f t="shared" si="0"/>
        <v>0.95424250943932487</v>
      </c>
      <c r="I30" s="40">
        <v>9</v>
      </c>
      <c r="J30" s="82">
        <v>9</v>
      </c>
      <c r="K30" s="102" t="s">
        <v>6358</v>
      </c>
      <c r="M30" s="85"/>
      <c r="N30" s="85"/>
      <c r="O30" s="16"/>
      <c r="P30" s="16"/>
      <c r="Q30" s="16"/>
      <c r="R30" s="16"/>
      <c r="S30" s="16"/>
      <c r="T30" s="16"/>
      <c r="U30" s="16"/>
      <c r="V30" s="16"/>
      <c r="W30" s="16"/>
      <c r="X30" s="16"/>
      <c r="Y30" s="18"/>
    </row>
    <row r="31" spans="1:25" ht="38.25">
      <c r="A31" s="34" t="s">
        <v>2594</v>
      </c>
      <c r="B31" s="33" t="s">
        <v>2593</v>
      </c>
      <c r="C31" s="33" t="s">
        <v>3817</v>
      </c>
      <c r="D31" s="33" t="s">
        <v>7250</v>
      </c>
      <c r="E31" s="33" t="s">
        <v>8133</v>
      </c>
      <c r="F31" s="33" t="s">
        <v>5659</v>
      </c>
      <c r="G31" s="33" t="s">
        <v>5660</v>
      </c>
      <c r="H31" s="40">
        <f t="shared" si="0"/>
        <v>3.2174839442139063</v>
      </c>
      <c r="I31" s="40">
        <v>1650</v>
      </c>
      <c r="J31" s="79" t="s">
        <v>2671</v>
      </c>
      <c r="K31" s="102" t="s">
        <v>6358</v>
      </c>
      <c r="L31" s="85" t="s">
        <v>1321</v>
      </c>
      <c r="M31" s="82" t="s">
        <v>7081</v>
      </c>
      <c r="N31" s="85" t="s">
        <v>6988</v>
      </c>
      <c r="O31" s="16"/>
      <c r="P31" s="16"/>
      <c r="Q31" s="16"/>
      <c r="R31" s="16"/>
      <c r="S31" s="16"/>
      <c r="T31" s="16"/>
      <c r="U31" s="16"/>
      <c r="V31" s="16"/>
      <c r="W31" s="16"/>
      <c r="X31" s="16"/>
      <c r="Y31" s="18"/>
    </row>
    <row r="32" spans="1:25" ht="63.75">
      <c r="A32" s="34" t="s">
        <v>2594</v>
      </c>
      <c r="B32" s="33" t="s">
        <v>2593</v>
      </c>
      <c r="C32" s="33" t="s">
        <v>3817</v>
      </c>
      <c r="D32" s="33" t="s">
        <v>7250</v>
      </c>
      <c r="E32" s="33" t="s">
        <v>8133</v>
      </c>
      <c r="F32" s="33" t="s">
        <v>5659</v>
      </c>
      <c r="G32" s="33" t="s">
        <v>6528</v>
      </c>
      <c r="H32" s="40">
        <f t="shared" si="0"/>
        <v>3.4983105537896004</v>
      </c>
      <c r="I32" s="40">
        <v>3150</v>
      </c>
      <c r="J32" s="79" t="s">
        <v>6736</v>
      </c>
      <c r="K32" s="102">
        <v>68</v>
      </c>
      <c r="L32" s="85" t="s">
        <v>2793</v>
      </c>
      <c r="N32" s="85"/>
      <c r="O32" s="16"/>
      <c r="P32" s="16"/>
      <c r="Q32" s="16"/>
      <c r="R32" s="16"/>
      <c r="S32" s="16"/>
      <c r="T32" s="16"/>
      <c r="U32" s="16"/>
      <c r="V32" s="16"/>
      <c r="W32" s="16"/>
      <c r="X32" s="16"/>
      <c r="Y32" s="18"/>
    </row>
    <row r="33" spans="1:25" ht="38.25">
      <c r="A33" s="34" t="s">
        <v>2594</v>
      </c>
      <c r="B33" s="33" t="s">
        <v>2593</v>
      </c>
      <c r="C33" s="33" t="s">
        <v>3817</v>
      </c>
      <c r="D33" s="33" t="s">
        <v>7250</v>
      </c>
      <c r="E33" s="33" t="s">
        <v>8133</v>
      </c>
      <c r="F33" s="33" t="s">
        <v>5659</v>
      </c>
      <c r="G33" s="33" t="s">
        <v>5661</v>
      </c>
      <c r="H33" s="40">
        <f t="shared" si="0"/>
        <v>3.3096301674258988</v>
      </c>
      <c r="I33" s="40">
        <v>2040</v>
      </c>
      <c r="J33" s="79" t="s">
        <v>6736</v>
      </c>
      <c r="K33" s="102">
        <v>68</v>
      </c>
      <c r="L33" s="85" t="s">
        <v>1626</v>
      </c>
      <c r="M33" s="82" t="s">
        <v>6641</v>
      </c>
      <c r="N33" s="85" t="s">
        <v>6988</v>
      </c>
      <c r="O33" s="16"/>
      <c r="P33" s="16"/>
      <c r="Q33" s="16"/>
      <c r="R33" s="16"/>
      <c r="S33" s="16"/>
      <c r="T33" s="16"/>
      <c r="U33" s="16"/>
      <c r="V33" s="16"/>
      <c r="W33" s="16"/>
      <c r="X33" s="16"/>
      <c r="Y33" s="18"/>
    </row>
    <row r="34" spans="1:25">
      <c r="A34" s="34" t="s">
        <v>2594</v>
      </c>
      <c r="B34" s="33" t="s">
        <v>2593</v>
      </c>
      <c r="C34" s="33" t="s">
        <v>3817</v>
      </c>
      <c r="D34" s="33" t="s">
        <v>7250</v>
      </c>
      <c r="E34" s="33" t="s">
        <v>8133</v>
      </c>
      <c r="F34" s="33" t="s">
        <v>5659</v>
      </c>
      <c r="G34" s="33" t="s">
        <v>5286</v>
      </c>
      <c r="H34" s="40">
        <f t="shared" si="0"/>
        <v>3.2041199826559246</v>
      </c>
      <c r="I34" s="40">
        <v>1600</v>
      </c>
      <c r="J34" s="79" t="s">
        <v>6736</v>
      </c>
      <c r="K34" s="102">
        <v>68</v>
      </c>
      <c r="L34" s="85" t="s">
        <v>5994</v>
      </c>
      <c r="M34" s="82" t="s">
        <v>6854</v>
      </c>
      <c r="N34" s="85" t="s">
        <v>6988</v>
      </c>
      <c r="O34" s="16"/>
      <c r="P34" s="16"/>
      <c r="Q34" s="16"/>
      <c r="R34" s="16"/>
      <c r="S34" s="16"/>
      <c r="T34" s="16"/>
      <c r="U34" s="16"/>
      <c r="V34" s="16"/>
      <c r="W34" s="16"/>
      <c r="X34" s="16"/>
      <c r="Y34" s="18"/>
    </row>
    <row r="35" spans="1:25">
      <c r="A35" s="34" t="s">
        <v>2594</v>
      </c>
      <c r="B35" s="33" t="s">
        <v>2593</v>
      </c>
      <c r="C35" s="33" t="s">
        <v>3817</v>
      </c>
      <c r="D35" s="33" t="s">
        <v>7250</v>
      </c>
      <c r="E35" s="33" t="s">
        <v>8133</v>
      </c>
      <c r="F35" s="33" t="s">
        <v>5659</v>
      </c>
      <c r="G35" s="33" t="s">
        <v>5647</v>
      </c>
      <c r="H35" s="40">
        <f t="shared" si="0"/>
        <v>3.1461280356782382</v>
      </c>
      <c r="I35" s="40">
        <v>1400</v>
      </c>
      <c r="J35" s="79" t="s">
        <v>6736</v>
      </c>
      <c r="K35" s="102">
        <v>68</v>
      </c>
      <c r="L35" s="85" t="s">
        <v>2977</v>
      </c>
      <c r="M35" s="82" t="s">
        <v>6641</v>
      </c>
      <c r="N35" s="85" t="s">
        <v>6988</v>
      </c>
      <c r="O35" s="16"/>
      <c r="P35" s="16"/>
      <c r="Q35" s="16"/>
      <c r="R35" s="16"/>
      <c r="S35" s="16"/>
      <c r="T35" s="16"/>
      <c r="U35" s="16"/>
      <c r="V35" s="16"/>
      <c r="W35" s="16"/>
      <c r="X35" s="16"/>
      <c r="Y35" s="18"/>
    </row>
    <row r="36" spans="1:25" ht="25.5">
      <c r="A36" s="34" t="s">
        <v>2594</v>
      </c>
      <c r="B36" s="33" t="s">
        <v>2593</v>
      </c>
      <c r="C36" s="33" t="s">
        <v>3817</v>
      </c>
      <c r="D36" s="33" t="s">
        <v>3954</v>
      </c>
      <c r="E36" s="33" t="s">
        <v>4908</v>
      </c>
      <c r="F36" s="33" t="s">
        <v>5349</v>
      </c>
      <c r="G36" s="33" t="s">
        <v>5798</v>
      </c>
      <c r="H36" s="40">
        <f t="shared" si="0"/>
        <v>3.4771212547196626</v>
      </c>
      <c r="I36" s="40">
        <v>3000</v>
      </c>
      <c r="J36" s="79" t="s">
        <v>6736</v>
      </c>
      <c r="K36" s="102">
        <v>68</v>
      </c>
      <c r="L36" s="85" t="s">
        <v>5906</v>
      </c>
      <c r="M36" s="82" t="s">
        <v>8062</v>
      </c>
      <c r="N36" s="85" t="s">
        <v>6640</v>
      </c>
      <c r="O36" s="16"/>
      <c r="P36" s="16"/>
      <c r="Q36" s="16"/>
      <c r="R36" s="16"/>
      <c r="S36" s="16"/>
      <c r="T36" s="16"/>
      <c r="U36" s="16"/>
      <c r="V36" s="16"/>
      <c r="W36" s="16"/>
      <c r="X36" s="16"/>
      <c r="Y36" s="18"/>
    </row>
    <row r="37" spans="1:25" ht="38.25">
      <c r="A37" s="34" t="s">
        <v>2594</v>
      </c>
      <c r="B37" s="33" t="s">
        <v>2593</v>
      </c>
      <c r="C37" s="33" t="s">
        <v>3817</v>
      </c>
      <c r="D37" s="33" t="s">
        <v>3954</v>
      </c>
      <c r="E37" s="33" t="s">
        <v>4908</v>
      </c>
      <c r="F37" s="33" t="s">
        <v>5415</v>
      </c>
      <c r="G37" s="33" t="s">
        <v>5555</v>
      </c>
      <c r="H37" s="40">
        <f t="shared" si="0"/>
        <v>3.1760912590556813</v>
      </c>
      <c r="I37" s="40">
        <v>1500</v>
      </c>
      <c r="J37" s="79" t="s">
        <v>6736</v>
      </c>
      <c r="K37" s="102">
        <v>68</v>
      </c>
      <c r="L37" s="85" t="s">
        <v>6083</v>
      </c>
      <c r="M37" s="79" t="s">
        <v>6909</v>
      </c>
      <c r="N37" s="85" t="s">
        <v>6988</v>
      </c>
      <c r="O37" s="16"/>
      <c r="P37" s="16"/>
      <c r="Q37" s="16"/>
      <c r="R37" s="16"/>
      <c r="S37" s="16"/>
      <c r="T37" s="16"/>
      <c r="U37" s="16"/>
      <c r="V37" s="16"/>
      <c r="W37" s="16"/>
      <c r="X37" s="16"/>
      <c r="Y37" s="18"/>
    </row>
    <row r="38" spans="1:25" ht="25.5">
      <c r="A38" s="34" t="s">
        <v>2594</v>
      </c>
      <c r="B38" s="33" t="s">
        <v>2593</v>
      </c>
      <c r="C38" s="33" t="s">
        <v>3817</v>
      </c>
      <c r="D38" s="33" t="s">
        <v>3954</v>
      </c>
      <c r="E38" s="33" t="s">
        <v>4180</v>
      </c>
      <c r="F38" s="33" t="s">
        <v>5115</v>
      </c>
      <c r="G38" s="33" t="s">
        <v>2076</v>
      </c>
      <c r="H38" s="40">
        <f t="shared" si="0"/>
        <v>2.9030899869919438</v>
      </c>
      <c r="I38" s="40">
        <v>800</v>
      </c>
      <c r="J38" s="79" t="s">
        <v>6736</v>
      </c>
      <c r="K38" s="102">
        <v>68</v>
      </c>
      <c r="L38" s="85" t="s">
        <v>5907</v>
      </c>
      <c r="M38" s="82" t="s">
        <v>8064</v>
      </c>
      <c r="N38" s="85" t="s">
        <v>6988</v>
      </c>
      <c r="O38" s="16"/>
      <c r="P38" s="16"/>
      <c r="Q38" s="16"/>
      <c r="R38" s="16"/>
      <c r="S38" s="16"/>
      <c r="T38" s="16"/>
      <c r="U38" s="16"/>
      <c r="V38" s="16"/>
      <c r="W38" s="16"/>
      <c r="X38" s="16"/>
      <c r="Y38" s="18"/>
    </row>
    <row r="39" spans="1:25" ht="25.5">
      <c r="A39" s="34" t="s">
        <v>2594</v>
      </c>
      <c r="B39" s="33" t="s">
        <v>2593</v>
      </c>
      <c r="C39" s="33" t="s">
        <v>3817</v>
      </c>
      <c r="D39" s="33" t="s">
        <v>3954</v>
      </c>
      <c r="E39" s="33" t="s">
        <v>4180</v>
      </c>
      <c r="F39" s="33" t="s">
        <v>8193</v>
      </c>
      <c r="G39" s="33" t="s">
        <v>7921</v>
      </c>
      <c r="H39" s="40">
        <f t="shared" si="0"/>
        <v>2.7403626894942437</v>
      </c>
      <c r="I39" s="40">
        <v>550</v>
      </c>
      <c r="J39" s="79" t="s">
        <v>1285</v>
      </c>
      <c r="K39" s="102" t="s">
        <v>6358</v>
      </c>
      <c r="L39" s="85"/>
      <c r="M39" s="82" t="s">
        <v>8064</v>
      </c>
      <c r="N39" s="85" t="s">
        <v>6988</v>
      </c>
      <c r="O39" s="16"/>
      <c r="P39" s="16"/>
      <c r="Q39" s="16"/>
      <c r="R39" s="16"/>
      <c r="S39" s="16"/>
      <c r="T39" s="16"/>
      <c r="U39" s="16"/>
      <c r="V39" s="16"/>
      <c r="W39" s="16"/>
      <c r="X39" s="16"/>
      <c r="Y39" s="18"/>
    </row>
    <row r="40" spans="1:25">
      <c r="A40" s="34" t="s">
        <v>2594</v>
      </c>
      <c r="B40" s="33" t="s">
        <v>2593</v>
      </c>
      <c r="C40" s="33" t="s">
        <v>3817</v>
      </c>
      <c r="D40" s="33" t="s">
        <v>3954</v>
      </c>
      <c r="E40" s="33" t="s">
        <v>4180</v>
      </c>
      <c r="F40" s="33" t="s">
        <v>8193</v>
      </c>
      <c r="G40" s="33" t="s">
        <v>3136</v>
      </c>
      <c r="H40" s="40">
        <f t="shared" si="0"/>
        <v>3.1461280356782382</v>
      </c>
      <c r="I40" s="40">
        <v>1400</v>
      </c>
      <c r="J40" s="79" t="s">
        <v>5983</v>
      </c>
      <c r="K40" s="102" t="s">
        <v>6358</v>
      </c>
      <c r="L40" s="85"/>
      <c r="M40" s="82" t="s">
        <v>6641</v>
      </c>
      <c r="N40" s="85" t="s">
        <v>6640</v>
      </c>
      <c r="O40" s="16"/>
      <c r="P40" s="16"/>
      <c r="Q40" s="16"/>
      <c r="R40" s="16"/>
      <c r="S40" s="16"/>
      <c r="T40" s="16"/>
      <c r="U40" s="16"/>
      <c r="V40" s="16"/>
      <c r="W40" s="16"/>
      <c r="X40" s="16"/>
      <c r="Y40" s="18"/>
    </row>
    <row r="41" spans="1:25" ht="25.5">
      <c r="A41" s="34" t="s">
        <v>2594</v>
      </c>
      <c r="B41" s="33" t="s">
        <v>2593</v>
      </c>
      <c r="C41" s="33" t="s">
        <v>3817</v>
      </c>
      <c r="D41" s="33" t="s">
        <v>7278</v>
      </c>
      <c r="E41" s="33" t="s">
        <v>7424</v>
      </c>
      <c r="F41" s="33" t="s">
        <v>6502</v>
      </c>
      <c r="G41" s="33" t="s">
        <v>4380</v>
      </c>
      <c r="H41" s="40">
        <f t="shared" si="0"/>
        <v>0.82607480270082645</v>
      </c>
      <c r="I41" s="40">
        <v>6.7</v>
      </c>
      <c r="J41" s="79" t="s">
        <v>6736</v>
      </c>
      <c r="K41" s="102" t="s">
        <v>1357</v>
      </c>
      <c r="L41" s="85" t="s">
        <v>1325</v>
      </c>
      <c r="M41" s="85"/>
      <c r="N41" s="85"/>
      <c r="O41" s="16"/>
      <c r="P41" s="16"/>
      <c r="Q41" s="16"/>
      <c r="R41" s="16"/>
      <c r="S41" s="16"/>
      <c r="T41" s="16"/>
      <c r="U41" s="16"/>
      <c r="V41" s="16"/>
      <c r="W41" s="16"/>
      <c r="X41" s="16"/>
      <c r="Y41" s="18"/>
    </row>
    <row r="42" spans="1:25">
      <c r="A42" s="34" t="s">
        <v>2594</v>
      </c>
      <c r="B42" s="33" t="s">
        <v>2593</v>
      </c>
      <c r="C42" s="33" t="s">
        <v>3817</v>
      </c>
      <c r="D42" s="33" t="s">
        <v>3618</v>
      </c>
      <c r="E42" s="33" t="s">
        <v>3638</v>
      </c>
      <c r="F42" s="33" t="s">
        <v>3656</v>
      </c>
      <c r="G42" s="33" t="s">
        <v>4665</v>
      </c>
      <c r="H42" s="40">
        <f t="shared" si="0"/>
        <v>1.9890046156985368</v>
      </c>
      <c r="I42" s="40">
        <v>97.5</v>
      </c>
      <c r="J42" s="79" t="s">
        <v>3356</v>
      </c>
      <c r="K42" s="102" t="s">
        <v>6358</v>
      </c>
      <c r="L42" s="85"/>
      <c r="M42" s="85" t="s">
        <v>6708</v>
      </c>
      <c r="N42" s="85" t="s">
        <v>6988</v>
      </c>
      <c r="O42" s="16"/>
      <c r="P42" s="16"/>
      <c r="Q42" s="16"/>
      <c r="R42" s="16"/>
      <c r="S42" s="16"/>
      <c r="T42" s="16"/>
      <c r="U42" s="16"/>
      <c r="V42" s="16"/>
      <c r="W42" s="16"/>
      <c r="X42" s="16"/>
      <c r="Y42" s="18"/>
    </row>
    <row r="43" spans="1:25">
      <c r="A43" s="34" t="s">
        <v>2594</v>
      </c>
      <c r="B43" s="33" t="s">
        <v>2593</v>
      </c>
      <c r="C43" s="33" t="s">
        <v>1478</v>
      </c>
      <c r="D43" s="33" t="s">
        <v>7250</v>
      </c>
      <c r="E43" s="33" t="s">
        <v>6270</v>
      </c>
      <c r="F43" s="33" t="s">
        <v>1423</v>
      </c>
      <c r="G43" s="33" t="s">
        <v>1424</v>
      </c>
      <c r="H43">
        <f t="shared" si="0"/>
        <v>4.2304489213782741</v>
      </c>
      <c r="I43">
        <v>17000</v>
      </c>
      <c r="J43" s="79" t="s">
        <v>1514</v>
      </c>
      <c r="K43" s="79" t="s">
        <v>6358</v>
      </c>
      <c r="N43" s="85"/>
      <c r="O43" s="16"/>
      <c r="P43" s="16"/>
      <c r="Q43" s="16"/>
      <c r="R43" s="16"/>
      <c r="S43" s="16"/>
      <c r="T43" s="16"/>
      <c r="U43" s="16"/>
      <c r="V43" s="16"/>
      <c r="W43" s="16"/>
      <c r="X43" s="16"/>
      <c r="Y43" s="18"/>
    </row>
    <row r="44" spans="1:25">
      <c r="A44" s="34" t="s">
        <v>2594</v>
      </c>
      <c r="B44" s="33" t="s">
        <v>2593</v>
      </c>
      <c r="C44" s="33" t="s">
        <v>3817</v>
      </c>
      <c r="D44" s="33" t="s">
        <v>7250</v>
      </c>
      <c r="E44" s="33" t="s">
        <v>8133</v>
      </c>
      <c r="F44" s="33" t="s">
        <v>5648</v>
      </c>
      <c r="G44" s="33" t="s">
        <v>7364</v>
      </c>
      <c r="H44" s="40">
        <f t="shared" si="0"/>
        <v>3.1972805581256192</v>
      </c>
      <c r="I44" s="40">
        <v>1575</v>
      </c>
      <c r="J44" s="79" t="s">
        <v>1330</v>
      </c>
      <c r="K44" s="102" t="s">
        <v>6358</v>
      </c>
      <c r="L44" s="85"/>
      <c r="M44" s="82" t="s">
        <v>6641</v>
      </c>
      <c r="N44" s="85" t="s">
        <v>7071</v>
      </c>
      <c r="O44" s="16"/>
      <c r="P44" s="16"/>
      <c r="Q44" s="16"/>
      <c r="R44" s="16"/>
      <c r="S44" s="16"/>
      <c r="T44" s="16"/>
      <c r="U44" s="16"/>
      <c r="V44" s="16"/>
      <c r="W44" s="16"/>
      <c r="X44" s="16"/>
      <c r="Y44" s="18"/>
    </row>
    <row r="45" spans="1:25">
      <c r="A45" s="34" t="s">
        <v>2594</v>
      </c>
      <c r="B45" s="33" t="s">
        <v>2593</v>
      </c>
      <c r="C45" s="33" t="s">
        <v>3817</v>
      </c>
      <c r="D45" s="33" t="s">
        <v>7250</v>
      </c>
      <c r="E45" s="33" t="s">
        <v>8133</v>
      </c>
      <c r="F45" s="33" t="s">
        <v>5648</v>
      </c>
      <c r="G45" s="33" t="s">
        <v>2210</v>
      </c>
      <c r="H45" s="40">
        <f t="shared" si="0"/>
        <v>2.9030899869919438</v>
      </c>
      <c r="I45" s="40">
        <v>800</v>
      </c>
      <c r="J45" s="79" t="s">
        <v>6736</v>
      </c>
      <c r="K45" s="102">
        <v>68</v>
      </c>
      <c r="L45" s="85" t="s">
        <v>1329</v>
      </c>
      <c r="N45" s="85"/>
      <c r="O45" s="16"/>
      <c r="P45" s="16"/>
      <c r="Q45" s="16"/>
      <c r="R45" s="16"/>
      <c r="S45" s="16"/>
      <c r="T45" s="16"/>
      <c r="U45" s="16"/>
      <c r="V45" s="16"/>
      <c r="W45" s="16"/>
      <c r="X45" s="16"/>
      <c r="Y45" s="18"/>
    </row>
    <row r="46" spans="1:25">
      <c r="A46" s="34" t="s">
        <v>2594</v>
      </c>
      <c r="B46" s="33" t="s">
        <v>2593</v>
      </c>
      <c r="C46" s="33" t="s">
        <v>3817</v>
      </c>
      <c r="D46" s="33" t="s">
        <v>7250</v>
      </c>
      <c r="E46" s="33" t="s">
        <v>8133</v>
      </c>
      <c r="F46" s="33" t="s">
        <v>5648</v>
      </c>
      <c r="G46" s="33" t="s">
        <v>8213</v>
      </c>
      <c r="H46" s="40">
        <f t="shared" si="0"/>
        <v>3.3710678622717363</v>
      </c>
      <c r="I46" s="40">
        <v>2350</v>
      </c>
      <c r="J46" s="79" t="s">
        <v>1331</v>
      </c>
      <c r="K46" s="102" t="s">
        <v>6358</v>
      </c>
      <c r="L46" s="85"/>
      <c r="M46" s="82" t="s">
        <v>6641</v>
      </c>
      <c r="N46" s="85" t="s">
        <v>7071</v>
      </c>
      <c r="O46" s="16"/>
      <c r="P46" s="16"/>
      <c r="Q46" s="16"/>
      <c r="R46" s="16"/>
      <c r="S46" s="16"/>
      <c r="T46" s="16"/>
      <c r="U46" s="16"/>
      <c r="V46" s="16"/>
      <c r="W46" s="16"/>
      <c r="X46" s="16"/>
      <c r="Y46" s="18"/>
    </row>
    <row r="47" spans="1:25">
      <c r="A47" s="34" t="s">
        <v>2594</v>
      </c>
      <c r="B47" s="33" t="s">
        <v>2593</v>
      </c>
      <c r="C47" s="33" t="s">
        <v>3817</v>
      </c>
      <c r="D47" s="33" t="s">
        <v>7278</v>
      </c>
      <c r="E47" s="33" t="s">
        <v>7424</v>
      </c>
      <c r="F47" s="33" t="s">
        <v>6283</v>
      </c>
      <c r="G47" s="33" t="s">
        <v>5979</v>
      </c>
      <c r="H47" s="40">
        <f t="shared" si="0"/>
        <v>2.0530784434834195</v>
      </c>
      <c r="I47" s="40">
        <v>113</v>
      </c>
      <c r="J47" s="79" t="s">
        <v>5980</v>
      </c>
      <c r="K47" s="102" t="s">
        <v>1357</v>
      </c>
      <c r="L47" s="85"/>
      <c r="M47" s="85"/>
      <c r="N47" s="85"/>
      <c r="O47" s="16"/>
      <c r="P47" s="16"/>
      <c r="Q47" s="16"/>
      <c r="R47" s="16"/>
      <c r="S47" s="16"/>
      <c r="T47" s="16"/>
      <c r="U47" s="16"/>
      <c r="V47" s="16"/>
      <c r="W47" s="16"/>
      <c r="X47" s="16"/>
      <c r="Y47" s="18"/>
    </row>
    <row r="48" spans="1:25" ht="25.5">
      <c r="A48" s="34" t="s">
        <v>2594</v>
      </c>
      <c r="B48" s="33" t="s">
        <v>2593</v>
      </c>
      <c r="C48" s="33" t="s">
        <v>3817</v>
      </c>
      <c r="D48" s="33" t="s">
        <v>7278</v>
      </c>
      <c r="E48" s="33" t="s">
        <v>7424</v>
      </c>
      <c r="F48" s="33" t="s">
        <v>6283</v>
      </c>
      <c r="G48" s="33" t="s">
        <v>5087</v>
      </c>
      <c r="H48" s="40">
        <f t="shared" si="0"/>
        <v>2.1392492175716069</v>
      </c>
      <c r="I48" s="40">
        <v>137.80000000000001</v>
      </c>
      <c r="J48" s="79" t="s">
        <v>6736</v>
      </c>
      <c r="K48" s="102" t="s">
        <v>1534</v>
      </c>
      <c r="L48" s="85" t="s">
        <v>5894</v>
      </c>
      <c r="M48" s="85"/>
      <c r="N48" s="85"/>
      <c r="O48" s="16"/>
      <c r="P48" s="16"/>
      <c r="Q48" s="16"/>
      <c r="R48" s="16"/>
      <c r="S48" s="16"/>
      <c r="T48" s="16"/>
      <c r="U48" s="16"/>
      <c r="V48" s="16"/>
      <c r="W48" s="16"/>
      <c r="X48" s="16"/>
      <c r="Y48" s="18"/>
    </row>
    <row r="49" spans="1:25">
      <c r="A49" s="34" t="s">
        <v>2594</v>
      </c>
      <c r="B49" s="33" t="s">
        <v>2593</v>
      </c>
      <c r="C49" s="33" t="s">
        <v>3931</v>
      </c>
      <c r="D49" s="33" t="s">
        <v>3001</v>
      </c>
      <c r="E49" s="33" t="s">
        <v>3719</v>
      </c>
      <c r="F49" s="33" t="s">
        <v>3720</v>
      </c>
      <c r="G49" s="33" t="s">
        <v>8119</v>
      </c>
      <c r="H49" s="40">
        <v>-999</v>
      </c>
      <c r="I49" s="40">
        <v>-999</v>
      </c>
      <c r="J49" s="79" t="s">
        <v>6187</v>
      </c>
      <c r="K49" s="102">
        <v>-999</v>
      </c>
      <c r="L49" s="85"/>
      <c r="N49" s="85" t="s">
        <v>6907</v>
      </c>
      <c r="O49" s="16"/>
      <c r="P49" s="16"/>
      <c r="Q49" s="16"/>
      <c r="R49" s="16"/>
      <c r="S49" s="16"/>
      <c r="T49" s="16"/>
      <c r="U49" s="16"/>
      <c r="V49" s="16"/>
      <c r="W49" s="16"/>
      <c r="X49" s="16"/>
      <c r="Y49" s="18"/>
    </row>
    <row r="50" spans="1:25" ht="38.25">
      <c r="A50" s="34" t="s">
        <v>2594</v>
      </c>
      <c r="B50" s="33" t="s">
        <v>2593</v>
      </c>
      <c r="C50" s="33" t="s">
        <v>1478</v>
      </c>
      <c r="D50" s="33" t="s">
        <v>3001</v>
      </c>
      <c r="E50" s="33" t="s">
        <v>3719</v>
      </c>
      <c r="F50" s="33" t="s">
        <v>3722</v>
      </c>
      <c r="G50" s="33" t="s">
        <v>6186</v>
      </c>
      <c r="H50">
        <f>LOG(I50)</f>
        <v>5.9754287416287593</v>
      </c>
      <c r="I50">
        <f>(2/3)*(1417489.99)</f>
        <v>944993.32666666666</v>
      </c>
      <c r="J50" s="79" t="s">
        <v>1451</v>
      </c>
      <c r="K50" s="79" t="s">
        <v>6358</v>
      </c>
      <c r="N50" s="85"/>
      <c r="O50" s="16"/>
      <c r="P50" s="16"/>
      <c r="Q50" s="16"/>
      <c r="R50" s="16"/>
      <c r="S50" s="16"/>
      <c r="T50" s="16"/>
      <c r="U50" s="16"/>
      <c r="V50" s="16"/>
      <c r="W50" s="16"/>
      <c r="X50" s="16"/>
      <c r="Y50" s="18"/>
    </row>
    <row r="51" spans="1:25" ht="25.5">
      <c r="A51" s="34" t="s">
        <v>2594</v>
      </c>
      <c r="B51" s="33" t="s">
        <v>2593</v>
      </c>
      <c r="C51" s="33" t="s">
        <v>6935</v>
      </c>
      <c r="D51" s="33" t="s">
        <v>3001</v>
      </c>
      <c r="E51" s="33" t="s">
        <v>3719</v>
      </c>
      <c r="F51" s="33" t="s">
        <v>3722</v>
      </c>
      <c r="G51" s="33" t="s">
        <v>8170</v>
      </c>
      <c r="H51" s="40">
        <v>-999</v>
      </c>
      <c r="I51" s="40">
        <v>-999</v>
      </c>
      <c r="J51" s="79" t="s">
        <v>1435</v>
      </c>
      <c r="K51" s="79" t="s">
        <v>6358</v>
      </c>
      <c r="M51" s="82" t="s">
        <v>1234</v>
      </c>
      <c r="N51" s="85" t="s">
        <v>6907</v>
      </c>
      <c r="O51" s="16"/>
      <c r="P51" s="16"/>
      <c r="Q51" s="16"/>
      <c r="R51" s="16"/>
      <c r="S51" s="16"/>
      <c r="T51" s="16"/>
      <c r="U51" s="16"/>
      <c r="V51" s="16"/>
      <c r="W51" s="16"/>
      <c r="X51" s="16"/>
      <c r="Y51" s="18"/>
    </row>
    <row r="52" spans="1:25">
      <c r="A52" s="47" t="s">
        <v>2594</v>
      </c>
      <c r="B52" t="s">
        <v>2593</v>
      </c>
      <c r="C52" t="s">
        <v>3817</v>
      </c>
      <c r="D52" t="s">
        <v>2663</v>
      </c>
      <c r="E52" t="s">
        <v>1425</v>
      </c>
      <c r="F52" s="33" t="s">
        <v>1724</v>
      </c>
      <c r="G52" s="33" t="s">
        <v>2377</v>
      </c>
      <c r="H52">
        <f t="shared" ref="H52:H83" si="1">LOG(I52)</f>
        <v>1.7781512503836436</v>
      </c>
      <c r="I52" s="40">
        <v>60</v>
      </c>
      <c r="J52" s="79" t="s">
        <v>5806</v>
      </c>
      <c r="K52" s="102" t="s">
        <v>6358</v>
      </c>
      <c r="M52" s="85"/>
      <c r="N52" s="85"/>
      <c r="O52" s="16"/>
      <c r="P52" s="16"/>
      <c r="Q52" s="16"/>
      <c r="R52" s="16"/>
      <c r="S52" s="16"/>
      <c r="T52" s="16"/>
      <c r="U52" s="16"/>
      <c r="V52" s="16"/>
      <c r="W52" s="16"/>
      <c r="X52" s="16"/>
      <c r="Y52" s="18"/>
    </row>
    <row r="53" spans="1:25" ht="25.5">
      <c r="A53" s="34" t="s">
        <v>2594</v>
      </c>
      <c r="B53" s="33" t="s">
        <v>2593</v>
      </c>
      <c r="C53" s="33" t="s">
        <v>3817</v>
      </c>
      <c r="D53" s="33" t="s">
        <v>3618</v>
      </c>
      <c r="E53" s="33" t="s">
        <v>3638</v>
      </c>
      <c r="F53" s="33" t="s">
        <v>8203</v>
      </c>
      <c r="G53" s="33" t="s">
        <v>8321</v>
      </c>
      <c r="H53" s="40">
        <f t="shared" si="1"/>
        <v>3.0969100130080562</v>
      </c>
      <c r="I53" s="40">
        <v>1250</v>
      </c>
      <c r="J53" s="79" t="s">
        <v>6736</v>
      </c>
      <c r="K53" s="102">
        <v>68</v>
      </c>
      <c r="L53" s="85" t="s">
        <v>2749</v>
      </c>
      <c r="M53" s="82" t="s">
        <v>6641</v>
      </c>
      <c r="N53" s="85" t="s">
        <v>6640</v>
      </c>
      <c r="O53" s="16"/>
      <c r="P53" s="16"/>
      <c r="Q53" s="16"/>
      <c r="R53" s="16"/>
      <c r="S53" s="16"/>
      <c r="T53" s="16"/>
      <c r="U53" s="16"/>
      <c r="V53" s="16"/>
      <c r="W53" s="16"/>
      <c r="X53" s="16"/>
      <c r="Y53" s="18"/>
    </row>
    <row r="54" spans="1:25">
      <c r="A54" s="34" t="s">
        <v>2594</v>
      </c>
      <c r="B54" s="33" t="s">
        <v>2593</v>
      </c>
      <c r="C54" s="33" t="s">
        <v>7085</v>
      </c>
      <c r="D54" s="33" t="s">
        <v>3618</v>
      </c>
      <c r="E54" s="33" t="s">
        <v>3638</v>
      </c>
      <c r="F54" s="33" t="s">
        <v>8203</v>
      </c>
      <c r="G54" s="33" t="s">
        <v>3789</v>
      </c>
      <c r="H54" t="e">
        <f t="shared" si="1"/>
        <v>#NUM!</v>
      </c>
      <c r="I54">
        <v>-999</v>
      </c>
      <c r="J54" s="79" t="s">
        <v>1228</v>
      </c>
      <c r="K54" s="79" t="s">
        <v>6358</v>
      </c>
      <c r="N54" s="85"/>
      <c r="O54" s="16"/>
      <c r="P54" s="16"/>
      <c r="Q54" s="16"/>
      <c r="R54" s="16"/>
      <c r="S54" s="16"/>
      <c r="T54" s="16"/>
      <c r="U54" s="16"/>
      <c r="V54" s="16"/>
      <c r="W54" s="16"/>
      <c r="X54" s="16"/>
      <c r="Y54" s="18"/>
    </row>
    <row r="55" spans="1:25">
      <c r="A55" s="34" t="s">
        <v>2594</v>
      </c>
      <c r="B55" s="33" t="s">
        <v>2593</v>
      </c>
      <c r="C55" s="33" t="s">
        <v>3817</v>
      </c>
      <c r="D55" s="33" t="s">
        <v>7250</v>
      </c>
      <c r="E55" s="33" t="s">
        <v>6739</v>
      </c>
      <c r="F55" s="33" t="s">
        <v>8122</v>
      </c>
      <c r="G55" s="33" t="s">
        <v>8123</v>
      </c>
      <c r="H55" s="40">
        <f t="shared" si="1"/>
        <v>3.9030899869919438</v>
      </c>
      <c r="I55" s="40">
        <v>8000</v>
      </c>
      <c r="J55" s="79" t="s">
        <v>6736</v>
      </c>
      <c r="K55" s="102">
        <v>68</v>
      </c>
      <c r="L55" s="85" t="s">
        <v>2949</v>
      </c>
      <c r="M55" s="82" t="s">
        <v>7081</v>
      </c>
      <c r="N55" s="85" t="s">
        <v>6640</v>
      </c>
      <c r="O55" s="16"/>
      <c r="P55" s="16"/>
      <c r="Q55" s="16"/>
      <c r="R55" s="16"/>
      <c r="S55" s="16"/>
      <c r="T55" s="16"/>
      <c r="U55" s="16"/>
      <c r="V55" s="16"/>
      <c r="W55" s="16"/>
      <c r="X55" s="16"/>
      <c r="Y55" s="18"/>
    </row>
    <row r="56" spans="1:25">
      <c r="A56" s="34" t="s">
        <v>2594</v>
      </c>
      <c r="B56" s="33" t="s">
        <v>2593</v>
      </c>
      <c r="C56" s="33" t="s">
        <v>3817</v>
      </c>
      <c r="D56" s="33" t="s">
        <v>7250</v>
      </c>
      <c r="E56" s="33" t="s">
        <v>8133</v>
      </c>
      <c r="F56" s="33" t="s">
        <v>5645</v>
      </c>
      <c r="G56" s="33" t="s">
        <v>8124</v>
      </c>
      <c r="H56" s="40">
        <f t="shared" si="1"/>
        <v>3.4623979978989561</v>
      </c>
      <c r="I56" s="40">
        <v>2900</v>
      </c>
      <c r="J56" s="79" t="s">
        <v>6736</v>
      </c>
      <c r="K56" s="102">
        <v>68</v>
      </c>
      <c r="L56" s="85" t="s">
        <v>2978</v>
      </c>
      <c r="M56" s="82" t="s">
        <v>6908</v>
      </c>
      <c r="N56" s="85" t="s">
        <v>6988</v>
      </c>
      <c r="O56" s="16"/>
      <c r="P56" s="16"/>
      <c r="Q56" s="16"/>
      <c r="R56" s="16"/>
      <c r="S56" s="16"/>
      <c r="T56" s="16"/>
      <c r="U56" s="16"/>
      <c r="V56" s="16"/>
      <c r="W56" s="16"/>
      <c r="X56" s="16"/>
      <c r="Y56" s="18"/>
    </row>
    <row r="57" spans="1:25">
      <c r="A57" s="34" t="s">
        <v>2594</v>
      </c>
      <c r="B57" s="33" t="s">
        <v>2593</v>
      </c>
      <c r="C57" s="33" t="s">
        <v>3817</v>
      </c>
      <c r="D57" s="33" t="s">
        <v>7250</v>
      </c>
      <c r="E57" s="33" t="s">
        <v>3338</v>
      </c>
      <c r="F57" s="33" t="s">
        <v>5871</v>
      </c>
      <c r="G57" s="33" t="s">
        <v>3630</v>
      </c>
      <c r="H57" s="40">
        <f t="shared" si="1"/>
        <v>2.6989700043360187</v>
      </c>
      <c r="I57" s="40">
        <v>500</v>
      </c>
      <c r="J57" s="79" t="s">
        <v>3356</v>
      </c>
      <c r="K57" s="102" t="s">
        <v>6358</v>
      </c>
      <c r="L57" s="85"/>
      <c r="M57" s="85" t="s">
        <v>6641</v>
      </c>
      <c r="N57" s="85" t="s">
        <v>6988</v>
      </c>
      <c r="O57" s="16"/>
      <c r="P57" s="16"/>
      <c r="Q57" s="16"/>
      <c r="R57" s="16"/>
      <c r="S57" s="16"/>
      <c r="T57" s="16"/>
      <c r="U57" s="16"/>
      <c r="V57" s="16"/>
      <c r="W57" s="16"/>
      <c r="X57" s="16"/>
      <c r="Y57" s="18"/>
    </row>
    <row r="58" spans="1:25">
      <c r="A58" s="34" t="s">
        <v>2594</v>
      </c>
      <c r="B58" s="33" t="s">
        <v>2593</v>
      </c>
      <c r="C58" s="33" t="s">
        <v>3817</v>
      </c>
      <c r="D58" s="33" t="s">
        <v>7250</v>
      </c>
      <c r="E58" s="33" t="s">
        <v>3338</v>
      </c>
      <c r="F58" s="33" t="s">
        <v>5871</v>
      </c>
      <c r="G58" s="33" t="s">
        <v>4060</v>
      </c>
      <c r="H58" s="40">
        <f t="shared" si="1"/>
        <v>2.8450980400142569</v>
      </c>
      <c r="I58" s="40">
        <v>700</v>
      </c>
      <c r="J58" s="79" t="s">
        <v>2680</v>
      </c>
      <c r="K58" s="102" t="s">
        <v>6358</v>
      </c>
      <c r="L58" s="85"/>
      <c r="M58" s="85" t="s">
        <v>6641</v>
      </c>
      <c r="N58" s="85" t="s">
        <v>6642</v>
      </c>
      <c r="O58" s="16"/>
      <c r="P58" s="16"/>
      <c r="Q58" s="16"/>
      <c r="R58" s="16"/>
      <c r="S58" s="16"/>
      <c r="T58" s="16"/>
      <c r="U58" s="16"/>
      <c r="V58" s="16"/>
      <c r="W58" s="16"/>
      <c r="X58" s="16"/>
      <c r="Y58" s="18"/>
    </row>
    <row r="59" spans="1:25">
      <c r="A59" s="34" t="s">
        <v>2594</v>
      </c>
      <c r="B59" s="33" t="s">
        <v>2593</v>
      </c>
      <c r="C59" s="33" t="s">
        <v>3817</v>
      </c>
      <c r="D59" s="33" t="s">
        <v>7250</v>
      </c>
      <c r="E59" s="33" t="s">
        <v>3338</v>
      </c>
      <c r="F59" s="33" t="s">
        <v>5871</v>
      </c>
      <c r="G59" s="33" t="s">
        <v>7491</v>
      </c>
      <c r="H59" s="40">
        <f t="shared" si="1"/>
        <v>2.7781512503836434</v>
      </c>
      <c r="I59" s="40">
        <v>600</v>
      </c>
      <c r="J59" s="79" t="s">
        <v>2682</v>
      </c>
      <c r="K59" s="102" t="s">
        <v>6358</v>
      </c>
      <c r="L59" s="85"/>
      <c r="M59" s="85" t="s">
        <v>6641</v>
      </c>
      <c r="N59" s="85" t="s">
        <v>6642</v>
      </c>
      <c r="O59" s="16"/>
      <c r="P59" s="16"/>
      <c r="Q59" s="16"/>
      <c r="R59" s="16"/>
      <c r="S59" s="16"/>
      <c r="T59" s="16"/>
      <c r="U59" s="16"/>
      <c r="V59" s="16"/>
      <c r="W59" s="16"/>
      <c r="X59" s="16"/>
      <c r="Y59" s="18"/>
    </row>
    <row r="60" spans="1:25">
      <c r="A60" s="34" t="s">
        <v>2594</v>
      </c>
      <c r="B60" s="33" t="s">
        <v>2593</v>
      </c>
      <c r="C60" s="33" t="s">
        <v>3817</v>
      </c>
      <c r="D60" s="33" t="s">
        <v>7250</v>
      </c>
      <c r="E60" s="33" t="s">
        <v>3338</v>
      </c>
      <c r="F60" s="33" t="s">
        <v>5871</v>
      </c>
      <c r="G60" s="33" t="s">
        <v>1995</v>
      </c>
      <c r="H60" s="40">
        <f t="shared" si="1"/>
        <v>2.9542425094393248</v>
      </c>
      <c r="I60" s="40">
        <v>900</v>
      </c>
      <c r="J60" s="79" t="s">
        <v>2678</v>
      </c>
      <c r="K60" s="102" t="s">
        <v>6358</v>
      </c>
      <c r="L60" s="85"/>
      <c r="M60" s="85" t="s">
        <v>6641</v>
      </c>
      <c r="N60" s="85" t="s">
        <v>6642</v>
      </c>
      <c r="O60" s="16"/>
      <c r="P60" s="16"/>
      <c r="Q60" s="16"/>
      <c r="R60" s="16"/>
      <c r="S60" s="16"/>
      <c r="T60" s="16"/>
      <c r="U60" s="16"/>
      <c r="V60" s="16"/>
      <c r="W60" s="16"/>
      <c r="X60" s="16"/>
      <c r="Y60" s="18"/>
    </row>
    <row r="61" spans="1:25" ht="25.5">
      <c r="A61" s="34" t="s">
        <v>2594</v>
      </c>
      <c r="B61" s="33" t="s">
        <v>2593</v>
      </c>
      <c r="C61" s="33" t="s">
        <v>3817</v>
      </c>
      <c r="D61" s="33" t="s">
        <v>7250</v>
      </c>
      <c r="E61" s="33" t="s">
        <v>3338</v>
      </c>
      <c r="F61" s="33" t="s">
        <v>5871</v>
      </c>
      <c r="G61" s="33" t="s">
        <v>5872</v>
      </c>
      <c r="H61" s="40">
        <f t="shared" si="1"/>
        <v>2.888179493918325</v>
      </c>
      <c r="I61" s="40">
        <v>773</v>
      </c>
      <c r="J61" s="79" t="s">
        <v>6736</v>
      </c>
      <c r="K61" s="102">
        <v>68</v>
      </c>
      <c r="L61" s="85" t="s">
        <v>1535</v>
      </c>
      <c r="M61" s="85" t="s">
        <v>6641</v>
      </c>
      <c r="N61" s="85" t="s">
        <v>6642</v>
      </c>
      <c r="O61" s="16"/>
      <c r="P61" s="16"/>
      <c r="Q61" s="16"/>
      <c r="R61" s="16"/>
      <c r="S61" s="16"/>
      <c r="T61" s="16"/>
      <c r="U61" s="16"/>
      <c r="V61" s="16"/>
      <c r="W61" s="16"/>
      <c r="X61" s="16"/>
      <c r="Y61" s="18"/>
    </row>
    <row r="62" spans="1:25">
      <c r="A62" s="34" t="s">
        <v>2594</v>
      </c>
      <c r="B62" s="33" t="s">
        <v>2593</v>
      </c>
      <c r="C62" s="33" t="s">
        <v>3817</v>
      </c>
      <c r="D62" s="33" t="s">
        <v>7250</v>
      </c>
      <c r="E62" s="33" t="s">
        <v>3338</v>
      </c>
      <c r="F62" s="33" t="s">
        <v>5871</v>
      </c>
      <c r="G62" s="33" t="s">
        <v>5701</v>
      </c>
      <c r="H62" s="40">
        <f t="shared" si="1"/>
        <v>2.8129133566428557</v>
      </c>
      <c r="I62" s="40">
        <v>650</v>
      </c>
      <c r="J62" s="79" t="s">
        <v>2681</v>
      </c>
      <c r="K62" s="102" t="s">
        <v>6358</v>
      </c>
      <c r="L62" s="85"/>
      <c r="M62" s="85" t="s">
        <v>7081</v>
      </c>
      <c r="N62" s="85" t="s">
        <v>6642</v>
      </c>
      <c r="O62" s="16"/>
      <c r="P62" s="16"/>
      <c r="Q62" s="16"/>
      <c r="R62" s="16"/>
      <c r="S62" s="16"/>
      <c r="T62" s="16"/>
      <c r="U62" s="16"/>
      <c r="V62" s="16"/>
      <c r="W62" s="16"/>
      <c r="X62" s="16"/>
      <c r="Y62" s="18"/>
    </row>
    <row r="63" spans="1:25">
      <c r="A63" s="34" t="s">
        <v>2594</v>
      </c>
      <c r="B63" s="33" t="s">
        <v>2593</v>
      </c>
      <c r="C63" s="33" t="s">
        <v>3817</v>
      </c>
      <c r="D63" s="33" t="s">
        <v>7250</v>
      </c>
      <c r="E63" s="33" t="s">
        <v>3338</v>
      </c>
      <c r="F63" s="33" t="s">
        <v>5871</v>
      </c>
      <c r="G63" s="33" t="s">
        <v>5935</v>
      </c>
      <c r="H63" s="40">
        <f t="shared" si="1"/>
        <v>2.8750612633917001</v>
      </c>
      <c r="I63" s="40">
        <v>750</v>
      </c>
      <c r="J63" s="79" t="s">
        <v>2679</v>
      </c>
      <c r="K63" s="102" t="s">
        <v>6358</v>
      </c>
      <c r="L63" s="85"/>
      <c r="M63" s="85" t="s">
        <v>6641</v>
      </c>
      <c r="N63" s="85" t="s">
        <v>6988</v>
      </c>
      <c r="O63" s="16"/>
      <c r="P63" s="16"/>
      <c r="Q63" s="16"/>
      <c r="R63" s="16"/>
      <c r="S63" s="16"/>
      <c r="T63" s="16"/>
      <c r="U63" s="16"/>
      <c r="V63" s="16"/>
      <c r="W63" s="16"/>
      <c r="X63" s="16"/>
      <c r="Y63" s="18"/>
    </row>
    <row r="64" spans="1:25" ht="25.5">
      <c r="A64" s="34" t="s">
        <v>2594</v>
      </c>
      <c r="B64" s="33" t="s">
        <v>2593</v>
      </c>
      <c r="C64" s="33" t="s">
        <v>3817</v>
      </c>
      <c r="D64" s="33" t="s">
        <v>7278</v>
      </c>
      <c r="E64" s="33" t="s">
        <v>7424</v>
      </c>
      <c r="F64" s="33" t="s">
        <v>6284</v>
      </c>
      <c r="G64" s="33" t="s">
        <v>6285</v>
      </c>
      <c r="H64" s="40">
        <f t="shared" si="1"/>
        <v>1.8904210188009143</v>
      </c>
      <c r="I64" s="40">
        <v>77.7</v>
      </c>
      <c r="J64" s="79" t="s">
        <v>6736</v>
      </c>
      <c r="K64" s="102" t="s">
        <v>1357</v>
      </c>
      <c r="L64" s="85" t="s">
        <v>2298</v>
      </c>
      <c r="M64" s="85" t="s">
        <v>6552</v>
      </c>
      <c r="N64" s="85" t="s">
        <v>6640</v>
      </c>
      <c r="O64" s="16"/>
      <c r="P64" s="16"/>
      <c r="Q64" s="16"/>
      <c r="R64" s="16"/>
      <c r="S64" s="16"/>
      <c r="T64" s="16"/>
      <c r="U64" s="16"/>
      <c r="V64" s="16"/>
      <c r="W64" s="16"/>
      <c r="X64" s="16"/>
      <c r="Y64" s="18"/>
    </row>
    <row r="65" spans="1:25">
      <c r="A65" s="34" t="s">
        <v>2594</v>
      </c>
      <c r="B65" s="33" t="s">
        <v>2593</v>
      </c>
      <c r="C65" s="33" t="s">
        <v>3817</v>
      </c>
      <c r="D65" s="33" t="s">
        <v>3618</v>
      </c>
      <c r="E65" s="33" t="s">
        <v>3638</v>
      </c>
      <c r="F65" s="33" t="s">
        <v>3657</v>
      </c>
      <c r="G65" s="33" t="s">
        <v>5594</v>
      </c>
      <c r="H65" s="40">
        <f t="shared" si="1"/>
        <v>1.3979400086720377</v>
      </c>
      <c r="I65" s="40">
        <v>25</v>
      </c>
      <c r="J65" s="79" t="s">
        <v>1190</v>
      </c>
      <c r="K65" s="79" t="s">
        <v>6358</v>
      </c>
      <c r="L65" s="85"/>
      <c r="M65" s="85"/>
      <c r="N65" s="85"/>
      <c r="O65" s="16"/>
      <c r="P65" s="16"/>
      <c r="Q65" s="16"/>
      <c r="R65" s="16"/>
      <c r="S65" s="16"/>
      <c r="T65" s="16"/>
      <c r="U65" s="16"/>
      <c r="V65" s="16"/>
      <c r="W65" s="16"/>
      <c r="X65" s="16"/>
      <c r="Y65" s="18"/>
    </row>
    <row r="66" spans="1:25">
      <c r="A66" s="34" t="s">
        <v>2594</v>
      </c>
      <c r="B66" s="33" t="s">
        <v>2593</v>
      </c>
      <c r="C66" s="33" t="s">
        <v>3817</v>
      </c>
      <c r="D66" s="33" t="s">
        <v>3618</v>
      </c>
      <c r="E66" s="33" t="s">
        <v>3638</v>
      </c>
      <c r="F66" s="33" t="s">
        <v>3657</v>
      </c>
      <c r="G66" s="33" t="s">
        <v>3159</v>
      </c>
      <c r="H66" s="40">
        <f t="shared" si="1"/>
        <v>1.7403626894942439</v>
      </c>
      <c r="I66" s="40">
        <v>55</v>
      </c>
      <c r="J66" s="79" t="s">
        <v>5902</v>
      </c>
      <c r="K66" s="79" t="s">
        <v>6358</v>
      </c>
      <c r="L66" s="85"/>
      <c r="M66" s="85" t="s">
        <v>6641</v>
      </c>
      <c r="N66" s="85" t="s">
        <v>7071</v>
      </c>
      <c r="O66" s="16"/>
      <c r="P66" s="16"/>
      <c r="Q66" s="16"/>
      <c r="R66" s="16"/>
      <c r="S66" s="16"/>
      <c r="T66" s="16"/>
      <c r="U66" s="16"/>
      <c r="V66" s="16"/>
      <c r="W66" s="16"/>
      <c r="X66" s="16"/>
      <c r="Y66" s="18"/>
    </row>
    <row r="67" spans="1:25">
      <c r="A67" s="34" t="s">
        <v>2594</v>
      </c>
      <c r="B67" s="33" t="s">
        <v>2593</v>
      </c>
      <c r="C67" s="33" t="s">
        <v>3817</v>
      </c>
      <c r="D67" s="33" t="s">
        <v>3618</v>
      </c>
      <c r="E67" s="33" t="s">
        <v>3340</v>
      </c>
      <c r="F67" s="33" t="s">
        <v>5032</v>
      </c>
      <c r="G67" s="33" t="s">
        <v>5033</v>
      </c>
      <c r="H67" s="40">
        <f t="shared" si="1"/>
        <v>2.287801729930226</v>
      </c>
      <c r="I67" s="40">
        <v>194</v>
      </c>
      <c r="J67" s="79" t="s">
        <v>6736</v>
      </c>
      <c r="K67" s="102">
        <v>68</v>
      </c>
      <c r="L67" s="85"/>
      <c r="M67" s="85"/>
      <c r="N67" s="85"/>
      <c r="O67" s="16"/>
      <c r="P67" s="16"/>
      <c r="Q67" s="16"/>
      <c r="R67" s="16"/>
      <c r="S67" s="16"/>
      <c r="T67" s="16"/>
      <c r="U67" s="16"/>
      <c r="V67" s="16"/>
      <c r="W67" s="16"/>
      <c r="X67" s="16"/>
      <c r="Y67" s="18"/>
    </row>
    <row r="68" spans="1:25">
      <c r="A68" s="34" t="s">
        <v>2594</v>
      </c>
      <c r="B68" s="33" t="s">
        <v>2593</v>
      </c>
      <c r="C68" s="33" t="s">
        <v>1481</v>
      </c>
      <c r="D68" s="33" t="s">
        <v>7250</v>
      </c>
      <c r="E68" s="33" t="s">
        <v>3338</v>
      </c>
      <c r="F68" s="33" t="s">
        <v>1482</v>
      </c>
      <c r="G68" s="33" t="s">
        <v>4060</v>
      </c>
      <c r="H68">
        <f t="shared" si="1"/>
        <v>4.8750612633917001</v>
      </c>
      <c r="I68">
        <v>75000</v>
      </c>
      <c r="J68" s="79" t="s">
        <v>1484</v>
      </c>
      <c r="K68" s="79" t="s">
        <v>6358</v>
      </c>
      <c r="N68" s="85"/>
      <c r="O68" s="16"/>
      <c r="P68" s="16"/>
      <c r="Q68" s="16"/>
      <c r="R68" s="16"/>
      <c r="S68" s="16"/>
      <c r="T68" s="16"/>
      <c r="U68" s="16"/>
      <c r="V68" s="16"/>
      <c r="W68" s="16"/>
      <c r="X68" s="16"/>
      <c r="Y68" s="18"/>
    </row>
    <row r="69" spans="1:25">
      <c r="A69" s="34" t="s">
        <v>2594</v>
      </c>
      <c r="B69" s="33" t="s">
        <v>2593</v>
      </c>
      <c r="C69" s="33" t="s">
        <v>1481</v>
      </c>
      <c r="D69" s="33" t="s">
        <v>7250</v>
      </c>
      <c r="E69" s="33" t="s">
        <v>3338</v>
      </c>
      <c r="F69" s="33" t="s">
        <v>1482</v>
      </c>
      <c r="G69" s="33" t="s">
        <v>3136</v>
      </c>
      <c r="H69">
        <f t="shared" si="1"/>
        <v>4.720159303405957</v>
      </c>
      <c r="I69">
        <v>52500</v>
      </c>
      <c r="J69" s="79" t="s">
        <v>1483</v>
      </c>
      <c r="K69" s="79" t="s">
        <v>6358</v>
      </c>
      <c r="N69" s="85"/>
      <c r="O69" s="16"/>
      <c r="P69" s="16"/>
      <c r="Q69" s="16"/>
      <c r="R69" s="16"/>
      <c r="S69" s="16"/>
      <c r="T69" s="16"/>
      <c r="U69" s="16"/>
      <c r="V69" s="16"/>
      <c r="W69" s="16"/>
      <c r="X69" s="16"/>
      <c r="Y69" s="18"/>
    </row>
    <row r="70" spans="1:25">
      <c r="A70" s="34" t="s">
        <v>2594</v>
      </c>
      <c r="B70" s="33" t="s">
        <v>2593</v>
      </c>
      <c r="C70" s="33" t="s">
        <v>1481</v>
      </c>
      <c r="D70" s="33" t="s">
        <v>7250</v>
      </c>
      <c r="E70" s="33" t="s">
        <v>3338</v>
      </c>
      <c r="F70" s="33" t="s">
        <v>1482</v>
      </c>
      <c r="G70" s="33" t="s">
        <v>8119</v>
      </c>
      <c r="H70">
        <f t="shared" si="1"/>
        <v>4.720159303405957</v>
      </c>
      <c r="I70">
        <v>52500</v>
      </c>
      <c r="J70" s="79"/>
      <c r="K70" s="79" t="s">
        <v>6358</v>
      </c>
      <c r="N70" s="85"/>
      <c r="O70" s="16"/>
      <c r="P70" s="16"/>
      <c r="Q70" s="16"/>
      <c r="R70" s="16"/>
      <c r="S70" s="16"/>
      <c r="T70" s="16"/>
      <c r="U70" s="16"/>
      <c r="V70" s="16"/>
      <c r="W70" s="16"/>
      <c r="X70" s="16"/>
      <c r="Y70" s="18"/>
    </row>
    <row r="71" spans="1:25">
      <c r="A71" s="34" t="s">
        <v>2594</v>
      </c>
      <c r="B71" s="33" t="s">
        <v>2593</v>
      </c>
      <c r="C71" s="33" t="s">
        <v>1478</v>
      </c>
      <c r="D71" s="33" t="s">
        <v>7250</v>
      </c>
      <c r="E71" s="33" t="s">
        <v>1720</v>
      </c>
      <c r="F71" s="33" t="s">
        <v>3051</v>
      </c>
      <c r="G71" s="33" t="s">
        <v>1197</v>
      </c>
      <c r="H71">
        <f t="shared" si="1"/>
        <v>4</v>
      </c>
      <c r="I71">
        <v>10000</v>
      </c>
      <c r="J71" s="79"/>
      <c r="K71" s="79" t="s">
        <v>6358</v>
      </c>
      <c r="N71" s="85"/>
      <c r="O71" s="16"/>
      <c r="P71" s="16"/>
      <c r="Q71" s="16"/>
      <c r="R71" s="16"/>
      <c r="S71" s="16"/>
      <c r="T71" s="16"/>
      <c r="U71" s="16"/>
      <c r="V71" s="16"/>
      <c r="W71" s="16"/>
      <c r="X71" s="16"/>
      <c r="Y71" s="18"/>
    </row>
    <row r="72" spans="1:25">
      <c r="A72" s="34" t="s">
        <v>2594</v>
      </c>
      <c r="B72" s="33" t="s">
        <v>2593</v>
      </c>
      <c r="C72" s="33" t="s">
        <v>1478</v>
      </c>
      <c r="D72" s="33" t="s">
        <v>7250</v>
      </c>
      <c r="E72" s="33" t="s">
        <v>1720</v>
      </c>
      <c r="F72" s="33" t="s">
        <v>3051</v>
      </c>
      <c r="G72" s="33" t="s">
        <v>2962</v>
      </c>
      <c r="H72">
        <f t="shared" si="1"/>
        <v>4</v>
      </c>
      <c r="I72">
        <v>10000</v>
      </c>
      <c r="J72" s="79"/>
      <c r="K72" s="79" t="s">
        <v>6358</v>
      </c>
      <c r="N72" s="85"/>
      <c r="O72" s="16"/>
      <c r="P72" s="16"/>
      <c r="Q72" s="16"/>
      <c r="R72" s="16"/>
      <c r="S72" s="16"/>
      <c r="T72" s="16"/>
      <c r="U72" s="16"/>
      <c r="V72" s="16"/>
      <c r="W72" s="16"/>
      <c r="X72" s="16"/>
      <c r="Y72" s="18"/>
    </row>
    <row r="73" spans="1:25">
      <c r="A73" s="34" t="s">
        <v>2594</v>
      </c>
      <c r="B73" s="33" t="s">
        <v>2593</v>
      </c>
      <c r="C73" s="33" t="s">
        <v>1478</v>
      </c>
      <c r="D73" s="33" t="s">
        <v>7250</v>
      </c>
      <c r="E73" s="33" t="s">
        <v>1720</v>
      </c>
      <c r="F73" s="33" t="s">
        <v>3051</v>
      </c>
      <c r="G73" s="33" t="s">
        <v>2963</v>
      </c>
      <c r="H73">
        <f t="shared" si="1"/>
        <v>4</v>
      </c>
      <c r="I73">
        <v>10000</v>
      </c>
      <c r="J73" s="79"/>
      <c r="K73" s="79" t="s">
        <v>6358</v>
      </c>
      <c r="N73" s="85"/>
      <c r="O73" s="16"/>
      <c r="P73" s="16"/>
      <c r="Q73" s="16"/>
      <c r="R73" s="16"/>
      <c r="S73" s="16"/>
      <c r="T73" s="16"/>
      <c r="U73" s="16"/>
      <c r="V73" s="16"/>
      <c r="W73" s="16"/>
      <c r="X73" s="16"/>
      <c r="Y73" s="18"/>
    </row>
    <row r="74" spans="1:25" ht="25.5">
      <c r="A74" s="34" t="s">
        <v>2594</v>
      </c>
      <c r="B74" s="33" t="s">
        <v>2593</v>
      </c>
      <c r="C74" s="33" t="s">
        <v>3817</v>
      </c>
      <c r="D74" s="33" t="s">
        <v>7250</v>
      </c>
      <c r="E74" s="33" t="s">
        <v>6737</v>
      </c>
      <c r="F74" s="33" t="s">
        <v>5578</v>
      </c>
      <c r="G74" s="33" t="s">
        <v>4557</v>
      </c>
      <c r="H74" s="40">
        <f t="shared" si="1"/>
        <v>1.8388490907372552</v>
      </c>
      <c r="I74" s="40">
        <v>69</v>
      </c>
      <c r="J74" s="79" t="s">
        <v>6736</v>
      </c>
      <c r="K74" s="102">
        <v>68</v>
      </c>
      <c r="L74" s="85" t="s">
        <v>3113</v>
      </c>
      <c r="M74" s="85"/>
      <c r="N74" s="85"/>
      <c r="O74" s="16"/>
      <c r="P74" s="16"/>
      <c r="Q74" s="16"/>
      <c r="R74" s="16"/>
      <c r="S74" s="16"/>
      <c r="T74" s="16"/>
      <c r="U74" s="16"/>
      <c r="V74" s="16"/>
      <c r="W74" s="16"/>
      <c r="X74" s="16"/>
      <c r="Y74" s="18"/>
    </row>
    <row r="75" spans="1:25">
      <c r="A75" s="34" t="s">
        <v>2594</v>
      </c>
      <c r="B75" s="31" t="s">
        <v>2593</v>
      </c>
      <c r="C75" s="33" t="s">
        <v>3817</v>
      </c>
      <c r="D75" s="33" t="s">
        <v>7250</v>
      </c>
      <c r="E75" s="33" t="s">
        <v>6737</v>
      </c>
      <c r="F75" s="33" t="s">
        <v>5578</v>
      </c>
      <c r="G75" s="33" t="s">
        <v>3460</v>
      </c>
      <c r="H75" s="40">
        <f t="shared" si="1"/>
        <v>1.4771212547196624</v>
      </c>
      <c r="I75" s="40">
        <v>30</v>
      </c>
      <c r="J75" s="79" t="s">
        <v>1619</v>
      </c>
      <c r="K75" s="102" t="s">
        <v>6358</v>
      </c>
      <c r="L75" s="85"/>
      <c r="M75" s="85" t="s">
        <v>7080</v>
      </c>
      <c r="N75" s="85" t="s">
        <v>6640</v>
      </c>
      <c r="O75" s="16"/>
      <c r="P75" s="16"/>
      <c r="Q75" s="16"/>
      <c r="R75" s="16"/>
      <c r="S75" s="16"/>
      <c r="T75" s="16"/>
      <c r="U75" s="16"/>
      <c r="V75" s="16"/>
      <c r="W75" s="16"/>
      <c r="X75" s="16"/>
      <c r="Y75" s="18"/>
    </row>
    <row r="76" spans="1:25" ht="25.5">
      <c r="A76" s="34" t="s">
        <v>2594</v>
      </c>
      <c r="B76" s="31" t="s">
        <v>2593</v>
      </c>
      <c r="C76" s="33" t="s">
        <v>3817</v>
      </c>
      <c r="D76" s="33" t="s">
        <v>7250</v>
      </c>
      <c r="E76" s="33" t="s">
        <v>6737</v>
      </c>
      <c r="F76" s="33" t="s">
        <v>5578</v>
      </c>
      <c r="G76" s="33" t="s">
        <v>6068</v>
      </c>
      <c r="H76" s="40">
        <f t="shared" si="1"/>
        <v>1.7403626894942439</v>
      </c>
      <c r="I76" s="40">
        <v>55</v>
      </c>
      <c r="J76" s="79" t="s">
        <v>1620</v>
      </c>
      <c r="K76" s="102" t="s">
        <v>6358</v>
      </c>
      <c r="L76" s="85" t="s">
        <v>1510</v>
      </c>
      <c r="M76" s="85" t="s">
        <v>6882</v>
      </c>
      <c r="N76" s="85" t="s">
        <v>6640</v>
      </c>
      <c r="O76" s="16"/>
      <c r="P76" s="16"/>
      <c r="Q76" s="16"/>
      <c r="R76" s="16"/>
      <c r="S76" s="16"/>
      <c r="T76" s="16"/>
      <c r="U76" s="16"/>
      <c r="V76" s="16"/>
      <c r="W76" s="16"/>
      <c r="X76" s="16"/>
      <c r="Y76" s="18"/>
    </row>
    <row r="77" spans="1:25" ht="25.5">
      <c r="A77" s="34" t="s">
        <v>2594</v>
      </c>
      <c r="B77" s="31" t="s">
        <v>2593</v>
      </c>
      <c r="C77" s="33" t="s">
        <v>3817</v>
      </c>
      <c r="D77" s="33" t="s">
        <v>7250</v>
      </c>
      <c r="E77" s="33" t="s">
        <v>6737</v>
      </c>
      <c r="F77" s="33" t="s">
        <v>5578</v>
      </c>
      <c r="G77" s="33" t="s">
        <v>2329</v>
      </c>
      <c r="H77" s="40">
        <f t="shared" si="1"/>
        <v>1.6283889300503116</v>
      </c>
      <c r="I77" s="40">
        <v>42.5</v>
      </c>
      <c r="J77" s="79" t="s">
        <v>6133</v>
      </c>
      <c r="K77" s="102" t="s">
        <v>6358</v>
      </c>
      <c r="L77" s="85"/>
      <c r="M77" s="85"/>
      <c r="N77" s="85"/>
      <c r="O77" s="16"/>
      <c r="P77" s="16"/>
      <c r="Q77" s="16"/>
      <c r="R77" s="16"/>
      <c r="S77" s="16"/>
      <c r="T77" s="16"/>
      <c r="U77" s="16"/>
      <c r="V77" s="16"/>
      <c r="W77" s="16"/>
      <c r="X77" s="16"/>
      <c r="Y77" s="18"/>
    </row>
    <row r="78" spans="1:25">
      <c r="A78" s="34" t="s">
        <v>2594</v>
      </c>
      <c r="B78" s="31" t="s">
        <v>2593</v>
      </c>
      <c r="C78" s="33" t="s">
        <v>3817</v>
      </c>
      <c r="D78" s="33" t="s">
        <v>7278</v>
      </c>
      <c r="E78" s="33" t="s">
        <v>7424</v>
      </c>
      <c r="F78" s="33" t="s">
        <v>6624</v>
      </c>
      <c r="G78" s="33" t="s">
        <v>4679</v>
      </c>
      <c r="H78" s="40">
        <f t="shared" si="1"/>
        <v>1.0530784434834197</v>
      </c>
      <c r="I78" s="40">
        <v>11.3</v>
      </c>
      <c r="J78" s="79" t="s">
        <v>6132</v>
      </c>
      <c r="K78" s="102" t="s">
        <v>1357</v>
      </c>
      <c r="L78" s="85"/>
      <c r="M78" s="85"/>
      <c r="N78" s="85"/>
      <c r="O78" s="16"/>
      <c r="P78" s="16"/>
      <c r="Q78" s="16"/>
      <c r="R78" s="16"/>
      <c r="S78" s="16"/>
      <c r="T78" s="16"/>
      <c r="U78" s="16"/>
      <c r="V78" s="16"/>
      <c r="W78" s="16"/>
      <c r="X78" s="16"/>
      <c r="Y78" s="18"/>
    </row>
    <row r="79" spans="1:25">
      <c r="A79" s="34" t="s">
        <v>2594</v>
      </c>
      <c r="B79" s="31" t="s">
        <v>2593</v>
      </c>
      <c r="C79" s="33" t="s">
        <v>3817</v>
      </c>
      <c r="D79" s="33" t="s">
        <v>7278</v>
      </c>
      <c r="E79" s="33" t="s">
        <v>7424</v>
      </c>
      <c r="F79" s="33" t="s">
        <v>6624</v>
      </c>
      <c r="G79" s="33" t="s">
        <v>5256</v>
      </c>
      <c r="H79" s="40">
        <f t="shared" si="1"/>
        <v>1.1398790864012365</v>
      </c>
      <c r="I79" s="40">
        <v>13.8</v>
      </c>
      <c r="J79" s="79" t="s">
        <v>6374</v>
      </c>
      <c r="K79" s="102" t="s">
        <v>1357</v>
      </c>
      <c r="L79" s="85"/>
      <c r="M79" s="85"/>
      <c r="N79" s="85"/>
      <c r="O79" s="16"/>
      <c r="P79" s="16"/>
      <c r="Q79" s="16"/>
      <c r="R79" s="16"/>
      <c r="S79" s="16"/>
      <c r="T79" s="16"/>
      <c r="U79" s="16"/>
      <c r="V79" s="16"/>
      <c r="W79" s="16"/>
      <c r="X79" s="16"/>
      <c r="Y79" s="18"/>
    </row>
    <row r="80" spans="1:25" ht="25.5">
      <c r="A80" s="34" t="s">
        <v>2594</v>
      </c>
      <c r="B80" s="33" t="s">
        <v>2593</v>
      </c>
      <c r="C80" s="33" t="s">
        <v>3817</v>
      </c>
      <c r="D80" s="33" t="s">
        <v>7278</v>
      </c>
      <c r="E80" s="33" t="s">
        <v>7424</v>
      </c>
      <c r="F80" s="33" t="s">
        <v>6624</v>
      </c>
      <c r="G80" s="33" t="s">
        <v>5248</v>
      </c>
      <c r="H80" s="40">
        <f t="shared" si="1"/>
        <v>1.5314789170422551</v>
      </c>
      <c r="I80" s="40">
        <v>34</v>
      </c>
      <c r="J80" s="79" t="s">
        <v>6736</v>
      </c>
      <c r="K80" s="102" t="s">
        <v>1357</v>
      </c>
      <c r="L80" s="85" t="s">
        <v>6373</v>
      </c>
      <c r="M80" s="85"/>
      <c r="N80" s="85"/>
      <c r="O80" s="16"/>
      <c r="P80" s="16"/>
      <c r="Q80" s="16"/>
      <c r="R80" s="16"/>
      <c r="S80" s="16"/>
      <c r="T80" s="16"/>
      <c r="U80" s="16"/>
      <c r="V80" s="16"/>
      <c r="W80" s="16"/>
      <c r="X80" s="16"/>
      <c r="Y80" s="18"/>
    </row>
    <row r="81" spans="1:25">
      <c r="A81" s="34" t="s">
        <v>2594</v>
      </c>
      <c r="B81" s="33" t="s">
        <v>2593</v>
      </c>
      <c r="C81" s="33" t="s">
        <v>3817</v>
      </c>
      <c r="D81" s="33" t="s">
        <v>7278</v>
      </c>
      <c r="E81" s="33" t="s">
        <v>7424</v>
      </c>
      <c r="F81" s="33" t="s">
        <v>6624</v>
      </c>
      <c r="G81" s="33" t="s">
        <v>6154</v>
      </c>
      <c r="H81" s="40">
        <f t="shared" si="1"/>
        <v>1.0211892990699381</v>
      </c>
      <c r="I81" s="40">
        <v>10.5</v>
      </c>
      <c r="J81" s="79"/>
      <c r="K81" s="102" t="s">
        <v>1357</v>
      </c>
      <c r="L81" s="85"/>
      <c r="M81" s="85"/>
      <c r="N81" s="85"/>
      <c r="O81" s="16"/>
      <c r="P81" s="16"/>
      <c r="Q81" s="16"/>
      <c r="R81" s="16"/>
      <c r="S81" s="16"/>
      <c r="T81" s="16"/>
      <c r="U81" s="16"/>
      <c r="V81" s="16"/>
      <c r="W81" s="16"/>
      <c r="X81" s="16"/>
      <c r="Y81" s="18"/>
    </row>
    <row r="82" spans="1:25">
      <c r="A82" s="34" t="s">
        <v>2594</v>
      </c>
      <c r="B82" s="31" t="s">
        <v>2593</v>
      </c>
      <c r="C82" s="33" t="s">
        <v>3817</v>
      </c>
      <c r="D82" s="33" t="s">
        <v>7278</v>
      </c>
      <c r="E82" s="33" t="s">
        <v>7424</v>
      </c>
      <c r="F82" s="33" t="s">
        <v>6624</v>
      </c>
      <c r="G82" s="33" t="s">
        <v>4400</v>
      </c>
      <c r="H82" s="40">
        <f t="shared" si="1"/>
        <v>1.6020599913279623</v>
      </c>
      <c r="I82" s="40">
        <v>40</v>
      </c>
      <c r="J82" s="79" t="s">
        <v>3356</v>
      </c>
      <c r="K82" s="102" t="s">
        <v>6358</v>
      </c>
      <c r="L82" s="85" t="s">
        <v>6183</v>
      </c>
      <c r="M82" s="85" t="s">
        <v>8149</v>
      </c>
      <c r="N82" s="85" t="s">
        <v>7071</v>
      </c>
      <c r="O82" s="16"/>
      <c r="P82" s="16"/>
      <c r="Q82" s="16"/>
      <c r="R82" s="16"/>
      <c r="S82" s="16"/>
      <c r="T82" s="16"/>
      <c r="U82" s="16"/>
      <c r="V82" s="16"/>
      <c r="W82" s="16"/>
      <c r="X82" s="16"/>
      <c r="Y82" s="18"/>
    </row>
    <row r="83" spans="1:25">
      <c r="A83" s="47" t="s">
        <v>2594</v>
      </c>
      <c r="B83" t="s">
        <v>2593</v>
      </c>
      <c r="C83" t="s">
        <v>3817</v>
      </c>
      <c r="D83" t="s">
        <v>7278</v>
      </c>
      <c r="E83" t="s">
        <v>7424</v>
      </c>
      <c r="F83" t="s">
        <v>6624</v>
      </c>
      <c r="G83" s="33" t="s">
        <v>6043</v>
      </c>
      <c r="H83" s="40">
        <f t="shared" si="1"/>
        <v>0.88649072517248184</v>
      </c>
      <c r="I83" s="40">
        <v>7.7</v>
      </c>
      <c r="J83" s="79"/>
      <c r="K83" s="102" t="s">
        <v>1357</v>
      </c>
      <c r="L83" s="85" t="s">
        <v>6042</v>
      </c>
      <c r="M83" s="85"/>
      <c r="N83" s="85"/>
      <c r="O83" s="16"/>
      <c r="P83" s="16"/>
      <c r="Q83" s="16"/>
      <c r="R83" s="16"/>
      <c r="S83" s="16"/>
      <c r="T83" s="16"/>
      <c r="U83" s="16"/>
      <c r="V83" s="16"/>
      <c r="W83" s="16"/>
      <c r="X83" s="16"/>
      <c r="Y83" s="18"/>
    </row>
    <row r="84" spans="1:25">
      <c r="A84" s="34" t="s">
        <v>2594</v>
      </c>
      <c r="B84" s="31" t="s">
        <v>2593</v>
      </c>
      <c r="C84" s="33" t="s">
        <v>3817</v>
      </c>
      <c r="D84" s="33" t="s">
        <v>7278</v>
      </c>
      <c r="E84" s="33" t="s">
        <v>7424</v>
      </c>
      <c r="F84" s="33" t="s">
        <v>6624</v>
      </c>
      <c r="G84" s="33" t="s">
        <v>3786</v>
      </c>
      <c r="H84" s="40">
        <f t="shared" ref="H84:H115" si="2">LOG(I84)</f>
        <v>1.3673559210260189</v>
      </c>
      <c r="I84" s="40">
        <v>23.3</v>
      </c>
      <c r="J84" s="79" t="s">
        <v>1227</v>
      </c>
      <c r="K84" s="102" t="s">
        <v>1357</v>
      </c>
      <c r="L84" s="85"/>
      <c r="M84" s="85" t="s">
        <v>8149</v>
      </c>
      <c r="N84" s="85" t="s">
        <v>6988</v>
      </c>
      <c r="O84" s="16"/>
      <c r="P84" s="16"/>
      <c r="Q84" s="16"/>
      <c r="R84" s="16"/>
      <c r="S84" s="16"/>
      <c r="T84" s="16"/>
      <c r="U84" s="16"/>
      <c r="V84" s="16"/>
      <c r="W84" s="16"/>
      <c r="X84" s="16"/>
      <c r="Y84" s="18"/>
    </row>
    <row r="85" spans="1:25">
      <c r="A85" s="47" t="s">
        <v>2594</v>
      </c>
      <c r="B85" t="s">
        <v>2593</v>
      </c>
      <c r="C85" t="s">
        <v>3817</v>
      </c>
      <c r="D85" t="s">
        <v>7278</v>
      </c>
      <c r="E85" t="s">
        <v>7424</v>
      </c>
      <c r="F85" t="s">
        <v>6624</v>
      </c>
      <c r="G85" s="33" t="s">
        <v>6155</v>
      </c>
      <c r="H85" s="40">
        <f t="shared" si="2"/>
        <v>1.2600713879850747</v>
      </c>
      <c r="I85" s="40">
        <v>18.2</v>
      </c>
      <c r="J85" s="79" t="s">
        <v>6156</v>
      </c>
      <c r="K85" s="102" t="s">
        <v>1357</v>
      </c>
      <c r="L85" s="85" t="s">
        <v>6185</v>
      </c>
      <c r="M85" s="85"/>
      <c r="N85" s="85"/>
      <c r="O85" s="16"/>
      <c r="P85" s="16"/>
      <c r="Q85" s="16"/>
      <c r="R85" s="16"/>
      <c r="S85" s="16"/>
      <c r="T85" s="16"/>
      <c r="U85" s="16"/>
      <c r="V85" s="16"/>
      <c r="W85" s="16"/>
      <c r="X85" s="16"/>
      <c r="Y85" s="18"/>
    </row>
    <row r="86" spans="1:25">
      <c r="A86" s="34" t="s">
        <v>2594</v>
      </c>
      <c r="B86" s="31" t="s">
        <v>2593</v>
      </c>
      <c r="C86" s="33" t="s">
        <v>3817</v>
      </c>
      <c r="D86" s="33" t="s">
        <v>7278</v>
      </c>
      <c r="E86" s="33" t="s">
        <v>7424</v>
      </c>
      <c r="F86" s="33" t="s">
        <v>6624</v>
      </c>
      <c r="G86" s="33" t="s">
        <v>7486</v>
      </c>
      <c r="H86" s="40">
        <f t="shared" si="2"/>
        <v>0.86332286012045589</v>
      </c>
      <c r="I86" s="40">
        <v>7.3</v>
      </c>
      <c r="J86" s="79" t="s">
        <v>6158</v>
      </c>
      <c r="K86" s="102" t="s">
        <v>1357</v>
      </c>
      <c r="L86" s="85"/>
      <c r="M86" s="85"/>
      <c r="N86" s="85"/>
      <c r="O86" s="16"/>
      <c r="P86" s="16"/>
      <c r="Q86" s="16"/>
      <c r="R86" s="16"/>
      <c r="S86" s="16"/>
      <c r="T86" s="16"/>
      <c r="U86" s="16"/>
      <c r="V86" s="16"/>
      <c r="W86" s="16"/>
      <c r="X86" s="16"/>
      <c r="Y86" s="18"/>
    </row>
    <row r="87" spans="1:25">
      <c r="A87" s="34" t="s">
        <v>2594</v>
      </c>
      <c r="B87" s="31" t="s">
        <v>2593</v>
      </c>
      <c r="C87" s="33" t="s">
        <v>3817</v>
      </c>
      <c r="D87" s="33" t="s">
        <v>7278</v>
      </c>
      <c r="E87" s="33" t="s">
        <v>7424</v>
      </c>
      <c r="F87" s="33" t="s">
        <v>6624</v>
      </c>
      <c r="G87" s="33" t="s">
        <v>2428</v>
      </c>
      <c r="H87" s="40">
        <f t="shared" si="2"/>
        <v>1.3979400086720377</v>
      </c>
      <c r="I87" s="40">
        <v>25</v>
      </c>
      <c r="J87" s="79"/>
      <c r="K87" s="102" t="s">
        <v>6358</v>
      </c>
      <c r="L87" s="85"/>
      <c r="M87" s="85"/>
      <c r="N87" s="85"/>
      <c r="O87" s="16"/>
      <c r="P87" s="16"/>
      <c r="Q87" s="16"/>
      <c r="R87" s="16"/>
      <c r="S87" s="16"/>
      <c r="T87" s="16"/>
      <c r="U87" s="16"/>
      <c r="V87" s="16"/>
      <c r="W87" s="16"/>
      <c r="X87" s="16"/>
      <c r="Y87" s="18"/>
    </row>
    <row r="88" spans="1:25" ht="15.75">
      <c r="A88" s="34" t="s">
        <v>2594</v>
      </c>
      <c r="B88" s="31" t="s">
        <v>2593</v>
      </c>
      <c r="C88" s="33" t="s">
        <v>3817</v>
      </c>
      <c r="D88" s="33" t="s">
        <v>7278</v>
      </c>
      <c r="E88" s="33" t="s">
        <v>7424</v>
      </c>
      <c r="F88" s="33" t="s">
        <v>6624</v>
      </c>
      <c r="G88" s="33" t="s">
        <v>4047</v>
      </c>
      <c r="H88" s="40">
        <f t="shared" si="2"/>
        <v>1.1430148002540952</v>
      </c>
      <c r="I88" s="40">
        <v>13.9</v>
      </c>
      <c r="J88" s="79"/>
      <c r="K88" s="102" t="s">
        <v>1357</v>
      </c>
      <c r="L88" s="89"/>
      <c r="M88" s="85"/>
      <c r="O88" s="16"/>
      <c r="P88" s="16"/>
      <c r="Q88" s="16"/>
      <c r="R88" s="16"/>
      <c r="S88" s="16"/>
      <c r="T88" s="16"/>
      <c r="U88" s="16"/>
      <c r="V88" s="16"/>
      <c r="W88" s="16"/>
      <c r="X88" s="16"/>
      <c r="Y88" s="18"/>
    </row>
    <row r="89" spans="1:25">
      <c r="A89" s="34" t="s">
        <v>2594</v>
      </c>
      <c r="B89" s="31" t="s">
        <v>2593</v>
      </c>
      <c r="C89" s="33" t="s">
        <v>3817</v>
      </c>
      <c r="D89" s="33" t="s">
        <v>7278</v>
      </c>
      <c r="E89" s="33" t="s">
        <v>7424</v>
      </c>
      <c r="F89" s="33" t="s">
        <v>6624</v>
      </c>
      <c r="G89" s="33" t="s">
        <v>7431</v>
      </c>
      <c r="H89" s="40">
        <f t="shared" si="2"/>
        <v>0.53147891704225514</v>
      </c>
      <c r="I89" s="40">
        <v>3.4</v>
      </c>
      <c r="J89" s="79" t="s">
        <v>6375</v>
      </c>
      <c r="K89" s="102" t="s">
        <v>1357</v>
      </c>
      <c r="L89" s="85"/>
      <c r="M89" s="85" t="s">
        <v>8149</v>
      </c>
      <c r="N89" s="85" t="s">
        <v>6640</v>
      </c>
      <c r="O89" s="16"/>
      <c r="P89" s="16"/>
      <c r="Q89" s="16"/>
      <c r="R89" s="16"/>
      <c r="S89" s="16"/>
      <c r="T89" s="16"/>
      <c r="U89" s="16"/>
      <c r="V89" s="16"/>
      <c r="W89" s="16"/>
      <c r="X89" s="16"/>
      <c r="Y89" s="18"/>
    </row>
    <row r="90" spans="1:25">
      <c r="A90" s="34" t="s">
        <v>2594</v>
      </c>
      <c r="B90" s="31" t="s">
        <v>2593</v>
      </c>
      <c r="C90" s="33" t="s">
        <v>3817</v>
      </c>
      <c r="D90" s="33" t="s">
        <v>7278</v>
      </c>
      <c r="E90" s="33" t="s">
        <v>7424</v>
      </c>
      <c r="F90" s="33" t="s">
        <v>6624</v>
      </c>
      <c r="G90" s="33" t="s">
        <v>5257</v>
      </c>
      <c r="H90" s="40">
        <f t="shared" si="2"/>
        <v>1.0086001717619175</v>
      </c>
      <c r="I90" s="40">
        <v>10.199999999999999</v>
      </c>
      <c r="J90" s="79" t="s">
        <v>2674</v>
      </c>
      <c r="K90" s="102" t="s">
        <v>1357</v>
      </c>
      <c r="L90" s="85"/>
      <c r="M90" s="82" t="s">
        <v>8149</v>
      </c>
      <c r="N90" s="85" t="s">
        <v>6640</v>
      </c>
      <c r="O90" s="16"/>
      <c r="P90" s="16"/>
      <c r="Q90" s="16"/>
      <c r="R90" s="16"/>
      <c r="S90" s="16"/>
      <c r="T90" s="16"/>
      <c r="U90" s="16"/>
      <c r="V90" s="16"/>
      <c r="W90" s="16"/>
      <c r="X90" s="16"/>
      <c r="Y90" s="18"/>
    </row>
    <row r="91" spans="1:25">
      <c r="A91" s="34" t="s">
        <v>2594</v>
      </c>
      <c r="B91" s="31" t="s">
        <v>2593</v>
      </c>
      <c r="C91" s="33" t="s">
        <v>3817</v>
      </c>
      <c r="D91" s="33" t="s">
        <v>7278</v>
      </c>
      <c r="E91" s="33" t="s">
        <v>7424</v>
      </c>
      <c r="F91" s="33" t="s">
        <v>6624</v>
      </c>
      <c r="G91" s="33" t="s">
        <v>7423</v>
      </c>
      <c r="H91" s="40">
        <f t="shared" si="2"/>
        <v>0.53147891704225514</v>
      </c>
      <c r="I91" s="40">
        <v>3.4</v>
      </c>
      <c r="J91" s="79" t="s">
        <v>1231</v>
      </c>
      <c r="K91" s="102" t="s">
        <v>1357</v>
      </c>
      <c r="L91" s="85"/>
      <c r="M91" s="85"/>
      <c r="N91" s="85"/>
      <c r="O91" s="16"/>
      <c r="P91" s="16"/>
      <c r="Q91" s="16"/>
      <c r="R91" s="16"/>
      <c r="S91" s="16"/>
      <c r="T91" s="16"/>
      <c r="U91" s="16"/>
      <c r="V91" s="16"/>
      <c r="W91" s="16"/>
      <c r="X91" s="16"/>
      <c r="Y91" s="18"/>
    </row>
    <row r="92" spans="1:25">
      <c r="A92" s="47" t="s">
        <v>2594</v>
      </c>
      <c r="B92" t="s">
        <v>2593</v>
      </c>
      <c r="C92" t="s">
        <v>3817</v>
      </c>
      <c r="D92" t="s">
        <v>7278</v>
      </c>
      <c r="E92" t="s">
        <v>7424</v>
      </c>
      <c r="F92" t="s">
        <v>6624</v>
      </c>
      <c r="G92" s="33" t="s">
        <v>5290</v>
      </c>
      <c r="H92" s="40">
        <f t="shared" si="2"/>
        <v>1.271841606536499</v>
      </c>
      <c r="I92" s="40">
        <v>18.7</v>
      </c>
      <c r="J92" s="79" t="s">
        <v>6184</v>
      </c>
      <c r="K92" s="102" t="s">
        <v>1357</v>
      </c>
      <c r="L92" s="85"/>
      <c r="M92" s="85"/>
      <c r="N92" s="85"/>
      <c r="O92" s="16"/>
      <c r="P92" s="16"/>
      <c r="Q92" s="16"/>
      <c r="R92" s="16"/>
      <c r="S92" s="16"/>
      <c r="T92" s="16"/>
      <c r="U92" s="16"/>
      <c r="V92" s="16"/>
      <c r="W92" s="16"/>
      <c r="X92" s="16"/>
      <c r="Y92" s="18"/>
    </row>
    <row r="93" spans="1:25">
      <c r="A93" s="48" t="s">
        <v>2594</v>
      </c>
      <c r="B93" s="33" t="s">
        <v>2593</v>
      </c>
      <c r="C93" s="33" t="s">
        <v>3817</v>
      </c>
      <c r="D93" s="33" t="s">
        <v>7278</v>
      </c>
      <c r="E93" s="33" t="s">
        <v>7424</v>
      </c>
      <c r="F93" s="33" t="s">
        <v>6624</v>
      </c>
      <c r="G93" s="33" t="s">
        <v>1232</v>
      </c>
      <c r="H93" s="40">
        <f t="shared" si="2"/>
        <v>1.0934216851622351</v>
      </c>
      <c r="I93" s="40">
        <v>12.4</v>
      </c>
      <c r="J93" s="79" t="s">
        <v>1233</v>
      </c>
      <c r="K93" s="102" t="s">
        <v>1357</v>
      </c>
      <c r="L93" s="85"/>
      <c r="M93" s="85"/>
      <c r="N93" s="85"/>
    </row>
    <row r="94" spans="1:25" ht="25.5">
      <c r="A94" s="48" t="s">
        <v>2594</v>
      </c>
      <c r="B94" s="33" t="s">
        <v>2593</v>
      </c>
      <c r="C94" s="33" t="s">
        <v>3817</v>
      </c>
      <c r="D94" s="33" t="s">
        <v>7278</v>
      </c>
      <c r="E94" s="33" t="s">
        <v>7424</v>
      </c>
      <c r="F94" s="33" t="s">
        <v>6624</v>
      </c>
      <c r="G94" s="33" t="s">
        <v>5849</v>
      </c>
      <c r="H94" s="40">
        <f t="shared" si="2"/>
        <v>1.568201724066995</v>
      </c>
      <c r="I94" s="40">
        <v>37</v>
      </c>
      <c r="J94" s="79" t="s">
        <v>6736</v>
      </c>
      <c r="K94" s="102" t="s">
        <v>1357</v>
      </c>
      <c r="L94" s="85" t="s">
        <v>1225</v>
      </c>
      <c r="M94" s="85"/>
    </row>
    <row r="95" spans="1:25" ht="15.75">
      <c r="A95" s="48" t="s">
        <v>2594</v>
      </c>
      <c r="B95" s="31" t="s">
        <v>2593</v>
      </c>
      <c r="C95" s="33" t="s">
        <v>3817</v>
      </c>
      <c r="D95" s="33" t="s">
        <v>7278</v>
      </c>
      <c r="E95" s="33" t="s">
        <v>7424</v>
      </c>
      <c r="F95" s="33" t="s">
        <v>6624</v>
      </c>
      <c r="G95" s="33" t="s">
        <v>4852</v>
      </c>
      <c r="H95" s="40">
        <f t="shared" si="2"/>
        <v>1.3598354823398879</v>
      </c>
      <c r="I95" s="40">
        <v>22.9</v>
      </c>
      <c r="J95" s="79" t="s">
        <v>1226</v>
      </c>
      <c r="K95" s="102" t="s">
        <v>1357</v>
      </c>
      <c r="L95" s="89"/>
      <c r="M95" s="82" t="s">
        <v>8149</v>
      </c>
      <c r="N95" s="82" t="s">
        <v>6988</v>
      </c>
    </row>
    <row r="96" spans="1:25">
      <c r="A96" s="58" t="s">
        <v>2594</v>
      </c>
      <c r="B96" t="s">
        <v>2593</v>
      </c>
      <c r="C96" t="s">
        <v>3817</v>
      </c>
      <c r="D96" t="s">
        <v>2663</v>
      </c>
      <c r="E96" t="s">
        <v>6205</v>
      </c>
      <c r="F96" t="s">
        <v>2729</v>
      </c>
      <c r="G96" s="33" t="s">
        <v>5341</v>
      </c>
      <c r="H96" s="40">
        <f t="shared" si="2"/>
        <v>1</v>
      </c>
      <c r="I96" s="40">
        <v>10</v>
      </c>
      <c r="J96" s="79" t="s">
        <v>2732</v>
      </c>
      <c r="K96" s="102" t="s">
        <v>6358</v>
      </c>
      <c r="M96" s="85"/>
    </row>
    <row r="97" spans="1:14">
      <c r="A97" s="58" t="s">
        <v>2594</v>
      </c>
      <c r="B97" t="s">
        <v>2593</v>
      </c>
      <c r="C97" t="s">
        <v>3817</v>
      </c>
      <c r="D97" t="s">
        <v>2663</v>
      </c>
      <c r="E97" t="s">
        <v>6205</v>
      </c>
      <c r="F97" t="s">
        <v>2729</v>
      </c>
      <c r="G97" s="33" t="s">
        <v>2630</v>
      </c>
      <c r="H97" s="40">
        <f t="shared" si="2"/>
        <v>0.95424250943932487</v>
      </c>
      <c r="I97" s="40">
        <v>9</v>
      </c>
      <c r="J97" s="79" t="s">
        <v>2368</v>
      </c>
      <c r="K97" s="102" t="s">
        <v>6358</v>
      </c>
      <c r="M97" s="85"/>
    </row>
    <row r="98" spans="1:14">
      <c r="A98" s="58" t="s">
        <v>2594</v>
      </c>
      <c r="B98" t="s">
        <v>2593</v>
      </c>
      <c r="C98" t="s">
        <v>3817</v>
      </c>
      <c r="D98" t="s">
        <v>2663</v>
      </c>
      <c r="E98" t="s">
        <v>6205</v>
      </c>
      <c r="F98" t="s">
        <v>2729</v>
      </c>
      <c r="G98" s="33" t="s">
        <v>5475</v>
      </c>
      <c r="H98" s="40">
        <f t="shared" si="2"/>
        <v>0.95424250943932487</v>
      </c>
      <c r="I98" s="40">
        <v>9</v>
      </c>
      <c r="J98" s="79" t="s">
        <v>6132</v>
      </c>
      <c r="K98" s="102" t="s">
        <v>6358</v>
      </c>
      <c r="M98" s="85"/>
    </row>
    <row r="99" spans="1:14">
      <c r="A99" s="58" t="s">
        <v>2594</v>
      </c>
      <c r="B99" t="s">
        <v>2593</v>
      </c>
      <c r="C99" t="s">
        <v>3817</v>
      </c>
      <c r="D99" t="s">
        <v>2663</v>
      </c>
      <c r="E99" t="s">
        <v>6205</v>
      </c>
      <c r="F99" t="s">
        <v>2729</v>
      </c>
      <c r="G99" s="33" t="s">
        <v>2730</v>
      </c>
      <c r="H99" s="40">
        <f t="shared" si="2"/>
        <v>0.84509804001425681</v>
      </c>
      <c r="I99" s="40">
        <v>7</v>
      </c>
      <c r="J99" s="79" t="s">
        <v>2731</v>
      </c>
      <c r="K99" s="102" t="s">
        <v>6358</v>
      </c>
      <c r="M99" s="85"/>
    </row>
    <row r="100" spans="1:14" ht="102">
      <c r="A100" s="48" t="s">
        <v>2594</v>
      </c>
      <c r="B100" s="33" t="s">
        <v>2593</v>
      </c>
      <c r="C100" s="33" t="s">
        <v>3817</v>
      </c>
      <c r="D100" s="33" t="s">
        <v>7250</v>
      </c>
      <c r="E100" s="33" t="s">
        <v>6737</v>
      </c>
      <c r="F100" s="33" t="s">
        <v>1201</v>
      </c>
      <c r="G100" s="33" t="s">
        <v>5579</v>
      </c>
      <c r="H100" s="40">
        <f t="shared" si="2"/>
        <v>2.4885507165004443</v>
      </c>
      <c r="I100" s="40">
        <v>308</v>
      </c>
      <c r="J100" s="79" t="s">
        <v>6736</v>
      </c>
      <c r="K100" s="102">
        <v>68</v>
      </c>
      <c r="L100" s="85" t="s">
        <v>1693</v>
      </c>
      <c r="M100" s="82" t="s">
        <v>7518</v>
      </c>
      <c r="N100" s="82" t="s">
        <v>6988</v>
      </c>
    </row>
    <row r="101" spans="1:14" ht="25.5">
      <c r="A101" s="48" t="s">
        <v>2594</v>
      </c>
      <c r="B101" s="33" t="s">
        <v>2593</v>
      </c>
      <c r="C101" s="33" t="s">
        <v>3817</v>
      </c>
      <c r="D101" s="33" t="s">
        <v>3618</v>
      </c>
      <c r="E101" s="33" t="s">
        <v>3638</v>
      </c>
      <c r="F101" s="33" t="s">
        <v>6372</v>
      </c>
      <c r="G101" s="33" t="s">
        <v>6292</v>
      </c>
      <c r="H101" s="40">
        <f t="shared" si="2"/>
        <v>1.3979400086720377</v>
      </c>
      <c r="I101" s="40">
        <v>25</v>
      </c>
      <c r="J101" s="79"/>
      <c r="K101" s="79" t="s">
        <v>6358</v>
      </c>
      <c r="L101" s="85" t="s">
        <v>5901</v>
      </c>
      <c r="M101" s="85"/>
    </row>
    <row r="102" spans="1:14">
      <c r="A102" s="58" t="s">
        <v>2594</v>
      </c>
      <c r="B102" t="s">
        <v>2593</v>
      </c>
      <c r="C102" t="s">
        <v>3817</v>
      </c>
      <c r="D102" t="s">
        <v>2663</v>
      </c>
      <c r="E102" t="s">
        <v>2533</v>
      </c>
      <c r="F102" t="s">
        <v>2496</v>
      </c>
      <c r="G102" s="33" t="s">
        <v>2499</v>
      </c>
      <c r="H102" s="40">
        <f t="shared" si="2"/>
        <v>1.0413926851582251</v>
      </c>
      <c r="I102" s="40">
        <v>11</v>
      </c>
      <c r="J102" s="79" t="s">
        <v>2498</v>
      </c>
      <c r="K102" s="102" t="s">
        <v>6358</v>
      </c>
      <c r="M102" s="85"/>
    </row>
    <row r="103" spans="1:14">
      <c r="A103" s="58" t="s">
        <v>2594</v>
      </c>
      <c r="B103" t="s">
        <v>2593</v>
      </c>
      <c r="C103" t="s">
        <v>3817</v>
      </c>
      <c r="D103" t="s">
        <v>2663</v>
      </c>
      <c r="E103" t="s">
        <v>2533</v>
      </c>
      <c r="F103" t="s">
        <v>2496</v>
      </c>
      <c r="G103" s="33" t="s">
        <v>2497</v>
      </c>
      <c r="H103" s="40">
        <f t="shared" si="2"/>
        <v>1.0413926851582251</v>
      </c>
      <c r="I103" s="40">
        <v>11</v>
      </c>
      <c r="J103" s="79" t="s">
        <v>2498</v>
      </c>
      <c r="K103" s="102" t="s">
        <v>6358</v>
      </c>
      <c r="M103" s="85"/>
    </row>
    <row r="104" spans="1:14">
      <c r="A104" s="48" t="s">
        <v>2594</v>
      </c>
      <c r="B104" s="33" t="s">
        <v>2593</v>
      </c>
      <c r="C104" s="33" t="s">
        <v>3817</v>
      </c>
      <c r="D104" s="33" t="s">
        <v>3954</v>
      </c>
      <c r="E104" s="33" t="s">
        <v>4180</v>
      </c>
      <c r="F104" s="33" t="s">
        <v>8282</v>
      </c>
      <c r="G104" s="33" t="s">
        <v>5552</v>
      </c>
      <c r="H104" s="40">
        <f t="shared" si="2"/>
        <v>2.8129133566428557</v>
      </c>
      <c r="I104" s="40">
        <v>650</v>
      </c>
      <c r="J104" s="79" t="s">
        <v>6736</v>
      </c>
      <c r="K104" s="102">
        <v>68</v>
      </c>
      <c r="L104" s="85" t="s">
        <v>1284</v>
      </c>
      <c r="M104" s="82" t="s">
        <v>6641</v>
      </c>
      <c r="N104" s="82" t="s">
        <v>6640</v>
      </c>
    </row>
    <row r="105" spans="1:14">
      <c r="A105" s="58" t="s">
        <v>2594</v>
      </c>
      <c r="B105" t="s">
        <v>2593</v>
      </c>
      <c r="C105" t="s">
        <v>3817</v>
      </c>
      <c r="D105" t="s">
        <v>2663</v>
      </c>
      <c r="E105" t="s">
        <v>6205</v>
      </c>
      <c r="F105" s="33" t="s">
        <v>6206</v>
      </c>
      <c r="G105" s="33" t="s">
        <v>6207</v>
      </c>
      <c r="H105">
        <f t="shared" si="2"/>
        <v>0.74036268949424389</v>
      </c>
      <c r="I105" s="40">
        <v>5.5</v>
      </c>
      <c r="J105" s="79" t="s">
        <v>6208</v>
      </c>
      <c r="K105" s="102" t="s">
        <v>6358</v>
      </c>
      <c r="M105" s="85"/>
    </row>
    <row r="106" spans="1:14">
      <c r="A106" s="58" t="s">
        <v>2594</v>
      </c>
      <c r="B106" t="s">
        <v>2593</v>
      </c>
      <c r="C106" t="s">
        <v>3817</v>
      </c>
      <c r="D106" t="s">
        <v>2663</v>
      </c>
      <c r="E106" t="s">
        <v>2369</v>
      </c>
      <c r="F106" s="33" t="s">
        <v>6131</v>
      </c>
      <c r="G106" s="33" t="s">
        <v>4380</v>
      </c>
      <c r="H106">
        <f t="shared" si="2"/>
        <v>0.95424250943932487</v>
      </c>
      <c r="I106" s="40">
        <v>9</v>
      </c>
      <c r="J106" s="79" t="s">
        <v>6132</v>
      </c>
      <c r="K106" s="102" t="s">
        <v>6358</v>
      </c>
      <c r="M106" s="85" t="s">
        <v>6641</v>
      </c>
      <c r="N106" s="82" t="s">
        <v>6988</v>
      </c>
    </row>
    <row r="107" spans="1:14" ht="25.5">
      <c r="A107" s="48" t="s">
        <v>2594</v>
      </c>
      <c r="B107" s="33" t="s">
        <v>2593</v>
      </c>
      <c r="C107" s="33" t="s">
        <v>3817</v>
      </c>
      <c r="D107" s="33" t="s">
        <v>3618</v>
      </c>
      <c r="E107" s="33" t="s">
        <v>3638</v>
      </c>
      <c r="F107" s="33" t="s">
        <v>5595</v>
      </c>
      <c r="G107" s="33" t="s">
        <v>2374</v>
      </c>
      <c r="H107" s="40">
        <f t="shared" si="2"/>
        <v>2.3273589343863303</v>
      </c>
      <c r="I107" s="40">
        <v>212.5</v>
      </c>
      <c r="J107" s="79" t="s">
        <v>2684</v>
      </c>
      <c r="K107" s="79" t="s">
        <v>6358</v>
      </c>
      <c r="L107" s="85"/>
      <c r="M107" s="85"/>
    </row>
    <row r="108" spans="1:14">
      <c r="A108" s="48" t="s">
        <v>2594</v>
      </c>
      <c r="B108" s="33" t="s">
        <v>2593</v>
      </c>
      <c r="C108" s="33" t="s">
        <v>3817</v>
      </c>
      <c r="D108" s="33" t="s">
        <v>3618</v>
      </c>
      <c r="E108" s="33" t="s">
        <v>3638</v>
      </c>
      <c r="F108" s="33" t="s">
        <v>5595</v>
      </c>
      <c r="G108" s="33" t="s">
        <v>1139</v>
      </c>
      <c r="H108" s="40">
        <f t="shared" si="2"/>
        <v>2.1903316981702914</v>
      </c>
      <c r="I108" s="40">
        <v>155</v>
      </c>
      <c r="J108" s="79" t="s">
        <v>1140</v>
      </c>
      <c r="K108" s="79" t="s">
        <v>6358</v>
      </c>
      <c r="L108" s="85"/>
      <c r="M108" s="85"/>
    </row>
    <row r="109" spans="1:14" ht="25.5">
      <c r="A109" s="48" t="s">
        <v>2594</v>
      </c>
      <c r="B109" s="33" t="s">
        <v>2593</v>
      </c>
      <c r="C109" s="33" t="s">
        <v>3817</v>
      </c>
      <c r="D109" s="33" t="s">
        <v>3618</v>
      </c>
      <c r="E109" s="33" t="s">
        <v>3638</v>
      </c>
      <c r="F109" s="33" t="s">
        <v>5595</v>
      </c>
      <c r="G109" s="33" t="s">
        <v>2329</v>
      </c>
      <c r="H109" s="40">
        <f t="shared" si="2"/>
        <v>2.2108533653148932</v>
      </c>
      <c r="I109" s="40">
        <v>162.5</v>
      </c>
      <c r="J109" s="79" t="s">
        <v>2373</v>
      </c>
      <c r="K109" s="79" t="s">
        <v>6358</v>
      </c>
      <c r="L109" s="85"/>
      <c r="M109" s="85"/>
    </row>
    <row r="110" spans="1:14">
      <c r="A110" s="58" t="s">
        <v>2594</v>
      </c>
      <c r="B110" t="s">
        <v>2593</v>
      </c>
      <c r="C110" t="s">
        <v>3817</v>
      </c>
      <c r="D110" t="s">
        <v>2663</v>
      </c>
      <c r="E110" t="s">
        <v>6200</v>
      </c>
      <c r="F110" s="33" t="s">
        <v>6201</v>
      </c>
      <c r="G110" s="33" t="s">
        <v>8119</v>
      </c>
      <c r="H110">
        <f t="shared" si="2"/>
        <v>1.2430380486862944</v>
      </c>
      <c r="I110" s="40">
        <v>17.5</v>
      </c>
      <c r="J110" s="79" t="s">
        <v>6202</v>
      </c>
      <c r="K110" s="102" t="s">
        <v>6358</v>
      </c>
      <c r="M110" s="85"/>
    </row>
    <row r="111" spans="1:14">
      <c r="A111" s="48" t="s">
        <v>2594</v>
      </c>
      <c r="B111" s="31" t="s">
        <v>2593</v>
      </c>
      <c r="C111" s="33" t="s">
        <v>3817</v>
      </c>
      <c r="D111" s="33" t="s">
        <v>7278</v>
      </c>
      <c r="E111" s="33" t="s">
        <v>7424</v>
      </c>
      <c r="F111" s="33" t="s">
        <v>3550</v>
      </c>
      <c r="G111" s="33" t="s">
        <v>3551</v>
      </c>
      <c r="H111" s="40">
        <f t="shared" si="2"/>
        <v>1.5622928644564746</v>
      </c>
      <c r="I111" s="40">
        <v>36.5</v>
      </c>
      <c r="J111" s="79" t="s">
        <v>1240</v>
      </c>
      <c r="K111" s="102" t="s">
        <v>1357</v>
      </c>
      <c r="L111" s="85"/>
      <c r="M111" s="85"/>
    </row>
    <row r="112" spans="1:14">
      <c r="A112" s="48" t="s">
        <v>2594</v>
      </c>
      <c r="B112" s="31" t="s">
        <v>2593</v>
      </c>
      <c r="C112" s="33" t="s">
        <v>3817</v>
      </c>
      <c r="D112" s="33" t="s">
        <v>7278</v>
      </c>
      <c r="E112" s="33" t="s">
        <v>7424</v>
      </c>
      <c r="F112" s="33" t="s">
        <v>3550</v>
      </c>
      <c r="G112" s="33" t="s">
        <v>4195</v>
      </c>
      <c r="H112" s="40">
        <f t="shared" si="2"/>
        <v>1.5440680443502757</v>
      </c>
      <c r="I112" s="40">
        <v>35</v>
      </c>
      <c r="J112" s="79" t="s">
        <v>1240</v>
      </c>
      <c r="K112" s="102" t="s">
        <v>6358</v>
      </c>
      <c r="L112" s="85"/>
      <c r="M112" s="85"/>
    </row>
    <row r="113" spans="1:14">
      <c r="A113" s="48" t="s">
        <v>2594</v>
      </c>
      <c r="B113" s="31" t="s">
        <v>2593</v>
      </c>
      <c r="C113" s="33" t="s">
        <v>3817</v>
      </c>
      <c r="D113" s="33" t="s">
        <v>7278</v>
      </c>
      <c r="E113" s="33" t="s">
        <v>7424</v>
      </c>
      <c r="F113" s="33" t="s">
        <v>3550</v>
      </c>
      <c r="G113" s="33" t="s">
        <v>3804</v>
      </c>
      <c r="H113" s="40">
        <f t="shared" si="2"/>
        <v>1.5563025007672873</v>
      </c>
      <c r="I113" s="40">
        <v>36</v>
      </c>
      <c r="J113" s="79" t="s">
        <v>6157</v>
      </c>
      <c r="K113" s="102" t="s">
        <v>1357</v>
      </c>
      <c r="L113" s="85"/>
      <c r="M113" s="85"/>
    </row>
    <row r="114" spans="1:14">
      <c r="A114" s="58" t="s">
        <v>2594</v>
      </c>
      <c r="B114" t="s">
        <v>2593</v>
      </c>
      <c r="C114" t="s">
        <v>3817</v>
      </c>
      <c r="D114" t="s">
        <v>2663</v>
      </c>
      <c r="E114" t="s">
        <v>2533</v>
      </c>
      <c r="F114" t="s">
        <v>1189</v>
      </c>
      <c r="G114" s="33" t="s">
        <v>8119</v>
      </c>
      <c r="H114" s="40">
        <f t="shared" si="2"/>
        <v>1.3979400086720377</v>
      </c>
      <c r="I114" s="40">
        <v>25</v>
      </c>
      <c r="J114" s="79" t="s">
        <v>1190</v>
      </c>
      <c r="K114" s="102" t="s">
        <v>6358</v>
      </c>
      <c r="M114" s="85"/>
    </row>
    <row r="115" spans="1:14">
      <c r="A115" s="48" t="s">
        <v>2594</v>
      </c>
      <c r="B115" s="33" t="s">
        <v>2593</v>
      </c>
      <c r="C115" s="33" t="s">
        <v>1481</v>
      </c>
      <c r="D115" s="33" t="s">
        <v>7250</v>
      </c>
      <c r="E115" s="33" t="s">
        <v>8133</v>
      </c>
      <c r="F115" s="33" t="s">
        <v>6090</v>
      </c>
      <c r="G115" s="33" t="s">
        <v>1479</v>
      </c>
      <c r="H115">
        <f t="shared" si="2"/>
        <v>3.9542425094393248</v>
      </c>
      <c r="I115">
        <v>9000</v>
      </c>
      <c r="J115" s="79" t="s">
        <v>1480</v>
      </c>
      <c r="K115" s="79" t="s">
        <v>6358</v>
      </c>
    </row>
    <row r="116" spans="1:14">
      <c r="A116" s="48" t="s">
        <v>2594</v>
      </c>
      <c r="B116" s="33" t="s">
        <v>2593</v>
      </c>
      <c r="C116" s="33" t="s">
        <v>1481</v>
      </c>
      <c r="D116" s="33" t="s">
        <v>7250</v>
      </c>
      <c r="E116" s="33" t="s">
        <v>8133</v>
      </c>
      <c r="F116" s="33" t="s">
        <v>6090</v>
      </c>
      <c r="G116" s="33" t="s">
        <v>6127</v>
      </c>
      <c r="H116">
        <f>LOG(I116)</f>
        <v>3.9542425094393248</v>
      </c>
      <c r="I116">
        <v>9000</v>
      </c>
      <c r="J116" s="79"/>
      <c r="K116" s="79" t="s">
        <v>6358</v>
      </c>
    </row>
    <row r="117" spans="1:14">
      <c r="A117" s="48" t="s">
        <v>2594</v>
      </c>
      <c r="B117" s="33" t="s">
        <v>2593</v>
      </c>
      <c r="C117" s="33" t="s">
        <v>6937</v>
      </c>
      <c r="D117" s="33" t="s">
        <v>7250</v>
      </c>
      <c r="E117" s="33" t="s">
        <v>1720</v>
      </c>
      <c r="F117" s="33" t="s">
        <v>3106</v>
      </c>
      <c r="G117" s="33" t="s">
        <v>3159</v>
      </c>
      <c r="H117">
        <f>LOG(I117)</f>
        <v>4.6766936096248664</v>
      </c>
      <c r="I117">
        <v>47500</v>
      </c>
      <c r="K117" s="79" t="s">
        <v>6358</v>
      </c>
    </row>
    <row r="118" spans="1:14">
      <c r="A118" s="48" t="s">
        <v>2594</v>
      </c>
      <c r="B118" s="33" t="s">
        <v>2593</v>
      </c>
      <c r="C118" s="33" t="s">
        <v>6937</v>
      </c>
      <c r="D118" s="33" t="s">
        <v>7250</v>
      </c>
      <c r="E118" s="33" t="s">
        <v>1720</v>
      </c>
      <c r="F118" s="33" t="s">
        <v>3106</v>
      </c>
      <c r="G118" s="33" t="s">
        <v>3429</v>
      </c>
      <c r="H118">
        <f>LOG(I118)</f>
        <v>4.6766936096248664</v>
      </c>
      <c r="I118">
        <v>47500</v>
      </c>
      <c r="J118" s="79" t="s">
        <v>3107</v>
      </c>
      <c r="K118" s="79" t="s">
        <v>6358</v>
      </c>
    </row>
    <row r="119" spans="1:14">
      <c r="A119" s="48" t="s">
        <v>2594</v>
      </c>
      <c r="B119" s="33" t="s">
        <v>2593</v>
      </c>
      <c r="C119" s="33" t="s">
        <v>3817</v>
      </c>
      <c r="D119" s="33" t="s">
        <v>7250</v>
      </c>
      <c r="E119" s="33" t="s">
        <v>6737</v>
      </c>
      <c r="F119" s="33" t="s">
        <v>5580</v>
      </c>
      <c r="G119" s="33" t="s">
        <v>5581</v>
      </c>
      <c r="H119" s="40">
        <f>LOG(I119)</f>
        <v>2.6020599913279625</v>
      </c>
      <c r="I119" s="40">
        <v>400</v>
      </c>
      <c r="J119" s="79" t="s">
        <v>6736</v>
      </c>
      <c r="K119" s="102">
        <v>68</v>
      </c>
      <c r="L119" s="85" t="s">
        <v>1533</v>
      </c>
      <c r="M119" s="85" t="s">
        <v>6641</v>
      </c>
      <c r="N119" s="82" t="s">
        <v>6642</v>
      </c>
    </row>
    <row r="120" spans="1:14">
      <c r="A120" s="58" t="s">
        <v>2594</v>
      </c>
      <c r="B120" t="s">
        <v>2593</v>
      </c>
      <c r="C120" t="s">
        <v>3817</v>
      </c>
      <c r="D120" t="s">
        <v>2663</v>
      </c>
      <c r="E120" t="s">
        <v>6205</v>
      </c>
      <c r="F120" s="33" t="s">
        <v>2710</v>
      </c>
      <c r="G120" s="33" t="s">
        <v>2711</v>
      </c>
      <c r="H120" s="40">
        <v>-999</v>
      </c>
      <c r="I120" s="40">
        <v>-999</v>
      </c>
      <c r="J120" s="79" t="s">
        <v>2714</v>
      </c>
      <c r="K120" s="102" t="s">
        <v>6358</v>
      </c>
      <c r="M120" s="85"/>
    </row>
    <row r="121" spans="1:14" ht="25.5">
      <c r="A121" s="58" t="s">
        <v>2594</v>
      </c>
      <c r="B121" t="s">
        <v>2593</v>
      </c>
      <c r="C121" t="s">
        <v>3817</v>
      </c>
      <c r="D121" t="s">
        <v>2663</v>
      </c>
      <c r="E121" t="s">
        <v>6205</v>
      </c>
      <c r="F121" s="33" t="s">
        <v>2710</v>
      </c>
      <c r="G121" s="33" t="s">
        <v>2712</v>
      </c>
      <c r="H121" s="40">
        <v>-999</v>
      </c>
      <c r="I121" s="40">
        <v>-999</v>
      </c>
      <c r="J121" s="79" t="s">
        <v>1202</v>
      </c>
      <c r="K121" s="102" t="s">
        <v>6358</v>
      </c>
      <c r="M121" s="85"/>
    </row>
    <row r="122" spans="1:14" ht="25.5">
      <c r="A122" s="58" t="s">
        <v>2594</v>
      </c>
      <c r="B122" t="s">
        <v>2593</v>
      </c>
      <c r="C122" t="s">
        <v>3817</v>
      </c>
      <c r="D122" t="s">
        <v>2663</v>
      </c>
      <c r="E122" t="s">
        <v>6205</v>
      </c>
      <c r="F122" s="33" t="s">
        <v>2710</v>
      </c>
      <c r="G122" s="33" t="s">
        <v>2713</v>
      </c>
      <c r="H122" s="40" t="e">
        <f t="shared" ref="H122:H131" si="3">LOG(I122)</f>
        <v>#NUM!</v>
      </c>
      <c r="I122" s="40">
        <v>-999</v>
      </c>
      <c r="J122" s="79" t="s">
        <v>2965</v>
      </c>
      <c r="K122" s="102" t="s">
        <v>6358</v>
      </c>
      <c r="M122" s="85"/>
    </row>
    <row r="123" spans="1:14" ht="89.25">
      <c r="A123" s="48" t="s">
        <v>2594</v>
      </c>
      <c r="B123" s="33" t="s">
        <v>2593</v>
      </c>
      <c r="C123" s="33" t="s">
        <v>6578</v>
      </c>
      <c r="D123" s="33" t="s">
        <v>3237</v>
      </c>
      <c r="E123" s="33"/>
      <c r="F123" s="33" t="s">
        <v>6088</v>
      </c>
      <c r="G123" s="33" t="s">
        <v>6089</v>
      </c>
      <c r="H123">
        <f t="shared" si="3"/>
        <v>3.8926510338773004</v>
      </c>
      <c r="I123">
        <v>7810</v>
      </c>
      <c r="J123" s="79" t="s">
        <v>7547</v>
      </c>
      <c r="K123" s="79" t="s">
        <v>7286</v>
      </c>
    </row>
    <row r="124" spans="1:14" ht="89.25">
      <c r="A124" s="48" t="s">
        <v>2594</v>
      </c>
      <c r="B124" s="33" t="s">
        <v>2593</v>
      </c>
      <c r="C124" s="33" t="s">
        <v>6578</v>
      </c>
      <c r="D124" s="33" t="s">
        <v>3237</v>
      </c>
      <c r="F124" s="33" t="s">
        <v>6088</v>
      </c>
      <c r="G124" s="33" t="s">
        <v>8119</v>
      </c>
      <c r="H124">
        <f t="shared" si="3"/>
        <v>4.1212314551496219</v>
      </c>
      <c r="I124">
        <v>13220</v>
      </c>
      <c r="J124" s="79" t="s">
        <v>6774</v>
      </c>
      <c r="K124" s="79" t="s">
        <v>7285</v>
      </c>
    </row>
    <row r="125" spans="1:14">
      <c r="A125" s="48" t="s">
        <v>2594</v>
      </c>
      <c r="B125" s="33" t="s">
        <v>2593</v>
      </c>
      <c r="C125" s="33" t="s">
        <v>3817</v>
      </c>
      <c r="D125" s="33" t="s">
        <v>3618</v>
      </c>
      <c r="E125" s="33" t="s">
        <v>3638</v>
      </c>
      <c r="F125" s="33" t="s">
        <v>4177</v>
      </c>
      <c r="G125" s="33" t="s">
        <v>5512</v>
      </c>
      <c r="H125" s="40">
        <f t="shared" si="3"/>
        <v>1.9777236052888478</v>
      </c>
      <c r="I125" s="40">
        <v>95</v>
      </c>
      <c r="J125" s="79" t="s">
        <v>6736</v>
      </c>
      <c r="K125" s="102">
        <v>68</v>
      </c>
      <c r="L125" s="85"/>
      <c r="M125" s="85"/>
    </row>
    <row r="126" spans="1:14" ht="38.25">
      <c r="A126" s="48" t="s">
        <v>2594</v>
      </c>
      <c r="B126" s="33" t="s">
        <v>2593</v>
      </c>
      <c r="C126" s="33" t="s">
        <v>3817</v>
      </c>
      <c r="D126" s="33" t="s">
        <v>3001</v>
      </c>
      <c r="E126" s="33" t="s">
        <v>3267</v>
      </c>
      <c r="F126" s="33" t="s">
        <v>3482</v>
      </c>
      <c r="G126" s="33" t="s">
        <v>5823</v>
      </c>
      <c r="H126" s="40">
        <f t="shared" si="3"/>
        <v>1.7958800173440752</v>
      </c>
      <c r="I126" s="40">
        <v>62.5</v>
      </c>
      <c r="J126" s="79" t="s">
        <v>7550</v>
      </c>
      <c r="K126" s="102">
        <v>-999</v>
      </c>
      <c r="L126" s="85"/>
      <c r="M126" s="85"/>
    </row>
    <row r="127" spans="1:14" ht="38.25">
      <c r="A127" s="48" t="s">
        <v>2594</v>
      </c>
      <c r="B127" s="33" t="s">
        <v>2593</v>
      </c>
      <c r="C127" s="33" t="s">
        <v>3817</v>
      </c>
      <c r="D127" s="33" t="s">
        <v>7250</v>
      </c>
      <c r="E127" s="33" t="s">
        <v>6739</v>
      </c>
      <c r="F127" s="33" t="s">
        <v>5657</v>
      </c>
      <c r="G127" s="33" t="s">
        <v>5519</v>
      </c>
      <c r="H127" s="40">
        <f t="shared" si="3"/>
        <v>3.7615519885641819</v>
      </c>
      <c r="I127" s="40">
        <v>5775</v>
      </c>
      <c r="J127" s="79" t="s">
        <v>5802</v>
      </c>
      <c r="K127" s="102" t="s">
        <v>6358</v>
      </c>
      <c r="L127" s="85"/>
      <c r="M127" s="82" t="s">
        <v>7081</v>
      </c>
      <c r="N127" s="82" t="s">
        <v>6640</v>
      </c>
    </row>
    <row r="128" spans="1:14">
      <c r="A128" s="48" t="s">
        <v>2594</v>
      </c>
      <c r="B128" s="33" t="s">
        <v>2593</v>
      </c>
      <c r="C128" s="33" t="s">
        <v>3817</v>
      </c>
      <c r="D128" s="33" t="s">
        <v>7250</v>
      </c>
      <c r="E128" s="33" t="s">
        <v>6739</v>
      </c>
      <c r="F128" s="33" t="s">
        <v>5657</v>
      </c>
      <c r="G128" s="33" t="s">
        <v>5774</v>
      </c>
      <c r="H128" s="40">
        <f t="shared" si="3"/>
        <v>3.5440680443502757</v>
      </c>
      <c r="I128" s="40">
        <v>3500</v>
      </c>
      <c r="J128" s="79" t="s">
        <v>3117</v>
      </c>
      <c r="K128" s="102" t="s">
        <v>6358</v>
      </c>
      <c r="L128" s="85"/>
      <c r="M128" s="82" t="s">
        <v>7081</v>
      </c>
      <c r="N128" s="82" t="s">
        <v>7071</v>
      </c>
    </row>
    <row r="129" spans="1:14" ht="51">
      <c r="A129" s="48" t="s">
        <v>2594</v>
      </c>
      <c r="B129" s="33" t="s">
        <v>2593</v>
      </c>
      <c r="C129" s="33" t="s">
        <v>3817</v>
      </c>
      <c r="D129" s="33" t="s">
        <v>7250</v>
      </c>
      <c r="E129" s="33" t="s">
        <v>6739</v>
      </c>
      <c r="F129" s="33" t="s">
        <v>5657</v>
      </c>
      <c r="G129" s="33" t="s">
        <v>5658</v>
      </c>
      <c r="H129" s="40">
        <f t="shared" si="3"/>
        <v>3.5415792439465807</v>
      </c>
      <c r="I129" s="40">
        <v>3480</v>
      </c>
      <c r="J129" s="79" t="s">
        <v>6736</v>
      </c>
      <c r="K129" s="102">
        <v>68</v>
      </c>
      <c r="L129" s="85" t="s">
        <v>6268</v>
      </c>
      <c r="M129" s="82" t="s">
        <v>7081</v>
      </c>
      <c r="N129" s="82" t="s">
        <v>6988</v>
      </c>
    </row>
    <row r="130" spans="1:14">
      <c r="A130" s="48" t="s">
        <v>2594</v>
      </c>
      <c r="B130" s="33" t="s">
        <v>2593</v>
      </c>
      <c r="C130" s="33" t="s">
        <v>3817</v>
      </c>
      <c r="D130" s="33" t="s">
        <v>2663</v>
      </c>
      <c r="E130" s="33" t="s">
        <v>6203</v>
      </c>
      <c r="F130" s="33" t="s">
        <v>6204</v>
      </c>
      <c r="G130" s="33" t="s">
        <v>2329</v>
      </c>
      <c r="H130">
        <f t="shared" si="3"/>
        <v>2.7958800173440754</v>
      </c>
      <c r="I130" s="40">
        <v>625</v>
      </c>
      <c r="J130" s="79" t="s">
        <v>2528</v>
      </c>
      <c r="K130" s="102" t="s">
        <v>6358</v>
      </c>
    </row>
    <row r="131" spans="1:14">
      <c r="A131" s="58" t="s">
        <v>2594</v>
      </c>
      <c r="B131" t="s">
        <v>2593</v>
      </c>
      <c r="C131" t="s">
        <v>3817</v>
      </c>
      <c r="D131" t="s">
        <v>2663</v>
      </c>
      <c r="E131" t="s">
        <v>6203</v>
      </c>
      <c r="F131" s="33" t="s">
        <v>2716</v>
      </c>
      <c r="G131" s="33" t="s">
        <v>2725</v>
      </c>
      <c r="H131">
        <f t="shared" si="3"/>
        <v>1.8129133566428555</v>
      </c>
      <c r="I131" s="40">
        <v>65</v>
      </c>
      <c r="J131" s="82" t="s">
        <v>2726</v>
      </c>
      <c r="K131" s="102" t="s">
        <v>6358</v>
      </c>
      <c r="M131" s="85" t="s">
        <v>7081</v>
      </c>
      <c r="N131" s="85" t="s">
        <v>6642</v>
      </c>
    </row>
    <row r="132" spans="1:14" ht="25.5">
      <c r="A132" s="48" t="s">
        <v>2594</v>
      </c>
      <c r="B132" s="31" t="s">
        <v>2593</v>
      </c>
      <c r="C132" s="33" t="s">
        <v>3817</v>
      </c>
      <c r="D132" s="33" t="s">
        <v>3954</v>
      </c>
      <c r="E132" s="33" t="s">
        <v>4180</v>
      </c>
      <c r="F132" s="33" t="s">
        <v>3546</v>
      </c>
      <c r="G132" s="33" t="s">
        <v>3569</v>
      </c>
      <c r="H132" s="40">
        <f t="shared" ref="H132:H148" si="4">LOG(I132)</f>
        <v>2.8129133566428557</v>
      </c>
      <c r="I132" s="40">
        <v>650</v>
      </c>
      <c r="J132" s="79" t="s">
        <v>2751</v>
      </c>
      <c r="K132" s="102" t="s">
        <v>2529</v>
      </c>
      <c r="L132" s="85"/>
      <c r="M132" s="85" t="s">
        <v>8150</v>
      </c>
      <c r="N132" s="85" t="s">
        <v>6988</v>
      </c>
    </row>
    <row r="133" spans="1:14">
      <c r="A133" s="58" t="s">
        <v>2594</v>
      </c>
      <c r="B133" t="s">
        <v>2593</v>
      </c>
      <c r="C133" t="s">
        <v>3817</v>
      </c>
      <c r="D133" t="s">
        <v>2663</v>
      </c>
      <c r="E133" t="s">
        <v>6205</v>
      </c>
      <c r="F133" s="33" t="s">
        <v>6276</v>
      </c>
      <c r="G133" s="33" t="s">
        <v>6278</v>
      </c>
      <c r="H133" s="40" t="e">
        <f t="shared" si="4"/>
        <v>#NUM!</v>
      </c>
      <c r="I133" s="40">
        <v>-999</v>
      </c>
      <c r="J133" s="79" t="s">
        <v>6277</v>
      </c>
      <c r="K133" s="102" t="s">
        <v>6358</v>
      </c>
      <c r="M133" s="85"/>
    </row>
    <row r="134" spans="1:14">
      <c r="A134" s="58" t="s">
        <v>2594</v>
      </c>
      <c r="B134" t="s">
        <v>2593</v>
      </c>
      <c r="C134" t="s">
        <v>3817</v>
      </c>
      <c r="D134" t="s">
        <v>2663</v>
      </c>
      <c r="E134" t="s">
        <v>6205</v>
      </c>
      <c r="F134" s="33" t="s">
        <v>6276</v>
      </c>
      <c r="G134" s="33" t="s">
        <v>7099</v>
      </c>
      <c r="H134" s="40" t="e">
        <f t="shared" si="4"/>
        <v>#NUM!</v>
      </c>
      <c r="I134" s="40">
        <v>-999</v>
      </c>
      <c r="J134" s="79" t="s">
        <v>6277</v>
      </c>
      <c r="K134" s="102" t="s">
        <v>6358</v>
      </c>
      <c r="M134" s="85"/>
    </row>
    <row r="135" spans="1:14" ht="25.5">
      <c r="A135" s="48" t="s">
        <v>2594</v>
      </c>
      <c r="B135" s="33" t="s">
        <v>2593</v>
      </c>
      <c r="C135" s="33" t="s">
        <v>3817</v>
      </c>
      <c r="D135" s="33" t="s">
        <v>7278</v>
      </c>
      <c r="E135" s="33" t="s">
        <v>7424</v>
      </c>
      <c r="F135" s="33" t="s">
        <v>5850</v>
      </c>
      <c r="G135" s="33" t="s">
        <v>4813</v>
      </c>
      <c r="H135" s="40">
        <f t="shared" si="4"/>
        <v>2.3279716236230108</v>
      </c>
      <c r="I135" s="40">
        <v>212.8</v>
      </c>
      <c r="J135" s="79" t="s">
        <v>6736</v>
      </c>
      <c r="K135" s="102" t="s">
        <v>1357</v>
      </c>
      <c r="L135" s="85" t="s">
        <v>1531</v>
      </c>
      <c r="M135" s="85"/>
    </row>
    <row r="136" spans="1:14">
      <c r="A136" s="32" t="s">
        <v>2594</v>
      </c>
      <c r="B136" s="33" t="s">
        <v>6977</v>
      </c>
      <c r="C136" s="33" t="s">
        <v>3817</v>
      </c>
      <c r="D136" s="33" t="s">
        <v>7278</v>
      </c>
      <c r="E136" s="33" t="s">
        <v>4905</v>
      </c>
      <c r="F136" s="33" t="s">
        <v>7169</v>
      </c>
      <c r="G136" s="33" t="s">
        <v>8119</v>
      </c>
      <c r="H136" s="40">
        <f t="shared" si="4"/>
        <v>0.54406804435027567</v>
      </c>
      <c r="I136" s="40">
        <v>3.5</v>
      </c>
      <c r="J136" s="79" t="s">
        <v>6375</v>
      </c>
      <c r="K136" s="102" t="s">
        <v>6358</v>
      </c>
      <c r="L136" s="85"/>
      <c r="M136" s="85"/>
    </row>
    <row r="137" spans="1:14" ht="25.5">
      <c r="A137" s="32" t="s">
        <v>2594</v>
      </c>
      <c r="B137" s="33" t="s">
        <v>6162</v>
      </c>
      <c r="C137" s="33" t="s">
        <v>3817</v>
      </c>
      <c r="D137" s="33" t="s">
        <v>7278</v>
      </c>
      <c r="E137" s="33" t="s">
        <v>4905</v>
      </c>
      <c r="F137" s="33" t="s">
        <v>7169</v>
      </c>
      <c r="G137" s="33" t="s">
        <v>4557</v>
      </c>
      <c r="H137" s="40">
        <f t="shared" si="4"/>
        <v>1.6020599913279623</v>
      </c>
      <c r="I137" s="40">
        <v>40</v>
      </c>
      <c r="J137" s="79" t="s">
        <v>1694</v>
      </c>
      <c r="K137" s="102" t="s">
        <v>2529</v>
      </c>
      <c r="L137" s="85" t="s">
        <v>6194</v>
      </c>
      <c r="M137" s="85"/>
    </row>
    <row r="138" spans="1:14">
      <c r="A138" s="42" t="s">
        <v>2594</v>
      </c>
      <c r="B138" t="s">
        <v>2593</v>
      </c>
      <c r="C138" t="s">
        <v>3817</v>
      </c>
      <c r="D138" t="s">
        <v>2663</v>
      </c>
      <c r="E138" t="s">
        <v>2533</v>
      </c>
      <c r="F138" t="s">
        <v>2501</v>
      </c>
      <c r="G138" s="33" t="s">
        <v>2502</v>
      </c>
      <c r="H138" s="40">
        <f t="shared" si="4"/>
        <v>1.4393326938302626</v>
      </c>
      <c r="I138" s="40">
        <v>27.5</v>
      </c>
      <c r="J138" s="79" t="s">
        <v>2503</v>
      </c>
      <c r="K138" s="102" t="s">
        <v>6358</v>
      </c>
      <c r="M138" s="85"/>
    </row>
    <row r="139" spans="1:14">
      <c r="A139" s="42" t="s">
        <v>2594</v>
      </c>
      <c r="B139" t="s">
        <v>2593</v>
      </c>
      <c r="C139" t="s">
        <v>3817</v>
      </c>
      <c r="D139" t="s">
        <v>2663</v>
      </c>
      <c r="E139" t="s">
        <v>2533</v>
      </c>
      <c r="F139" t="s">
        <v>2501</v>
      </c>
      <c r="G139" s="33" t="s">
        <v>4045</v>
      </c>
      <c r="H139" s="40">
        <f t="shared" si="4"/>
        <v>1.0969100130080565</v>
      </c>
      <c r="I139" s="40">
        <v>12.5</v>
      </c>
      <c r="J139" s="79" t="s">
        <v>6070</v>
      </c>
      <c r="K139" s="102" t="s">
        <v>6358</v>
      </c>
      <c r="M139" s="85"/>
    </row>
    <row r="140" spans="1:14">
      <c r="A140" s="42" t="s">
        <v>2594</v>
      </c>
      <c r="B140" t="s">
        <v>2593</v>
      </c>
      <c r="C140" t="s">
        <v>3817</v>
      </c>
      <c r="D140" t="s">
        <v>2663</v>
      </c>
      <c r="E140" t="s">
        <v>2533</v>
      </c>
      <c r="F140" t="s">
        <v>2501</v>
      </c>
      <c r="G140" s="33" t="s">
        <v>5893</v>
      </c>
      <c r="H140" s="40">
        <f t="shared" si="4"/>
        <v>1.5118833609788744</v>
      </c>
      <c r="I140" s="40">
        <v>32.5</v>
      </c>
      <c r="J140" s="79" t="s">
        <v>1188</v>
      </c>
      <c r="K140" s="102" t="s">
        <v>6358</v>
      </c>
      <c r="M140" s="85"/>
    </row>
    <row r="141" spans="1:14">
      <c r="A141" s="42" t="s">
        <v>2594</v>
      </c>
      <c r="B141" t="s">
        <v>2593</v>
      </c>
      <c r="C141" t="s">
        <v>3817</v>
      </c>
      <c r="D141" t="s">
        <v>2663</v>
      </c>
      <c r="E141" t="s">
        <v>2533</v>
      </c>
      <c r="F141" t="s">
        <v>2501</v>
      </c>
      <c r="G141" s="33" t="s">
        <v>7493</v>
      </c>
      <c r="H141" s="40">
        <f t="shared" si="4"/>
        <v>1.7596678446896306</v>
      </c>
      <c r="I141" s="40">
        <v>57.5</v>
      </c>
      <c r="J141" s="79" t="s">
        <v>6071</v>
      </c>
      <c r="K141" s="102" t="s">
        <v>6358</v>
      </c>
      <c r="M141" s="85"/>
    </row>
    <row r="142" spans="1:14">
      <c r="A142" s="42" t="s">
        <v>2594</v>
      </c>
      <c r="B142" t="s">
        <v>2593</v>
      </c>
      <c r="C142" t="s">
        <v>3817</v>
      </c>
      <c r="D142" t="s">
        <v>2663</v>
      </c>
      <c r="E142" t="s">
        <v>2533</v>
      </c>
      <c r="F142" t="s">
        <v>2501</v>
      </c>
      <c r="G142" s="33" t="s">
        <v>5487</v>
      </c>
      <c r="H142" s="40">
        <f t="shared" si="4"/>
        <v>1.2430380486862944</v>
      </c>
      <c r="I142" s="40">
        <v>17.5</v>
      </c>
      <c r="J142" s="79" t="s">
        <v>6202</v>
      </c>
      <c r="K142" s="102" t="s">
        <v>6358</v>
      </c>
      <c r="M142" s="85"/>
    </row>
    <row r="143" spans="1:14">
      <c r="A143" s="42" t="s">
        <v>2594</v>
      </c>
      <c r="B143" t="s">
        <v>2593</v>
      </c>
      <c r="C143" t="s">
        <v>3817</v>
      </c>
      <c r="D143" t="s">
        <v>2663</v>
      </c>
      <c r="E143" t="s">
        <v>2839</v>
      </c>
      <c r="F143" s="33" t="s">
        <v>6197</v>
      </c>
      <c r="G143" s="33" t="s">
        <v>6198</v>
      </c>
      <c r="H143">
        <f t="shared" si="4"/>
        <v>1.3979400086720377</v>
      </c>
      <c r="I143" s="40">
        <v>25</v>
      </c>
      <c r="J143" s="79" t="s">
        <v>6199</v>
      </c>
      <c r="K143" s="102" t="s">
        <v>6358</v>
      </c>
      <c r="M143" s="85"/>
    </row>
    <row r="144" spans="1:14" ht="25.5">
      <c r="A144" s="32" t="s">
        <v>2594</v>
      </c>
      <c r="B144" s="33" t="s">
        <v>2593</v>
      </c>
      <c r="C144" s="33" t="s">
        <v>3817</v>
      </c>
      <c r="D144" s="33" t="s">
        <v>7278</v>
      </c>
      <c r="E144" s="33" t="s">
        <v>7424</v>
      </c>
      <c r="F144" s="33" t="s">
        <v>5851</v>
      </c>
      <c r="G144" s="33" t="s">
        <v>5815</v>
      </c>
      <c r="H144" s="40">
        <f t="shared" si="4"/>
        <v>2.6989700043360187</v>
      </c>
      <c r="I144" s="40">
        <v>500</v>
      </c>
      <c r="J144" s="79" t="s">
        <v>6736</v>
      </c>
      <c r="K144" s="102" t="s">
        <v>1357</v>
      </c>
      <c r="L144" s="85" t="s">
        <v>5995</v>
      </c>
    </row>
    <row r="145" spans="1:25">
      <c r="A145" s="42" t="s">
        <v>2594</v>
      </c>
      <c r="B145" t="s">
        <v>2593</v>
      </c>
      <c r="C145" t="s">
        <v>3817</v>
      </c>
      <c r="D145" t="s">
        <v>2663</v>
      </c>
      <c r="E145" t="s">
        <v>1425</v>
      </c>
      <c r="F145" s="33" t="s">
        <v>5807</v>
      </c>
      <c r="G145" s="33" t="s">
        <v>2664</v>
      </c>
      <c r="H145">
        <f t="shared" si="4"/>
        <v>0.74036268949424389</v>
      </c>
      <c r="I145" s="40">
        <v>5.5</v>
      </c>
      <c r="J145" s="79" t="s">
        <v>2665</v>
      </c>
      <c r="K145" s="102" t="s">
        <v>6358</v>
      </c>
      <c r="M145" s="85"/>
    </row>
    <row r="146" spans="1:25">
      <c r="A146" s="42" t="s">
        <v>2594</v>
      </c>
      <c r="B146" t="s">
        <v>2593</v>
      </c>
      <c r="C146" t="s">
        <v>3817</v>
      </c>
      <c r="D146" t="s">
        <v>2663</v>
      </c>
      <c r="E146" t="s">
        <v>1425</v>
      </c>
      <c r="F146" s="33" t="s">
        <v>5807</v>
      </c>
      <c r="G146" s="33" t="s">
        <v>2329</v>
      </c>
      <c r="H146">
        <f t="shared" si="4"/>
        <v>0.95424250943932487</v>
      </c>
      <c r="I146" s="40">
        <v>9</v>
      </c>
      <c r="J146" s="79" t="s">
        <v>2368</v>
      </c>
      <c r="K146" s="102" t="s">
        <v>6358</v>
      </c>
      <c r="M146" s="85"/>
    </row>
    <row r="147" spans="1:25" ht="38.25">
      <c r="A147" s="32" t="s">
        <v>2594</v>
      </c>
      <c r="B147" s="33" t="s">
        <v>2593</v>
      </c>
      <c r="C147" s="33" t="s">
        <v>3817</v>
      </c>
      <c r="D147" s="33" t="s">
        <v>7250</v>
      </c>
      <c r="E147" s="33" t="s">
        <v>8133</v>
      </c>
      <c r="F147" s="33" t="s">
        <v>8125</v>
      </c>
      <c r="G147" s="33" t="s">
        <v>5646</v>
      </c>
      <c r="H147" s="40">
        <f t="shared" si="4"/>
        <v>3.5854607295085006</v>
      </c>
      <c r="I147" s="40">
        <v>3850</v>
      </c>
      <c r="J147" s="79" t="s">
        <v>6736</v>
      </c>
      <c r="K147" s="102">
        <v>68</v>
      </c>
      <c r="L147" s="85" t="s">
        <v>1235</v>
      </c>
      <c r="M147" s="82" t="s">
        <v>7081</v>
      </c>
      <c r="N147" s="82" t="s">
        <v>6640</v>
      </c>
    </row>
    <row r="148" spans="1:25">
      <c r="A148" s="32" t="s">
        <v>2594</v>
      </c>
      <c r="B148" s="33" t="s">
        <v>2593</v>
      </c>
      <c r="C148" s="33" t="s">
        <v>2405</v>
      </c>
      <c r="D148" s="33" t="s">
        <v>3954</v>
      </c>
      <c r="E148" s="33" t="s">
        <v>4908</v>
      </c>
      <c r="F148" s="33" t="s">
        <v>6095</v>
      </c>
      <c r="G148" s="33" t="s">
        <v>4108</v>
      </c>
      <c r="H148" s="40">
        <f t="shared" si="4"/>
        <v>3.4771212547196626</v>
      </c>
      <c r="I148" s="40">
        <v>3000</v>
      </c>
      <c r="J148" s="79" t="s">
        <v>2745</v>
      </c>
      <c r="K148" s="102" t="s">
        <v>6358</v>
      </c>
      <c r="L148" s="85"/>
    </row>
    <row r="149" spans="1:25">
      <c r="A149" s="32"/>
      <c r="B149" s="33"/>
      <c r="D149" s="33"/>
      <c r="E149" s="33"/>
      <c r="F149" s="33"/>
      <c r="G149" s="33"/>
      <c r="J149" s="79"/>
      <c r="K149" s="79"/>
    </row>
    <row r="150" spans="1:25">
      <c r="A150" s="32"/>
      <c r="B150" s="33"/>
      <c r="C150" s="33"/>
      <c r="D150" s="33"/>
      <c r="E150" s="33"/>
      <c r="F150" s="33"/>
      <c r="G150" s="33"/>
      <c r="J150" s="79"/>
      <c r="K150" s="79"/>
    </row>
    <row r="151" spans="1:25">
      <c r="A151" s="50" t="s">
        <v>6189</v>
      </c>
    </row>
    <row r="152" spans="1:25" ht="51">
      <c r="A152" s="49" t="s">
        <v>2594</v>
      </c>
      <c r="B152" s="31" t="s">
        <v>2593</v>
      </c>
      <c r="C152" s="33" t="s">
        <v>3817</v>
      </c>
      <c r="D152" s="33" t="s">
        <v>7278</v>
      </c>
      <c r="E152" s="33" t="s">
        <v>7424</v>
      </c>
      <c r="F152" s="33" t="s">
        <v>6624</v>
      </c>
      <c r="G152" s="33" t="s">
        <v>3549</v>
      </c>
      <c r="H152" s="40" t="e">
        <f>LOG(I152)</f>
        <v>#NUM!</v>
      </c>
      <c r="I152" s="40">
        <v>-999</v>
      </c>
      <c r="J152" s="79" t="s">
        <v>6188</v>
      </c>
      <c r="K152" s="102">
        <v>-999</v>
      </c>
      <c r="L152" s="85" t="s">
        <v>6161</v>
      </c>
      <c r="M152" s="85"/>
      <c r="N152" s="85"/>
      <c r="O152" s="16"/>
      <c r="P152" s="16"/>
      <c r="Q152" s="16"/>
      <c r="R152" s="16"/>
      <c r="S152" s="16"/>
      <c r="T152" s="16"/>
      <c r="U152" s="16"/>
      <c r="V152" s="16"/>
      <c r="W152" s="16"/>
      <c r="X152" s="16"/>
      <c r="Y152" s="18"/>
    </row>
    <row r="153" spans="1:25" ht="25.5">
      <c r="A153" s="32" t="s">
        <v>2594</v>
      </c>
      <c r="B153" t="s">
        <v>2593</v>
      </c>
      <c r="C153" t="s">
        <v>5092</v>
      </c>
      <c r="D153" t="s">
        <v>3954</v>
      </c>
      <c r="E153" t="s">
        <v>4908</v>
      </c>
      <c r="F153" t="s">
        <v>5608</v>
      </c>
      <c r="G153" t="s">
        <v>1312</v>
      </c>
      <c r="J153" s="82" t="s">
        <v>1313</v>
      </c>
      <c r="L153" s="82" t="s">
        <v>1203</v>
      </c>
    </row>
    <row r="155" spans="1:25">
      <c r="A155" s="32" t="s">
        <v>1791</v>
      </c>
    </row>
    <row r="156" spans="1:25">
      <c r="A156" t="s">
        <v>1434</v>
      </c>
    </row>
    <row r="157" spans="1:25">
      <c r="A157" s="57" t="s">
        <v>1241</v>
      </c>
    </row>
    <row r="158" spans="1:25">
      <c r="A158" t="s">
        <v>1621</v>
      </c>
    </row>
    <row r="159" spans="1:25">
      <c r="A159" t="s">
        <v>7048</v>
      </c>
    </row>
    <row r="161" spans="1:1">
      <c r="A161" t="s">
        <v>1538</v>
      </c>
    </row>
    <row r="162" spans="1:1">
      <c r="A162" t="s">
        <v>1579</v>
      </c>
    </row>
  </sheetData>
  <phoneticPr fontId="26" type="noConversion"/>
  <pageMargins left="0.75" right="0.75" top="1" bottom="1" header="0.5" footer="0.5"/>
  <pageSetup paperSize="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0"/>
  <sheetViews>
    <sheetView workbookViewId="0">
      <selection activeCell="F53" sqref="F53"/>
    </sheetView>
  </sheetViews>
  <sheetFormatPr defaultColWidth="11.42578125" defaultRowHeight="12.75"/>
  <cols>
    <col min="1" max="1" width="8.7109375" bestFit="1" customWidth="1"/>
    <col min="2" max="2" width="33.42578125" bestFit="1" customWidth="1"/>
    <col min="3" max="3" width="7.85546875" bestFit="1" customWidth="1"/>
    <col min="4" max="4" width="14.7109375" bestFit="1" customWidth="1"/>
    <col min="5" max="5" width="15.28515625" bestFit="1" customWidth="1"/>
    <col min="6" max="6" width="14.7109375" bestFit="1" customWidth="1"/>
    <col min="7" max="7" width="16.28515625" bestFit="1" customWidth="1"/>
    <col min="8" max="8" width="8.140625" bestFit="1" customWidth="1"/>
    <col min="9" max="9" width="16" bestFit="1" customWidth="1"/>
    <col min="10" max="10" width="10.28515625" bestFit="1" customWidth="1"/>
    <col min="11" max="11" width="8.85546875" customWidth="1"/>
  </cols>
  <sheetData>
    <row r="1" spans="1:25" ht="15" customHeight="1">
      <c r="A1" s="22" t="s">
        <v>3588</v>
      </c>
      <c r="B1" s="23" t="s">
        <v>5042</v>
      </c>
      <c r="C1" s="24" t="s">
        <v>4431</v>
      </c>
      <c r="D1" s="24" t="s">
        <v>4223</v>
      </c>
      <c r="E1" s="24" t="s">
        <v>5090</v>
      </c>
      <c r="F1" s="24" t="s">
        <v>3590</v>
      </c>
      <c r="G1" s="24" t="s">
        <v>4481</v>
      </c>
      <c r="H1" s="25" t="s">
        <v>3353</v>
      </c>
      <c r="I1" s="26" t="s">
        <v>3600</v>
      </c>
      <c r="J1" s="23" t="s">
        <v>3815</v>
      </c>
      <c r="K1" s="45" t="s">
        <v>5200</v>
      </c>
      <c r="L1" s="17"/>
      <c r="M1" s="17"/>
      <c r="N1" s="17"/>
      <c r="O1" s="17"/>
      <c r="P1" s="17"/>
      <c r="Q1" s="17"/>
      <c r="R1" s="17"/>
      <c r="S1" s="17"/>
      <c r="T1" s="17"/>
      <c r="U1" s="17"/>
      <c r="V1" s="17"/>
      <c r="W1" s="17"/>
      <c r="X1" s="17"/>
      <c r="Y1" s="18"/>
    </row>
    <row r="2" spans="1:25">
      <c r="A2" s="29" t="s">
        <v>2594</v>
      </c>
      <c r="B2" s="28" t="s">
        <v>6905</v>
      </c>
      <c r="C2" s="27" t="s">
        <v>3817</v>
      </c>
      <c r="D2" s="27" t="s">
        <v>3001</v>
      </c>
      <c r="E2" s="27" t="s">
        <v>3358</v>
      </c>
      <c r="F2" s="27" t="s">
        <v>3171</v>
      </c>
      <c r="G2" s="27" t="s">
        <v>4066</v>
      </c>
      <c r="H2" s="41">
        <f>LOG(I2)</f>
        <v>4.5250448070368456</v>
      </c>
      <c r="I2" s="41">
        <v>33500</v>
      </c>
      <c r="J2" s="27" t="s">
        <v>6843</v>
      </c>
      <c r="K2" s="46">
        <v>59</v>
      </c>
    </row>
    <row r="3" spans="1:25">
      <c r="A3" s="29" t="s">
        <v>2594</v>
      </c>
      <c r="B3" s="28" t="s">
        <v>6905</v>
      </c>
      <c r="C3" s="27" t="s">
        <v>3817</v>
      </c>
      <c r="D3" s="27" t="s">
        <v>3001</v>
      </c>
      <c r="E3" s="27" t="s">
        <v>3905</v>
      </c>
      <c r="F3" s="27" t="s">
        <v>3866</v>
      </c>
      <c r="G3" s="27" t="s">
        <v>4891</v>
      </c>
      <c r="H3" s="41">
        <f t="shared" ref="H3:H27" si="0">LOG(I3)</f>
        <v>4.685741738602264</v>
      </c>
      <c r="I3" s="41">
        <v>48500</v>
      </c>
      <c r="J3" s="27" t="s">
        <v>6843</v>
      </c>
      <c r="K3" s="46">
        <v>59</v>
      </c>
    </row>
    <row r="4" spans="1:25">
      <c r="A4" s="34" t="s">
        <v>2594</v>
      </c>
      <c r="B4" s="31" t="s">
        <v>6905</v>
      </c>
      <c r="C4" s="33" t="s">
        <v>3817</v>
      </c>
      <c r="D4" s="33" t="s">
        <v>3954</v>
      </c>
      <c r="E4" s="33" t="s">
        <v>7321</v>
      </c>
      <c r="F4" s="33" t="s">
        <v>4839</v>
      </c>
      <c r="G4" s="33" t="s">
        <v>4857</v>
      </c>
      <c r="H4" s="41">
        <f>LOG(I4)</f>
        <v>3.6283889300503116</v>
      </c>
      <c r="I4" s="40">
        <v>4250</v>
      </c>
      <c r="J4" s="33" t="s">
        <v>6941</v>
      </c>
      <c r="K4" s="44">
        <v>59</v>
      </c>
    </row>
    <row r="5" spans="1:25">
      <c r="A5" s="34" t="s">
        <v>2594</v>
      </c>
      <c r="B5" s="31" t="s">
        <v>6905</v>
      </c>
      <c r="C5" s="33" t="s">
        <v>3817</v>
      </c>
      <c r="D5" s="33" t="s">
        <v>3954</v>
      </c>
      <c r="E5" s="33" t="s">
        <v>4468</v>
      </c>
      <c r="F5" s="33" t="s">
        <v>4080</v>
      </c>
      <c r="G5" s="33" t="s">
        <v>4082</v>
      </c>
      <c r="H5" s="41">
        <f>LOG(I5)</f>
        <v>5.0053950318867058</v>
      </c>
      <c r="I5" s="40">
        <v>101250</v>
      </c>
      <c r="J5" s="33" t="s">
        <v>6941</v>
      </c>
      <c r="K5" s="44">
        <v>59</v>
      </c>
      <c r="L5" t="s">
        <v>5800</v>
      </c>
    </row>
    <row r="6" spans="1:25">
      <c r="A6" s="34" t="s">
        <v>2594</v>
      </c>
      <c r="B6" s="31" t="s">
        <v>6905</v>
      </c>
      <c r="C6" s="33" t="s">
        <v>3817</v>
      </c>
      <c r="D6" s="33" t="s">
        <v>3954</v>
      </c>
      <c r="E6" s="33" t="s">
        <v>4468</v>
      </c>
      <c r="F6" s="33" t="s">
        <v>4080</v>
      </c>
      <c r="G6" s="33" t="s">
        <v>4473</v>
      </c>
      <c r="H6" s="41">
        <f>LOG(I6)</f>
        <v>5.2516382204482124</v>
      </c>
      <c r="I6" s="40">
        <v>178500</v>
      </c>
      <c r="J6" s="33" t="s">
        <v>6941</v>
      </c>
      <c r="K6" s="44">
        <v>59</v>
      </c>
      <c r="L6" t="s">
        <v>5800</v>
      </c>
    </row>
    <row r="7" spans="1:25">
      <c r="A7" s="34" t="s">
        <v>2594</v>
      </c>
      <c r="B7" s="31" t="s">
        <v>6905</v>
      </c>
      <c r="C7" s="33" t="s">
        <v>3817</v>
      </c>
      <c r="D7" s="33" t="s">
        <v>3954</v>
      </c>
      <c r="E7" s="33" t="s">
        <v>4468</v>
      </c>
      <c r="F7" s="33" t="s">
        <v>4080</v>
      </c>
      <c r="G7" s="33" t="s">
        <v>4081</v>
      </c>
      <c r="H7" s="41">
        <f>LOG(I7)</f>
        <v>4.924279286061882</v>
      </c>
      <c r="I7" s="40">
        <v>84000</v>
      </c>
      <c r="J7" s="33" t="s">
        <v>6941</v>
      </c>
      <c r="K7" s="44">
        <v>59</v>
      </c>
      <c r="L7" t="s">
        <v>5800</v>
      </c>
    </row>
    <row r="8" spans="1:25">
      <c r="A8" s="34" t="s">
        <v>2594</v>
      </c>
      <c r="B8" s="33" t="s">
        <v>6905</v>
      </c>
      <c r="C8" s="33" t="s">
        <v>3817</v>
      </c>
      <c r="D8" s="33" t="s">
        <v>3954</v>
      </c>
      <c r="E8" s="33" t="s">
        <v>4468</v>
      </c>
      <c r="F8" s="33" t="s">
        <v>4474</v>
      </c>
      <c r="G8" s="33" t="s">
        <v>4612</v>
      </c>
      <c r="H8" s="40">
        <v>5.2787536009528289</v>
      </c>
      <c r="I8" s="40">
        <v>190000</v>
      </c>
      <c r="J8" s="33" t="s">
        <v>6941</v>
      </c>
      <c r="K8" s="44">
        <v>59</v>
      </c>
      <c r="L8" t="s">
        <v>5800</v>
      </c>
    </row>
    <row r="9" spans="1:25">
      <c r="A9" s="34" t="s">
        <v>2594</v>
      </c>
      <c r="B9" s="33" t="s">
        <v>6905</v>
      </c>
      <c r="C9" s="33" t="s">
        <v>3817</v>
      </c>
      <c r="D9" s="33" t="s">
        <v>3954</v>
      </c>
      <c r="E9" s="33" t="s">
        <v>4613</v>
      </c>
      <c r="F9" s="33" t="s">
        <v>2720</v>
      </c>
      <c r="G9" s="33" t="s">
        <v>2408</v>
      </c>
      <c r="H9" s="41">
        <f t="shared" si="0"/>
        <v>5.5563025007672868</v>
      </c>
      <c r="I9" s="40">
        <v>360000</v>
      </c>
      <c r="J9" s="33" t="s">
        <v>6941</v>
      </c>
      <c r="K9" s="44">
        <v>59</v>
      </c>
      <c r="L9" t="s">
        <v>5800</v>
      </c>
    </row>
    <row r="10" spans="1:25">
      <c r="A10" s="34" t="s">
        <v>2594</v>
      </c>
      <c r="B10" s="33" t="s">
        <v>6905</v>
      </c>
      <c r="C10" s="33" t="s">
        <v>3817</v>
      </c>
      <c r="D10" s="33" t="s">
        <v>3954</v>
      </c>
      <c r="E10" s="33" t="s">
        <v>4613</v>
      </c>
      <c r="F10" s="33" t="s">
        <v>4614</v>
      </c>
      <c r="G10" s="33" t="s">
        <v>1993</v>
      </c>
      <c r="H10" s="41">
        <f t="shared" si="0"/>
        <v>5.3521825181113627</v>
      </c>
      <c r="I10" s="40">
        <v>225000</v>
      </c>
      <c r="J10" s="33" t="s">
        <v>6941</v>
      </c>
      <c r="K10" s="44">
        <v>59</v>
      </c>
      <c r="L10" t="s">
        <v>5800</v>
      </c>
    </row>
    <row r="11" spans="1:25">
      <c r="A11" s="34" t="s">
        <v>2594</v>
      </c>
      <c r="B11" s="31" t="s">
        <v>6905</v>
      </c>
      <c r="C11" s="33" t="s">
        <v>3817</v>
      </c>
      <c r="D11" s="33" t="s">
        <v>3954</v>
      </c>
      <c r="E11" s="33" t="s">
        <v>4613</v>
      </c>
      <c r="F11" s="33" t="s">
        <v>2517</v>
      </c>
      <c r="G11" s="33" t="s">
        <v>2518</v>
      </c>
      <c r="H11" s="41">
        <f t="shared" si="0"/>
        <v>6.204119982655925</v>
      </c>
      <c r="I11" s="40">
        <v>1600000</v>
      </c>
      <c r="J11" s="33" t="s">
        <v>6941</v>
      </c>
      <c r="K11" s="44">
        <v>59</v>
      </c>
      <c r="L11" t="s">
        <v>5800</v>
      </c>
    </row>
    <row r="12" spans="1:25">
      <c r="A12" s="34" t="s">
        <v>2594</v>
      </c>
      <c r="B12" s="33" t="s">
        <v>6905</v>
      </c>
      <c r="C12" s="33" t="s">
        <v>3817</v>
      </c>
      <c r="D12" s="33" t="s">
        <v>2663</v>
      </c>
      <c r="E12" s="33" t="s">
        <v>6205</v>
      </c>
      <c r="F12" s="33" t="s">
        <v>1419</v>
      </c>
      <c r="G12" s="33" t="s">
        <v>1523</v>
      </c>
      <c r="H12" s="40">
        <f>LOG(I12)</f>
        <v>0.66745295288995399</v>
      </c>
      <c r="I12" s="40">
        <f>AVERAGE(3.7, 5.6)</f>
        <v>4.6500000000000004</v>
      </c>
      <c r="J12" s="33"/>
      <c r="K12" s="44">
        <v>112</v>
      </c>
      <c r="L12" t="s">
        <v>5800</v>
      </c>
    </row>
    <row r="13" spans="1:25">
      <c r="A13" s="34" t="s">
        <v>2594</v>
      </c>
      <c r="B13" s="33" t="s">
        <v>6905</v>
      </c>
      <c r="C13" s="33" t="s">
        <v>3817</v>
      </c>
      <c r="D13" s="33" t="s">
        <v>2663</v>
      </c>
      <c r="E13" s="33" t="s">
        <v>6205</v>
      </c>
      <c r="F13" s="33" t="s">
        <v>1419</v>
      </c>
      <c r="G13" s="33" t="s">
        <v>3545</v>
      </c>
      <c r="H13" s="40">
        <f t="shared" si="0"/>
        <v>0.75966784468963044</v>
      </c>
      <c r="I13" s="40">
        <f>AVERAGE(3.8, 7.7)</f>
        <v>5.75</v>
      </c>
      <c r="J13" s="33"/>
      <c r="K13" s="44">
        <v>112</v>
      </c>
      <c r="L13" t="s">
        <v>5800</v>
      </c>
    </row>
    <row r="14" spans="1:25">
      <c r="A14" s="47" t="s">
        <v>2594</v>
      </c>
      <c r="B14" t="s">
        <v>6905</v>
      </c>
      <c r="C14" t="s">
        <v>3817</v>
      </c>
      <c r="D14" t="s">
        <v>2663</v>
      </c>
      <c r="E14" t="s">
        <v>6205</v>
      </c>
      <c r="F14" t="s">
        <v>1419</v>
      </c>
      <c r="G14" s="33" t="s">
        <v>1526</v>
      </c>
      <c r="H14" s="40">
        <f t="shared" si="0"/>
        <v>0.90308998699194354</v>
      </c>
      <c r="I14" s="40">
        <v>8</v>
      </c>
      <c r="J14" s="33" t="s">
        <v>6941</v>
      </c>
      <c r="K14" s="44">
        <v>59</v>
      </c>
      <c r="L14" t="s">
        <v>5800</v>
      </c>
    </row>
    <row r="15" spans="1:25">
      <c r="A15" s="47" t="s">
        <v>2594</v>
      </c>
      <c r="B15" t="s">
        <v>6905</v>
      </c>
      <c r="C15" t="s">
        <v>3817</v>
      </c>
      <c r="D15" t="s">
        <v>2663</v>
      </c>
      <c r="E15" t="s">
        <v>6205</v>
      </c>
      <c r="F15" t="s">
        <v>1342</v>
      </c>
      <c r="G15" s="33" t="s">
        <v>3716</v>
      </c>
      <c r="H15" s="40">
        <f t="shared" si="0"/>
        <v>1.0086001717619175</v>
      </c>
      <c r="I15">
        <f>AVERAGE(6.7, 13.7)</f>
        <v>10.199999999999999</v>
      </c>
      <c r="J15" s="33"/>
      <c r="K15" s="44">
        <v>112</v>
      </c>
      <c r="L15" t="s">
        <v>5800</v>
      </c>
    </row>
    <row r="16" spans="1:25">
      <c r="A16" s="47" t="s">
        <v>2594</v>
      </c>
      <c r="B16" t="s">
        <v>6905</v>
      </c>
      <c r="C16" t="s">
        <v>3817</v>
      </c>
      <c r="D16" t="s">
        <v>2663</v>
      </c>
      <c r="E16" t="s">
        <v>6205</v>
      </c>
      <c r="F16" s="33" t="s">
        <v>1342</v>
      </c>
      <c r="G16" s="33" t="s">
        <v>6742</v>
      </c>
      <c r="H16" s="40">
        <f t="shared" si="0"/>
        <v>1.1760912590556813</v>
      </c>
      <c r="I16">
        <f>AVERAGE(12.2, 17.8)</f>
        <v>15</v>
      </c>
      <c r="J16" s="33"/>
      <c r="K16" s="44">
        <v>112</v>
      </c>
      <c r="L16" t="s">
        <v>5800</v>
      </c>
    </row>
    <row r="17" spans="1:12">
      <c r="A17" s="47" t="s">
        <v>2594</v>
      </c>
      <c r="B17" t="s">
        <v>6905</v>
      </c>
      <c r="C17" t="s">
        <v>3817</v>
      </c>
      <c r="D17" t="s">
        <v>2663</v>
      </c>
      <c r="E17" t="s">
        <v>6205</v>
      </c>
      <c r="F17" s="33" t="s">
        <v>3104</v>
      </c>
      <c r="G17" s="33" t="s">
        <v>6742</v>
      </c>
      <c r="H17" s="40">
        <f t="shared" si="0"/>
        <v>1.0413926851582251</v>
      </c>
      <c r="I17">
        <v>11</v>
      </c>
      <c r="J17" s="33" t="s">
        <v>6941</v>
      </c>
      <c r="K17" s="44">
        <v>59</v>
      </c>
    </row>
    <row r="18" spans="1:12">
      <c r="A18" s="47" t="s">
        <v>2594</v>
      </c>
      <c r="B18" t="s">
        <v>6905</v>
      </c>
      <c r="C18" t="s">
        <v>3817</v>
      </c>
      <c r="D18" t="s">
        <v>2663</v>
      </c>
      <c r="E18" t="s">
        <v>6205</v>
      </c>
      <c r="F18" s="33" t="s">
        <v>3104</v>
      </c>
      <c r="G18" s="33" t="s">
        <v>3777</v>
      </c>
      <c r="H18" s="40">
        <f t="shared" si="0"/>
        <v>0.97772360528884772</v>
      </c>
      <c r="I18">
        <f>AVERAGE(6.8, 12.2)</f>
        <v>9.5</v>
      </c>
      <c r="J18" s="33"/>
      <c r="K18" s="44">
        <v>112</v>
      </c>
      <c r="L18" t="s">
        <v>5800</v>
      </c>
    </row>
    <row r="19" spans="1:12">
      <c r="A19" s="47" t="s">
        <v>2594</v>
      </c>
      <c r="B19" t="s">
        <v>6905</v>
      </c>
      <c r="C19" t="s">
        <v>3817</v>
      </c>
      <c r="D19" t="s">
        <v>2663</v>
      </c>
      <c r="E19" t="s">
        <v>6205</v>
      </c>
      <c r="F19" s="33" t="s">
        <v>3104</v>
      </c>
      <c r="G19" s="33" t="s">
        <v>1527</v>
      </c>
      <c r="H19" s="40" t="e">
        <f t="shared" si="0"/>
        <v>#NUM!</v>
      </c>
      <c r="I19">
        <v>-999</v>
      </c>
      <c r="J19" s="33" t="s">
        <v>6941</v>
      </c>
      <c r="K19" s="44">
        <v>59</v>
      </c>
      <c r="L19" t="s">
        <v>5800</v>
      </c>
    </row>
    <row r="20" spans="1:12">
      <c r="A20" s="47" t="s">
        <v>2594</v>
      </c>
      <c r="B20" t="s">
        <v>6905</v>
      </c>
      <c r="C20" t="s">
        <v>3817</v>
      </c>
      <c r="D20" t="s">
        <v>2663</v>
      </c>
      <c r="E20" t="s">
        <v>6205</v>
      </c>
      <c r="F20" s="33" t="s">
        <v>1528</v>
      </c>
      <c r="G20" s="33" t="s">
        <v>1418</v>
      </c>
      <c r="H20" s="40">
        <f t="shared" si="0"/>
        <v>1.3042750504771283</v>
      </c>
      <c r="I20">
        <f>AVERAGE(16.2, 24.1)</f>
        <v>20.149999999999999</v>
      </c>
      <c r="J20" s="33"/>
      <c r="K20" s="44">
        <v>112</v>
      </c>
      <c r="L20" t="s">
        <v>5800</v>
      </c>
    </row>
    <row r="21" spans="1:12">
      <c r="A21" s="47" t="s">
        <v>2594</v>
      </c>
      <c r="B21" t="s">
        <v>6905</v>
      </c>
      <c r="C21" t="s">
        <v>3817</v>
      </c>
      <c r="D21" t="s">
        <v>2663</v>
      </c>
      <c r="E21" t="s">
        <v>6205</v>
      </c>
      <c r="F21" s="33" t="s">
        <v>3104</v>
      </c>
      <c r="G21" s="33" t="s">
        <v>6297</v>
      </c>
      <c r="H21" s="40">
        <f t="shared" si="0"/>
        <v>1.1568519010700111</v>
      </c>
      <c r="I21">
        <f>AVERAGE(9.8, 18.9)</f>
        <v>14.35</v>
      </c>
      <c r="J21" s="33"/>
      <c r="K21" s="44">
        <v>112</v>
      </c>
    </row>
    <row r="22" spans="1:12">
      <c r="A22" s="34" t="s">
        <v>2594</v>
      </c>
      <c r="B22" s="31" t="s">
        <v>6905</v>
      </c>
      <c r="C22" s="33" t="s">
        <v>3817</v>
      </c>
      <c r="D22" s="33" t="s">
        <v>3423</v>
      </c>
      <c r="E22" s="33" t="s">
        <v>3424</v>
      </c>
      <c r="F22" s="33" t="s">
        <v>7489</v>
      </c>
      <c r="G22" s="33" t="s">
        <v>4171</v>
      </c>
      <c r="H22" s="41">
        <f t="shared" si="0"/>
        <v>1.7403626894942439</v>
      </c>
      <c r="I22" s="40">
        <v>55</v>
      </c>
      <c r="J22" s="33"/>
      <c r="K22" s="44">
        <v>112</v>
      </c>
      <c r="L22" t="s">
        <v>5800</v>
      </c>
    </row>
    <row r="23" spans="1:12">
      <c r="A23" s="34" t="s">
        <v>2594</v>
      </c>
      <c r="B23" s="31" t="s">
        <v>6905</v>
      </c>
      <c r="C23" s="33" t="s">
        <v>3817</v>
      </c>
      <c r="D23" s="33" t="s">
        <v>3423</v>
      </c>
      <c r="E23" s="33" t="s">
        <v>3424</v>
      </c>
      <c r="F23" s="33" t="s">
        <v>7489</v>
      </c>
      <c r="G23" s="33" t="s">
        <v>4394</v>
      </c>
      <c r="H23" s="41">
        <f t="shared" si="0"/>
        <v>1.8129133566428555</v>
      </c>
      <c r="I23" s="40">
        <v>65</v>
      </c>
      <c r="J23" s="33"/>
      <c r="K23" s="44">
        <v>112</v>
      </c>
      <c r="L23" t="s">
        <v>5800</v>
      </c>
    </row>
    <row r="24" spans="1:12">
      <c r="A24" s="34" t="s">
        <v>2594</v>
      </c>
      <c r="B24" s="31" t="s">
        <v>6905</v>
      </c>
      <c r="C24" s="33" t="s">
        <v>3817</v>
      </c>
      <c r="D24" s="33" t="s">
        <v>3423</v>
      </c>
      <c r="E24" s="33" t="s">
        <v>3424</v>
      </c>
      <c r="F24" s="33" t="s">
        <v>4389</v>
      </c>
      <c r="G24" s="33" t="s">
        <v>3513</v>
      </c>
      <c r="H24" s="41">
        <f t="shared" si="0"/>
        <v>3.6020599913279625</v>
      </c>
      <c r="I24" s="40">
        <v>4000</v>
      </c>
      <c r="J24" s="33"/>
      <c r="K24" s="44">
        <v>112</v>
      </c>
      <c r="L24" t="s">
        <v>5800</v>
      </c>
    </row>
    <row r="25" spans="1:12">
      <c r="A25" s="34" t="s">
        <v>2594</v>
      </c>
      <c r="B25" s="31" t="s">
        <v>6905</v>
      </c>
      <c r="C25" s="33" t="s">
        <v>3817</v>
      </c>
      <c r="D25" s="33" t="s">
        <v>3423</v>
      </c>
      <c r="E25" s="33" t="s">
        <v>3424</v>
      </c>
      <c r="F25" s="33" t="s">
        <v>4389</v>
      </c>
      <c r="G25" s="33" t="s">
        <v>3935</v>
      </c>
      <c r="H25" s="41">
        <f t="shared" si="0"/>
        <v>3.1139433523068369</v>
      </c>
      <c r="I25" s="40">
        <v>1300</v>
      </c>
      <c r="J25" s="33"/>
      <c r="K25" s="44">
        <v>112</v>
      </c>
      <c r="L25" t="s">
        <v>5800</v>
      </c>
    </row>
    <row r="26" spans="1:12">
      <c r="A26" s="38" t="s">
        <v>2594</v>
      </c>
      <c r="B26" s="35" t="s">
        <v>6905</v>
      </c>
      <c r="C26" s="36" t="s">
        <v>3817</v>
      </c>
      <c r="D26" s="35" t="s">
        <v>3423</v>
      </c>
      <c r="E26" s="35" t="s">
        <v>3424</v>
      </c>
      <c r="F26" s="35" t="s">
        <v>3934</v>
      </c>
      <c r="G26" s="35" t="s">
        <v>6789</v>
      </c>
      <c r="H26" s="41">
        <f t="shared" si="0"/>
        <v>4</v>
      </c>
      <c r="I26" s="37">
        <v>10000</v>
      </c>
      <c r="J26" s="35" t="s">
        <v>6939</v>
      </c>
      <c r="K26" s="39" t="s">
        <v>2588</v>
      </c>
      <c r="L26" t="s">
        <v>5800</v>
      </c>
    </row>
    <row r="27" spans="1:12">
      <c r="A27" s="34" t="s">
        <v>2594</v>
      </c>
      <c r="B27" s="33" t="s">
        <v>6905</v>
      </c>
      <c r="C27" s="33" t="s">
        <v>3817</v>
      </c>
      <c r="D27" s="33" t="s">
        <v>3423</v>
      </c>
      <c r="E27" s="33" t="s">
        <v>3424</v>
      </c>
      <c r="F27" s="33" t="s">
        <v>4118</v>
      </c>
      <c r="G27" s="33" t="s">
        <v>7491</v>
      </c>
      <c r="H27" s="41">
        <f t="shared" si="0"/>
        <v>1.4471580313422192</v>
      </c>
      <c r="I27" s="40">
        <f>AVERAGE(32, 24)</f>
        <v>28</v>
      </c>
      <c r="J27" s="33" t="s">
        <v>6939</v>
      </c>
      <c r="K27" s="44">
        <v>59</v>
      </c>
      <c r="L27" t="s">
        <v>5800</v>
      </c>
    </row>
    <row r="28" spans="1:12">
      <c r="A28" s="34" t="s">
        <v>2594</v>
      </c>
      <c r="B28" s="31" t="s">
        <v>6905</v>
      </c>
      <c r="C28" s="33" t="s">
        <v>3817</v>
      </c>
      <c r="D28" s="33" t="s">
        <v>2079</v>
      </c>
      <c r="E28" s="33" t="s">
        <v>4842</v>
      </c>
      <c r="F28" s="33" t="s">
        <v>2174</v>
      </c>
      <c r="G28" s="33" t="s">
        <v>2175</v>
      </c>
      <c r="H28" s="41">
        <f t="shared" ref="H28:H45" si="1">LOG(I28)</f>
        <v>0.84509804001425681</v>
      </c>
      <c r="I28" s="40">
        <v>7</v>
      </c>
      <c r="J28" s="33"/>
      <c r="K28" s="44">
        <v>112</v>
      </c>
      <c r="L28" t="s">
        <v>5800</v>
      </c>
    </row>
    <row r="29" spans="1:12">
      <c r="A29" s="34" t="s">
        <v>2594</v>
      </c>
      <c r="B29" s="31" t="s">
        <v>6905</v>
      </c>
      <c r="C29" s="33" t="s">
        <v>3817</v>
      </c>
      <c r="D29" s="33" t="s">
        <v>2079</v>
      </c>
      <c r="E29" s="33" t="s">
        <v>4842</v>
      </c>
      <c r="F29" s="33" t="s">
        <v>2174</v>
      </c>
      <c r="G29" s="33" t="s">
        <v>2177</v>
      </c>
      <c r="H29" s="41">
        <f t="shared" si="1"/>
        <v>1.4771212547196624</v>
      </c>
      <c r="I29" s="40">
        <v>30</v>
      </c>
      <c r="J29" s="33"/>
      <c r="K29" s="44">
        <v>112</v>
      </c>
      <c r="L29" t="s">
        <v>5800</v>
      </c>
    </row>
    <row r="30" spans="1:12">
      <c r="A30" s="34" t="s">
        <v>2594</v>
      </c>
      <c r="B30" s="31" t="s">
        <v>6905</v>
      </c>
      <c r="C30" s="33" t="s">
        <v>3817</v>
      </c>
      <c r="D30" s="33" t="s">
        <v>2079</v>
      </c>
      <c r="E30" s="33" t="s">
        <v>7333</v>
      </c>
      <c r="F30" s="33" t="s">
        <v>3755</v>
      </c>
      <c r="G30" s="33" t="s">
        <v>4255</v>
      </c>
      <c r="H30" s="41">
        <f t="shared" si="1"/>
        <v>4.653212513775344</v>
      </c>
      <c r="I30" s="40">
        <v>45000</v>
      </c>
      <c r="J30" s="33"/>
      <c r="K30" s="44">
        <v>112</v>
      </c>
      <c r="L30" t="s">
        <v>5800</v>
      </c>
    </row>
    <row r="31" spans="1:12">
      <c r="A31" s="34" t="s">
        <v>2594</v>
      </c>
      <c r="B31" s="31" t="s">
        <v>6905</v>
      </c>
      <c r="C31" s="33" t="s">
        <v>3817</v>
      </c>
      <c r="D31" s="33" t="s">
        <v>2079</v>
      </c>
      <c r="E31" s="33" t="s">
        <v>7333</v>
      </c>
      <c r="F31" s="33" t="s">
        <v>3755</v>
      </c>
      <c r="G31" s="33" t="s">
        <v>4187</v>
      </c>
      <c r="H31" s="41">
        <f t="shared" si="1"/>
        <v>4.2265999052073573</v>
      </c>
      <c r="I31" s="40">
        <f>AVERAGE(19700, 14000)</f>
        <v>16850</v>
      </c>
      <c r="J31" s="33" t="s">
        <v>6939</v>
      </c>
      <c r="K31" s="44">
        <v>59</v>
      </c>
      <c r="L31" t="s">
        <v>5800</v>
      </c>
    </row>
    <row r="32" spans="1:12">
      <c r="A32" s="34" t="s">
        <v>2594</v>
      </c>
      <c r="B32" s="31" t="s">
        <v>6905</v>
      </c>
      <c r="C32" s="33" t="s">
        <v>3817</v>
      </c>
      <c r="D32" s="33" t="s">
        <v>2079</v>
      </c>
      <c r="E32" s="33" t="s">
        <v>7333</v>
      </c>
      <c r="F32" s="33" t="s">
        <v>7540</v>
      </c>
      <c r="G32" s="33" t="s">
        <v>3754</v>
      </c>
      <c r="H32" s="41">
        <f t="shared" si="1"/>
        <v>3.8450980400142569</v>
      </c>
      <c r="I32" s="40">
        <v>7000</v>
      </c>
      <c r="J32" s="33"/>
      <c r="K32" s="44">
        <v>112</v>
      </c>
      <c r="L32" t="s">
        <v>5800</v>
      </c>
    </row>
    <row r="33" spans="1:12">
      <c r="A33" s="34" t="s">
        <v>2594</v>
      </c>
      <c r="B33" s="31" t="s">
        <v>6905</v>
      </c>
      <c r="C33" s="33" t="s">
        <v>3817</v>
      </c>
      <c r="D33" s="33" t="s">
        <v>2079</v>
      </c>
      <c r="E33" s="33" t="s">
        <v>4267</v>
      </c>
      <c r="F33" s="33" t="s">
        <v>4268</v>
      </c>
      <c r="G33" s="33" t="s">
        <v>4269</v>
      </c>
      <c r="H33" s="41">
        <f t="shared" si="1"/>
        <v>2.0791812460476247</v>
      </c>
      <c r="I33" s="40">
        <v>120</v>
      </c>
      <c r="J33" s="33"/>
      <c r="K33" s="44">
        <v>112</v>
      </c>
      <c r="L33" t="s">
        <v>5800</v>
      </c>
    </row>
    <row r="34" spans="1:12">
      <c r="A34" s="34" t="s">
        <v>2594</v>
      </c>
      <c r="B34" s="31" t="s">
        <v>6905</v>
      </c>
      <c r="C34" s="33" t="s">
        <v>3817</v>
      </c>
      <c r="D34" s="33" t="s">
        <v>2079</v>
      </c>
      <c r="E34" s="33" t="s">
        <v>3793</v>
      </c>
      <c r="F34" s="33" t="s">
        <v>3799</v>
      </c>
      <c r="G34" s="33" t="s">
        <v>3809</v>
      </c>
      <c r="H34" s="41">
        <f t="shared" si="1"/>
        <v>3.5440680443502757</v>
      </c>
      <c r="I34" s="40">
        <v>3500</v>
      </c>
      <c r="J34" s="33"/>
      <c r="K34" s="44">
        <v>112</v>
      </c>
      <c r="L34" t="s">
        <v>5800</v>
      </c>
    </row>
    <row r="35" spans="1:12">
      <c r="A35" s="34" t="s">
        <v>2594</v>
      </c>
      <c r="B35" s="33" t="s">
        <v>6905</v>
      </c>
      <c r="C35" s="33" t="s">
        <v>3817</v>
      </c>
      <c r="D35" s="33" t="s">
        <v>2079</v>
      </c>
      <c r="E35" s="33" t="s">
        <v>4486</v>
      </c>
      <c r="F35" s="33" t="s">
        <v>3829</v>
      </c>
      <c r="G35" s="33" t="s">
        <v>7012</v>
      </c>
      <c r="H35" s="41">
        <f t="shared" si="1"/>
        <v>3.3010299956639813</v>
      </c>
      <c r="I35" s="40">
        <v>2000</v>
      </c>
      <c r="J35" s="33"/>
      <c r="K35" s="44">
        <v>112</v>
      </c>
      <c r="L35" t="s">
        <v>5800</v>
      </c>
    </row>
    <row r="36" spans="1:12">
      <c r="A36" s="34" t="s">
        <v>2594</v>
      </c>
      <c r="B36" s="33" t="s">
        <v>6905</v>
      </c>
      <c r="C36" s="33" t="s">
        <v>3817</v>
      </c>
      <c r="D36" s="33" t="s">
        <v>2079</v>
      </c>
      <c r="E36" s="33" t="s">
        <v>4486</v>
      </c>
      <c r="F36" s="33" t="s">
        <v>3796</v>
      </c>
      <c r="G36" s="33" t="s">
        <v>4477</v>
      </c>
      <c r="H36" s="41">
        <f t="shared" si="1"/>
        <v>3.1139433523068369</v>
      </c>
      <c r="I36" s="40">
        <v>1300</v>
      </c>
      <c r="J36" s="33"/>
      <c r="K36" s="44">
        <v>112</v>
      </c>
      <c r="L36" t="s">
        <v>5800</v>
      </c>
    </row>
    <row r="37" spans="1:12">
      <c r="A37" s="34" t="s">
        <v>2594</v>
      </c>
      <c r="B37" s="31" t="s">
        <v>6905</v>
      </c>
      <c r="C37" s="33" t="s">
        <v>3817</v>
      </c>
      <c r="D37" s="33" t="s">
        <v>2079</v>
      </c>
      <c r="E37" s="33" t="s">
        <v>7301</v>
      </c>
      <c r="F37" s="33" t="s">
        <v>7302</v>
      </c>
      <c r="G37" s="33" t="s">
        <v>7303</v>
      </c>
      <c r="H37" s="41">
        <f t="shared" si="1"/>
        <v>2.9777236052888476</v>
      </c>
      <c r="I37" s="40">
        <v>950</v>
      </c>
      <c r="J37" s="33"/>
      <c r="K37" s="44">
        <v>112</v>
      </c>
      <c r="L37" t="s">
        <v>5800</v>
      </c>
    </row>
    <row r="38" spans="1:12">
      <c r="A38" s="34" t="s">
        <v>2594</v>
      </c>
      <c r="B38" s="31" t="s">
        <v>6905</v>
      </c>
      <c r="C38" s="33" t="s">
        <v>3817</v>
      </c>
      <c r="D38" s="33" t="s">
        <v>2079</v>
      </c>
      <c r="E38" s="33" t="s">
        <v>4461</v>
      </c>
      <c r="F38" s="33" t="s">
        <v>4469</v>
      </c>
      <c r="G38" s="33" t="s">
        <v>4470</v>
      </c>
      <c r="H38" s="41">
        <f t="shared" si="1"/>
        <v>4.4149733479708182</v>
      </c>
      <c r="I38" s="40">
        <v>26000</v>
      </c>
      <c r="J38" s="33"/>
      <c r="K38" s="44">
        <v>112</v>
      </c>
      <c r="L38" t="s">
        <v>5800</v>
      </c>
    </row>
    <row r="39" spans="1:12">
      <c r="A39" s="34" t="s">
        <v>2594</v>
      </c>
      <c r="B39" s="31" t="s">
        <v>6905</v>
      </c>
      <c r="C39" s="33" t="s">
        <v>3817</v>
      </c>
      <c r="D39" s="33" t="s">
        <v>7345</v>
      </c>
      <c r="E39" s="33" t="s">
        <v>7346</v>
      </c>
      <c r="F39" s="33" t="s">
        <v>7340</v>
      </c>
      <c r="G39" s="33" t="s">
        <v>4259</v>
      </c>
      <c r="H39" s="41">
        <f t="shared" si="1"/>
        <v>3.6020599913279625</v>
      </c>
      <c r="I39" s="40">
        <v>4000</v>
      </c>
      <c r="J39" s="33" t="s">
        <v>6941</v>
      </c>
      <c r="K39" s="44">
        <v>59</v>
      </c>
    </row>
    <row r="40" spans="1:12">
      <c r="A40" s="34" t="s">
        <v>2594</v>
      </c>
      <c r="B40" s="31" t="s">
        <v>6905</v>
      </c>
      <c r="C40" s="33" t="s">
        <v>3817</v>
      </c>
      <c r="D40" s="33" t="s">
        <v>7115</v>
      </c>
      <c r="E40" s="33" t="s">
        <v>3802</v>
      </c>
      <c r="F40" s="33" t="s">
        <v>3803</v>
      </c>
      <c r="G40" s="33" t="s">
        <v>4250</v>
      </c>
      <c r="H40" s="41">
        <f t="shared" si="1"/>
        <v>3.2304489213782741</v>
      </c>
      <c r="I40" s="40">
        <f>AVERAGE(1900, 1500)</f>
        <v>1700</v>
      </c>
      <c r="J40" s="33" t="s">
        <v>1572</v>
      </c>
      <c r="K40" s="44">
        <v>59</v>
      </c>
      <c r="L40" s="53" t="s">
        <v>5800</v>
      </c>
    </row>
    <row r="41" spans="1:12">
      <c r="A41" s="34" t="s">
        <v>2594</v>
      </c>
      <c r="B41" s="31" t="s">
        <v>6905</v>
      </c>
      <c r="C41" s="33" t="s">
        <v>3817</v>
      </c>
      <c r="D41" s="33" t="s">
        <v>7115</v>
      </c>
      <c r="E41" s="33" t="s">
        <v>4475</v>
      </c>
      <c r="F41" s="33" t="s">
        <v>4476</v>
      </c>
      <c r="G41" s="33" t="s">
        <v>7114</v>
      </c>
      <c r="H41" s="41">
        <f t="shared" si="1"/>
        <v>3.6020599913279625</v>
      </c>
      <c r="I41" s="40">
        <v>4000</v>
      </c>
      <c r="J41" s="33"/>
      <c r="K41" s="44">
        <v>112</v>
      </c>
      <c r="L41" t="s">
        <v>5800</v>
      </c>
    </row>
    <row r="42" spans="1:12">
      <c r="A42" s="34" t="s">
        <v>2594</v>
      </c>
      <c r="B42" s="31" t="s">
        <v>6905</v>
      </c>
      <c r="C42" s="33" t="s">
        <v>3817</v>
      </c>
      <c r="D42" s="33" t="s">
        <v>2551</v>
      </c>
      <c r="E42" s="33" t="s">
        <v>2552</v>
      </c>
      <c r="F42" s="33" t="s">
        <v>2557</v>
      </c>
      <c r="G42" s="33" t="s">
        <v>2690</v>
      </c>
      <c r="H42" s="41">
        <f t="shared" si="1"/>
        <v>3.0791812460476247</v>
      </c>
      <c r="I42" s="40">
        <v>1200</v>
      </c>
      <c r="J42" s="33"/>
      <c r="K42" s="44">
        <v>112</v>
      </c>
      <c r="L42" t="s">
        <v>5800</v>
      </c>
    </row>
    <row r="43" spans="1:12">
      <c r="A43" s="34" t="s">
        <v>2594</v>
      </c>
      <c r="B43" s="31" t="s">
        <v>6905</v>
      </c>
      <c r="C43" s="33" t="s">
        <v>3817</v>
      </c>
      <c r="D43" s="33" t="s">
        <v>2551</v>
      </c>
      <c r="E43" s="33" t="s">
        <v>2552</v>
      </c>
      <c r="F43" s="33" t="s">
        <v>2553</v>
      </c>
      <c r="G43" s="33" t="s">
        <v>2262</v>
      </c>
      <c r="H43" s="41">
        <f t="shared" si="1"/>
        <v>2.9956351945975501</v>
      </c>
      <c r="I43" s="40">
        <v>990</v>
      </c>
      <c r="J43" s="33" t="s">
        <v>6939</v>
      </c>
      <c r="K43" s="44">
        <v>59</v>
      </c>
      <c r="L43" t="s">
        <v>5800</v>
      </c>
    </row>
    <row r="44" spans="1:12">
      <c r="A44" s="34" t="s">
        <v>2594</v>
      </c>
      <c r="B44" s="27" t="s">
        <v>6905</v>
      </c>
      <c r="C44" s="33" t="s">
        <v>3817</v>
      </c>
      <c r="D44" s="33" t="s">
        <v>3618</v>
      </c>
      <c r="E44" s="33" t="s">
        <v>3638</v>
      </c>
      <c r="F44" s="33" t="s">
        <v>4275</v>
      </c>
      <c r="G44" s="33" t="s">
        <v>4276</v>
      </c>
      <c r="H44" s="41">
        <f t="shared" si="1"/>
        <v>2.7781512503836434</v>
      </c>
      <c r="I44" s="40">
        <v>600</v>
      </c>
      <c r="J44" s="33"/>
      <c r="K44" s="44">
        <v>112</v>
      </c>
      <c r="L44" t="s">
        <v>5800</v>
      </c>
    </row>
    <row r="45" spans="1:12">
      <c r="A45" s="34" t="s">
        <v>2594</v>
      </c>
      <c r="B45" s="27" t="s">
        <v>6905</v>
      </c>
      <c r="C45" s="33" t="s">
        <v>3817</v>
      </c>
      <c r="D45" s="33" t="s">
        <v>3618</v>
      </c>
      <c r="E45" s="33" t="s">
        <v>3638</v>
      </c>
      <c r="F45" s="33" t="s">
        <v>6536</v>
      </c>
      <c r="G45" s="33" t="s">
        <v>4307</v>
      </c>
      <c r="H45" s="41">
        <f t="shared" si="1"/>
        <v>1.3010299956639813</v>
      </c>
      <c r="I45" s="40">
        <v>20</v>
      </c>
      <c r="J45" s="33"/>
      <c r="K45" s="44">
        <v>112</v>
      </c>
    </row>
    <row r="46" spans="1:12">
      <c r="A46" s="34" t="s">
        <v>2594</v>
      </c>
      <c r="B46" s="31" t="s">
        <v>6905</v>
      </c>
      <c r="C46" s="33" t="s">
        <v>3817</v>
      </c>
      <c r="D46" s="33" t="s">
        <v>3618</v>
      </c>
      <c r="E46" s="33" t="s">
        <v>3638</v>
      </c>
      <c r="F46" s="33" t="s">
        <v>7414</v>
      </c>
      <c r="G46" s="33" t="s">
        <v>4847</v>
      </c>
      <c r="H46" s="41">
        <f t="shared" ref="H46:H51" si="2">LOG(I46)</f>
        <v>2.0791812460476247</v>
      </c>
      <c r="I46" s="40">
        <v>120</v>
      </c>
      <c r="J46" s="33"/>
      <c r="K46" s="44">
        <v>112</v>
      </c>
      <c r="L46" t="s">
        <v>5800</v>
      </c>
    </row>
    <row r="47" spans="1:12">
      <c r="A47" s="34" t="s">
        <v>2594</v>
      </c>
      <c r="B47" s="33" t="s">
        <v>6905</v>
      </c>
      <c r="C47" s="33" t="s">
        <v>3817</v>
      </c>
      <c r="D47" s="33" t="s">
        <v>3618</v>
      </c>
      <c r="E47" s="33" t="s">
        <v>3638</v>
      </c>
      <c r="F47" s="33" t="s">
        <v>7414</v>
      </c>
      <c r="G47" s="33" t="s">
        <v>4027</v>
      </c>
      <c r="H47" s="41">
        <f t="shared" si="2"/>
        <v>1.8260748027008264</v>
      </c>
      <c r="I47" s="40">
        <v>67</v>
      </c>
      <c r="J47" s="33" t="s">
        <v>6939</v>
      </c>
      <c r="K47" s="44">
        <v>59</v>
      </c>
      <c r="L47" t="s">
        <v>5800</v>
      </c>
    </row>
    <row r="48" spans="1:12">
      <c r="A48" s="34" t="s">
        <v>2594</v>
      </c>
      <c r="B48" s="33" t="s">
        <v>6905</v>
      </c>
      <c r="C48" s="33" t="s">
        <v>3817</v>
      </c>
      <c r="D48" s="33" t="s">
        <v>3618</v>
      </c>
      <c r="E48" s="33" t="s">
        <v>3638</v>
      </c>
      <c r="F48" s="33" t="s">
        <v>7414</v>
      </c>
      <c r="G48" s="33" t="s">
        <v>4663</v>
      </c>
      <c r="H48" s="41">
        <f t="shared" si="2"/>
        <v>1.3710678622717363</v>
      </c>
      <c r="I48" s="40">
        <v>23.5</v>
      </c>
      <c r="J48" s="33" t="s">
        <v>6939</v>
      </c>
      <c r="K48" s="44">
        <v>59</v>
      </c>
      <c r="L48" t="s">
        <v>5800</v>
      </c>
    </row>
    <row r="49" spans="1:25">
      <c r="A49" s="34" t="s">
        <v>2594</v>
      </c>
      <c r="B49" s="33" t="s">
        <v>6905</v>
      </c>
      <c r="C49" s="33" t="s">
        <v>3817</v>
      </c>
      <c r="D49" s="33" t="s">
        <v>3618</v>
      </c>
      <c r="E49" s="33" t="s">
        <v>3638</v>
      </c>
      <c r="F49" s="33" t="s">
        <v>7644</v>
      </c>
      <c r="G49" s="33" t="s">
        <v>7330</v>
      </c>
      <c r="H49" s="41">
        <f t="shared" si="2"/>
        <v>2.0791812460476247</v>
      </c>
      <c r="I49" s="40">
        <v>120</v>
      </c>
      <c r="J49" s="33"/>
      <c r="K49" s="44">
        <v>112</v>
      </c>
      <c r="L49" t="s">
        <v>5800</v>
      </c>
    </row>
    <row r="50" spans="1:25">
      <c r="A50" s="34" t="s">
        <v>2594</v>
      </c>
      <c r="B50" s="33" t="s">
        <v>6905</v>
      </c>
      <c r="C50" s="33" t="s">
        <v>3817</v>
      </c>
      <c r="D50" s="33" t="s">
        <v>3618</v>
      </c>
      <c r="E50" s="33" t="s">
        <v>3638</v>
      </c>
      <c r="F50" s="33" t="s">
        <v>7644</v>
      </c>
      <c r="G50" s="33" t="s">
        <v>4015</v>
      </c>
      <c r="H50" s="41">
        <f t="shared" si="2"/>
        <v>2.5051499783199058</v>
      </c>
      <c r="I50" s="40">
        <v>320</v>
      </c>
      <c r="J50" s="33" t="s">
        <v>6941</v>
      </c>
      <c r="K50" s="44">
        <v>59</v>
      </c>
    </row>
    <row r="51" spans="1:25" ht="15" customHeight="1">
      <c r="A51" s="34" t="s">
        <v>2594</v>
      </c>
      <c r="B51" s="33" t="s">
        <v>6905</v>
      </c>
      <c r="C51" s="33" t="s">
        <v>3817</v>
      </c>
      <c r="D51" s="33" t="s">
        <v>3618</v>
      </c>
      <c r="E51" s="33" t="s">
        <v>3638</v>
      </c>
      <c r="F51" s="33" t="s">
        <v>7644</v>
      </c>
      <c r="G51" s="33" t="s">
        <v>4023</v>
      </c>
      <c r="H51" s="41">
        <f t="shared" si="2"/>
        <v>2.4471580313422194</v>
      </c>
      <c r="I51" s="40">
        <v>280</v>
      </c>
      <c r="J51" s="33"/>
      <c r="K51" s="44">
        <v>112</v>
      </c>
      <c r="M51" s="16"/>
      <c r="N51" s="16"/>
      <c r="O51" s="16"/>
      <c r="P51" s="16"/>
      <c r="Q51" s="16"/>
      <c r="R51" s="16"/>
      <c r="S51" s="16"/>
      <c r="T51" s="16"/>
      <c r="U51" s="16"/>
      <c r="V51" s="16"/>
      <c r="W51" s="16"/>
      <c r="X51" s="16"/>
      <c r="Y51" s="18"/>
    </row>
    <row r="52" spans="1:25">
      <c r="A52" s="51" t="s">
        <v>2594</v>
      </c>
      <c r="B52" s="52" t="s">
        <v>6905</v>
      </c>
      <c r="C52" s="54" t="s">
        <v>5092</v>
      </c>
      <c r="D52" s="52" t="s">
        <v>3423</v>
      </c>
      <c r="E52" s="52" t="s">
        <v>3424</v>
      </c>
      <c r="F52" s="52" t="s">
        <v>3934</v>
      </c>
      <c r="G52" s="52" t="s">
        <v>4140</v>
      </c>
      <c r="H52" s="55">
        <v>4.08</v>
      </c>
      <c r="I52" s="55">
        <v>12000</v>
      </c>
      <c r="J52" s="52" t="s">
        <v>6941</v>
      </c>
      <c r="K52" s="56" t="s">
        <v>6638</v>
      </c>
    </row>
    <row r="53" spans="1:25">
      <c r="A53" s="38" t="s">
        <v>2594</v>
      </c>
      <c r="B53" s="35" t="s">
        <v>6905</v>
      </c>
      <c r="C53" s="36" t="s">
        <v>5092</v>
      </c>
      <c r="D53" s="35" t="s">
        <v>2079</v>
      </c>
      <c r="E53" s="35" t="s">
        <v>5091</v>
      </c>
      <c r="F53" s="35" t="s">
        <v>2217</v>
      </c>
      <c r="G53" s="35" t="s">
        <v>2218</v>
      </c>
      <c r="H53" s="41">
        <f t="shared" ref="H53:H61" si="3">LOG(I53)</f>
        <v>5.6989700043360187</v>
      </c>
      <c r="I53" s="37">
        <v>500000</v>
      </c>
      <c r="J53" s="35" t="s">
        <v>6941</v>
      </c>
      <c r="K53" s="39" t="s">
        <v>6639</v>
      </c>
    </row>
    <row r="54" spans="1:25">
      <c r="A54" s="38" t="s">
        <v>2594</v>
      </c>
      <c r="B54" s="35" t="s">
        <v>6905</v>
      </c>
      <c r="C54" s="36" t="s">
        <v>5092</v>
      </c>
      <c r="D54" s="35" t="s">
        <v>2079</v>
      </c>
      <c r="E54" s="35" t="s">
        <v>5091</v>
      </c>
      <c r="F54" s="35" t="s">
        <v>7205</v>
      </c>
      <c r="G54" s="35" t="s">
        <v>7206</v>
      </c>
      <c r="H54" s="41">
        <f t="shared" si="3"/>
        <v>5.8750612633917001</v>
      </c>
      <c r="I54" s="37">
        <v>750000</v>
      </c>
      <c r="J54" s="35" t="s">
        <v>6941</v>
      </c>
      <c r="K54" s="39" t="s">
        <v>6891</v>
      </c>
    </row>
    <row r="55" spans="1:25">
      <c r="A55" s="38" t="s">
        <v>2594</v>
      </c>
      <c r="B55" s="35" t="s">
        <v>6905</v>
      </c>
      <c r="C55" s="36" t="s">
        <v>5092</v>
      </c>
      <c r="D55" s="35" t="s">
        <v>2079</v>
      </c>
      <c r="E55" s="35" t="s">
        <v>7333</v>
      </c>
      <c r="F55" s="35" t="s">
        <v>3755</v>
      </c>
      <c r="G55" s="35" t="s">
        <v>4248</v>
      </c>
      <c r="H55" s="41">
        <f t="shared" si="3"/>
        <v>5.1760912590556813</v>
      </c>
      <c r="I55" s="37">
        <v>150000</v>
      </c>
      <c r="J55" s="35" t="s">
        <v>6941</v>
      </c>
      <c r="K55" s="39" t="s">
        <v>4249</v>
      </c>
    </row>
    <row r="56" spans="1:25">
      <c r="A56" s="38" t="s">
        <v>2594</v>
      </c>
      <c r="B56" s="35" t="s">
        <v>6905</v>
      </c>
      <c r="C56" s="36" t="s">
        <v>5092</v>
      </c>
      <c r="D56" s="35" t="s">
        <v>2079</v>
      </c>
      <c r="E56" s="35" t="s">
        <v>7333</v>
      </c>
      <c r="F56" s="35" t="s">
        <v>2090</v>
      </c>
      <c r="G56" s="35" t="s">
        <v>6575</v>
      </c>
      <c r="H56" s="41">
        <f t="shared" si="3"/>
        <v>5</v>
      </c>
      <c r="I56" s="37">
        <v>100000</v>
      </c>
      <c r="J56" s="35" t="s">
        <v>6941</v>
      </c>
      <c r="K56" s="39" t="s">
        <v>2481</v>
      </c>
    </row>
    <row r="57" spans="1:25">
      <c r="A57" s="38" t="s">
        <v>2594</v>
      </c>
      <c r="B57" s="35" t="s">
        <v>6905</v>
      </c>
      <c r="C57" s="36" t="s">
        <v>5092</v>
      </c>
      <c r="D57" s="35" t="s">
        <v>2079</v>
      </c>
      <c r="E57" s="35" t="s">
        <v>7333</v>
      </c>
      <c r="F57" s="35" t="s">
        <v>2093</v>
      </c>
      <c r="G57" s="35" t="s">
        <v>2096</v>
      </c>
      <c r="H57" s="41">
        <f t="shared" si="3"/>
        <v>4.4771212547196626</v>
      </c>
      <c r="I57" s="37">
        <v>30000</v>
      </c>
      <c r="J57" s="35" t="s">
        <v>6941</v>
      </c>
      <c r="K57" s="39" t="s">
        <v>2481</v>
      </c>
    </row>
    <row r="58" spans="1:25">
      <c r="A58" s="38" t="s">
        <v>2594</v>
      </c>
      <c r="B58" s="35" t="s">
        <v>6905</v>
      </c>
      <c r="C58" s="36" t="s">
        <v>5092</v>
      </c>
      <c r="D58" s="35" t="s">
        <v>2079</v>
      </c>
      <c r="E58" s="35" t="s">
        <v>7333</v>
      </c>
      <c r="F58" s="35" t="s">
        <v>2093</v>
      </c>
      <c r="G58" s="35" t="s">
        <v>4843</v>
      </c>
      <c r="H58" s="41">
        <f t="shared" si="3"/>
        <v>4.6989700043360187</v>
      </c>
      <c r="I58" s="37">
        <v>50000</v>
      </c>
      <c r="J58" s="35" t="s">
        <v>6941</v>
      </c>
      <c r="K58" s="39" t="s">
        <v>6891</v>
      </c>
    </row>
    <row r="59" spans="1:25">
      <c r="A59" s="38" t="s">
        <v>2594</v>
      </c>
      <c r="B59" s="35" t="s">
        <v>6905</v>
      </c>
      <c r="C59" s="36" t="s">
        <v>5092</v>
      </c>
      <c r="D59" s="35" t="s">
        <v>7115</v>
      </c>
      <c r="E59" s="35" t="s">
        <v>4475</v>
      </c>
      <c r="F59" s="35" t="s">
        <v>4708</v>
      </c>
      <c r="G59" s="35" t="s">
        <v>4709</v>
      </c>
      <c r="H59" s="41">
        <f t="shared" si="3"/>
        <v>4</v>
      </c>
      <c r="I59" s="37">
        <v>10000</v>
      </c>
      <c r="J59" s="35" t="s">
        <v>6941</v>
      </c>
      <c r="K59" s="39" t="s">
        <v>6891</v>
      </c>
    </row>
    <row r="60" spans="1:25">
      <c r="A60" s="38" t="s">
        <v>2594</v>
      </c>
      <c r="B60" s="35" t="s">
        <v>6905</v>
      </c>
      <c r="C60" s="36" t="s">
        <v>5092</v>
      </c>
      <c r="D60" s="35" t="s">
        <v>2551</v>
      </c>
      <c r="E60" s="35" t="s">
        <v>5146</v>
      </c>
      <c r="F60" s="35" t="s">
        <v>2395</v>
      </c>
      <c r="G60" s="35" t="s">
        <v>2550</v>
      </c>
      <c r="H60" s="41">
        <f t="shared" si="3"/>
        <v>5.0606978403536118</v>
      </c>
      <c r="I60" s="37">
        <v>115000</v>
      </c>
      <c r="J60" s="35" t="s">
        <v>6941</v>
      </c>
      <c r="K60" s="39" t="s">
        <v>6666</v>
      </c>
    </row>
    <row r="61" spans="1:25">
      <c r="A61" s="38" t="s">
        <v>2594</v>
      </c>
      <c r="B61" s="35" t="s">
        <v>6905</v>
      </c>
      <c r="C61" s="36" t="s">
        <v>1615</v>
      </c>
      <c r="D61" s="35" t="s">
        <v>3423</v>
      </c>
      <c r="E61" s="35" t="s">
        <v>3475</v>
      </c>
      <c r="F61" s="35" t="s">
        <v>5112</v>
      </c>
      <c r="G61" s="35" t="s">
        <v>5289</v>
      </c>
      <c r="H61" s="41">
        <f t="shared" si="3"/>
        <v>4.3979400086720375</v>
      </c>
      <c r="I61" s="37">
        <v>25000</v>
      </c>
      <c r="J61" s="35" t="s">
        <v>6940</v>
      </c>
      <c r="K61" s="39">
        <v>59</v>
      </c>
      <c r="L61" t="s">
        <v>5800</v>
      </c>
    </row>
    <row r="63" spans="1:25">
      <c r="A63" s="50" t="s">
        <v>6189</v>
      </c>
    </row>
    <row r="64" spans="1:25" ht="15" customHeight="1">
      <c r="A64" s="38" t="s">
        <v>2594</v>
      </c>
      <c r="B64" s="35" t="s">
        <v>6905</v>
      </c>
      <c r="C64" s="36" t="s">
        <v>5092</v>
      </c>
      <c r="D64" s="35" t="s">
        <v>2079</v>
      </c>
      <c r="E64" s="35" t="s">
        <v>5091</v>
      </c>
      <c r="F64" s="35" t="s">
        <v>2589</v>
      </c>
      <c r="G64" s="35" t="s">
        <v>4654</v>
      </c>
      <c r="H64" s="37">
        <v>6.1760912590556813</v>
      </c>
      <c r="I64" s="37">
        <v>1500000</v>
      </c>
      <c r="J64" s="35" t="s">
        <v>7101</v>
      </c>
      <c r="K64" s="39" t="s">
        <v>2480</v>
      </c>
      <c r="L64" s="16"/>
      <c r="M64" s="16"/>
      <c r="N64" s="16"/>
      <c r="O64" s="16"/>
      <c r="P64" s="16"/>
      <c r="Q64" s="16"/>
      <c r="R64" s="16"/>
      <c r="S64" s="16"/>
      <c r="T64" s="16"/>
      <c r="U64" s="16"/>
      <c r="V64" s="16"/>
      <c r="W64" s="16"/>
      <c r="X64" s="16"/>
      <c r="Y64" s="18"/>
    </row>
    <row r="70" spans="1:1">
      <c r="A70" t="s">
        <v>1415</v>
      </c>
    </row>
  </sheetData>
  <phoneticPr fontId="26" type="noConversion"/>
  <hyperlinks>
    <hyperlink ref="L40" r:id="rId1"/>
  </hyperlinks>
  <pageMargins left="0.75" right="0.75" top="1" bottom="1" header="0.5" footer="0.5"/>
  <pageSetup paperSize="0"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METADATA</vt:lpstr>
      <vt:lpstr>All Mammals (extinct&amp;extant)</vt:lpstr>
      <vt:lpstr>Extant Mammals W&amp;R93</vt:lpstr>
      <vt:lpstr>New Guinea</vt:lpstr>
      <vt:lpstr>REFERENCES</vt:lpstr>
      <vt:lpstr>Madagascar</vt:lpstr>
      <vt:lpstr>Tasmania</vt:lpstr>
      <vt:lpstr>'All Mammals (extinct&amp;extant)'!Print_Area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Catalina Tome</cp:lastModifiedBy>
  <cp:lastPrinted>2003-04-25T19:41:55Z</cp:lastPrinted>
  <dcterms:created xsi:type="dcterms:W3CDTF">2002-06-05T15:58:42Z</dcterms:created>
  <dcterms:modified xsi:type="dcterms:W3CDTF">2016-03-06T16:31:01Z</dcterms:modified>
</cp:coreProperties>
</file>